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100.20.101\commun\commun\I NTEGRA\WYCC\CLIENTS WYCC ACTIF\IDOL\"/>
    </mc:Choice>
  </mc:AlternateContent>
  <bookViews>
    <workbookView xWindow="0" yWindow="0" windowWidth="28800" windowHeight="11535" tabRatio="829"/>
  </bookViews>
  <sheets>
    <sheet name="Admin" sheetId="12" r:id="rId1"/>
    <sheet name="HISTORY" sheetId="45" r:id="rId2"/>
    <sheet name="Cotations" sheetId="19" r:id="rId3"/>
    <sheet name="Calcul" sheetId="25" r:id="rId4"/>
    <sheet name="Rates" sheetId="37" r:id="rId5"/>
    <sheet name="RECAPITULATIF" sheetId="35" r:id="rId6"/>
    <sheet name="Source" sheetId="1" r:id="rId7"/>
    <sheet name="Crewlist" sheetId="20" r:id="rId8"/>
    <sheet name="Detail" sheetId="34" r:id="rId9"/>
    <sheet name="exportClient" sheetId="42" r:id="rId10"/>
    <sheet name="Company " sheetId="3" r:id="rId11"/>
    <sheet name="Manual invoice" sheetId="10" r:id="rId12"/>
    <sheet name="Import" sheetId="2" r:id="rId13"/>
    <sheet name="Certificat" sheetId="11" r:id="rId14"/>
    <sheet name="Modules" sheetId="22" r:id="rId15"/>
    <sheet name="APPORTEURS" sheetId="13" r:id="rId16"/>
    <sheet name="USER" sheetId="14" state="hidden" r:id="rId17"/>
    <sheet name="Vocabulaire" sheetId="17" state="hidden" r:id="rId18"/>
    <sheet name="NAMES" sheetId="18" state="hidden" r:id="rId19"/>
    <sheet name="LISTES" sheetId="21" state="hidden" r:id="rId20"/>
    <sheet name="LIST" sheetId="36" state="hidden" r:id="rId21"/>
    <sheet name="Structure" sheetId="40" state="hidden" r:id="rId22"/>
    <sheet name="Config" sheetId="43" state="hidden" r:id="rId23"/>
    <sheet name="Currency" sheetId="44" state="hidden" r:id="rId24"/>
    <sheet name="Formules" sheetId="46" state="hidden" r:id="rId25"/>
  </sheets>
  <functionGroups builtInGroupCount="18"/>
  <definedNames>
    <definedName name="_xlnm._FilterDatabase" localSheetId="10" hidden="1">'Company '!$A$29:$V$120</definedName>
    <definedName name="_xlnm._FilterDatabase" localSheetId="2" hidden="1">Cotations!$A$14:$CR$120</definedName>
    <definedName name="_xlnm._FilterDatabase" localSheetId="7" hidden="1">Crewlist!$A$14:$Y$103</definedName>
    <definedName name="_xlnm._FilterDatabase" localSheetId="8" hidden="1">Detail!$A$14:$CO$55</definedName>
    <definedName name="_xlnm._FilterDatabase" localSheetId="9" hidden="1">exportClient!$A$29:$AL$119</definedName>
    <definedName name="_xlnm._FilterDatabase" localSheetId="4" hidden="1">Rates!$A$4:$BK$264</definedName>
    <definedName name="ALLTHESAME">NAMES!$D$3</definedName>
    <definedName name="ANCERTIF">NAMES!$D$21</definedName>
    <definedName name="ANRENOUV">NAMES!$D$28</definedName>
    <definedName name="ANRENOUVMOINSDEUX">NAMES!$D$30</definedName>
    <definedName name="ANRENOUVMOINSUN">NAMES!$D$29</definedName>
    <definedName name="ANRENOUVSHORT">NAMES!$D$31</definedName>
    <definedName name="BRaddress">Certificat!$C$19</definedName>
    <definedName name="BRcity">Certificat!$C$21</definedName>
    <definedName name="BRcountry">Certificat!$C$22</definedName>
    <definedName name="BRname">Certificat!$C$18</definedName>
    <definedName name="BRpostalcode">Certificat!$C$20</definedName>
    <definedName name="CALCMOIS">NAMES!$D$4</definedName>
    <definedName name="certificateNB">NAMES!$D$42</definedName>
    <definedName name="colAssureur">Rates!$L$1:$L$268</definedName>
    <definedName name="colchoice">Rates!$E$1:$E$268</definedName>
    <definedName name="colchoiceProduct">Rates!$D$1:$D$268</definedName>
    <definedName name="colCurrency">Rates!$N$1:$N$268</definedName>
    <definedName name="colMOD1">Rates!$F$1:$F$268</definedName>
    <definedName name="colMOD1HT">Rates!$AA$1:$AA$268</definedName>
    <definedName name="colMOD2">Rates!$G$1:$G$268</definedName>
    <definedName name="colMOD2HT">Rates!$AK$1:$AK$268</definedName>
    <definedName name="colMOD3">Rates!$H$1:$H$268</definedName>
    <definedName name="colMOD3HT">Rates!$AU$1:$AU$268</definedName>
    <definedName name="colMOD4">Rates!$I$1:$I$268</definedName>
    <definedName name="colMOD4HT">Rates!$BE$1:$BE$268</definedName>
    <definedName name="colMOD5">Rates!$J$1:$J$268</definedName>
    <definedName name="colMOD5HT">Rates!$BO$1:$BO$268</definedName>
    <definedName name="colMOD6">Rates!$K$1:$K$268</definedName>
    <definedName name="colMOD6HT">Rates!$BY$1:$BY$268</definedName>
    <definedName name="colmodecalcul">Rates!$P$1:$P$268</definedName>
    <definedName name="colProduct">Rates!$M$1:$M$268</definedName>
    <definedName name="colRatesHTsurcom">Rates!$AD$1:$AD$268</definedName>
    <definedName name="colSURCOM">Rates!$AC$1:$AC$268</definedName>
    <definedName name="COMPANY_LIST" comment="Liste des compagnies d'assurance du contrat courant">OFFSET(Source!$B$17,0,0,COUNTA(Source!$B$17:$B$24),1)</definedName>
    <definedName name="CURRENCY_LIST" localSheetId="1">OFFSET(Source!#REF!,0,0,COUNTA(Source!#REF!),1)</definedName>
    <definedName name="CURRENCY_LIST">OFFSET(Source!#REF!,0,0,COUNTA(Source!#REF!),1)</definedName>
    <definedName name="DATECANCEL">NAMES!$D$27</definedName>
    <definedName name="DATECERTIF">NAMES!$D$23</definedName>
    <definedName name="DATECREWLIST">NAMES!$D$22</definedName>
    <definedName name="DATERENOUV">NAMES!$D$24</definedName>
    <definedName name="DATERENOUVMOINS365">NAMES!$D$25</definedName>
    <definedName name="DATERENOUVMOINS730">NAMES!$D$26</definedName>
    <definedName name="DEVISEANKER">LISTES!$C$70</definedName>
    <definedName name="EMaddress">Certificat!$C$9</definedName>
    <definedName name="EMcity">Certificat!$C$11</definedName>
    <definedName name="EMcountry">Certificat!$C$12</definedName>
    <definedName name="EMname">Certificat!$C$8</definedName>
    <definedName name="EMpostalcode">Certificat!$C$10</definedName>
    <definedName name="FEESALL">NAMES!$D$6</definedName>
    <definedName name="_xlnm.Print_Titles" localSheetId="10">'Company '!$28:$29</definedName>
    <definedName name="_xlnm.Print_Titles" localSheetId="9">exportClient!$26:$29</definedName>
    <definedName name="_xlnm.Print_Titles" localSheetId="4">Rates!$1:$4</definedName>
    <definedName name="lig0_Persons">NAMES!$D$43</definedName>
    <definedName name="lig0_POL_Legal">NAMES!$D$44</definedName>
    <definedName name="lig0_POL_RC">NAMES!$D$45</definedName>
    <definedName name="lig1_Formula_MED">NAMES!$D$51</definedName>
    <definedName name="lig1_Formula_PREVOY">NAMES!$D$52</definedName>
    <definedName name="lig1_Persons">NAMES!$D$48</definedName>
    <definedName name="lig1_POL_MED">NAMES!$D$49</definedName>
    <definedName name="lig1_POL_PREVOY">NAMES!$D$50</definedName>
    <definedName name="lig2_Formula_MED">NAMES!$D$56</definedName>
    <definedName name="lig2_Formula_PREVOY">NAMES!$D$57</definedName>
    <definedName name="lig2_Persons">NAMES!$D$53</definedName>
    <definedName name="lig2_POL_MED">NAMES!$D$54</definedName>
    <definedName name="lig2_POL_PREVO">NAMES!$D$55</definedName>
    <definedName name="lig3_Formula_MED">NAMES!$D$61</definedName>
    <definedName name="lig3_Formula_PREVOY">NAMES!$D$62</definedName>
    <definedName name="lig3_Persons">NAMES!$D$58</definedName>
    <definedName name="lig3_POL_MED">NAMES!$D$59</definedName>
    <definedName name="lig3_POL_PREVOY">NAMES!$D$60</definedName>
    <definedName name="LISTALLTHESAME">NAMES!$D$5</definedName>
    <definedName name="MAaddress">Certificat!$C$14</definedName>
    <definedName name="MAcity">Certificat!$C$16</definedName>
    <definedName name="MAcountry">Certificat!$C$17</definedName>
    <definedName name="MAname">Certificat!$C$13</definedName>
    <definedName name="MApostalcode">Certificat!$C$15</definedName>
    <definedName name="masse_salariale">Cotations!$AC$2</definedName>
    <definedName name="MAXDAYS">NAMES!$D$34</definedName>
    <definedName name="MAXMONTHS">NAMES!$D$35</definedName>
    <definedName name="PHaddress">Certificat!$C$4</definedName>
    <definedName name="PHcity">Certificat!$C$6</definedName>
    <definedName name="PHcountry">Certificat!$C$7</definedName>
    <definedName name="PHname">Certificat!$C$3</definedName>
    <definedName name="PHpostalcode">Certificat!$C$5</definedName>
    <definedName name="REALDAYS1">Admin!$G$30</definedName>
    <definedName name="REALMONTHS1">Admin!$F$30</definedName>
    <definedName name="TAXE">NAMES!$D$16</definedName>
    <definedName name="YACHTNAME">NAMES!$D$20</definedName>
    <definedName name="_xlnm.Print_Area" localSheetId="0">Admin!$A$1:$N$117</definedName>
    <definedName name="_xlnm.Print_Area" localSheetId="10">'Company '!$A$1:$U$26</definedName>
    <definedName name="_xlnm.Print_Area" localSheetId="7">Crewlist!$B$1:$Y$56</definedName>
    <definedName name="_xlnm.Print_Area" localSheetId="9">exportClient!$A$1:$X$119</definedName>
    <definedName name="_xlnm.Print_Area" localSheetId="1">HISTORY!$A$1:$Q$81</definedName>
    <definedName name="_xlnm.Print_Area" localSheetId="11">'Manual invoice'!$A$1:$G$60</definedName>
    <definedName name="_xlnm.Print_Area" localSheetId="4">Rates!$A$1:$CE$270</definedName>
    <definedName name="_xlnm.Print_Area" localSheetId="5">RECAPITULATIF!$A$1:$U$35</definedName>
  </definedNames>
  <calcPr calcId="152511"/>
</workbook>
</file>

<file path=xl/calcChain.xml><?xml version="1.0" encoding="utf-8"?>
<calcChain xmlns="http://schemas.openxmlformats.org/spreadsheetml/2006/main">
  <c r="N20" i="3" l="1"/>
  <c r="N21" i="3"/>
  <c r="N22" i="3"/>
  <c r="N23" i="3"/>
  <c r="N24" i="3"/>
  <c r="G27" i="3" l="1"/>
  <c r="H27" i="3"/>
  <c r="P42" i="20"/>
  <c r="P43" i="20"/>
  <c r="P44" i="20"/>
  <c r="P45" i="20"/>
  <c r="P46" i="20"/>
  <c r="P47" i="20"/>
  <c r="P48" i="20"/>
  <c r="P49" i="20"/>
  <c r="AM9" i="19" l="1"/>
  <c r="BV8" i="19" l="1"/>
  <c r="BR8" i="19"/>
  <c r="BX8" i="19" s="1"/>
  <c r="BU6" i="19"/>
  <c r="BR2" i="19"/>
  <c r="AU9" i="19"/>
  <c r="AU8" i="19"/>
  <c r="Q16" i="19" l="1"/>
  <c r="R16" i="19"/>
  <c r="Q17" i="19"/>
  <c r="R17" i="19"/>
  <c r="Q18" i="19"/>
  <c r="R18" i="19"/>
  <c r="Q19" i="19"/>
  <c r="R19" i="19"/>
  <c r="Q20" i="19"/>
  <c r="R20" i="19"/>
  <c r="Q21" i="19"/>
  <c r="R21" i="19"/>
  <c r="Q22" i="19"/>
  <c r="R22" i="19"/>
  <c r="Q23" i="19"/>
  <c r="R23" i="19"/>
  <c r="Q24" i="19"/>
  <c r="R24" i="19"/>
  <c r="Q25" i="19"/>
  <c r="R25" i="19"/>
  <c r="Q26" i="19"/>
  <c r="R26" i="19"/>
  <c r="Q27" i="19"/>
  <c r="R27" i="19"/>
  <c r="Q28" i="19"/>
  <c r="R28" i="19"/>
  <c r="Q29" i="19"/>
  <c r="R29" i="19"/>
  <c r="Q30" i="19"/>
  <c r="R30" i="19"/>
  <c r="Q31" i="19"/>
  <c r="R31" i="19"/>
  <c r="Q32" i="19"/>
  <c r="R32" i="19"/>
  <c r="Q33" i="19"/>
  <c r="R33" i="19"/>
  <c r="Q34" i="19"/>
  <c r="R34" i="19"/>
  <c r="Q35" i="19"/>
  <c r="R35" i="19"/>
  <c r="Q36" i="19"/>
  <c r="R36" i="19"/>
  <c r="Q37" i="19"/>
  <c r="R37" i="19"/>
  <c r="Q38" i="19"/>
  <c r="R38" i="19"/>
  <c r="Q39" i="19"/>
  <c r="R39" i="19"/>
  <c r="Q40" i="19"/>
  <c r="R40" i="19"/>
  <c r="Q41" i="19"/>
  <c r="R41" i="19"/>
  <c r="Q42" i="19"/>
  <c r="R42" i="19"/>
  <c r="Q43" i="19"/>
  <c r="R43" i="19"/>
  <c r="Q44" i="19"/>
  <c r="R44" i="19"/>
  <c r="Q45" i="19"/>
  <c r="R45" i="19"/>
  <c r="Q46" i="19"/>
  <c r="R46" i="19"/>
  <c r="Q47" i="19"/>
  <c r="R47" i="19"/>
  <c r="Q48" i="19"/>
  <c r="R48" i="19"/>
  <c r="Q49" i="19"/>
  <c r="R49" i="19"/>
  <c r="Q56" i="19"/>
  <c r="R56" i="19"/>
  <c r="Q57" i="19"/>
  <c r="R57" i="19"/>
  <c r="Q58" i="19"/>
  <c r="R58" i="19"/>
  <c r="Q59" i="19"/>
  <c r="R59" i="19"/>
  <c r="Q60" i="19"/>
  <c r="R60" i="19"/>
  <c r="Q61" i="19"/>
  <c r="R61" i="19"/>
  <c r="Q62" i="19"/>
  <c r="R62" i="19"/>
  <c r="Q63" i="19"/>
  <c r="R63" i="19"/>
  <c r="Q64" i="19"/>
  <c r="R64" i="19"/>
  <c r="Q65" i="19"/>
  <c r="R65" i="19"/>
  <c r="Q66" i="19"/>
  <c r="R66" i="19"/>
  <c r="Q67" i="19"/>
  <c r="R67" i="19"/>
  <c r="Q68" i="19"/>
  <c r="R68" i="19"/>
  <c r="Q69" i="19"/>
  <c r="R69" i="19"/>
  <c r="Q70" i="19"/>
  <c r="R70" i="19"/>
  <c r="Q71" i="19"/>
  <c r="R71" i="19"/>
  <c r="Q72" i="19"/>
  <c r="R72" i="19"/>
  <c r="Q73" i="19"/>
  <c r="R73" i="19"/>
  <c r="Q74" i="19"/>
  <c r="R74" i="19"/>
  <c r="Q75" i="19"/>
  <c r="R75" i="19"/>
  <c r="Q76" i="19"/>
  <c r="R76" i="19"/>
  <c r="Q77" i="19"/>
  <c r="R77" i="19"/>
  <c r="Q78" i="19"/>
  <c r="R78" i="19"/>
  <c r="Q79" i="19"/>
  <c r="R79" i="19"/>
  <c r="Q80" i="19"/>
  <c r="R80" i="19"/>
  <c r="Q81" i="19"/>
  <c r="R81" i="19"/>
  <c r="Q82" i="19"/>
  <c r="R82" i="19"/>
  <c r="Q83" i="19"/>
  <c r="R83" i="19"/>
  <c r="Q84" i="19"/>
  <c r="R84" i="19"/>
  <c r="Q85" i="19"/>
  <c r="R85" i="19"/>
  <c r="Q86" i="19"/>
  <c r="R86" i="19"/>
  <c r="Q87" i="19"/>
  <c r="R87" i="19"/>
  <c r="Q88" i="19"/>
  <c r="R88" i="19"/>
  <c r="Q89" i="19"/>
  <c r="R89" i="19"/>
  <c r="Q90" i="19"/>
  <c r="R90" i="19"/>
  <c r="Q91" i="19"/>
  <c r="R91" i="19"/>
  <c r="Q92" i="19"/>
  <c r="R92" i="19"/>
  <c r="Q93" i="19"/>
  <c r="R93" i="19"/>
  <c r="Q94" i="19"/>
  <c r="R94" i="19"/>
  <c r="Q95" i="19"/>
  <c r="R95" i="19"/>
  <c r="Q96" i="19"/>
  <c r="R96" i="19"/>
  <c r="Q97" i="19"/>
  <c r="R97" i="19"/>
  <c r="Q98" i="19"/>
  <c r="R98" i="19"/>
  <c r="Q99" i="19"/>
  <c r="R99" i="19"/>
  <c r="Q100" i="19"/>
  <c r="R100" i="19"/>
  <c r="Q101" i="19"/>
  <c r="R101" i="19"/>
  <c r="Q102" i="19"/>
  <c r="R102" i="19"/>
  <c r="Q103" i="19"/>
  <c r="R103" i="19"/>
  <c r="M16" i="3"/>
  <c r="M15" i="3"/>
  <c r="I39" i="22"/>
  <c r="R29" i="20" l="1"/>
  <c r="S29" i="20"/>
  <c r="R30" i="20"/>
  <c r="S30" i="20"/>
  <c r="R31" i="20"/>
  <c r="S31" i="20"/>
  <c r="R32" i="20"/>
  <c r="S32" i="20"/>
  <c r="R33" i="20"/>
  <c r="S33" i="20"/>
  <c r="R34" i="20"/>
  <c r="S34" i="20"/>
  <c r="R35" i="20"/>
  <c r="S35" i="20"/>
  <c r="R36" i="20"/>
  <c r="S36" i="20"/>
  <c r="R37" i="20"/>
  <c r="S37" i="20"/>
  <c r="R38" i="20"/>
  <c r="S38" i="20"/>
  <c r="R39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H16" i="45" l="1"/>
  <c r="R19" i="20" l="1"/>
  <c r="S19" i="20"/>
  <c r="R20" i="20"/>
  <c r="S20" i="20"/>
  <c r="R21" i="20"/>
  <c r="S21" i="20"/>
  <c r="R22" i="20"/>
  <c r="S22" i="20"/>
  <c r="R23" i="20"/>
  <c r="S23" i="20"/>
  <c r="R24" i="20"/>
  <c r="S24" i="20"/>
  <c r="R25" i="20"/>
  <c r="S25" i="20"/>
  <c r="R26" i="20"/>
  <c r="S26" i="20"/>
  <c r="R27" i="20"/>
  <c r="S27" i="20"/>
  <c r="R28" i="20"/>
  <c r="S28" i="20"/>
  <c r="P44" i="45"/>
  <c r="P71" i="45"/>
  <c r="P84" i="45"/>
  <c r="B53" i="18" l="1"/>
  <c r="B51" i="18"/>
  <c r="S17" i="20" l="1"/>
  <c r="S18" i="20"/>
  <c r="S16" i="20"/>
  <c r="G3" i="20" l="1"/>
  <c r="S51" i="20"/>
  <c r="S52" i="20"/>
  <c r="S53" i="20"/>
  <c r="S54" i="20"/>
  <c r="S55" i="20"/>
  <c r="R56" i="20"/>
  <c r="S56" i="20"/>
  <c r="R57" i="20"/>
  <c r="S57" i="20"/>
  <c r="R58" i="20"/>
  <c r="S58" i="20"/>
  <c r="R59" i="20"/>
  <c r="S59" i="20"/>
  <c r="R60" i="20"/>
  <c r="S60" i="20"/>
  <c r="R61" i="20"/>
  <c r="S61" i="20"/>
  <c r="R62" i="20"/>
  <c r="S62" i="20"/>
  <c r="R63" i="20"/>
  <c r="S63" i="20"/>
  <c r="R64" i="20"/>
  <c r="S64" i="20"/>
  <c r="R65" i="20"/>
  <c r="S65" i="20"/>
  <c r="R66" i="20"/>
  <c r="S66" i="20"/>
  <c r="R67" i="20"/>
  <c r="S67" i="20"/>
  <c r="R68" i="20"/>
  <c r="S68" i="20"/>
  <c r="R69" i="20"/>
  <c r="S69" i="20"/>
  <c r="R70" i="20"/>
  <c r="S70" i="20"/>
  <c r="R71" i="20"/>
  <c r="S71" i="20"/>
  <c r="R72" i="20"/>
  <c r="S72" i="20"/>
  <c r="R73" i="20"/>
  <c r="S73" i="20"/>
  <c r="R74" i="20"/>
  <c r="S74" i="20"/>
  <c r="R75" i="20"/>
  <c r="S75" i="20"/>
  <c r="R76" i="20"/>
  <c r="S76" i="20"/>
  <c r="R77" i="20"/>
  <c r="S77" i="20"/>
  <c r="R78" i="20"/>
  <c r="S78" i="20"/>
  <c r="R79" i="20"/>
  <c r="S79" i="20"/>
  <c r="R80" i="20"/>
  <c r="S80" i="20"/>
  <c r="R81" i="20"/>
  <c r="S81" i="20"/>
  <c r="R82" i="20"/>
  <c r="S82" i="20"/>
  <c r="R83" i="20"/>
  <c r="S83" i="20"/>
  <c r="R84" i="20"/>
  <c r="S84" i="20"/>
  <c r="R85" i="20"/>
  <c r="S85" i="20"/>
  <c r="R86" i="20"/>
  <c r="S86" i="20"/>
  <c r="R87" i="20"/>
  <c r="S87" i="20"/>
  <c r="R88" i="20"/>
  <c r="S88" i="20"/>
  <c r="R89" i="20"/>
  <c r="S89" i="20"/>
  <c r="R90" i="20"/>
  <c r="S90" i="20"/>
  <c r="R91" i="20"/>
  <c r="S91" i="20"/>
  <c r="R92" i="20"/>
  <c r="S92" i="20"/>
  <c r="R93" i="20"/>
  <c r="S93" i="20"/>
  <c r="R94" i="20"/>
  <c r="S94" i="20"/>
  <c r="R95" i="20"/>
  <c r="S95" i="20"/>
  <c r="R96" i="20"/>
  <c r="S96" i="20"/>
  <c r="R97" i="20"/>
  <c r="S97" i="20"/>
  <c r="R98" i="20"/>
  <c r="S98" i="20"/>
  <c r="R99" i="20"/>
  <c r="S99" i="20"/>
  <c r="R100" i="20"/>
  <c r="S100" i="20"/>
  <c r="R101" i="20"/>
  <c r="S101" i="20"/>
  <c r="R102" i="20"/>
  <c r="S102" i="20"/>
  <c r="R103" i="20"/>
  <c r="S103" i="20"/>
  <c r="R104" i="20"/>
  <c r="S104" i="20"/>
  <c r="R105" i="20"/>
  <c r="S105" i="20"/>
  <c r="Y102" i="20" l="1"/>
  <c r="Y103" i="20"/>
  <c r="Y104" i="20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B105" i="19" l="1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J97" i="22" l="1"/>
  <c r="J96" i="22"/>
  <c r="J98" i="22"/>
  <c r="G94" i="22"/>
  <c r="G95" i="22"/>
  <c r="G96" i="22"/>
  <c r="G97" i="22"/>
  <c r="G98" i="22"/>
  <c r="G93" i="22"/>
  <c r="F102" i="22"/>
  <c r="E81" i="22"/>
  <c r="H103" i="22" s="1"/>
  <c r="G86" i="22"/>
  <c r="G103" i="22"/>
  <c r="G116" i="22"/>
  <c r="G117" i="22"/>
  <c r="G102" i="22"/>
  <c r="E86" i="22"/>
  <c r="E85" i="22"/>
  <c r="E84" i="22"/>
  <c r="E98" i="22"/>
  <c r="G107" i="22"/>
  <c r="G84" i="22"/>
  <c r="G88" i="22"/>
  <c r="E97" i="22"/>
  <c r="G85" i="22"/>
  <c r="E88" i="22"/>
  <c r="G113" i="22"/>
  <c r="G87" i="22"/>
  <c r="G105" i="22"/>
  <c r="G83" i="22"/>
  <c r="G106" i="22"/>
  <c r="E93" i="22"/>
  <c r="E96" i="22"/>
  <c r="G104" i="22"/>
  <c r="G114" i="22"/>
  <c r="E83" i="22"/>
  <c r="E87" i="22"/>
  <c r="E95" i="22"/>
  <c r="G115" i="22"/>
  <c r="E94" i="22"/>
  <c r="G112" i="22"/>
  <c r="J114" i="22" l="1"/>
  <c r="J88" i="22"/>
  <c r="B20" i="3" s="1"/>
  <c r="J115" i="22"/>
  <c r="J87" i="22"/>
  <c r="B19" i="3" s="1"/>
  <c r="J116" i="22"/>
  <c r="J86" i="22"/>
  <c r="B18" i="3" s="1"/>
  <c r="J117" i="22"/>
  <c r="J103" i="22"/>
  <c r="H85" i="22"/>
  <c r="B17" i="3" s="1"/>
  <c r="F17" i="3" s="1"/>
  <c r="H95" i="22"/>
  <c r="J95" i="22" s="1"/>
  <c r="F95" i="22"/>
  <c r="F97" i="22"/>
  <c r="F94" i="22"/>
  <c r="F98" i="22"/>
  <c r="F93" i="22"/>
  <c r="F96" i="22"/>
  <c r="F85" i="22"/>
  <c r="F87" i="22"/>
  <c r="F83" i="22"/>
  <c r="F88" i="22"/>
  <c r="F84" i="22"/>
  <c r="F86" i="22"/>
  <c r="J130" i="22"/>
  <c r="H130" i="22"/>
  <c r="G130" i="22"/>
  <c r="F130" i="22"/>
  <c r="J129" i="22"/>
  <c r="H129" i="22"/>
  <c r="G129" i="22"/>
  <c r="F129" i="22"/>
  <c r="J128" i="22"/>
  <c r="H128" i="22"/>
  <c r="G128" i="22"/>
  <c r="F128" i="22"/>
  <c r="J127" i="22"/>
  <c r="H127" i="22"/>
  <c r="G127" i="22"/>
  <c r="F127" i="22"/>
  <c r="J126" i="22"/>
  <c r="H126" i="22"/>
  <c r="G126" i="22"/>
  <c r="F126" i="22"/>
  <c r="J125" i="22"/>
  <c r="H125" i="22"/>
  <c r="G125" i="22"/>
  <c r="F125" i="22"/>
  <c r="J124" i="22"/>
  <c r="I124" i="22"/>
  <c r="J123" i="22"/>
  <c r="I123" i="22"/>
  <c r="I122" i="22"/>
  <c r="I121" i="22"/>
  <c r="E106" i="22"/>
  <c r="E103" i="22"/>
  <c r="E105" i="22"/>
  <c r="E107" i="22"/>
  <c r="E104" i="22"/>
  <c r="E19" i="3" l="1"/>
  <c r="F19" i="3"/>
  <c r="D19" i="3"/>
  <c r="F18" i="3"/>
  <c r="D18" i="3"/>
  <c r="E18" i="3"/>
  <c r="D20" i="3"/>
  <c r="E20" i="3"/>
  <c r="F20" i="3"/>
  <c r="D17" i="3"/>
  <c r="E17" i="3" s="1"/>
  <c r="F103" i="22"/>
  <c r="F104" i="22"/>
  <c r="H105" i="22"/>
  <c r="J105" i="22" s="1"/>
  <c r="F105" i="22"/>
  <c r="H107" i="22"/>
  <c r="J107" i="22" s="1"/>
  <c r="F107" i="22"/>
  <c r="H104" i="22"/>
  <c r="J104" i="22" s="1"/>
  <c r="F106" i="22"/>
  <c r="H106" i="22"/>
  <c r="J106" i="22" s="1"/>
  <c r="D46" i="12"/>
  <c r="D48" i="12"/>
  <c r="B10" i="42" l="1"/>
  <c r="AU188" i="37"/>
  <c r="BA188" i="37" s="1"/>
  <c r="AA188" i="37"/>
  <c r="AG188" i="37" s="1"/>
  <c r="C186" i="37"/>
  <c r="D186" i="37" s="1"/>
  <c r="E186" i="37"/>
  <c r="F186" i="37"/>
  <c r="G186" i="37"/>
  <c r="H186" i="37"/>
  <c r="I186" i="37"/>
  <c r="J186" i="37"/>
  <c r="K186" i="37"/>
  <c r="C187" i="37"/>
  <c r="D187" i="37"/>
  <c r="E187" i="37"/>
  <c r="F187" i="37"/>
  <c r="G187" i="37"/>
  <c r="H187" i="37"/>
  <c r="I187" i="37"/>
  <c r="J187" i="37"/>
  <c r="K187" i="37"/>
  <c r="C188" i="37"/>
  <c r="D188" i="37"/>
  <c r="E188" i="37"/>
  <c r="F188" i="37"/>
  <c r="G188" i="37"/>
  <c r="H188" i="37"/>
  <c r="I188" i="37"/>
  <c r="J188" i="37"/>
  <c r="K188" i="37"/>
  <c r="C189" i="37"/>
  <c r="D189" i="37" s="1"/>
  <c r="E189" i="37"/>
  <c r="F189" i="37"/>
  <c r="G189" i="37"/>
  <c r="H189" i="37"/>
  <c r="I189" i="37"/>
  <c r="J189" i="37"/>
  <c r="K189" i="37"/>
  <c r="C190" i="37"/>
  <c r="D190" i="37"/>
  <c r="E190" i="37"/>
  <c r="F190" i="37"/>
  <c r="G190" i="37"/>
  <c r="H190" i="37"/>
  <c r="I190" i="37"/>
  <c r="J190" i="37"/>
  <c r="K190" i="37"/>
  <c r="C191" i="37"/>
  <c r="D191" i="37"/>
  <c r="E191" i="37"/>
  <c r="F191" i="37"/>
  <c r="G191" i="37"/>
  <c r="H191" i="37"/>
  <c r="I191" i="37"/>
  <c r="J191" i="37"/>
  <c r="K191" i="37"/>
  <c r="C192" i="37"/>
  <c r="D192" i="37"/>
  <c r="E192" i="37"/>
  <c r="F192" i="37"/>
  <c r="G192" i="37"/>
  <c r="H192" i="37"/>
  <c r="I192" i="37"/>
  <c r="J192" i="37"/>
  <c r="K192" i="37"/>
  <c r="C193" i="37"/>
  <c r="D193" i="37" s="1"/>
  <c r="E193" i="37"/>
  <c r="F193" i="37"/>
  <c r="G193" i="37"/>
  <c r="H193" i="37"/>
  <c r="I193" i="37"/>
  <c r="J193" i="37"/>
  <c r="K193" i="37"/>
  <c r="C194" i="37"/>
  <c r="D194" i="37"/>
  <c r="E194" i="37"/>
  <c r="F194" i="37"/>
  <c r="G194" i="37"/>
  <c r="H194" i="37"/>
  <c r="I194" i="37"/>
  <c r="J194" i="37"/>
  <c r="K194" i="37"/>
  <c r="C195" i="37"/>
  <c r="D195" i="37" s="1"/>
  <c r="E195" i="37"/>
  <c r="F195" i="37"/>
  <c r="G195" i="37"/>
  <c r="H195" i="37"/>
  <c r="I195" i="37"/>
  <c r="J195" i="37"/>
  <c r="K195" i="37"/>
  <c r="C196" i="37"/>
  <c r="D196" i="37"/>
  <c r="E196" i="37"/>
  <c r="F196" i="37"/>
  <c r="G196" i="37"/>
  <c r="H196" i="37"/>
  <c r="I196" i="37"/>
  <c r="J196" i="37"/>
  <c r="K196" i="37"/>
  <c r="AU192" i="37"/>
  <c r="BA192" i="37" s="1"/>
  <c r="AA192" i="37"/>
  <c r="AG192" i="37" s="1"/>
  <c r="W188" i="37" l="1"/>
  <c r="W192" i="37"/>
  <c r="AU6" i="37" l="1"/>
  <c r="AU7" i="37"/>
  <c r="AU8" i="37"/>
  <c r="AU9" i="37"/>
  <c r="AU10" i="37"/>
  <c r="AU11" i="37"/>
  <c r="AU12" i="37"/>
  <c r="AU13" i="37"/>
  <c r="AS13" i="37" s="1"/>
  <c r="AU14" i="37"/>
  <c r="AU15" i="37"/>
  <c r="AU16" i="37"/>
  <c r="AU17" i="37"/>
  <c r="AS17" i="37" s="1"/>
  <c r="AU18" i="37"/>
  <c r="AU19" i="37"/>
  <c r="AU20" i="37"/>
  <c r="AU21" i="37"/>
  <c r="AS21" i="37" s="1"/>
  <c r="AU22" i="37"/>
  <c r="AU23" i="37"/>
  <c r="AU24" i="37"/>
  <c r="AU25" i="37"/>
  <c r="AS25" i="37" s="1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U39" i="37"/>
  <c r="AU40" i="37"/>
  <c r="AU41" i="37"/>
  <c r="AU42" i="37"/>
  <c r="AU43" i="37"/>
  <c r="AU44" i="37"/>
  <c r="AU45" i="37"/>
  <c r="AU46" i="37"/>
  <c r="AU47" i="37"/>
  <c r="AU48" i="37"/>
  <c r="AU49" i="37"/>
  <c r="AU50" i="37"/>
  <c r="AU51" i="37"/>
  <c r="AU52" i="37"/>
  <c r="AU53" i="37"/>
  <c r="AU54" i="37"/>
  <c r="AU55" i="37"/>
  <c r="AU56" i="37"/>
  <c r="AU57" i="37"/>
  <c r="AU58" i="37"/>
  <c r="AU59" i="37"/>
  <c r="AU60" i="37"/>
  <c r="AU61" i="37"/>
  <c r="AU62" i="37"/>
  <c r="AU63" i="37"/>
  <c r="AU64" i="37"/>
  <c r="AU65" i="37"/>
  <c r="AU66" i="37"/>
  <c r="AU67" i="37"/>
  <c r="AU5" i="37"/>
  <c r="AS6" i="37"/>
  <c r="AS7" i="37"/>
  <c r="AS8" i="37"/>
  <c r="AS9" i="37"/>
  <c r="AS10" i="37"/>
  <c r="AS11" i="37"/>
  <c r="AS12" i="37"/>
  <c r="AS14" i="37"/>
  <c r="AS15" i="37"/>
  <c r="AS16" i="37"/>
  <c r="AS18" i="37"/>
  <c r="AS19" i="37"/>
  <c r="AS20" i="37"/>
  <c r="AS22" i="37"/>
  <c r="AS23" i="37"/>
  <c r="AS24" i="37"/>
  <c r="AS5" i="37"/>
  <c r="BC67" i="37"/>
  <c r="BC6" i="37"/>
  <c r="BC7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C39" i="37"/>
  <c r="BC40" i="37"/>
  <c r="BC41" i="37"/>
  <c r="BC42" i="37"/>
  <c r="BC43" i="37"/>
  <c r="BC44" i="37"/>
  <c r="BC45" i="37"/>
  <c r="BC46" i="37"/>
  <c r="BC47" i="37"/>
  <c r="BC48" i="37"/>
  <c r="BC49" i="37"/>
  <c r="BC50" i="37"/>
  <c r="BC51" i="37"/>
  <c r="BC52" i="37"/>
  <c r="BC53" i="37"/>
  <c r="BC54" i="37"/>
  <c r="BC55" i="37"/>
  <c r="BC56" i="37"/>
  <c r="BC57" i="37"/>
  <c r="BC58" i="37"/>
  <c r="BC59" i="37"/>
  <c r="BC60" i="37"/>
  <c r="BC61" i="37"/>
  <c r="BC62" i="37"/>
  <c r="BC63" i="37"/>
  <c r="BC64" i="37"/>
  <c r="BC65" i="37"/>
  <c r="BC66" i="37"/>
  <c r="BC5" i="37"/>
  <c r="BE6" i="37"/>
  <c r="BE7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E39" i="37"/>
  <c r="BE40" i="37"/>
  <c r="BE41" i="37"/>
  <c r="BE42" i="37"/>
  <c r="BE43" i="37"/>
  <c r="BE44" i="37"/>
  <c r="BE45" i="37"/>
  <c r="BE46" i="37"/>
  <c r="BE47" i="37"/>
  <c r="BE48" i="37"/>
  <c r="BE49" i="37"/>
  <c r="BE50" i="37"/>
  <c r="BE51" i="37"/>
  <c r="BE52" i="37"/>
  <c r="BE53" i="37"/>
  <c r="BE54" i="37"/>
  <c r="BE55" i="37"/>
  <c r="BE56" i="37"/>
  <c r="BE57" i="37"/>
  <c r="BE58" i="37"/>
  <c r="BE59" i="37"/>
  <c r="BE60" i="37"/>
  <c r="BE61" i="37"/>
  <c r="BE62" i="37"/>
  <c r="BE63" i="37"/>
  <c r="BE64" i="37"/>
  <c r="BE65" i="37"/>
  <c r="BE66" i="37"/>
  <c r="BE67" i="37"/>
  <c r="BE5" i="37"/>
  <c r="AK17" i="37"/>
  <c r="AI17" i="37" s="1"/>
  <c r="AA17" i="37"/>
  <c r="Y17" i="37" s="1"/>
  <c r="K17" i="37"/>
  <c r="J17" i="37"/>
  <c r="I17" i="37"/>
  <c r="H17" i="37"/>
  <c r="G17" i="37"/>
  <c r="F17" i="37"/>
  <c r="E17" i="37"/>
  <c r="AD17" i="37" s="1"/>
  <c r="C17" i="37"/>
  <c r="D17" i="37" s="1"/>
  <c r="AK16" i="37"/>
  <c r="AI16" i="37"/>
  <c r="AA16" i="37"/>
  <c r="AF16" i="37" s="1"/>
  <c r="Y16" i="37"/>
  <c r="K16" i="37"/>
  <c r="J16" i="37"/>
  <c r="I16" i="37"/>
  <c r="H16" i="37"/>
  <c r="G16" i="37"/>
  <c r="F16" i="37"/>
  <c r="E16" i="37"/>
  <c r="AD16" i="37" s="1"/>
  <c r="C16" i="37"/>
  <c r="D16" i="37" s="1"/>
  <c r="AK15" i="37"/>
  <c r="AI15" i="37" s="1"/>
  <c r="AA15" i="37"/>
  <c r="Y15" i="37" s="1"/>
  <c r="K15" i="37"/>
  <c r="J15" i="37"/>
  <c r="I15" i="37"/>
  <c r="H15" i="37"/>
  <c r="G15" i="37"/>
  <c r="F15" i="37"/>
  <c r="E15" i="37"/>
  <c r="AD15" i="37" s="1"/>
  <c r="C15" i="37"/>
  <c r="D15" i="37" s="1"/>
  <c r="AK14" i="37"/>
  <c r="AI14" i="37" s="1"/>
  <c r="AA14" i="37"/>
  <c r="Y14" i="37" s="1"/>
  <c r="K14" i="37"/>
  <c r="J14" i="37"/>
  <c r="I14" i="37"/>
  <c r="H14" i="37"/>
  <c r="G14" i="37"/>
  <c r="F14" i="37"/>
  <c r="E14" i="37"/>
  <c r="AD14" i="37" s="1"/>
  <c r="C14" i="37"/>
  <c r="D14" i="37" s="1"/>
  <c r="AK13" i="37"/>
  <c r="AI13" i="37" s="1"/>
  <c r="AA13" i="37"/>
  <c r="Y13" i="37" s="1"/>
  <c r="K13" i="37"/>
  <c r="J13" i="37"/>
  <c r="I13" i="37"/>
  <c r="H13" i="37"/>
  <c r="G13" i="37"/>
  <c r="F13" i="37"/>
  <c r="E13" i="37"/>
  <c r="AD13" i="37" s="1"/>
  <c r="C13" i="37"/>
  <c r="D13" i="37" s="1"/>
  <c r="AK12" i="37"/>
  <c r="AI12" i="37" s="1"/>
  <c r="AA12" i="37"/>
  <c r="Y12" i="37" s="1"/>
  <c r="K12" i="37"/>
  <c r="J12" i="37"/>
  <c r="I12" i="37"/>
  <c r="H12" i="37"/>
  <c r="G12" i="37"/>
  <c r="F12" i="37"/>
  <c r="E12" i="37"/>
  <c r="AD12" i="37" s="1"/>
  <c r="C12" i="37"/>
  <c r="D12" i="37" s="1"/>
  <c r="W17" i="37" l="1"/>
  <c r="W12" i="37"/>
  <c r="AF12" i="37"/>
  <c r="W13" i="37"/>
  <c r="AF13" i="37"/>
  <c r="W14" i="37"/>
  <c r="AF14" i="37"/>
  <c r="W15" i="37"/>
  <c r="AF15" i="37"/>
  <c r="W16" i="37"/>
  <c r="AF17" i="37"/>
  <c r="FI11" i="25"/>
  <c r="FJ11" i="25"/>
  <c r="FP11" i="25"/>
  <c r="FP13" i="25" s="1"/>
  <c r="FP12" i="25" s="1"/>
  <c r="FI12" i="25"/>
  <c r="FJ12" i="25"/>
  <c r="FI13" i="25"/>
  <c r="FJ13" i="25"/>
  <c r="CG11" i="25" l="1"/>
  <c r="CG13" i="25" s="1"/>
  <c r="CH11" i="25"/>
  <c r="CH13" i="25" s="1"/>
  <c r="CL13" i="25"/>
  <c r="CM13" i="25"/>
  <c r="CN13" i="25"/>
  <c r="CO13" i="25"/>
  <c r="BE266" i="37"/>
  <c r="BY270" i="37" l="1"/>
  <c r="CE270" i="37" s="1"/>
  <c r="BU270" i="37"/>
  <c r="BO270" i="37"/>
  <c r="BK270" i="37"/>
  <c r="BE270" i="37"/>
  <c r="BA270" i="37"/>
  <c r="AU270" i="37"/>
  <c r="AQ270" i="37"/>
  <c r="AK270" i="37"/>
  <c r="AG270" i="37"/>
  <c r="AA270" i="37"/>
  <c r="W270" i="37"/>
  <c r="K270" i="37"/>
  <c r="J270" i="37"/>
  <c r="I270" i="37"/>
  <c r="H270" i="37"/>
  <c r="G270" i="37"/>
  <c r="F270" i="37"/>
  <c r="E270" i="37"/>
  <c r="C270" i="37"/>
  <c r="D270" i="37" s="1"/>
  <c r="BY269" i="37"/>
  <c r="CE269" i="37" s="1"/>
  <c r="BO269" i="37"/>
  <c r="BU269" i="37" s="1"/>
  <c r="BE269" i="37"/>
  <c r="BK269" i="37" s="1"/>
  <c r="AU269" i="37"/>
  <c r="BA269" i="37" s="1"/>
  <c r="AK269" i="37"/>
  <c r="AQ269" i="37" s="1"/>
  <c r="AA269" i="37"/>
  <c r="AG269" i="37" s="1"/>
  <c r="K269" i="37"/>
  <c r="J269" i="37"/>
  <c r="I269" i="37"/>
  <c r="H269" i="37"/>
  <c r="G269" i="37"/>
  <c r="F269" i="37"/>
  <c r="E269" i="37"/>
  <c r="C269" i="37"/>
  <c r="D269" i="37" s="1"/>
  <c r="BY268" i="37"/>
  <c r="CE268" i="37" s="1"/>
  <c r="BO268" i="37"/>
  <c r="BU268" i="37" s="1"/>
  <c r="BE268" i="37"/>
  <c r="BK268" i="37" s="1"/>
  <c r="AU268" i="37"/>
  <c r="BA268" i="37" s="1"/>
  <c r="AK268" i="37"/>
  <c r="AQ268" i="37" s="1"/>
  <c r="AA268" i="37"/>
  <c r="W268" i="37" s="1"/>
  <c r="K268" i="37"/>
  <c r="J268" i="37"/>
  <c r="I268" i="37"/>
  <c r="H268" i="37"/>
  <c r="G268" i="37"/>
  <c r="F268" i="37"/>
  <c r="E268" i="37"/>
  <c r="C268" i="37"/>
  <c r="D268" i="37" s="1"/>
  <c r="BY267" i="37"/>
  <c r="CE267" i="37" s="1"/>
  <c r="BO267" i="37"/>
  <c r="BU267" i="37" s="1"/>
  <c r="BE267" i="37"/>
  <c r="BK267" i="37" s="1"/>
  <c r="AU267" i="37"/>
  <c r="BA267" i="37" s="1"/>
  <c r="AK267" i="37"/>
  <c r="AQ267" i="37" s="1"/>
  <c r="AA267" i="37"/>
  <c r="AG267" i="37" s="1"/>
  <c r="K267" i="37"/>
  <c r="J267" i="37"/>
  <c r="I267" i="37"/>
  <c r="H267" i="37"/>
  <c r="G267" i="37"/>
  <c r="F267" i="37"/>
  <c r="E267" i="37"/>
  <c r="C267" i="37"/>
  <c r="D267" i="37" s="1"/>
  <c r="BY266" i="37"/>
  <c r="CE266" i="37" s="1"/>
  <c r="BO266" i="37"/>
  <c r="BU266" i="37" s="1"/>
  <c r="BK266" i="37"/>
  <c r="AU266" i="37"/>
  <c r="BA266" i="37" s="1"/>
  <c r="AK266" i="37"/>
  <c r="AQ266" i="37" s="1"/>
  <c r="AA266" i="37"/>
  <c r="W266" i="37" s="1"/>
  <c r="K266" i="37"/>
  <c r="J266" i="37"/>
  <c r="I266" i="37"/>
  <c r="H266" i="37"/>
  <c r="G266" i="37"/>
  <c r="F266" i="37"/>
  <c r="E266" i="37"/>
  <c r="C266" i="37"/>
  <c r="D266" i="37" s="1"/>
  <c r="CP16" i="19"/>
  <c r="CP17" i="19"/>
  <c r="CP18" i="19"/>
  <c r="CP19" i="19"/>
  <c r="CP20" i="19"/>
  <c r="CP21" i="19"/>
  <c r="CP22" i="19"/>
  <c r="CP23" i="19"/>
  <c r="CP24" i="19"/>
  <c r="CP25" i="19"/>
  <c r="CP26" i="19"/>
  <c r="CP27" i="19"/>
  <c r="CP28" i="19"/>
  <c r="CP29" i="19"/>
  <c r="CP30" i="19"/>
  <c r="CP31" i="19"/>
  <c r="CP32" i="19"/>
  <c r="CP33" i="19"/>
  <c r="CP34" i="19"/>
  <c r="CP35" i="19"/>
  <c r="CP36" i="19"/>
  <c r="CP37" i="19"/>
  <c r="CP38" i="19"/>
  <c r="CP39" i="19"/>
  <c r="CP40" i="19"/>
  <c r="CP41" i="19"/>
  <c r="CP42" i="19"/>
  <c r="CP43" i="19"/>
  <c r="CP44" i="19"/>
  <c r="CP45" i="19"/>
  <c r="CP46" i="19"/>
  <c r="CP47" i="19"/>
  <c r="CP48" i="19"/>
  <c r="CP49" i="19"/>
  <c r="CP50" i="19"/>
  <c r="CP51" i="19"/>
  <c r="CP52" i="19"/>
  <c r="CP53" i="19"/>
  <c r="CP54" i="19"/>
  <c r="CP55" i="19"/>
  <c r="CP56" i="19"/>
  <c r="CP57" i="19"/>
  <c r="CP58" i="19"/>
  <c r="CP59" i="19"/>
  <c r="CP60" i="19"/>
  <c r="CP61" i="19"/>
  <c r="CP62" i="19"/>
  <c r="CP63" i="19"/>
  <c r="CP64" i="19"/>
  <c r="CP65" i="19"/>
  <c r="CP66" i="19"/>
  <c r="CP67" i="19"/>
  <c r="CP68" i="19"/>
  <c r="CP69" i="19"/>
  <c r="CP70" i="19"/>
  <c r="CP71" i="19"/>
  <c r="CP72" i="19"/>
  <c r="CP73" i="19"/>
  <c r="CP74" i="19"/>
  <c r="CP75" i="19"/>
  <c r="CP76" i="19"/>
  <c r="CP77" i="19"/>
  <c r="CP78" i="19"/>
  <c r="CP79" i="19"/>
  <c r="CP80" i="19"/>
  <c r="CP81" i="19"/>
  <c r="CP82" i="19"/>
  <c r="CP83" i="19"/>
  <c r="CP84" i="19"/>
  <c r="CP85" i="19"/>
  <c r="CP86" i="19"/>
  <c r="CP87" i="19"/>
  <c r="CP88" i="19"/>
  <c r="CP89" i="19"/>
  <c r="CP90" i="19"/>
  <c r="CP91" i="19"/>
  <c r="CP92" i="19"/>
  <c r="CP93" i="19"/>
  <c r="CP94" i="19"/>
  <c r="CP95" i="19"/>
  <c r="CP96" i="19"/>
  <c r="CP97" i="19"/>
  <c r="CP98" i="19"/>
  <c r="CP99" i="19"/>
  <c r="CP100" i="19"/>
  <c r="CP101" i="19"/>
  <c r="CP102" i="19"/>
  <c r="CP103" i="19"/>
  <c r="CP104" i="19"/>
  <c r="CP105" i="19"/>
  <c r="CP106" i="19"/>
  <c r="CP107" i="19"/>
  <c r="CP108" i="19"/>
  <c r="CP109" i="19"/>
  <c r="CP110" i="19"/>
  <c r="CP111" i="19"/>
  <c r="CP112" i="19"/>
  <c r="CP113" i="19"/>
  <c r="CP114" i="19"/>
  <c r="CP115" i="19"/>
  <c r="CP116" i="19"/>
  <c r="CP117" i="19"/>
  <c r="CP118" i="19"/>
  <c r="CP119" i="19"/>
  <c r="CP120" i="19"/>
  <c r="CP15" i="19"/>
  <c r="AB12" i="19"/>
  <c r="D73" i="12"/>
  <c r="E47" i="22" s="1"/>
  <c r="AK8" i="19"/>
  <c r="AJ8" i="19"/>
  <c r="G121" i="22" l="1"/>
  <c r="G122" i="22"/>
  <c r="AG266" i="37"/>
  <c r="W267" i="37"/>
  <c r="AG268" i="37"/>
  <c r="W269" i="37"/>
  <c r="AL8" i="19"/>
  <c r="V13" i="19" s="1"/>
  <c r="AW9" i="19"/>
  <c r="AW8" i="19"/>
  <c r="AW5" i="19"/>
  <c r="AW6" i="19"/>
  <c r="AW7" i="19"/>
  <c r="AW4" i="19"/>
  <c r="AG5" i="19"/>
  <c r="AH5" i="19"/>
  <c r="AG6" i="19"/>
  <c r="AH6" i="19"/>
  <c r="AG7" i="19"/>
  <c r="AH7" i="19"/>
  <c r="AH4" i="19"/>
  <c r="AG4" i="19"/>
  <c r="BU4" i="19"/>
  <c r="BQ4" i="19"/>
  <c r="BM6" i="19"/>
  <c r="BM4" i="19"/>
  <c r="BM3" i="19"/>
  <c r="BI6" i="19"/>
  <c r="BI4" i="19"/>
  <c r="BI3" i="19"/>
  <c r="BA6" i="19"/>
  <c r="BE6" i="19"/>
  <c r="BE4" i="19"/>
  <c r="BE3" i="19"/>
  <c r="BA3" i="19"/>
  <c r="BA4" i="19"/>
  <c r="BD16" i="19"/>
  <c r="BE16" i="19"/>
  <c r="BF16" i="19"/>
  <c r="BD17" i="19"/>
  <c r="BE17" i="19"/>
  <c r="BF17" i="19"/>
  <c r="BD18" i="19"/>
  <c r="BE18" i="19"/>
  <c r="BF18" i="19"/>
  <c r="BD19" i="19"/>
  <c r="BE19" i="19"/>
  <c r="BF19" i="19"/>
  <c r="BD20" i="19"/>
  <c r="BE20" i="19"/>
  <c r="BF20" i="19"/>
  <c r="BD21" i="19"/>
  <c r="BE21" i="19"/>
  <c r="BF21" i="19"/>
  <c r="BD22" i="19"/>
  <c r="BE22" i="19"/>
  <c r="BF22" i="19"/>
  <c r="BD23" i="19"/>
  <c r="BE23" i="19"/>
  <c r="BF23" i="19"/>
  <c r="BD24" i="19"/>
  <c r="BE24" i="19"/>
  <c r="BF24" i="19"/>
  <c r="BD25" i="19"/>
  <c r="BE25" i="19"/>
  <c r="BF25" i="19"/>
  <c r="BD26" i="19"/>
  <c r="BE26" i="19"/>
  <c r="BF26" i="19"/>
  <c r="BD27" i="19"/>
  <c r="BE27" i="19"/>
  <c r="BF27" i="19"/>
  <c r="BD28" i="19"/>
  <c r="BE28" i="19"/>
  <c r="BF28" i="19"/>
  <c r="BD29" i="19"/>
  <c r="BE29" i="19"/>
  <c r="BF29" i="19"/>
  <c r="BD30" i="19"/>
  <c r="BE30" i="19"/>
  <c r="BF30" i="19"/>
  <c r="BD31" i="19"/>
  <c r="BE31" i="19"/>
  <c r="BF31" i="19"/>
  <c r="BD32" i="19"/>
  <c r="BE32" i="19"/>
  <c r="BF32" i="19"/>
  <c r="BD33" i="19"/>
  <c r="BE33" i="19"/>
  <c r="BF33" i="19"/>
  <c r="BD34" i="19"/>
  <c r="BE34" i="19"/>
  <c r="BF34" i="19"/>
  <c r="BD35" i="19"/>
  <c r="BE35" i="19"/>
  <c r="BF35" i="19"/>
  <c r="BD36" i="19"/>
  <c r="BE36" i="19"/>
  <c r="BF36" i="19"/>
  <c r="BD37" i="19"/>
  <c r="BE37" i="19"/>
  <c r="BF37" i="19"/>
  <c r="BD38" i="19"/>
  <c r="BE38" i="19"/>
  <c r="BF38" i="19"/>
  <c r="BD39" i="19"/>
  <c r="BE39" i="19"/>
  <c r="BF39" i="19"/>
  <c r="BD40" i="19"/>
  <c r="BE40" i="19"/>
  <c r="BF40" i="19"/>
  <c r="BD41" i="19"/>
  <c r="BE41" i="19"/>
  <c r="BF41" i="19"/>
  <c r="BD42" i="19"/>
  <c r="BE42" i="19"/>
  <c r="BF42" i="19"/>
  <c r="BD43" i="19"/>
  <c r="BE43" i="19"/>
  <c r="BF43" i="19"/>
  <c r="BD44" i="19"/>
  <c r="BE44" i="19"/>
  <c r="BF44" i="19"/>
  <c r="BD45" i="19"/>
  <c r="BE45" i="19"/>
  <c r="BF45" i="19"/>
  <c r="BD46" i="19"/>
  <c r="BE46" i="19"/>
  <c r="BF46" i="19"/>
  <c r="BD47" i="19"/>
  <c r="BE47" i="19"/>
  <c r="BF47" i="19"/>
  <c r="BD48" i="19"/>
  <c r="BE48" i="19"/>
  <c r="BF48" i="19"/>
  <c r="BD49" i="19"/>
  <c r="BE49" i="19"/>
  <c r="BF49" i="19"/>
  <c r="BD50" i="19"/>
  <c r="BE50" i="19"/>
  <c r="BF50" i="19"/>
  <c r="BD51" i="19"/>
  <c r="BE51" i="19"/>
  <c r="BF51" i="19"/>
  <c r="BD52" i="19"/>
  <c r="BE52" i="19"/>
  <c r="BF52" i="19"/>
  <c r="BD53" i="19"/>
  <c r="BE53" i="19"/>
  <c r="BF53" i="19"/>
  <c r="BD54" i="19"/>
  <c r="BE54" i="19"/>
  <c r="BF54" i="19"/>
  <c r="BD55" i="19"/>
  <c r="BE55" i="19"/>
  <c r="BF55" i="19"/>
  <c r="BD56" i="19"/>
  <c r="BE56" i="19"/>
  <c r="BF56" i="19"/>
  <c r="BD57" i="19"/>
  <c r="BE57" i="19"/>
  <c r="BF57" i="19"/>
  <c r="BD58" i="19"/>
  <c r="BE58" i="19"/>
  <c r="BF58" i="19"/>
  <c r="BD59" i="19"/>
  <c r="BE59" i="19"/>
  <c r="BF59" i="19"/>
  <c r="BD60" i="19"/>
  <c r="BE60" i="19"/>
  <c r="BF60" i="19"/>
  <c r="BD61" i="19"/>
  <c r="BE61" i="19"/>
  <c r="BF61" i="19"/>
  <c r="BD62" i="19"/>
  <c r="BE62" i="19"/>
  <c r="BF62" i="19"/>
  <c r="BD63" i="19"/>
  <c r="BE63" i="19"/>
  <c r="BF63" i="19"/>
  <c r="BD64" i="19"/>
  <c r="BE64" i="19"/>
  <c r="BF64" i="19"/>
  <c r="BD65" i="19"/>
  <c r="BE65" i="19"/>
  <c r="BF65" i="19"/>
  <c r="BD66" i="19"/>
  <c r="BE66" i="19"/>
  <c r="BF66" i="19"/>
  <c r="BD67" i="19"/>
  <c r="BE67" i="19"/>
  <c r="BF67" i="19"/>
  <c r="BD68" i="19"/>
  <c r="BE68" i="19"/>
  <c r="BF68" i="19"/>
  <c r="BD69" i="19"/>
  <c r="BE69" i="19"/>
  <c r="BF69" i="19"/>
  <c r="BD70" i="19"/>
  <c r="BE70" i="19"/>
  <c r="BF70" i="19"/>
  <c r="BD71" i="19"/>
  <c r="BE71" i="19"/>
  <c r="BF71" i="19"/>
  <c r="BD72" i="19"/>
  <c r="BE72" i="19"/>
  <c r="BF72" i="19"/>
  <c r="BD73" i="19"/>
  <c r="BE73" i="19"/>
  <c r="BF73" i="19"/>
  <c r="BD74" i="19"/>
  <c r="BE74" i="19"/>
  <c r="BF74" i="19"/>
  <c r="BD75" i="19"/>
  <c r="BE75" i="19"/>
  <c r="BF75" i="19"/>
  <c r="BD76" i="19"/>
  <c r="BE76" i="19"/>
  <c r="BF76" i="19"/>
  <c r="BD77" i="19"/>
  <c r="BE77" i="19"/>
  <c r="BF77" i="19"/>
  <c r="BD78" i="19"/>
  <c r="BE78" i="19"/>
  <c r="BF78" i="19"/>
  <c r="BD79" i="19"/>
  <c r="BE79" i="19"/>
  <c r="BF79" i="19"/>
  <c r="BD80" i="19"/>
  <c r="BE80" i="19"/>
  <c r="BF80" i="19"/>
  <c r="BD81" i="19"/>
  <c r="BE81" i="19"/>
  <c r="BF81" i="19"/>
  <c r="BD82" i="19"/>
  <c r="BE82" i="19"/>
  <c r="BF82" i="19"/>
  <c r="BD83" i="19"/>
  <c r="BE83" i="19"/>
  <c r="BF83" i="19"/>
  <c r="BD84" i="19"/>
  <c r="BE84" i="19"/>
  <c r="BF84" i="19"/>
  <c r="BD85" i="19"/>
  <c r="BE85" i="19"/>
  <c r="BF85" i="19"/>
  <c r="BD86" i="19"/>
  <c r="BE86" i="19"/>
  <c r="BF86" i="19"/>
  <c r="BD87" i="19"/>
  <c r="BE87" i="19"/>
  <c r="BF87" i="19"/>
  <c r="BD88" i="19"/>
  <c r="BE88" i="19"/>
  <c r="BF88" i="19"/>
  <c r="BD89" i="19"/>
  <c r="BE89" i="19"/>
  <c r="BF89" i="19"/>
  <c r="BD90" i="19"/>
  <c r="BE90" i="19"/>
  <c r="BF90" i="19"/>
  <c r="BD91" i="19"/>
  <c r="BE91" i="19"/>
  <c r="BF91" i="19"/>
  <c r="BD92" i="19"/>
  <c r="BE92" i="19"/>
  <c r="BF92" i="19"/>
  <c r="BD93" i="19"/>
  <c r="BE93" i="19"/>
  <c r="BF93" i="19"/>
  <c r="BD94" i="19"/>
  <c r="BE94" i="19"/>
  <c r="BF94" i="19"/>
  <c r="BD95" i="19"/>
  <c r="BE95" i="19"/>
  <c r="BF95" i="19"/>
  <c r="BD96" i="19"/>
  <c r="BE96" i="19"/>
  <c r="BF96" i="19"/>
  <c r="BD97" i="19"/>
  <c r="BE97" i="19"/>
  <c r="BF97" i="19"/>
  <c r="BD98" i="19"/>
  <c r="BE98" i="19"/>
  <c r="BF98" i="19"/>
  <c r="BD99" i="19"/>
  <c r="BE99" i="19"/>
  <c r="BF99" i="19"/>
  <c r="BD100" i="19"/>
  <c r="BE100" i="19"/>
  <c r="BF100" i="19"/>
  <c r="BD101" i="19"/>
  <c r="BE101" i="19"/>
  <c r="BF101" i="19"/>
  <c r="BD102" i="19"/>
  <c r="BE102" i="19"/>
  <c r="BF102" i="19"/>
  <c r="BD103" i="19"/>
  <c r="BE103" i="19"/>
  <c r="BF103" i="19"/>
  <c r="BD104" i="19"/>
  <c r="BE104" i="19"/>
  <c r="BF104" i="19"/>
  <c r="BD105" i="19"/>
  <c r="BE105" i="19"/>
  <c r="BF105" i="19"/>
  <c r="BD106" i="19"/>
  <c r="BE106" i="19"/>
  <c r="BF106" i="19"/>
  <c r="BD107" i="19"/>
  <c r="BE107" i="19"/>
  <c r="BF107" i="19"/>
  <c r="BD108" i="19"/>
  <c r="BE108" i="19"/>
  <c r="BF108" i="19"/>
  <c r="BD109" i="19"/>
  <c r="BE109" i="19"/>
  <c r="BF109" i="19"/>
  <c r="BD110" i="19"/>
  <c r="BE110" i="19"/>
  <c r="BF110" i="19"/>
  <c r="BD111" i="19"/>
  <c r="BE111" i="19"/>
  <c r="BF111" i="19"/>
  <c r="BD112" i="19"/>
  <c r="BE112" i="19"/>
  <c r="BF112" i="19"/>
  <c r="BD113" i="19"/>
  <c r="BE113" i="19"/>
  <c r="BF113" i="19"/>
  <c r="BD114" i="19"/>
  <c r="BE114" i="19"/>
  <c r="BF114" i="19"/>
  <c r="BD115" i="19"/>
  <c r="BE115" i="19"/>
  <c r="BF115" i="19"/>
  <c r="BD116" i="19"/>
  <c r="BE116" i="19"/>
  <c r="BF116" i="19"/>
  <c r="BD117" i="19"/>
  <c r="BE117" i="19"/>
  <c r="BF117" i="19"/>
  <c r="BD118" i="19"/>
  <c r="BE118" i="19"/>
  <c r="BF118" i="19"/>
  <c r="BD119" i="19"/>
  <c r="BE119" i="19"/>
  <c r="BF119" i="19"/>
  <c r="BD120" i="19"/>
  <c r="BE120" i="19"/>
  <c r="BF120" i="19"/>
  <c r="BF15" i="19"/>
  <c r="BE15" i="19"/>
  <c r="BD15" i="19"/>
  <c r="D74" i="12"/>
  <c r="I114" i="12"/>
  <c r="I113" i="12"/>
  <c r="I88" i="12"/>
  <c r="I87" i="12"/>
  <c r="I110" i="12"/>
  <c r="I108" i="12"/>
  <c r="I84" i="12"/>
  <c r="I82" i="12"/>
  <c r="K103" i="12"/>
  <c r="I102" i="12"/>
  <c r="J102" i="12" s="1"/>
  <c r="I101" i="12"/>
  <c r="J101" i="12" s="1"/>
  <c r="K77" i="12"/>
  <c r="I76" i="12"/>
  <c r="AF7" i="19" s="1"/>
  <c r="AK7" i="19" s="1"/>
  <c r="I75" i="12"/>
  <c r="J75" i="12" s="1"/>
  <c r="I74" i="12"/>
  <c r="J74" i="12" s="1"/>
  <c r="I73" i="12"/>
  <c r="J73" i="12" s="1"/>
  <c r="K52" i="12"/>
  <c r="I51" i="12"/>
  <c r="J51" i="12" s="1"/>
  <c r="I50" i="12"/>
  <c r="J50" i="12" s="1"/>
  <c r="AV9" i="19"/>
  <c r="AV8" i="19"/>
  <c r="AV5" i="19"/>
  <c r="AV6" i="19"/>
  <c r="AV7" i="19"/>
  <c r="I115" i="12" l="1"/>
  <c r="I89" i="12"/>
  <c r="AF6" i="19"/>
  <c r="AK6" i="19" s="1"/>
  <c r="AE7" i="19"/>
  <c r="AJ7" i="19" s="1"/>
  <c r="AL7" i="19" s="1"/>
  <c r="AE6" i="19"/>
  <c r="AJ6" i="19" s="1"/>
  <c r="J76" i="12"/>
  <c r="J77" i="12" s="1"/>
  <c r="AF5" i="19"/>
  <c r="AK5" i="19" s="1"/>
  <c r="AF4" i="19"/>
  <c r="AK4" i="19" s="1"/>
  <c r="I77" i="12"/>
  <c r="PC121" i="25"/>
  <c r="OC121" i="25"/>
  <c r="AL6" i="19" l="1"/>
  <c r="AC13" i="19"/>
  <c r="AK9" i="19"/>
  <c r="F222" i="37" l="1"/>
  <c r="G222" i="37"/>
  <c r="H222" i="37"/>
  <c r="I222" i="37"/>
  <c r="F223" i="37"/>
  <c r="G223" i="37"/>
  <c r="H223" i="37"/>
  <c r="I223" i="37"/>
  <c r="F224" i="37"/>
  <c r="G224" i="37"/>
  <c r="H224" i="37"/>
  <c r="I224" i="37"/>
  <c r="F225" i="37"/>
  <c r="G225" i="37"/>
  <c r="H225" i="37"/>
  <c r="I225" i="37"/>
  <c r="F226" i="37"/>
  <c r="G226" i="37"/>
  <c r="H226" i="37"/>
  <c r="I226" i="37"/>
  <c r="F227" i="37"/>
  <c r="G227" i="37"/>
  <c r="H227" i="37"/>
  <c r="I227" i="37"/>
  <c r="F228" i="37"/>
  <c r="G228" i="37"/>
  <c r="H228" i="37"/>
  <c r="I228" i="37"/>
  <c r="F229" i="37"/>
  <c r="G229" i="37"/>
  <c r="H229" i="37"/>
  <c r="I229" i="37"/>
  <c r="F230" i="37"/>
  <c r="G230" i="37"/>
  <c r="H230" i="37"/>
  <c r="I230" i="37"/>
  <c r="F231" i="37"/>
  <c r="G231" i="37"/>
  <c r="H231" i="37"/>
  <c r="I231" i="37"/>
  <c r="F232" i="37"/>
  <c r="G232" i="37"/>
  <c r="H232" i="37"/>
  <c r="I232" i="37"/>
  <c r="F233" i="37"/>
  <c r="G233" i="37"/>
  <c r="H233" i="37"/>
  <c r="I233" i="37"/>
  <c r="F234" i="37"/>
  <c r="G234" i="37"/>
  <c r="H234" i="37"/>
  <c r="I234" i="37"/>
  <c r="F235" i="37"/>
  <c r="G235" i="37"/>
  <c r="H235" i="37"/>
  <c r="I235" i="37"/>
  <c r="F236" i="37"/>
  <c r="G236" i="37"/>
  <c r="H236" i="37"/>
  <c r="I236" i="37"/>
  <c r="F237" i="37"/>
  <c r="G237" i="37"/>
  <c r="H237" i="37"/>
  <c r="I237" i="37"/>
  <c r="F238" i="37"/>
  <c r="G238" i="37"/>
  <c r="H238" i="37"/>
  <c r="I238" i="37"/>
  <c r="F239" i="37"/>
  <c r="G239" i="37"/>
  <c r="H239" i="37"/>
  <c r="I239" i="37"/>
  <c r="F240" i="37"/>
  <c r="G240" i="37"/>
  <c r="H240" i="37"/>
  <c r="I240" i="37"/>
  <c r="F241" i="37"/>
  <c r="G241" i="37"/>
  <c r="H241" i="37"/>
  <c r="I241" i="37"/>
  <c r="F242" i="37"/>
  <c r="G242" i="37"/>
  <c r="H242" i="37"/>
  <c r="I242" i="37"/>
  <c r="F243" i="37"/>
  <c r="G243" i="37"/>
  <c r="H243" i="37"/>
  <c r="I243" i="37"/>
  <c r="F244" i="37"/>
  <c r="G244" i="37"/>
  <c r="H244" i="37"/>
  <c r="I244" i="37"/>
  <c r="F245" i="37"/>
  <c r="G245" i="37"/>
  <c r="H245" i="37"/>
  <c r="I245" i="37"/>
  <c r="F246" i="37"/>
  <c r="G246" i="37"/>
  <c r="H246" i="37"/>
  <c r="I246" i="37"/>
  <c r="F247" i="37"/>
  <c r="G247" i="37"/>
  <c r="H247" i="37"/>
  <c r="I247" i="37"/>
  <c r="F248" i="37"/>
  <c r="G248" i="37"/>
  <c r="H248" i="37"/>
  <c r="I248" i="37"/>
  <c r="F249" i="37"/>
  <c r="G249" i="37"/>
  <c r="H249" i="37"/>
  <c r="I249" i="37"/>
  <c r="F250" i="37"/>
  <c r="G250" i="37"/>
  <c r="H250" i="37"/>
  <c r="I250" i="37"/>
  <c r="F251" i="37"/>
  <c r="G251" i="37"/>
  <c r="H251" i="37"/>
  <c r="I251" i="37"/>
  <c r="F252" i="37"/>
  <c r="G252" i="37"/>
  <c r="H252" i="37"/>
  <c r="I252" i="37"/>
  <c r="F253" i="37"/>
  <c r="G253" i="37"/>
  <c r="H253" i="37"/>
  <c r="I253" i="37"/>
  <c r="F254" i="37"/>
  <c r="G254" i="37"/>
  <c r="H254" i="37"/>
  <c r="I254" i="37"/>
  <c r="F255" i="37"/>
  <c r="G255" i="37"/>
  <c r="H255" i="37"/>
  <c r="I255" i="37"/>
  <c r="F256" i="37"/>
  <c r="G256" i="37"/>
  <c r="H256" i="37"/>
  <c r="I256" i="37"/>
  <c r="F257" i="37"/>
  <c r="G257" i="37"/>
  <c r="H257" i="37"/>
  <c r="I257" i="37"/>
  <c r="F258" i="37"/>
  <c r="G258" i="37"/>
  <c r="H258" i="37"/>
  <c r="I258" i="37"/>
  <c r="F259" i="37"/>
  <c r="G259" i="37"/>
  <c r="H259" i="37"/>
  <c r="I259" i="37"/>
  <c r="F260" i="37"/>
  <c r="G260" i="37"/>
  <c r="H260" i="37"/>
  <c r="I260" i="37"/>
  <c r="F261" i="37"/>
  <c r="G261" i="37"/>
  <c r="H261" i="37"/>
  <c r="I261" i="37"/>
  <c r="F262" i="37"/>
  <c r="G262" i="37"/>
  <c r="H262" i="37"/>
  <c r="I262" i="37"/>
  <c r="F263" i="37"/>
  <c r="G263" i="37"/>
  <c r="H263" i="37"/>
  <c r="I263" i="37"/>
  <c r="F264" i="37"/>
  <c r="G264" i="37"/>
  <c r="H264" i="37"/>
  <c r="I264" i="37"/>
  <c r="I221" i="37"/>
  <c r="H221" i="37"/>
  <c r="G221" i="37"/>
  <c r="F221" i="37"/>
  <c r="F197" i="37"/>
  <c r="G197" i="37"/>
  <c r="H197" i="37"/>
  <c r="I197" i="37"/>
  <c r="F198" i="37"/>
  <c r="G198" i="37"/>
  <c r="H198" i="37"/>
  <c r="I198" i="37"/>
  <c r="F199" i="37"/>
  <c r="G199" i="37"/>
  <c r="H199" i="37"/>
  <c r="I199" i="37"/>
  <c r="F200" i="37"/>
  <c r="G200" i="37"/>
  <c r="H200" i="37"/>
  <c r="I200" i="37"/>
  <c r="F201" i="37"/>
  <c r="G201" i="37"/>
  <c r="H201" i="37"/>
  <c r="I201" i="37"/>
  <c r="F202" i="37"/>
  <c r="G202" i="37"/>
  <c r="H202" i="37"/>
  <c r="I202" i="37"/>
  <c r="F203" i="37"/>
  <c r="G203" i="37"/>
  <c r="H203" i="37"/>
  <c r="I203" i="37"/>
  <c r="F204" i="37"/>
  <c r="G204" i="37"/>
  <c r="H204" i="37"/>
  <c r="I204" i="37"/>
  <c r="F205" i="37"/>
  <c r="G205" i="37"/>
  <c r="H205" i="37"/>
  <c r="I205" i="37"/>
  <c r="F206" i="37"/>
  <c r="G206" i="37"/>
  <c r="H206" i="37"/>
  <c r="I206" i="37"/>
  <c r="F207" i="37"/>
  <c r="G207" i="37"/>
  <c r="H207" i="37"/>
  <c r="I207" i="37"/>
  <c r="F208" i="37"/>
  <c r="G208" i="37"/>
  <c r="H208" i="37"/>
  <c r="I208" i="37"/>
  <c r="F209" i="37"/>
  <c r="G209" i="37"/>
  <c r="H209" i="37"/>
  <c r="I209" i="37"/>
  <c r="F210" i="37"/>
  <c r="G210" i="37"/>
  <c r="H210" i="37"/>
  <c r="I210" i="37"/>
  <c r="F211" i="37"/>
  <c r="G211" i="37"/>
  <c r="H211" i="37"/>
  <c r="I211" i="37"/>
  <c r="F212" i="37"/>
  <c r="G212" i="37"/>
  <c r="H212" i="37"/>
  <c r="I212" i="37"/>
  <c r="F213" i="37"/>
  <c r="G213" i="37"/>
  <c r="H213" i="37"/>
  <c r="I213" i="37"/>
  <c r="F214" i="37"/>
  <c r="G214" i="37"/>
  <c r="H214" i="37"/>
  <c r="I214" i="37"/>
  <c r="F215" i="37"/>
  <c r="G215" i="37"/>
  <c r="H215" i="37"/>
  <c r="I215" i="37"/>
  <c r="F216" i="37"/>
  <c r="G216" i="37"/>
  <c r="H216" i="37"/>
  <c r="I216" i="37"/>
  <c r="F217" i="37"/>
  <c r="G217" i="37"/>
  <c r="H217" i="37"/>
  <c r="I217" i="37"/>
  <c r="F218" i="37"/>
  <c r="G218" i="37"/>
  <c r="H218" i="37"/>
  <c r="I218" i="37"/>
  <c r="I185" i="37"/>
  <c r="H185" i="37"/>
  <c r="G185" i="37"/>
  <c r="F185" i="37"/>
  <c r="E79" i="37"/>
  <c r="E80" i="37"/>
  <c r="E81" i="37"/>
  <c r="E82" i="37"/>
  <c r="D79" i="37"/>
  <c r="D80" i="37"/>
  <c r="D81" i="37"/>
  <c r="D42" i="37"/>
  <c r="D43" i="37"/>
  <c r="D44" i="37"/>
  <c r="E42" i="37"/>
  <c r="E20" i="37"/>
  <c r="J222" i="37"/>
  <c r="K222" i="37"/>
  <c r="J223" i="37"/>
  <c r="K223" i="37"/>
  <c r="J224" i="37"/>
  <c r="K224" i="37"/>
  <c r="J225" i="37"/>
  <c r="K225" i="37"/>
  <c r="J226" i="37"/>
  <c r="K226" i="37"/>
  <c r="J227" i="37"/>
  <c r="K227" i="37"/>
  <c r="J228" i="37"/>
  <c r="K228" i="37"/>
  <c r="J229" i="37"/>
  <c r="K229" i="37"/>
  <c r="J230" i="37"/>
  <c r="K230" i="37"/>
  <c r="J231" i="37"/>
  <c r="K231" i="37"/>
  <c r="J232" i="37"/>
  <c r="K232" i="37"/>
  <c r="J233" i="37"/>
  <c r="K233" i="37"/>
  <c r="J234" i="37"/>
  <c r="K234" i="37"/>
  <c r="J235" i="37"/>
  <c r="K235" i="37"/>
  <c r="J236" i="37"/>
  <c r="K236" i="37"/>
  <c r="J237" i="37"/>
  <c r="K237" i="37"/>
  <c r="J238" i="37"/>
  <c r="K238" i="37"/>
  <c r="J239" i="37"/>
  <c r="K239" i="37"/>
  <c r="J240" i="37"/>
  <c r="K240" i="37"/>
  <c r="J241" i="37"/>
  <c r="K241" i="37"/>
  <c r="J242" i="37"/>
  <c r="K242" i="37"/>
  <c r="J243" i="37"/>
  <c r="K243" i="37"/>
  <c r="J244" i="37"/>
  <c r="K244" i="37"/>
  <c r="J245" i="37"/>
  <c r="K245" i="37"/>
  <c r="J246" i="37"/>
  <c r="K246" i="37"/>
  <c r="J247" i="37"/>
  <c r="K247" i="37"/>
  <c r="J248" i="37"/>
  <c r="K248" i="37"/>
  <c r="J249" i="37"/>
  <c r="K249" i="37"/>
  <c r="J250" i="37"/>
  <c r="K250" i="37"/>
  <c r="J251" i="37"/>
  <c r="K251" i="37"/>
  <c r="J252" i="37"/>
  <c r="K252" i="37"/>
  <c r="J253" i="37"/>
  <c r="K253" i="37"/>
  <c r="J254" i="37"/>
  <c r="K254" i="37"/>
  <c r="J255" i="37"/>
  <c r="K255" i="37"/>
  <c r="J256" i="37"/>
  <c r="K256" i="37"/>
  <c r="J257" i="37"/>
  <c r="K257" i="37"/>
  <c r="J258" i="37"/>
  <c r="K258" i="37"/>
  <c r="J259" i="37"/>
  <c r="K259" i="37"/>
  <c r="J260" i="37"/>
  <c r="K260" i="37"/>
  <c r="J261" i="37"/>
  <c r="K261" i="37"/>
  <c r="J262" i="37"/>
  <c r="K262" i="37"/>
  <c r="J263" i="37"/>
  <c r="K263" i="37"/>
  <c r="J264" i="37"/>
  <c r="K264" i="37"/>
  <c r="K221" i="37"/>
  <c r="J22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197" i="37"/>
  <c r="K198" i="37"/>
  <c r="K199" i="37"/>
  <c r="K200" i="37"/>
  <c r="K201" i="37"/>
  <c r="K185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185" i="37"/>
  <c r="J71" i="37"/>
  <c r="K71" i="37"/>
  <c r="J72" i="37"/>
  <c r="K72" i="37"/>
  <c r="J73" i="37"/>
  <c r="K73" i="37"/>
  <c r="J74" i="37"/>
  <c r="K74" i="37"/>
  <c r="J75" i="37"/>
  <c r="K75" i="37"/>
  <c r="J76" i="37"/>
  <c r="K76" i="37"/>
  <c r="J77" i="37"/>
  <c r="K77" i="37"/>
  <c r="J78" i="37"/>
  <c r="K78" i="37"/>
  <c r="J79" i="37"/>
  <c r="K79" i="37"/>
  <c r="J80" i="37"/>
  <c r="K80" i="37"/>
  <c r="J81" i="37"/>
  <c r="K81" i="37"/>
  <c r="J82" i="37"/>
  <c r="K82" i="37"/>
  <c r="J83" i="37"/>
  <c r="K83" i="37"/>
  <c r="J84" i="37"/>
  <c r="K84" i="37"/>
  <c r="J85" i="37"/>
  <c r="K85" i="37"/>
  <c r="J86" i="37"/>
  <c r="K86" i="37"/>
  <c r="J87" i="37"/>
  <c r="K87" i="37"/>
  <c r="J88" i="37"/>
  <c r="K88" i="37"/>
  <c r="J89" i="37"/>
  <c r="K89" i="37"/>
  <c r="J90" i="37"/>
  <c r="K90" i="37"/>
  <c r="J91" i="37"/>
  <c r="K91" i="37"/>
  <c r="J92" i="37"/>
  <c r="K92" i="37"/>
  <c r="J93" i="37"/>
  <c r="K93" i="37"/>
  <c r="J94" i="37"/>
  <c r="K94" i="37"/>
  <c r="J95" i="37"/>
  <c r="K95" i="37"/>
  <c r="J96" i="37"/>
  <c r="K96" i="37"/>
  <c r="J97" i="37"/>
  <c r="K97" i="37"/>
  <c r="J98" i="37"/>
  <c r="K98" i="37"/>
  <c r="J99" i="37"/>
  <c r="K99" i="37"/>
  <c r="J100" i="37"/>
  <c r="K100" i="37"/>
  <c r="J101" i="37"/>
  <c r="K101" i="37"/>
  <c r="J102" i="37"/>
  <c r="K102" i="37"/>
  <c r="J103" i="37"/>
  <c r="K103" i="37"/>
  <c r="J104" i="37"/>
  <c r="K104" i="37"/>
  <c r="J105" i="37"/>
  <c r="K105" i="37"/>
  <c r="J106" i="37"/>
  <c r="K106" i="37"/>
  <c r="J107" i="37"/>
  <c r="K107" i="37"/>
  <c r="J108" i="37"/>
  <c r="K108" i="37"/>
  <c r="J109" i="37"/>
  <c r="K109" i="37"/>
  <c r="J110" i="37"/>
  <c r="K110" i="37"/>
  <c r="J111" i="37"/>
  <c r="K111" i="37"/>
  <c r="J112" i="37"/>
  <c r="K112" i="37"/>
  <c r="J113" i="37"/>
  <c r="K113" i="37"/>
  <c r="J114" i="37"/>
  <c r="K114" i="37"/>
  <c r="J115" i="37"/>
  <c r="K115" i="37"/>
  <c r="J116" i="37"/>
  <c r="K116" i="37"/>
  <c r="J117" i="37"/>
  <c r="K117" i="37"/>
  <c r="J118" i="37"/>
  <c r="K118" i="37"/>
  <c r="J119" i="37"/>
  <c r="K119" i="37"/>
  <c r="J120" i="37"/>
  <c r="K120" i="37"/>
  <c r="J121" i="37"/>
  <c r="K121" i="37"/>
  <c r="J122" i="37"/>
  <c r="K122" i="37"/>
  <c r="J123" i="37"/>
  <c r="K123" i="37"/>
  <c r="J124" i="37"/>
  <c r="K124" i="37"/>
  <c r="J125" i="37"/>
  <c r="K125" i="37"/>
  <c r="J126" i="37"/>
  <c r="K126" i="37"/>
  <c r="J127" i="37"/>
  <c r="K127" i="37"/>
  <c r="J128" i="37"/>
  <c r="K128" i="37"/>
  <c r="J129" i="37"/>
  <c r="K129" i="37"/>
  <c r="J130" i="37"/>
  <c r="K130" i="37"/>
  <c r="J131" i="37"/>
  <c r="K131" i="37"/>
  <c r="J132" i="37"/>
  <c r="K132" i="37"/>
  <c r="J133" i="37"/>
  <c r="K133" i="37"/>
  <c r="J134" i="37"/>
  <c r="K134" i="37"/>
  <c r="J135" i="37"/>
  <c r="K135" i="37"/>
  <c r="J136" i="37"/>
  <c r="K136" i="37"/>
  <c r="J137" i="37"/>
  <c r="K137" i="37"/>
  <c r="J138" i="37"/>
  <c r="K138" i="37"/>
  <c r="J139" i="37"/>
  <c r="K139" i="37"/>
  <c r="J140" i="37"/>
  <c r="K140" i="37"/>
  <c r="J141" i="37"/>
  <c r="K141" i="37"/>
  <c r="J142" i="37"/>
  <c r="K142" i="37"/>
  <c r="J143" i="37"/>
  <c r="K143" i="37"/>
  <c r="J144" i="37"/>
  <c r="K144" i="37"/>
  <c r="J145" i="37"/>
  <c r="K145" i="37"/>
  <c r="J146" i="37"/>
  <c r="K146" i="37"/>
  <c r="J147" i="37"/>
  <c r="K147" i="37"/>
  <c r="J148" i="37"/>
  <c r="K148" i="37"/>
  <c r="J149" i="37"/>
  <c r="K149" i="37"/>
  <c r="J150" i="37"/>
  <c r="K150" i="37"/>
  <c r="J151" i="37"/>
  <c r="K151" i="37"/>
  <c r="J152" i="37"/>
  <c r="K152" i="37"/>
  <c r="J153" i="37"/>
  <c r="K153" i="37"/>
  <c r="J154" i="37"/>
  <c r="K154" i="37"/>
  <c r="J155" i="37"/>
  <c r="K155" i="37"/>
  <c r="J156" i="37"/>
  <c r="K156" i="37"/>
  <c r="J157" i="37"/>
  <c r="K157" i="37"/>
  <c r="J158" i="37"/>
  <c r="K158" i="37"/>
  <c r="J159" i="37"/>
  <c r="K159" i="37"/>
  <c r="J160" i="37"/>
  <c r="K160" i="37"/>
  <c r="J161" i="37"/>
  <c r="K161" i="37"/>
  <c r="J162" i="37"/>
  <c r="K162" i="37"/>
  <c r="J163" i="37"/>
  <c r="K163" i="37"/>
  <c r="J164" i="37"/>
  <c r="K164" i="37"/>
  <c r="J165" i="37"/>
  <c r="K165" i="37"/>
  <c r="J166" i="37"/>
  <c r="K166" i="37"/>
  <c r="J167" i="37"/>
  <c r="K167" i="37"/>
  <c r="J168" i="37"/>
  <c r="K168" i="37"/>
  <c r="J169" i="37"/>
  <c r="K169" i="37"/>
  <c r="J170" i="37"/>
  <c r="K170" i="37"/>
  <c r="J171" i="37"/>
  <c r="K171" i="37"/>
  <c r="J172" i="37"/>
  <c r="K172" i="37"/>
  <c r="J173" i="37"/>
  <c r="K173" i="37"/>
  <c r="J174" i="37"/>
  <c r="K174" i="37"/>
  <c r="J175" i="37"/>
  <c r="K175" i="37"/>
  <c r="J176" i="37"/>
  <c r="K176" i="37"/>
  <c r="J177" i="37"/>
  <c r="K177" i="37"/>
  <c r="J178" i="37"/>
  <c r="K178" i="37"/>
  <c r="J179" i="37"/>
  <c r="K179" i="37"/>
  <c r="J180" i="37"/>
  <c r="K180" i="37"/>
  <c r="J181" i="37"/>
  <c r="K181" i="37"/>
  <c r="J182" i="37"/>
  <c r="K182" i="37"/>
  <c r="K70" i="37"/>
  <c r="J70" i="37"/>
  <c r="J18" i="37"/>
  <c r="K18" i="37"/>
  <c r="J19" i="37"/>
  <c r="K19" i="37"/>
  <c r="J20" i="37"/>
  <c r="K20" i="37"/>
  <c r="J21" i="37"/>
  <c r="K21" i="37"/>
  <c r="J22" i="37"/>
  <c r="K22" i="37"/>
  <c r="J23" i="37"/>
  <c r="K23" i="37"/>
  <c r="J24" i="37"/>
  <c r="K24" i="37"/>
  <c r="J25" i="37"/>
  <c r="K25" i="37"/>
  <c r="J6" i="37"/>
  <c r="K6" i="37"/>
  <c r="J26" i="37"/>
  <c r="K26" i="37"/>
  <c r="J7" i="37"/>
  <c r="K7" i="37"/>
  <c r="J8" i="37"/>
  <c r="K8" i="37"/>
  <c r="J9" i="37"/>
  <c r="K9" i="37"/>
  <c r="J10" i="37"/>
  <c r="K10" i="37"/>
  <c r="J11" i="37"/>
  <c r="K11" i="37"/>
  <c r="J27" i="37"/>
  <c r="K27" i="37"/>
  <c r="J28" i="37"/>
  <c r="K28" i="37"/>
  <c r="J29" i="37"/>
  <c r="K29" i="37"/>
  <c r="J30" i="37"/>
  <c r="K30" i="37"/>
  <c r="J31" i="37"/>
  <c r="K31" i="37"/>
  <c r="J32" i="37"/>
  <c r="K32" i="37"/>
  <c r="J33" i="37"/>
  <c r="K33" i="37"/>
  <c r="J34" i="37"/>
  <c r="K34" i="37"/>
  <c r="J35" i="37"/>
  <c r="K35" i="37"/>
  <c r="J36" i="37"/>
  <c r="K36" i="37"/>
  <c r="J37" i="37"/>
  <c r="K37" i="37"/>
  <c r="J38" i="37"/>
  <c r="K38" i="37"/>
  <c r="J39" i="37"/>
  <c r="K39" i="37"/>
  <c r="J40" i="37"/>
  <c r="K40" i="37"/>
  <c r="J41" i="37"/>
  <c r="K41" i="37"/>
  <c r="J42" i="37"/>
  <c r="K42" i="37"/>
  <c r="J43" i="37"/>
  <c r="K43" i="37"/>
  <c r="J44" i="37"/>
  <c r="K44" i="37"/>
  <c r="J45" i="37"/>
  <c r="K45" i="37"/>
  <c r="J46" i="37"/>
  <c r="K46" i="37"/>
  <c r="J47" i="37"/>
  <c r="K47" i="37"/>
  <c r="J48" i="37"/>
  <c r="K48" i="37"/>
  <c r="J49" i="37"/>
  <c r="K49" i="37"/>
  <c r="J50" i="37"/>
  <c r="K50" i="37"/>
  <c r="J51" i="37"/>
  <c r="K51" i="37"/>
  <c r="J52" i="37"/>
  <c r="K52" i="37"/>
  <c r="J53" i="37"/>
  <c r="K53" i="37"/>
  <c r="J54" i="37"/>
  <c r="K54" i="37"/>
  <c r="J55" i="37"/>
  <c r="K55" i="37"/>
  <c r="J56" i="37"/>
  <c r="K56" i="37"/>
  <c r="J57" i="37"/>
  <c r="K57" i="37"/>
  <c r="J58" i="37"/>
  <c r="K58" i="37"/>
  <c r="J59" i="37"/>
  <c r="K59" i="37"/>
  <c r="J60" i="37"/>
  <c r="K60" i="37"/>
  <c r="J61" i="37"/>
  <c r="K61" i="37"/>
  <c r="J62" i="37"/>
  <c r="K62" i="37"/>
  <c r="J63" i="37"/>
  <c r="K63" i="37"/>
  <c r="J64" i="37"/>
  <c r="K64" i="37"/>
  <c r="J65" i="37"/>
  <c r="K65" i="37"/>
  <c r="J66" i="37"/>
  <c r="K66" i="37"/>
  <c r="J67" i="37"/>
  <c r="K67" i="37"/>
  <c r="K5" i="37"/>
  <c r="J5" i="37"/>
  <c r="I5" i="37"/>
  <c r="H71" i="37"/>
  <c r="I71" i="37"/>
  <c r="H72" i="37"/>
  <c r="I72" i="37"/>
  <c r="H73" i="37"/>
  <c r="I73" i="37"/>
  <c r="H74" i="37"/>
  <c r="I74" i="37"/>
  <c r="H75" i="37"/>
  <c r="I75" i="37"/>
  <c r="H76" i="37"/>
  <c r="I76" i="37"/>
  <c r="H77" i="37"/>
  <c r="I77" i="37"/>
  <c r="H78" i="37"/>
  <c r="I78" i="37"/>
  <c r="H79" i="37"/>
  <c r="I79" i="37"/>
  <c r="H80" i="37"/>
  <c r="I80" i="37"/>
  <c r="H81" i="37"/>
  <c r="I81" i="37"/>
  <c r="H82" i="37"/>
  <c r="I82" i="37"/>
  <c r="H83" i="37"/>
  <c r="I83" i="37"/>
  <c r="H84" i="37"/>
  <c r="I84" i="37"/>
  <c r="H85" i="37"/>
  <c r="I85" i="37"/>
  <c r="H86" i="37"/>
  <c r="I86" i="37"/>
  <c r="H87" i="37"/>
  <c r="I87" i="37"/>
  <c r="H88" i="37"/>
  <c r="I88" i="37"/>
  <c r="H89" i="37"/>
  <c r="I89" i="37"/>
  <c r="H90" i="37"/>
  <c r="I90" i="37"/>
  <c r="H91" i="37"/>
  <c r="I91" i="37"/>
  <c r="H92" i="37"/>
  <c r="I92" i="37"/>
  <c r="H93" i="37"/>
  <c r="I93" i="37"/>
  <c r="H94" i="37"/>
  <c r="I94" i="37"/>
  <c r="H95" i="37"/>
  <c r="I95" i="37"/>
  <c r="H96" i="37"/>
  <c r="I96" i="37"/>
  <c r="H97" i="37"/>
  <c r="I97" i="37"/>
  <c r="H98" i="37"/>
  <c r="I98" i="37"/>
  <c r="H99" i="37"/>
  <c r="I99" i="37"/>
  <c r="H100" i="37"/>
  <c r="I100" i="37"/>
  <c r="H101" i="37"/>
  <c r="I101" i="37"/>
  <c r="H102" i="37"/>
  <c r="I102" i="37"/>
  <c r="H103" i="37"/>
  <c r="I103" i="37"/>
  <c r="H104" i="37"/>
  <c r="I104" i="37"/>
  <c r="H105" i="37"/>
  <c r="I105" i="37"/>
  <c r="H106" i="37"/>
  <c r="I106" i="37"/>
  <c r="H107" i="37"/>
  <c r="I107" i="37"/>
  <c r="H108" i="37"/>
  <c r="I108" i="37"/>
  <c r="H109" i="37"/>
  <c r="I109" i="37"/>
  <c r="H110" i="37"/>
  <c r="I110" i="37"/>
  <c r="H111" i="37"/>
  <c r="I111" i="37"/>
  <c r="H112" i="37"/>
  <c r="I112" i="37"/>
  <c r="H113" i="37"/>
  <c r="I113" i="37"/>
  <c r="H114" i="37"/>
  <c r="I114" i="37"/>
  <c r="H115" i="37"/>
  <c r="I115" i="37"/>
  <c r="H116" i="37"/>
  <c r="I116" i="37"/>
  <c r="H117" i="37"/>
  <c r="I117" i="37"/>
  <c r="H118" i="37"/>
  <c r="I118" i="37"/>
  <c r="H119" i="37"/>
  <c r="I119" i="37"/>
  <c r="H120" i="37"/>
  <c r="I120" i="37"/>
  <c r="H121" i="37"/>
  <c r="I121" i="37"/>
  <c r="H122" i="37"/>
  <c r="I122" i="37"/>
  <c r="H123" i="37"/>
  <c r="I123" i="37"/>
  <c r="H124" i="37"/>
  <c r="I124" i="37"/>
  <c r="H125" i="37"/>
  <c r="I125" i="37"/>
  <c r="H126" i="37"/>
  <c r="I126" i="37"/>
  <c r="H127" i="37"/>
  <c r="I127" i="37"/>
  <c r="H128" i="37"/>
  <c r="I128" i="37"/>
  <c r="H129" i="37"/>
  <c r="I129" i="37"/>
  <c r="H130" i="37"/>
  <c r="I130" i="37"/>
  <c r="H131" i="37"/>
  <c r="I131" i="37"/>
  <c r="H132" i="37"/>
  <c r="I132" i="37"/>
  <c r="H133" i="37"/>
  <c r="I133" i="37"/>
  <c r="H134" i="37"/>
  <c r="I134" i="37"/>
  <c r="H135" i="37"/>
  <c r="I135" i="37"/>
  <c r="H136" i="37"/>
  <c r="I136" i="37"/>
  <c r="H137" i="37"/>
  <c r="I137" i="37"/>
  <c r="H138" i="37"/>
  <c r="I138" i="37"/>
  <c r="H139" i="37"/>
  <c r="I139" i="37"/>
  <c r="H140" i="37"/>
  <c r="I140" i="37"/>
  <c r="H141" i="37"/>
  <c r="I141" i="37"/>
  <c r="H142" i="37"/>
  <c r="I142" i="37"/>
  <c r="H143" i="37"/>
  <c r="I143" i="37"/>
  <c r="H144" i="37"/>
  <c r="I144" i="37"/>
  <c r="H145" i="37"/>
  <c r="I145" i="37"/>
  <c r="H146" i="37"/>
  <c r="I146" i="37"/>
  <c r="H147" i="37"/>
  <c r="I147" i="37"/>
  <c r="H148" i="37"/>
  <c r="I148" i="37"/>
  <c r="H149" i="37"/>
  <c r="I149" i="37"/>
  <c r="H150" i="37"/>
  <c r="I150" i="37"/>
  <c r="H151" i="37"/>
  <c r="I151" i="37"/>
  <c r="H152" i="37"/>
  <c r="I152" i="37"/>
  <c r="H153" i="37"/>
  <c r="I153" i="37"/>
  <c r="H154" i="37"/>
  <c r="I154" i="37"/>
  <c r="H155" i="37"/>
  <c r="I155" i="37"/>
  <c r="H156" i="37"/>
  <c r="I156" i="37"/>
  <c r="H157" i="37"/>
  <c r="I157" i="37"/>
  <c r="H158" i="37"/>
  <c r="I158" i="37"/>
  <c r="H159" i="37"/>
  <c r="I159" i="37"/>
  <c r="H160" i="37"/>
  <c r="I160" i="37"/>
  <c r="H161" i="37"/>
  <c r="I161" i="37"/>
  <c r="H162" i="37"/>
  <c r="I162" i="37"/>
  <c r="H163" i="37"/>
  <c r="I163" i="37"/>
  <c r="H164" i="37"/>
  <c r="I164" i="37"/>
  <c r="H165" i="37"/>
  <c r="I165" i="37"/>
  <c r="H166" i="37"/>
  <c r="I166" i="37"/>
  <c r="H167" i="37"/>
  <c r="I167" i="37"/>
  <c r="H168" i="37"/>
  <c r="I168" i="37"/>
  <c r="H169" i="37"/>
  <c r="I169" i="37"/>
  <c r="H170" i="37"/>
  <c r="I170" i="37"/>
  <c r="H171" i="37"/>
  <c r="I171" i="37"/>
  <c r="H172" i="37"/>
  <c r="I172" i="37"/>
  <c r="H173" i="37"/>
  <c r="I173" i="37"/>
  <c r="H174" i="37"/>
  <c r="I174" i="37"/>
  <c r="H175" i="37"/>
  <c r="I175" i="37"/>
  <c r="H176" i="37"/>
  <c r="I176" i="37"/>
  <c r="H177" i="37"/>
  <c r="I177" i="37"/>
  <c r="H178" i="37"/>
  <c r="I178" i="37"/>
  <c r="H179" i="37"/>
  <c r="I179" i="37"/>
  <c r="H180" i="37"/>
  <c r="I180" i="37"/>
  <c r="H181" i="37"/>
  <c r="I181" i="37"/>
  <c r="H182" i="37"/>
  <c r="I182" i="37"/>
  <c r="I70" i="37"/>
  <c r="H70" i="37"/>
  <c r="I18" i="37"/>
  <c r="I19" i="37"/>
  <c r="I20" i="37"/>
  <c r="I21" i="37"/>
  <c r="I22" i="37"/>
  <c r="I23" i="37"/>
  <c r="I24" i="37"/>
  <c r="I25" i="37"/>
  <c r="I6" i="37"/>
  <c r="I26" i="37"/>
  <c r="I7" i="37"/>
  <c r="I8" i="37"/>
  <c r="I9" i="37"/>
  <c r="I10" i="37"/>
  <c r="I11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H5" i="37"/>
  <c r="H18" i="37"/>
  <c r="H19" i="37"/>
  <c r="H20" i="37"/>
  <c r="H21" i="37"/>
  <c r="H22" i="37"/>
  <c r="H23" i="37"/>
  <c r="H24" i="37"/>
  <c r="H25" i="37"/>
  <c r="H6" i="37"/>
  <c r="H26" i="37"/>
  <c r="H7" i="37"/>
  <c r="H8" i="37"/>
  <c r="H9" i="37"/>
  <c r="H10" i="37"/>
  <c r="H11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G5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70" i="37"/>
  <c r="G18" i="37"/>
  <c r="G19" i="37"/>
  <c r="G20" i="37"/>
  <c r="G21" i="37"/>
  <c r="G22" i="37"/>
  <c r="G23" i="37"/>
  <c r="G24" i="37"/>
  <c r="G25" i="37"/>
  <c r="G6" i="37"/>
  <c r="G26" i="37"/>
  <c r="G7" i="37"/>
  <c r="G8" i="37"/>
  <c r="G9" i="37"/>
  <c r="G10" i="37"/>
  <c r="G11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F5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70" i="37"/>
  <c r="F19" i="37"/>
  <c r="F20" i="37"/>
  <c r="F21" i="37"/>
  <c r="F22" i="37"/>
  <c r="F23" i="37"/>
  <c r="F24" i="37"/>
  <c r="F25" i="37"/>
  <c r="F6" i="37"/>
  <c r="F26" i="37"/>
  <c r="F7" i="37"/>
  <c r="F8" i="37"/>
  <c r="F9" i="37"/>
  <c r="F10" i="37"/>
  <c r="F11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18" i="37"/>
  <c r="E18" i="37"/>
  <c r="I57" i="12" l="1"/>
  <c r="AT6" i="19" s="1"/>
  <c r="BJ2" i="19" s="1"/>
  <c r="BJ6" i="19" s="1"/>
  <c r="I109" i="12"/>
  <c r="I83" i="12"/>
  <c r="D100" i="12"/>
  <c r="I99" i="12"/>
  <c r="I48" i="12"/>
  <c r="D99" i="12"/>
  <c r="E69" i="22" s="1"/>
  <c r="I55" i="12"/>
  <c r="AT4" i="19" s="1"/>
  <c r="BB2" i="19" s="1"/>
  <c r="I107" i="12"/>
  <c r="D55" i="12"/>
  <c r="D81" i="12"/>
  <c r="D107" i="12"/>
  <c r="I81" i="12"/>
  <c r="D49" i="12"/>
  <c r="I58" i="12"/>
  <c r="AT7" i="19" s="1"/>
  <c r="BN2" i="19" s="1"/>
  <c r="BN6" i="19" s="1"/>
  <c r="I61" i="12"/>
  <c r="AT8" i="19" s="1"/>
  <c r="I56" i="12"/>
  <c r="AT5" i="19" s="1"/>
  <c r="BF2" i="19" s="1"/>
  <c r="BF6" i="19" s="1"/>
  <c r="I49" i="12"/>
  <c r="I100" i="12"/>
  <c r="J100" i="12" s="1"/>
  <c r="E222" i="37"/>
  <c r="E223" i="37"/>
  <c r="E224" i="37"/>
  <c r="E225" i="37"/>
  <c r="E226" i="37"/>
  <c r="E227" i="37"/>
  <c r="E228" i="37"/>
  <c r="E221" i="37"/>
  <c r="E261" i="37"/>
  <c r="E262" i="37"/>
  <c r="E263" i="37"/>
  <c r="E264" i="37"/>
  <c r="E260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AD218" i="37" s="1"/>
  <c r="E253" i="37"/>
  <c r="E254" i="37"/>
  <c r="E255" i="37"/>
  <c r="E256" i="37"/>
  <c r="E257" i="37"/>
  <c r="E258" i="37"/>
  <c r="E259" i="37"/>
  <c r="E185" i="37"/>
  <c r="Y185" i="37" s="1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52" i="37"/>
  <c r="E153" i="37"/>
  <c r="E154" i="37"/>
  <c r="E155" i="37"/>
  <c r="E156" i="37"/>
  <c r="E157" i="37"/>
  <c r="E158" i="37"/>
  <c r="E159" i="37"/>
  <c r="E160" i="37"/>
  <c r="E161" i="37"/>
  <c r="E162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31" i="37"/>
  <c r="E132" i="37"/>
  <c r="E133" i="37"/>
  <c r="E134" i="37"/>
  <c r="E135" i="37"/>
  <c r="E136" i="37"/>
  <c r="E137" i="37"/>
  <c r="E121" i="37"/>
  <c r="E122" i="37"/>
  <c r="E123" i="37"/>
  <c r="E124" i="37"/>
  <c r="E125" i="37"/>
  <c r="E126" i="37"/>
  <c r="E127" i="37"/>
  <c r="E128" i="37"/>
  <c r="E129" i="37"/>
  <c r="E130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71" i="37"/>
  <c r="E72" i="37"/>
  <c r="E73" i="37"/>
  <c r="E74" i="37"/>
  <c r="E75" i="37"/>
  <c r="E76" i="37"/>
  <c r="E77" i="37"/>
  <c r="E78" i="37"/>
  <c r="E70" i="37"/>
  <c r="E32" i="37"/>
  <c r="E33" i="37"/>
  <c r="E34" i="37"/>
  <c r="E35" i="37"/>
  <c r="E36" i="37"/>
  <c r="E37" i="37"/>
  <c r="E38" i="37"/>
  <c r="E39" i="37"/>
  <c r="E40" i="37"/>
  <c r="E41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19" i="37"/>
  <c r="E21" i="37"/>
  <c r="E22" i="37"/>
  <c r="E23" i="37"/>
  <c r="E24" i="37"/>
  <c r="E25" i="37"/>
  <c r="E6" i="37"/>
  <c r="E26" i="37"/>
  <c r="E7" i="37"/>
  <c r="E8" i="37"/>
  <c r="E9" i="37"/>
  <c r="E10" i="37"/>
  <c r="E11" i="37"/>
  <c r="E27" i="37"/>
  <c r="E28" i="37"/>
  <c r="E29" i="37"/>
  <c r="E30" i="37"/>
  <c r="E31" i="37"/>
  <c r="E5" i="37"/>
  <c r="W228" i="37"/>
  <c r="W234" i="37"/>
  <c r="W240" i="37"/>
  <c r="W246" i="37"/>
  <c r="W252" i="37"/>
  <c r="W264" i="37"/>
  <c r="W221" i="37"/>
  <c r="BE243" i="37"/>
  <c r="BE244" i="37"/>
  <c r="BE245" i="37"/>
  <c r="BE246" i="37"/>
  <c r="BE247" i="37"/>
  <c r="BE248" i="37"/>
  <c r="BE249" i="37"/>
  <c r="BE250" i="37"/>
  <c r="BK250" i="37" s="1"/>
  <c r="BE251" i="37"/>
  <c r="BE252" i="37"/>
  <c r="BE253" i="37"/>
  <c r="BE254" i="37"/>
  <c r="BK254" i="37" s="1"/>
  <c r="BE255" i="37"/>
  <c r="BE256" i="37"/>
  <c r="BE257" i="37"/>
  <c r="BE258" i="37"/>
  <c r="BK258" i="37" s="1"/>
  <c r="BE259" i="37"/>
  <c r="BE260" i="37"/>
  <c r="BK260" i="37" s="1"/>
  <c r="BE261" i="37"/>
  <c r="BE262" i="37"/>
  <c r="BK262" i="37" s="1"/>
  <c r="BE263" i="37"/>
  <c r="BE264" i="37"/>
  <c r="BE231" i="37"/>
  <c r="BE232" i="37"/>
  <c r="BE233" i="37"/>
  <c r="BE234" i="37"/>
  <c r="BE235" i="37"/>
  <c r="BE236" i="37"/>
  <c r="BE237" i="37"/>
  <c r="BE238" i="37"/>
  <c r="BE239" i="37"/>
  <c r="BE240" i="37"/>
  <c r="BE241" i="37"/>
  <c r="BE242" i="37"/>
  <c r="BK242" i="37" s="1"/>
  <c r="BE225" i="37"/>
  <c r="BE226" i="37"/>
  <c r="BK226" i="37" s="1"/>
  <c r="BE227" i="37"/>
  <c r="BE228" i="37"/>
  <c r="BE229" i="37"/>
  <c r="BE230" i="37"/>
  <c r="BE222" i="37"/>
  <c r="BE223" i="37"/>
  <c r="BE224" i="37"/>
  <c r="BE221" i="37"/>
  <c r="BE207" i="37"/>
  <c r="BE208" i="37"/>
  <c r="BE209" i="37"/>
  <c r="BE210" i="37"/>
  <c r="BE211" i="37"/>
  <c r="BE212" i="37"/>
  <c r="BE213" i="37"/>
  <c r="BE214" i="37"/>
  <c r="BE215" i="37"/>
  <c r="BE216" i="37"/>
  <c r="BE217" i="37"/>
  <c r="BE218" i="37"/>
  <c r="BE194" i="37"/>
  <c r="BE195" i="37"/>
  <c r="BE196" i="37"/>
  <c r="BE197" i="37"/>
  <c r="BE198" i="37"/>
  <c r="BE199" i="37"/>
  <c r="BE200" i="37"/>
  <c r="BE201" i="37"/>
  <c r="BE202" i="37"/>
  <c r="BE203" i="37"/>
  <c r="BE204" i="37"/>
  <c r="BE205" i="37"/>
  <c r="BE206" i="37"/>
  <c r="BE193" i="37"/>
  <c r="BE190" i="37"/>
  <c r="BE191" i="37"/>
  <c r="BK191" i="37" s="1"/>
  <c r="BE189" i="37"/>
  <c r="BE186" i="37"/>
  <c r="BE187" i="37"/>
  <c r="BE185" i="37"/>
  <c r="W194" i="37"/>
  <c r="W200" i="37"/>
  <c r="W206" i="37"/>
  <c r="W212" i="37"/>
  <c r="W218" i="37"/>
  <c r="W185" i="37"/>
  <c r="BY222" i="37"/>
  <c r="BY223" i="37"/>
  <c r="BY224" i="37"/>
  <c r="BY225" i="37"/>
  <c r="BY226" i="37"/>
  <c r="BY227" i="37"/>
  <c r="BY228" i="37"/>
  <c r="BY229" i="37"/>
  <c r="CE229" i="37" s="1"/>
  <c r="BY230" i="37"/>
  <c r="BY231" i="37"/>
  <c r="CE231" i="37" s="1"/>
  <c r="BY232" i="37"/>
  <c r="CE232" i="37" s="1"/>
  <c r="BY233" i="37"/>
  <c r="CE233" i="37" s="1"/>
  <c r="BY234" i="37"/>
  <c r="BY235" i="37"/>
  <c r="CE235" i="37" s="1"/>
  <c r="BY236" i="37"/>
  <c r="CE236" i="37" s="1"/>
  <c r="BY237" i="37"/>
  <c r="CE237" i="37" s="1"/>
  <c r="BY238" i="37"/>
  <c r="BY239" i="37"/>
  <c r="CE239" i="37" s="1"/>
  <c r="BY240" i="37"/>
  <c r="BY241" i="37"/>
  <c r="CE241" i="37" s="1"/>
  <c r="BY242" i="37"/>
  <c r="BY243" i="37"/>
  <c r="CE243" i="37" s="1"/>
  <c r="BY244" i="37"/>
  <c r="CE244" i="37" s="1"/>
  <c r="BY245" i="37"/>
  <c r="CE245" i="37" s="1"/>
  <c r="BY246" i="37"/>
  <c r="BY247" i="37"/>
  <c r="CE247" i="37" s="1"/>
  <c r="BY248" i="37"/>
  <c r="CE248" i="37" s="1"/>
  <c r="BY249" i="37"/>
  <c r="CE249" i="37" s="1"/>
  <c r="BY250" i="37"/>
  <c r="BY251" i="37"/>
  <c r="CE251" i="37" s="1"/>
  <c r="BY252" i="37"/>
  <c r="BY253" i="37"/>
  <c r="BY254" i="37"/>
  <c r="BY255" i="37"/>
  <c r="BY256" i="37"/>
  <c r="BY257" i="37"/>
  <c r="BY258" i="37"/>
  <c r="BY259" i="37"/>
  <c r="BY260" i="37"/>
  <c r="CE260" i="37" s="1"/>
  <c r="BY261" i="37"/>
  <c r="CE261" i="37" s="1"/>
  <c r="BY262" i="37"/>
  <c r="BY263" i="37"/>
  <c r="CE263" i="37" s="1"/>
  <c r="BY264" i="37"/>
  <c r="BY221" i="37"/>
  <c r="BO222" i="37"/>
  <c r="BO223" i="37"/>
  <c r="BO224" i="37"/>
  <c r="BO225" i="37"/>
  <c r="BO226" i="37"/>
  <c r="BO227" i="37"/>
  <c r="BO228" i="37"/>
  <c r="BO229" i="37"/>
  <c r="BU229" i="37" s="1"/>
  <c r="BO230" i="37"/>
  <c r="BU230" i="37" s="1"/>
  <c r="BO231" i="37"/>
  <c r="BU231" i="37" s="1"/>
  <c r="BO232" i="37"/>
  <c r="BU232" i="37" s="1"/>
  <c r="BO233" i="37"/>
  <c r="BU233" i="37" s="1"/>
  <c r="BO234" i="37"/>
  <c r="BO235" i="37"/>
  <c r="BO236" i="37"/>
  <c r="BU236" i="37" s="1"/>
  <c r="BO237" i="37"/>
  <c r="BO238" i="37"/>
  <c r="BU238" i="37" s="1"/>
  <c r="BO239" i="37"/>
  <c r="BO240" i="37"/>
  <c r="BO241" i="37"/>
  <c r="BO242" i="37"/>
  <c r="BU242" i="37" s="1"/>
  <c r="BO243" i="37"/>
  <c r="BU243" i="37" s="1"/>
  <c r="BO244" i="37"/>
  <c r="BO245" i="37"/>
  <c r="BU245" i="37" s="1"/>
  <c r="BO246" i="37"/>
  <c r="BO247" i="37"/>
  <c r="BU247" i="37" s="1"/>
  <c r="BO248" i="37"/>
  <c r="BO249" i="37"/>
  <c r="BU249" i="37" s="1"/>
  <c r="BO250" i="37"/>
  <c r="BU250" i="37" s="1"/>
  <c r="BO251" i="37"/>
  <c r="BO252" i="37"/>
  <c r="BO253" i="37"/>
  <c r="BO254" i="37"/>
  <c r="BO255" i="37"/>
  <c r="BO256" i="37"/>
  <c r="BO257" i="37"/>
  <c r="BO258" i="37"/>
  <c r="BO259" i="37"/>
  <c r="BO260" i="37"/>
  <c r="BU260" i="37" s="1"/>
  <c r="BO261" i="37"/>
  <c r="BU261" i="37" s="1"/>
  <c r="BO262" i="37"/>
  <c r="BU262" i="37" s="1"/>
  <c r="BO263" i="37"/>
  <c r="BO264" i="37"/>
  <c r="BO221" i="37"/>
  <c r="AK241" i="37"/>
  <c r="AQ241" i="37" s="1"/>
  <c r="AK242" i="37"/>
  <c r="AK243" i="37"/>
  <c r="AK244" i="37"/>
  <c r="AQ244" i="37" s="1"/>
  <c r="AK245" i="37"/>
  <c r="AQ245" i="37" s="1"/>
  <c r="AK246" i="37"/>
  <c r="AK247" i="37"/>
  <c r="AK248" i="37"/>
  <c r="AK249" i="37"/>
  <c r="AQ249" i="37" s="1"/>
  <c r="AK250" i="37"/>
  <c r="AK251" i="37"/>
  <c r="AK252" i="37"/>
  <c r="AK253" i="37"/>
  <c r="W253" i="37" s="1"/>
  <c r="AK254" i="37"/>
  <c r="AK255" i="37"/>
  <c r="AK256" i="37"/>
  <c r="AK257" i="37"/>
  <c r="AK258" i="37"/>
  <c r="AK259" i="37"/>
  <c r="AK260" i="37"/>
  <c r="AQ260" i="37" s="1"/>
  <c r="AK261" i="37"/>
  <c r="AQ261" i="37" s="1"/>
  <c r="AK262" i="37"/>
  <c r="AK263" i="37"/>
  <c r="AK264" i="37"/>
  <c r="AK228" i="37"/>
  <c r="AK229" i="37"/>
  <c r="AK230" i="37"/>
  <c r="AK231" i="37"/>
  <c r="AK232" i="37"/>
  <c r="AK233" i="37"/>
  <c r="AK234" i="37"/>
  <c r="AK235" i="37"/>
  <c r="AK236" i="37"/>
  <c r="AK237" i="37"/>
  <c r="AK238" i="37"/>
  <c r="AK239" i="37"/>
  <c r="AK240" i="37"/>
  <c r="AK227" i="37"/>
  <c r="AK225" i="37"/>
  <c r="W225" i="37" s="1"/>
  <c r="AK226" i="37"/>
  <c r="AK224" i="37"/>
  <c r="AQ224" i="37" s="1"/>
  <c r="AK222" i="37"/>
  <c r="AK223" i="37"/>
  <c r="AK221" i="37"/>
  <c r="AK207" i="37"/>
  <c r="AQ207" i="37" s="1"/>
  <c r="AK208" i="37"/>
  <c r="AK209" i="37"/>
  <c r="AK210" i="37"/>
  <c r="AQ210" i="37" s="1"/>
  <c r="AK211" i="37"/>
  <c r="AQ211" i="37" s="1"/>
  <c r="AK212" i="37"/>
  <c r="AK213" i="37"/>
  <c r="AK214" i="37"/>
  <c r="AQ214" i="37" s="1"/>
  <c r="AK215" i="37"/>
  <c r="AQ215" i="37" s="1"/>
  <c r="AK216" i="37"/>
  <c r="AQ216" i="37" s="1"/>
  <c r="AK217" i="37"/>
  <c r="AQ217" i="37" s="1"/>
  <c r="AK218" i="37"/>
  <c r="AK194" i="37"/>
  <c r="AK195" i="37"/>
  <c r="AK196" i="37"/>
  <c r="AK197" i="37"/>
  <c r="AK198" i="37"/>
  <c r="AK199" i="37"/>
  <c r="AK200" i="37"/>
  <c r="AK201" i="37"/>
  <c r="AK202" i="37"/>
  <c r="AK203" i="37"/>
  <c r="AK204" i="37"/>
  <c r="AK205" i="37"/>
  <c r="AK206" i="37"/>
  <c r="AK193" i="37"/>
  <c r="AK190" i="37"/>
  <c r="W190" i="37" s="1"/>
  <c r="AK191" i="37"/>
  <c r="AK189" i="37"/>
  <c r="AQ189" i="37" s="1"/>
  <c r="AK186" i="37"/>
  <c r="W186" i="37" s="1"/>
  <c r="AK187" i="37"/>
  <c r="AK185" i="37"/>
  <c r="BE71" i="37"/>
  <c r="BE72" i="37"/>
  <c r="BE73" i="37"/>
  <c r="BE74" i="37"/>
  <c r="BE75" i="37"/>
  <c r="BE76" i="37"/>
  <c r="BE77" i="37"/>
  <c r="BE78" i="37"/>
  <c r="BE79" i="37"/>
  <c r="BE80" i="37"/>
  <c r="BE81" i="37"/>
  <c r="BE82" i="37"/>
  <c r="BE83" i="37"/>
  <c r="BE84" i="37"/>
  <c r="BE85" i="37"/>
  <c r="BE86" i="37"/>
  <c r="BE87" i="37"/>
  <c r="BE88" i="37"/>
  <c r="BE89" i="37"/>
  <c r="BE90" i="37"/>
  <c r="BE91" i="37"/>
  <c r="BE92" i="37"/>
  <c r="BE93" i="37"/>
  <c r="BE94" i="37"/>
  <c r="BE95" i="37"/>
  <c r="BE96" i="37"/>
  <c r="BE97" i="37"/>
  <c r="BE98" i="37"/>
  <c r="BE99" i="37"/>
  <c r="BE100" i="37"/>
  <c r="BE101" i="37"/>
  <c r="BE102" i="37"/>
  <c r="BE103" i="37"/>
  <c r="BE104" i="37"/>
  <c r="BE105" i="37"/>
  <c r="BE106" i="37"/>
  <c r="BE107" i="37"/>
  <c r="BE108" i="37"/>
  <c r="BE109" i="37"/>
  <c r="BE110" i="37"/>
  <c r="BE111" i="37"/>
  <c r="BE112" i="37"/>
  <c r="BE113" i="37"/>
  <c r="BE114" i="37"/>
  <c r="BE115" i="37"/>
  <c r="BE116" i="37"/>
  <c r="BE117" i="37"/>
  <c r="BE118" i="37"/>
  <c r="BE119" i="37"/>
  <c r="BE120" i="37"/>
  <c r="BE121" i="37"/>
  <c r="BE122" i="37"/>
  <c r="BE123" i="37"/>
  <c r="BE124" i="37"/>
  <c r="BE125" i="37"/>
  <c r="BE126" i="37"/>
  <c r="BE127" i="37"/>
  <c r="BE128" i="37"/>
  <c r="BE129" i="37"/>
  <c r="BE130" i="37"/>
  <c r="BE131" i="37"/>
  <c r="BE132" i="37"/>
  <c r="BE133" i="37"/>
  <c r="BE134" i="37"/>
  <c r="BE135" i="37"/>
  <c r="BE136" i="37"/>
  <c r="BE137" i="37"/>
  <c r="BE138" i="37"/>
  <c r="BE139" i="37"/>
  <c r="BE140" i="37"/>
  <c r="BE141" i="37"/>
  <c r="BE142" i="37"/>
  <c r="BE143" i="37"/>
  <c r="BE144" i="37"/>
  <c r="BE145" i="37"/>
  <c r="BE146" i="37"/>
  <c r="BE147" i="37"/>
  <c r="BE148" i="37"/>
  <c r="BE149" i="37"/>
  <c r="BE150" i="37"/>
  <c r="BE151" i="37"/>
  <c r="BE152" i="37"/>
  <c r="BE153" i="37"/>
  <c r="BE154" i="37"/>
  <c r="BE155" i="37"/>
  <c r="BE156" i="37"/>
  <c r="BE157" i="37"/>
  <c r="BE158" i="37"/>
  <c r="BE159" i="37"/>
  <c r="BE160" i="37"/>
  <c r="BE161" i="37"/>
  <c r="BE162" i="37"/>
  <c r="BE163" i="37"/>
  <c r="BE164" i="37"/>
  <c r="BE165" i="37"/>
  <c r="BE166" i="37"/>
  <c r="BE167" i="37"/>
  <c r="BE168" i="37"/>
  <c r="BE169" i="37"/>
  <c r="BE170" i="37"/>
  <c r="BE171" i="37"/>
  <c r="BE172" i="37"/>
  <c r="BE173" i="37"/>
  <c r="BE174" i="37"/>
  <c r="BE175" i="37"/>
  <c r="BE176" i="37"/>
  <c r="BE177" i="37"/>
  <c r="BE178" i="37"/>
  <c r="BE179" i="37"/>
  <c r="BE180" i="37"/>
  <c r="BE181" i="37"/>
  <c r="BE182" i="37"/>
  <c r="BE70" i="37"/>
  <c r="AU71" i="37"/>
  <c r="AU72" i="37"/>
  <c r="AU73" i="37"/>
  <c r="AU74" i="37"/>
  <c r="AU75" i="37"/>
  <c r="AU76" i="37"/>
  <c r="AU77" i="37"/>
  <c r="AU78" i="37"/>
  <c r="AU79" i="37"/>
  <c r="AU80" i="37"/>
  <c r="AU81" i="37"/>
  <c r="AU82" i="37"/>
  <c r="AU83" i="37"/>
  <c r="AU84" i="37"/>
  <c r="AU85" i="37"/>
  <c r="AU86" i="37"/>
  <c r="AU87" i="37"/>
  <c r="AU88" i="37"/>
  <c r="AU89" i="37"/>
  <c r="AU90" i="37"/>
  <c r="AU91" i="37"/>
  <c r="AU92" i="37"/>
  <c r="AU93" i="37"/>
  <c r="AU94" i="37"/>
  <c r="AU95" i="37"/>
  <c r="AU96" i="37"/>
  <c r="AU97" i="37"/>
  <c r="AU98" i="37"/>
  <c r="AU99" i="37"/>
  <c r="AU100" i="37"/>
  <c r="AU101" i="37"/>
  <c r="AU102" i="37"/>
  <c r="AU103" i="37"/>
  <c r="AU104" i="37"/>
  <c r="AU105" i="37"/>
  <c r="AU106" i="37"/>
  <c r="AU107" i="37"/>
  <c r="AU108" i="37"/>
  <c r="AU109" i="37"/>
  <c r="AU110" i="37"/>
  <c r="AU111" i="37"/>
  <c r="AU112" i="37"/>
  <c r="AU113" i="37"/>
  <c r="AU114" i="37"/>
  <c r="AU115" i="37"/>
  <c r="AU116" i="37"/>
  <c r="AU117" i="37"/>
  <c r="AU118" i="37"/>
  <c r="AU119" i="37"/>
  <c r="AU120" i="37"/>
  <c r="AU121" i="37"/>
  <c r="AU122" i="37"/>
  <c r="AU123" i="37"/>
  <c r="AU124" i="37"/>
  <c r="AU125" i="37"/>
  <c r="AU126" i="37"/>
  <c r="AU127" i="37"/>
  <c r="AU128" i="37"/>
  <c r="AU129" i="37"/>
  <c r="AU130" i="37"/>
  <c r="AU131" i="37"/>
  <c r="AU132" i="37"/>
  <c r="AU133" i="37"/>
  <c r="AU134" i="37"/>
  <c r="AU135" i="37"/>
  <c r="AU136" i="37"/>
  <c r="AU137" i="37"/>
  <c r="AU138" i="37"/>
  <c r="AU139" i="37"/>
  <c r="AU140" i="37"/>
  <c r="AU141" i="37"/>
  <c r="AU142" i="37"/>
  <c r="AU143" i="37"/>
  <c r="AU144" i="37"/>
  <c r="AU145" i="37"/>
  <c r="AU146" i="37"/>
  <c r="AU147" i="37"/>
  <c r="AU148" i="37"/>
  <c r="AU149" i="37"/>
  <c r="AU150" i="37"/>
  <c r="AU151" i="37"/>
  <c r="AU152" i="37"/>
  <c r="AU153" i="37"/>
  <c r="AU154" i="37"/>
  <c r="AU155" i="37"/>
  <c r="AU156" i="37"/>
  <c r="AU157" i="37"/>
  <c r="AU158" i="37"/>
  <c r="AU159" i="37"/>
  <c r="AU160" i="37"/>
  <c r="AU161" i="37"/>
  <c r="AU162" i="37"/>
  <c r="AU163" i="37"/>
  <c r="AU164" i="37"/>
  <c r="AU165" i="37"/>
  <c r="AU166" i="37"/>
  <c r="AU167" i="37"/>
  <c r="AU168" i="37"/>
  <c r="AU169" i="37"/>
  <c r="AU170" i="37"/>
  <c r="AU171" i="37"/>
  <c r="AU172" i="37"/>
  <c r="AU173" i="37"/>
  <c r="AU174" i="37"/>
  <c r="AU175" i="37"/>
  <c r="AU176" i="37"/>
  <c r="AU177" i="37"/>
  <c r="AU178" i="37"/>
  <c r="AU179" i="37"/>
  <c r="AU180" i="37"/>
  <c r="AU181" i="37"/>
  <c r="AU182" i="37"/>
  <c r="AU70" i="37"/>
  <c r="AS26" i="37"/>
  <c r="AS27" i="37"/>
  <c r="AS29" i="37"/>
  <c r="AS31" i="37"/>
  <c r="AS33" i="37"/>
  <c r="AS35" i="37"/>
  <c r="AS36" i="37"/>
  <c r="AS37" i="37"/>
  <c r="AS40" i="37"/>
  <c r="AS43" i="37"/>
  <c r="AS47" i="37"/>
  <c r="AS48" i="37"/>
  <c r="AS52" i="37"/>
  <c r="AS55" i="37"/>
  <c r="AS59" i="37"/>
  <c r="AS60" i="37"/>
  <c r="AS63" i="37"/>
  <c r="BC71" i="37"/>
  <c r="BC72" i="37"/>
  <c r="BC73" i="37"/>
  <c r="BC74" i="37"/>
  <c r="BC75" i="37"/>
  <c r="BC76" i="37"/>
  <c r="BC77" i="37"/>
  <c r="BC78" i="37"/>
  <c r="BC79" i="37"/>
  <c r="BC80" i="37"/>
  <c r="BC81" i="37"/>
  <c r="BC82" i="37"/>
  <c r="BC83" i="37"/>
  <c r="BC84" i="37"/>
  <c r="BC85" i="37"/>
  <c r="BC86" i="37"/>
  <c r="BC87" i="37"/>
  <c r="BC88" i="37"/>
  <c r="BC89" i="37"/>
  <c r="BC90" i="37"/>
  <c r="BC91" i="37"/>
  <c r="BC92" i="37"/>
  <c r="BC93" i="37"/>
  <c r="BC94" i="37"/>
  <c r="BC95" i="37"/>
  <c r="BC96" i="37"/>
  <c r="BC97" i="37"/>
  <c r="BC98" i="37"/>
  <c r="BC99" i="37"/>
  <c r="BC100" i="37"/>
  <c r="BC101" i="37"/>
  <c r="BC102" i="37"/>
  <c r="BC103" i="37"/>
  <c r="BC104" i="37"/>
  <c r="BC105" i="37"/>
  <c r="BC106" i="37"/>
  <c r="BC107" i="37"/>
  <c r="BC108" i="37"/>
  <c r="BC109" i="37"/>
  <c r="BC110" i="37"/>
  <c r="BC111" i="37"/>
  <c r="BC112" i="37"/>
  <c r="BC113" i="37"/>
  <c r="BC114" i="37"/>
  <c r="BC115" i="37"/>
  <c r="BC116" i="37"/>
  <c r="BC117" i="37"/>
  <c r="BC118" i="37"/>
  <c r="BC119" i="37"/>
  <c r="BC120" i="37"/>
  <c r="BC121" i="37"/>
  <c r="BC122" i="37"/>
  <c r="BC123" i="37"/>
  <c r="BC124" i="37"/>
  <c r="BC125" i="37"/>
  <c r="BC126" i="37"/>
  <c r="BC127" i="37"/>
  <c r="BC128" i="37"/>
  <c r="BC129" i="37"/>
  <c r="BC130" i="37"/>
  <c r="BC131" i="37"/>
  <c r="BC132" i="37"/>
  <c r="BC133" i="37"/>
  <c r="BC134" i="37"/>
  <c r="BC135" i="37"/>
  <c r="BC136" i="37"/>
  <c r="BC137" i="37"/>
  <c r="BC138" i="37"/>
  <c r="BC139" i="37"/>
  <c r="BC140" i="37"/>
  <c r="BC141" i="37"/>
  <c r="BC142" i="37"/>
  <c r="BC143" i="37"/>
  <c r="BC144" i="37"/>
  <c r="BC145" i="37"/>
  <c r="BC146" i="37"/>
  <c r="BC147" i="37"/>
  <c r="BC148" i="37"/>
  <c r="BC149" i="37"/>
  <c r="BC150" i="37"/>
  <c r="BC151" i="37"/>
  <c r="BC152" i="37"/>
  <c r="BC153" i="37"/>
  <c r="BC154" i="37"/>
  <c r="BC155" i="37"/>
  <c r="BC156" i="37"/>
  <c r="BC157" i="37"/>
  <c r="BC158" i="37"/>
  <c r="BC159" i="37"/>
  <c r="BC160" i="37"/>
  <c r="BC161" i="37"/>
  <c r="BC162" i="37"/>
  <c r="BC163" i="37"/>
  <c r="BC164" i="37"/>
  <c r="BC165" i="37"/>
  <c r="BC166" i="37"/>
  <c r="BC167" i="37"/>
  <c r="BC168" i="37"/>
  <c r="BC169" i="37"/>
  <c r="BC170" i="37"/>
  <c r="BC171" i="37"/>
  <c r="BC172" i="37"/>
  <c r="BC173" i="37"/>
  <c r="BC174" i="37"/>
  <c r="BC175" i="37"/>
  <c r="BC176" i="37"/>
  <c r="BC177" i="37"/>
  <c r="BC178" i="37"/>
  <c r="BC179" i="37"/>
  <c r="BC180" i="37"/>
  <c r="BC181" i="37"/>
  <c r="BC182" i="37"/>
  <c r="BC70" i="37"/>
  <c r="AS71" i="37"/>
  <c r="AS72" i="37"/>
  <c r="AS73" i="37"/>
  <c r="AS74" i="37"/>
  <c r="AS75" i="37"/>
  <c r="AS76" i="37"/>
  <c r="AS77" i="37"/>
  <c r="AS78" i="37"/>
  <c r="AS79" i="37"/>
  <c r="AS80" i="37"/>
  <c r="AS81" i="37"/>
  <c r="AS82" i="37"/>
  <c r="AS83" i="37"/>
  <c r="AS84" i="37"/>
  <c r="AS85" i="37"/>
  <c r="AS86" i="37"/>
  <c r="AS87" i="37"/>
  <c r="AS88" i="37"/>
  <c r="AS89" i="37"/>
  <c r="AS90" i="37"/>
  <c r="AS91" i="37"/>
  <c r="AS92" i="37"/>
  <c r="AS93" i="37"/>
  <c r="AS94" i="37"/>
  <c r="AS95" i="37"/>
  <c r="AS96" i="37"/>
  <c r="AS97" i="37"/>
  <c r="AS98" i="37"/>
  <c r="AS99" i="37"/>
  <c r="AS100" i="37"/>
  <c r="AS101" i="37"/>
  <c r="AS102" i="37"/>
  <c r="AS103" i="37"/>
  <c r="AS104" i="37"/>
  <c r="AS105" i="37"/>
  <c r="AS106" i="37"/>
  <c r="AS107" i="37"/>
  <c r="AS108" i="37"/>
  <c r="AS109" i="37"/>
  <c r="AS110" i="37"/>
  <c r="AS111" i="37"/>
  <c r="AS112" i="37"/>
  <c r="AS113" i="37"/>
  <c r="AS114" i="37"/>
  <c r="AS115" i="37"/>
  <c r="AS116" i="37"/>
  <c r="AS117" i="37"/>
  <c r="AS118" i="37"/>
  <c r="AS119" i="37"/>
  <c r="AS120" i="37"/>
  <c r="AS121" i="37"/>
  <c r="AS122" i="37"/>
  <c r="AS123" i="37"/>
  <c r="AS124" i="37"/>
  <c r="AS125" i="37"/>
  <c r="AS126" i="37"/>
  <c r="AS127" i="37"/>
  <c r="AS128" i="37"/>
  <c r="AS129" i="37"/>
  <c r="AS130" i="37"/>
  <c r="AS131" i="37"/>
  <c r="AS132" i="37"/>
  <c r="AS133" i="37"/>
  <c r="AS134" i="37"/>
  <c r="AS135" i="37"/>
  <c r="AS136" i="37"/>
  <c r="AS137" i="37"/>
  <c r="AS138" i="37"/>
  <c r="AS139" i="37"/>
  <c r="AS140" i="37"/>
  <c r="AS141" i="37"/>
  <c r="AS142" i="37"/>
  <c r="AS143" i="37"/>
  <c r="AS144" i="37"/>
  <c r="AS145" i="37"/>
  <c r="AS146" i="37"/>
  <c r="AS147" i="37"/>
  <c r="AS148" i="37"/>
  <c r="AS149" i="37"/>
  <c r="AS150" i="37"/>
  <c r="AS151" i="37"/>
  <c r="AS152" i="37"/>
  <c r="AS153" i="37"/>
  <c r="AS154" i="37"/>
  <c r="AS155" i="37"/>
  <c r="AS156" i="37"/>
  <c r="AS157" i="37"/>
  <c r="AS158" i="37"/>
  <c r="AS159" i="37"/>
  <c r="AS160" i="37"/>
  <c r="AS161" i="37"/>
  <c r="AS162" i="37"/>
  <c r="AS163" i="37"/>
  <c r="AS164" i="37"/>
  <c r="AS165" i="37"/>
  <c r="AS166" i="37"/>
  <c r="AS167" i="37"/>
  <c r="AS168" i="37"/>
  <c r="AS169" i="37"/>
  <c r="AS170" i="37"/>
  <c r="AS171" i="37"/>
  <c r="AS172" i="37"/>
  <c r="AS173" i="37"/>
  <c r="AS174" i="37"/>
  <c r="AS175" i="37"/>
  <c r="AS176" i="37"/>
  <c r="AS177" i="37"/>
  <c r="AS178" i="37"/>
  <c r="AS179" i="37"/>
  <c r="AS180" i="37"/>
  <c r="AS181" i="37"/>
  <c r="AS182" i="37"/>
  <c r="AS70" i="37"/>
  <c r="W91" i="37"/>
  <c r="W112" i="37"/>
  <c r="W136" i="37"/>
  <c r="W160" i="37"/>
  <c r="W171" i="37"/>
  <c r="W182" i="37"/>
  <c r="W70" i="37"/>
  <c r="AK5" i="37"/>
  <c r="AK71" i="37"/>
  <c r="AK72" i="37"/>
  <c r="AK73" i="37"/>
  <c r="AK74" i="37"/>
  <c r="AK75" i="37"/>
  <c r="AK76" i="37"/>
  <c r="AK77" i="37"/>
  <c r="AK78" i="37"/>
  <c r="AK79" i="37"/>
  <c r="AK80" i="37"/>
  <c r="AK81" i="37"/>
  <c r="AK82" i="37"/>
  <c r="AK83" i="37"/>
  <c r="AK84" i="37"/>
  <c r="AK85" i="37"/>
  <c r="AK86" i="37"/>
  <c r="AK87" i="37"/>
  <c r="AK88" i="37"/>
  <c r="AK89" i="37"/>
  <c r="AK90" i="37"/>
  <c r="AK91" i="37"/>
  <c r="AK92" i="37"/>
  <c r="AK93" i="37"/>
  <c r="AK94" i="37"/>
  <c r="AK95" i="37"/>
  <c r="AK96" i="37"/>
  <c r="AK97" i="37"/>
  <c r="AK98" i="37"/>
  <c r="AK99" i="37"/>
  <c r="AK100" i="37"/>
  <c r="AK101" i="37"/>
  <c r="AK102" i="37"/>
  <c r="AK103" i="37"/>
  <c r="AK104" i="37"/>
  <c r="AK105" i="37"/>
  <c r="AK106" i="37"/>
  <c r="AK107" i="37"/>
  <c r="AK108" i="37"/>
  <c r="AK109" i="37"/>
  <c r="AK110" i="37"/>
  <c r="AK111" i="37"/>
  <c r="AK112" i="37"/>
  <c r="AK113" i="37"/>
  <c r="AK114" i="37"/>
  <c r="AK115" i="37"/>
  <c r="AK116" i="37"/>
  <c r="AK117" i="37"/>
  <c r="AK118" i="37"/>
  <c r="AK119" i="37"/>
  <c r="AK120" i="37"/>
  <c r="AK121" i="37"/>
  <c r="AK122" i="37"/>
  <c r="AK123" i="37"/>
  <c r="AK124" i="37"/>
  <c r="AK125" i="37"/>
  <c r="AK126" i="37"/>
  <c r="AK127" i="37"/>
  <c r="AK128" i="37"/>
  <c r="AK129" i="37"/>
  <c r="AK130" i="37"/>
  <c r="AK131" i="37"/>
  <c r="AK132" i="37"/>
  <c r="AK133" i="37"/>
  <c r="AK134" i="37"/>
  <c r="AK135" i="37"/>
  <c r="AK136" i="37"/>
  <c r="AK137" i="37"/>
  <c r="AK138" i="37"/>
  <c r="AK139" i="37"/>
  <c r="AK140" i="37"/>
  <c r="AK141" i="37"/>
  <c r="AK142" i="37"/>
  <c r="AK143" i="37"/>
  <c r="AK144" i="37"/>
  <c r="AK145" i="37"/>
  <c r="AK146" i="37"/>
  <c r="AK147" i="37"/>
  <c r="AK148" i="37"/>
  <c r="AK149" i="37"/>
  <c r="AK150" i="37"/>
  <c r="AK151" i="37"/>
  <c r="AK152" i="37"/>
  <c r="AK153" i="37"/>
  <c r="AK154" i="37"/>
  <c r="AK155" i="37"/>
  <c r="AK156" i="37"/>
  <c r="AK157" i="37"/>
  <c r="AK158" i="37"/>
  <c r="AK159" i="37"/>
  <c r="AK160" i="37"/>
  <c r="AK161" i="37"/>
  <c r="AI161" i="37" s="1"/>
  <c r="AK162" i="37"/>
  <c r="AI162" i="37" s="1"/>
  <c r="AK163" i="37"/>
  <c r="AK164" i="37"/>
  <c r="AI164" i="37" s="1"/>
  <c r="AK165" i="37"/>
  <c r="AI165" i="37" s="1"/>
  <c r="AK166" i="37"/>
  <c r="AI166" i="37" s="1"/>
  <c r="AK167" i="37"/>
  <c r="AK168" i="37"/>
  <c r="AI168" i="37" s="1"/>
  <c r="AK169" i="37"/>
  <c r="AI169" i="37" s="1"/>
  <c r="AK170" i="37"/>
  <c r="AI170" i="37" s="1"/>
  <c r="AK171" i="37"/>
  <c r="AK172" i="37"/>
  <c r="AI172" i="37" s="1"/>
  <c r="AK173" i="37"/>
  <c r="AI173" i="37" s="1"/>
  <c r="AK174" i="37"/>
  <c r="AI174" i="37" s="1"/>
  <c r="AK175" i="37"/>
  <c r="AK176" i="37"/>
  <c r="AI176" i="37" s="1"/>
  <c r="AK177" i="37"/>
  <c r="AI177" i="37" s="1"/>
  <c r="AK178" i="37"/>
  <c r="AI178" i="37" s="1"/>
  <c r="AK179" i="37"/>
  <c r="AK180" i="37"/>
  <c r="AI180" i="37" s="1"/>
  <c r="AK181" i="37"/>
  <c r="AI181" i="37" s="1"/>
  <c r="AK182" i="37"/>
  <c r="AK70" i="37"/>
  <c r="AK18" i="37"/>
  <c r="AK19" i="37"/>
  <c r="AK20" i="37"/>
  <c r="AK21" i="37"/>
  <c r="AK22" i="37"/>
  <c r="AK23" i="37"/>
  <c r="AK24" i="37"/>
  <c r="AK25" i="37"/>
  <c r="AK6" i="37"/>
  <c r="AK26" i="37"/>
  <c r="AK7" i="37"/>
  <c r="AK8" i="37"/>
  <c r="AK9" i="37"/>
  <c r="AK10" i="37"/>
  <c r="AK11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K39" i="37"/>
  <c r="AK40" i="37"/>
  <c r="AK41" i="37"/>
  <c r="AK42" i="37"/>
  <c r="AK43" i="37"/>
  <c r="AK44" i="37"/>
  <c r="AK45" i="37"/>
  <c r="AK46" i="37"/>
  <c r="AK47" i="37"/>
  <c r="AK48" i="37"/>
  <c r="AK49" i="37"/>
  <c r="AK50" i="37"/>
  <c r="AK51" i="37"/>
  <c r="AK52" i="37"/>
  <c r="AK53" i="37"/>
  <c r="AK54" i="37"/>
  <c r="AK55" i="37"/>
  <c r="AK56" i="37"/>
  <c r="AK57" i="37"/>
  <c r="AK58" i="37"/>
  <c r="AK59" i="37"/>
  <c r="AK60" i="37"/>
  <c r="AK61" i="37"/>
  <c r="AK62" i="37"/>
  <c r="AK63" i="37"/>
  <c r="AK64" i="37"/>
  <c r="AK65" i="37"/>
  <c r="AK66" i="37"/>
  <c r="AK67" i="37"/>
  <c r="W39" i="37"/>
  <c r="W67" i="37"/>
  <c r="W5" i="37"/>
  <c r="Y5" i="37"/>
  <c r="AA18" i="37"/>
  <c r="Y18" i="37" s="1"/>
  <c r="AQ252" i="37"/>
  <c r="AU251" i="37"/>
  <c r="BA251" i="37" s="1"/>
  <c r="AU252" i="37"/>
  <c r="BA252" i="37"/>
  <c r="BA253" i="37"/>
  <c r="BA256" i="37"/>
  <c r="BK255" i="37"/>
  <c r="BK257" i="37"/>
  <c r="BK252" i="37"/>
  <c r="BK253" i="37"/>
  <c r="BK256" i="37"/>
  <c r="BY265" i="37"/>
  <c r="BU252" i="37"/>
  <c r="BU253" i="37"/>
  <c r="BU254" i="37"/>
  <c r="BU255" i="37"/>
  <c r="BU256" i="37"/>
  <c r="BU257" i="37"/>
  <c r="BU258" i="37"/>
  <c r="BU259" i="37"/>
  <c r="CE252" i="37"/>
  <c r="CE253" i="37"/>
  <c r="CE254" i="37"/>
  <c r="CE255" i="37"/>
  <c r="CE256" i="37"/>
  <c r="CE257" i="37"/>
  <c r="CE258" i="37"/>
  <c r="CE259" i="37"/>
  <c r="CE264" i="37"/>
  <c r="BU263" i="37"/>
  <c r="BU264" i="37"/>
  <c r="BK263" i="37"/>
  <c r="AU263" i="37"/>
  <c r="BA263" i="37" s="1"/>
  <c r="AQ263" i="37"/>
  <c r="AA263" i="37"/>
  <c r="AU262" i="37"/>
  <c r="BA262" i="37" s="1"/>
  <c r="AQ262" i="37"/>
  <c r="AA262" i="37"/>
  <c r="AG262" i="37" s="1"/>
  <c r="BK261" i="37"/>
  <c r="AU261" i="37"/>
  <c r="BA261" i="37" s="1"/>
  <c r="AA261" i="37"/>
  <c r="AU260" i="37"/>
  <c r="BA260" i="37" s="1"/>
  <c r="AA260" i="37"/>
  <c r="C259" i="37"/>
  <c r="D259" i="37" s="1"/>
  <c r="C260" i="37"/>
  <c r="D260" i="37" s="1"/>
  <c r="C261" i="37"/>
  <c r="D261" i="37" s="1"/>
  <c r="C262" i="37"/>
  <c r="D262" i="37" s="1"/>
  <c r="C263" i="37"/>
  <c r="D263" i="37" s="1"/>
  <c r="CE262" i="37"/>
  <c r="AG256" i="37"/>
  <c r="AG253" i="37"/>
  <c r="AG264" i="37"/>
  <c r="AG252" i="37"/>
  <c r="AA264" i="37"/>
  <c r="AA252" i="37"/>
  <c r="AA257" i="37"/>
  <c r="AA254" i="37"/>
  <c r="AG254" i="37" s="1"/>
  <c r="AA258" i="37"/>
  <c r="AG258" i="37" s="1"/>
  <c r="AA255" i="37"/>
  <c r="BU251" i="37"/>
  <c r="BK251" i="37"/>
  <c r="AQ251" i="37"/>
  <c r="AA251" i="37"/>
  <c r="C251" i="37"/>
  <c r="D251" i="37" s="1"/>
  <c r="CE250" i="37"/>
  <c r="AU250" i="37"/>
  <c r="BA250" i="37" s="1"/>
  <c r="AQ250" i="37"/>
  <c r="AA250" i="37"/>
  <c r="AG250" i="37" s="1"/>
  <c r="C250" i="37"/>
  <c r="D250" i="37" s="1"/>
  <c r="BK249" i="37"/>
  <c r="AU249" i="37"/>
  <c r="BA249" i="37" s="1"/>
  <c r="AA249" i="37"/>
  <c r="C249" i="37"/>
  <c r="D249" i="37" s="1"/>
  <c r="BU248" i="37"/>
  <c r="BK248" i="37"/>
  <c r="AU248" i="37"/>
  <c r="BA248" i="37" s="1"/>
  <c r="AQ248" i="37"/>
  <c r="AA248" i="37"/>
  <c r="C248" i="37"/>
  <c r="D248" i="37" s="1"/>
  <c r="BK247" i="37"/>
  <c r="AU247" i="37"/>
  <c r="BA247" i="37" s="1"/>
  <c r="AQ247" i="37"/>
  <c r="AA247" i="37"/>
  <c r="C247" i="37"/>
  <c r="D247" i="37" s="1"/>
  <c r="CE246" i="37"/>
  <c r="BU246" i="37"/>
  <c r="BK246" i="37"/>
  <c r="BA246" i="37"/>
  <c r="AU246" i="37"/>
  <c r="AA246" i="37"/>
  <c r="C246" i="37"/>
  <c r="D246" i="37" s="1"/>
  <c r="BK245" i="37"/>
  <c r="AU245" i="37"/>
  <c r="BA245" i="37" s="1"/>
  <c r="AA245" i="37"/>
  <c r="C245" i="37"/>
  <c r="D245" i="37" s="1"/>
  <c r="BU244" i="37"/>
  <c r="BK244" i="37"/>
  <c r="AU244" i="37"/>
  <c r="BA244" i="37" s="1"/>
  <c r="AA244" i="37"/>
  <c r="C244" i="37"/>
  <c r="D244" i="37" s="1"/>
  <c r="BK243" i="37"/>
  <c r="AU243" i="37"/>
  <c r="BA243" i="37" s="1"/>
  <c r="AQ243" i="37"/>
  <c r="AA243" i="37"/>
  <c r="C243" i="37"/>
  <c r="D243" i="37" s="1"/>
  <c r="CE242" i="37"/>
  <c r="AU242" i="37"/>
  <c r="BA242" i="37" s="1"/>
  <c r="AQ242" i="37"/>
  <c r="AA242" i="37"/>
  <c r="AG242" i="37" s="1"/>
  <c r="C242" i="37"/>
  <c r="D242" i="37" s="1"/>
  <c r="BU241" i="37"/>
  <c r="BK241" i="37"/>
  <c r="AU241" i="37"/>
  <c r="BA241" i="37" s="1"/>
  <c r="AA241" i="37"/>
  <c r="C241" i="37"/>
  <c r="D241" i="37" s="1"/>
  <c r="CE240" i="37"/>
  <c r="BU240" i="37"/>
  <c r="BK240" i="37"/>
  <c r="BA240" i="37"/>
  <c r="AU240" i="37"/>
  <c r="AA240" i="37"/>
  <c r="C240" i="37"/>
  <c r="D240" i="37" s="1"/>
  <c r="BU239" i="37"/>
  <c r="BK239" i="37"/>
  <c r="AU239" i="37"/>
  <c r="BA239" i="37" s="1"/>
  <c r="AQ239" i="37"/>
  <c r="AA239" i="37"/>
  <c r="C239" i="37"/>
  <c r="D239" i="37" s="1"/>
  <c r="CE238" i="37"/>
  <c r="BK238" i="37"/>
  <c r="AU238" i="37"/>
  <c r="BA238" i="37" s="1"/>
  <c r="AQ238" i="37"/>
  <c r="AA238" i="37"/>
  <c r="AG238" i="37" s="1"/>
  <c r="C238" i="37"/>
  <c r="D238" i="37" s="1"/>
  <c r="BU237" i="37"/>
  <c r="BK237" i="37"/>
  <c r="AU237" i="37"/>
  <c r="BA237" i="37" s="1"/>
  <c r="AQ237" i="37"/>
  <c r="AA237" i="37"/>
  <c r="C237" i="37"/>
  <c r="D237" i="37" s="1"/>
  <c r="BK236" i="37"/>
  <c r="AU236" i="37"/>
  <c r="BA236" i="37" s="1"/>
  <c r="AQ236" i="37"/>
  <c r="AA236" i="37"/>
  <c r="C236" i="37"/>
  <c r="D236" i="37" s="1"/>
  <c r="BU235" i="37"/>
  <c r="BK235" i="37"/>
  <c r="AU235" i="37"/>
  <c r="BA235" i="37" s="1"/>
  <c r="AQ235" i="37"/>
  <c r="AA235" i="37"/>
  <c r="C235" i="37"/>
  <c r="D235" i="37" s="1"/>
  <c r="CE234" i="37"/>
  <c r="BU234" i="37"/>
  <c r="BK234" i="37"/>
  <c r="BA234" i="37"/>
  <c r="AU234" i="37"/>
  <c r="AA234" i="37"/>
  <c r="C234" i="37"/>
  <c r="D234" i="37" s="1"/>
  <c r="BK233" i="37"/>
  <c r="AU233" i="37"/>
  <c r="BA233" i="37" s="1"/>
  <c r="AQ233" i="37"/>
  <c r="AA233" i="37"/>
  <c r="C233" i="37"/>
  <c r="D233" i="37" s="1"/>
  <c r="BK232" i="37"/>
  <c r="AU232" i="37"/>
  <c r="BA232" i="37" s="1"/>
  <c r="AQ232" i="37"/>
  <c r="AA232" i="37"/>
  <c r="C232" i="37"/>
  <c r="D232" i="37" s="1"/>
  <c r="BK231" i="37"/>
  <c r="AU231" i="37"/>
  <c r="BA231" i="37" s="1"/>
  <c r="AQ231" i="37"/>
  <c r="AA231" i="37"/>
  <c r="C231" i="37"/>
  <c r="D231" i="37" s="1"/>
  <c r="CE230" i="37"/>
  <c r="BK230" i="37"/>
  <c r="AU230" i="37"/>
  <c r="BA230" i="37" s="1"/>
  <c r="AQ230" i="37"/>
  <c r="AA230" i="37"/>
  <c r="AG230" i="37" s="1"/>
  <c r="C230" i="37"/>
  <c r="D230" i="37" s="1"/>
  <c r="BK229" i="37"/>
  <c r="AU229" i="37"/>
  <c r="BA229" i="37" s="1"/>
  <c r="AQ229" i="37"/>
  <c r="AA229" i="37"/>
  <c r="C229" i="37"/>
  <c r="D229" i="37" s="1"/>
  <c r="CE228" i="37"/>
  <c r="BU228" i="37"/>
  <c r="BK228" i="37"/>
  <c r="BA228" i="37"/>
  <c r="AU228" i="37"/>
  <c r="AA228" i="37"/>
  <c r="C228" i="37"/>
  <c r="D228" i="37" s="1"/>
  <c r="BK227" i="37"/>
  <c r="AU227" i="37"/>
  <c r="BA227" i="37" s="1"/>
  <c r="AQ227" i="37"/>
  <c r="AA227" i="37"/>
  <c r="C227" i="37"/>
  <c r="D227" i="37" s="1"/>
  <c r="AU226" i="37"/>
  <c r="BA226" i="37" s="1"/>
  <c r="AQ226" i="37"/>
  <c r="AA226" i="37"/>
  <c r="C226" i="37"/>
  <c r="D226" i="37" s="1"/>
  <c r="BK225" i="37"/>
  <c r="BA225" i="37"/>
  <c r="AQ225" i="37"/>
  <c r="AG225" i="37"/>
  <c r="C225" i="37"/>
  <c r="D225" i="37" s="1"/>
  <c r="BK224" i="37"/>
  <c r="AU224" i="37"/>
  <c r="BA224" i="37" s="1"/>
  <c r="AA224" i="37"/>
  <c r="C224" i="37"/>
  <c r="D224" i="37" s="1"/>
  <c r="BK223" i="37"/>
  <c r="AU223" i="37"/>
  <c r="BA223" i="37" s="1"/>
  <c r="AQ223" i="37"/>
  <c r="AA223" i="37"/>
  <c r="AG223" i="37" s="1"/>
  <c r="C223" i="37"/>
  <c r="D223" i="37" s="1"/>
  <c r="BK222" i="37"/>
  <c r="BA222" i="37"/>
  <c r="AQ222" i="37"/>
  <c r="AG222" i="37"/>
  <c r="C222" i="37"/>
  <c r="D222" i="37" s="1"/>
  <c r="BK221" i="37"/>
  <c r="BA221" i="37"/>
  <c r="AU221" i="37"/>
  <c r="AQ221" i="37"/>
  <c r="AG221" i="37"/>
  <c r="AA221" i="37"/>
  <c r="Y221" i="37"/>
  <c r="C221" i="37"/>
  <c r="D221" i="37" s="1"/>
  <c r="AA218" i="37"/>
  <c r="Y218" i="37"/>
  <c r="C218" i="37"/>
  <c r="D218" i="37" s="1"/>
  <c r="BY217" i="37"/>
  <c r="CE217" i="37" s="1"/>
  <c r="BO217" i="37"/>
  <c r="BU217" i="37" s="1"/>
  <c r="BK217" i="37"/>
  <c r="AU217" i="37"/>
  <c r="BA217" i="37" s="1"/>
  <c r="AA217" i="37"/>
  <c r="AG217" i="37" s="1"/>
  <c r="C217" i="37"/>
  <c r="D217" i="37" s="1"/>
  <c r="BY216" i="37"/>
  <c r="CE216" i="37" s="1"/>
  <c r="BO216" i="37"/>
  <c r="BU216" i="37" s="1"/>
  <c r="BK216" i="37"/>
  <c r="AU216" i="37"/>
  <c r="BA216" i="37" s="1"/>
  <c r="AA216" i="37"/>
  <c r="C216" i="37"/>
  <c r="D216" i="37" s="1"/>
  <c r="BY215" i="37"/>
  <c r="CE215" i="37" s="1"/>
  <c r="BO215" i="37"/>
  <c r="BU215" i="37" s="1"/>
  <c r="BK215" i="37"/>
  <c r="AU215" i="37"/>
  <c r="BA215" i="37" s="1"/>
  <c r="AA215" i="37"/>
  <c r="C215" i="37"/>
  <c r="D215" i="37" s="1"/>
  <c r="BY214" i="37"/>
  <c r="CE214" i="37" s="1"/>
  <c r="BO214" i="37"/>
  <c r="BU214" i="37" s="1"/>
  <c r="AU214" i="37"/>
  <c r="BA214" i="37" s="1"/>
  <c r="AA214" i="37"/>
  <c r="AG214" i="37" s="1"/>
  <c r="C214" i="37"/>
  <c r="D214" i="37" s="1"/>
  <c r="BY213" i="37"/>
  <c r="CE213" i="37" s="1"/>
  <c r="BO213" i="37"/>
  <c r="BU213" i="37" s="1"/>
  <c r="BK213" i="37"/>
  <c r="AU213" i="37"/>
  <c r="BA213" i="37" s="1"/>
  <c r="AQ213" i="37"/>
  <c r="AA213" i="37"/>
  <c r="C213" i="37"/>
  <c r="D213" i="37" s="1"/>
  <c r="CE212" i="37"/>
  <c r="BY212" i="37"/>
  <c r="BU212" i="37"/>
  <c r="BO212" i="37"/>
  <c r="BK212" i="37"/>
  <c r="BA212" i="37"/>
  <c r="AU212" i="37"/>
  <c r="AA212" i="37"/>
  <c r="C212" i="37"/>
  <c r="D212" i="37" s="1"/>
  <c r="BY211" i="37"/>
  <c r="CE211" i="37" s="1"/>
  <c r="BO211" i="37"/>
  <c r="BU211" i="37" s="1"/>
  <c r="BK211" i="37"/>
  <c r="AU211" i="37"/>
  <c r="BA211" i="37" s="1"/>
  <c r="AA211" i="37"/>
  <c r="C211" i="37"/>
  <c r="D211" i="37" s="1"/>
  <c r="BY210" i="37"/>
  <c r="CE210" i="37" s="1"/>
  <c r="BO210" i="37"/>
  <c r="BU210" i="37" s="1"/>
  <c r="AU210" i="37"/>
  <c r="BA210" i="37" s="1"/>
  <c r="AA210" i="37"/>
  <c r="AG210" i="37" s="1"/>
  <c r="C210" i="37"/>
  <c r="D210" i="37" s="1"/>
  <c r="BY209" i="37"/>
  <c r="CE209" i="37" s="1"/>
  <c r="BO209" i="37"/>
  <c r="BU209" i="37" s="1"/>
  <c r="BK209" i="37"/>
  <c r="AU209" i="37"/>
  <c r="BA209" i="37" s="1"/>
  <c r="AQ209" i="37"/>
  <c r="AA209" i="37"/>
  <c r="C209" i="37"/>
  <c r="D209" i="37" s="1"/>
  <c r="BY208" i="37"/>
  <c r="CE208" i="37" s="1"/>
  <c r="BO208" i="37"/>
  <c r="BU208" i="37" s="1"/>
  <c r="BK208" i="37"/>
  <c r="AU208" i="37"/>
  <c r="BA208" i="37" s="1"/>
  <c r="AQ208" i="37"/>
  <c r="AA208" i="37"/>
  <c r="C208" i="37"/>
  <c r="D208" i="37" s="1"/>
  <c r="BY207" i="37"/>
  <c r="CE207" i="37" s="1"/>
  <c r="BO207" i="37"/>
  <c r="BU207" i="37" s="1"/>
  <c r="BK207" i="37"/>
  <c r="AU207" i="37"/>
  <c r="BA207" i="37" s="1"/>
  <c r="AA207" i="37"/>
  <c r="AG207" i="37" s="1"/>
  <c r="C207" i="37"/>
  <c r="D207" i="37" s="1"/>
  <c r="CE206" i="37"/>
  <c r="BY206" i="37"/>
  <c r="BU206" i="37"/>
  <c r="BO206" i="37"/>
  <c r="BK206" i="37"/>
  <c r="BA206" i="37"/>
  <c r="AU206" i="37"/>
  <c r="AA206" i="37"/>
  <c r="C206" i="37"/>
  <c r="D206" i="37" s="1"/>
  <c r="BK205" i="37"/>
  <c r="AU205" i="37"/>
  <c r="BA205" i="37" s="1"/>
  <c r="BK204" i="37"/>
  <c r="AU204" i="37"/>
  <c r="BA204" i="37" s="1"/>
  <c r="BK203" i="37"/>
  <c r="AU203" i="37"/>
  <c r="BA203" i="37" s="1"/>
  <c r="BK202" i="37"/>
  <c r="AU202" i="37"/>
  <c r="BA202" i="37" s="1"/>
  <c r="BK201" i="37"/>
  <c r="AU201" i="37"/>
  <c r="BA201" i="37" s="1"/>
  <c r="BK199" i="37"/>
  <c r="AU199" i="37"/>
  <c r="BA199" i="37" s="1"/>
  <c r="BK198" i="37"/>
  <c r="AU198" i="37"/>
  <c r="BA198" i="37" s="1"/>
  <c r="BK197" i="37"/>
  <c r="AU197" i="37"/>
  <c r="BA197" i="37" s="1"/>
  <c r="BK196" i="37"/>
  <c r="AU196" i="37"/>
  <c r="BA196" i="37" s="1"/>
  <c r="BK195" i="37"/>
  <c r="AU195" i="37"/>
  <c r="BA195" i="37" s="1"/>
  <c r="AA195" i="37"/>
  <c r="AA196" i="37"/>
  <c r="AA197" i="37"/>
  <c r="AG197" i="37" s="1"/>
  <c r="AA198" i="37"/>
  <c r="AA199" i="37"/>
  <c r="AA200" i="37"/>
  <c r="AA201" i="37"/>
  <c r="AG201" i="37" s="1"/>
  <c r="AA202" i="37"/>
  <c r="AG202" i="37" s="1"/>
  <c r="AA203" i="37"/>
  <c r="AA204" i="37"/>
  <c r="AA205" i="37"/>
  <c r="AG205" i="37" s="1"/>
  <c r="AA194" i="37"/>
  <c r="AQ205" i="37"/>
  <c r="AQ204" i="37"/>
  <c r="AQ203" i="37"/>
  <c r="AQ202" i="37"/>
  <c r="AQ201" i="37"/>
  <c r="C197" i="37"/>
  <c r="D197" i="37" s="1"/>
  <c r="C198" i="37"/>
  <c r="D198" i="37" s="1"/>
  <c r="C199" i="37"/>
  <c r="D199" i="37" s="1"/>
  <c r="C200" i="37"/>
  <c r="D200" i="37" s="1"/>
  <c r="C201" i="37"/>
  <c r="D201" i="37" s="1"/>
  <c r="C202" i="37"/>
  <c r="D202" i="37" s="1"/>
  <c r="C203" i="37"/>
  <c r="D203" i="37" s="1"/>
  <c r="C204" i="37"/>
  <c r="D204" i="37" s="1"/>
  <c r="C205" i="37"/>
  <c r="D205" i="37" s="1"/>
  <c r="AQ199" i="37"/>
  <c r="AQ198" i="37"/>
  <c r="AG198" i="37"/>
  <c r="AQ197" i="37"/>
  <c r="AQ196" i="37"/>
  <c r="AQ195" i="37"/>
  <c r="BY205" i="37"/>
  <c r="CE205" i="37" s="1"/>
  <c r="BO205" i="37"/>
  <c r="BU205" i="37" s="1"/>
  <c r="BY204" i="37"/>
  <c r="CE204" i="37" s="1"/>
  <c r="BO204" i="37"/>
  <c r="BU204" i="37" s="1"/>
  <c r="BY203" i="37"/>
  <c r="CE203" i="37" s="1"/>
  <c r="BO203" i="37"/>
  <c r="BU203" i="37" s="1"/>
  <c r="BY202" i="37"/>
  <c r="CE202" i="37" s="1"/>
  <c r="BO202" i="37"/>
  <c r="BU202" i="37" s="1"/>
  <c r="BY201" i="37"/>
  <c r="CE201" i="37" s="1"/>
  <c r="BO201" i="37"/>
  <c r="BU201" i="37" s="1"/>
  <c r="CE200" i="37"/>
  <c r="BY200" i="37"/>
  <c r="BU200" i="37"/>
  <c r="BO200" i="37"/>
  <c r="BY199" i="37"/>
  <c r="CE199" i="37" s="1"/>
  <c r="BO199" i="37"/>
  <c r="BU199" i="37" s="1"/>
  <c r="BY198" i="37"/>
  <c r="CE198" i="37" s="1"/>
  <c r="BO198" i="37"/>
  <c r="BU198" i="37" s="1"/>
  <c r="BY197" i="37"/>
  <c r="CE197" i="37" s="1"/>
  <c r="BO197" i="37"/>
  <c r="BU197" i="37" s="1"/>
  <c r="BY196" i="37"/>
  <c r="CE196" i="37" s="1"/>
  <c r="BO196" i="37"/>
  <c r="BU196" i="37" s="1"/>
  <c r="BY195" i="37"/>
  <c r="CE195" i="37" s="1"/>
  <c r="BO195" i="37"/>
  <c r="BU195" i="37" s="1"/>
  <c r="CE194" i="37"/>
  <c r="BY194" i="37"/>
  <c r="BU194" i="37"/>
  <c r="BO194" i="37"/>
  <c r="BK200" i="37"/>
  <c r="BK194" i="37"/>
  <c r="AU200" i="37"/>
  <c r="BA200" i="37"/>
  <c r="BA194" i="37"/>
  <c r="AU194" i="37"/>
  <c r="AQ254" i="37"/>
  <c r="AQ255" i="37"/>
  <c r="AQ257" i="37"/>
  <c r="AQ258" i="37"/>
  <c r="AQ256" i="37"/>
  <c r="AQ253" i="37"/>
  <c r="AQ264" i="37"/>
  <c r="AU264" i="37"/>
  <c r="AU255" i="37"/>
  <c r="BA255" i="37" s="1"/>
  <c r="AU258" i="37"/>
  <c r="BA258" i="37" s="1"/>
  <c r="AU254" i="37"/>
  <c r="BA254" i="37" s="1"/>
  <c r="AU257" i="37"/>
  <c r="BA257" i="37" s="1"/>
  <c r="BA264" i="37"/>
  <c r="BK264" i="37"/>
  <c r="BK187" i="37"/>
  <c r="BK193" i="37"/>
  <c r="BK189" i="37"/>
  <c r="BK185" i="37"/>
  <c r="AA185" i="37"/>
  <c r="AA187" i="37"/>
  <c r="AA193" i="37"/>
  <c r="AA189" i="37"/>
  <c r="AG189" i="37" s="1"/>
  <c r="AA191" i="37"/>
  <c r="AG191" i="37" s="1"/>
  <c r="AG185" i="37"/>
  <c r="AU185" i="37"/>
  <c r="AU187" i="37"/>
  <c r="BA187" i="37" s="1"/>
  <c r="AU193" i="37"/>
  <c r="BA193" i="37" s="1"/>
  <c r="AU189" i="37"/>
  <c r="BA189" i="37" s="1"/>
  <c r="AU191" i="37"/>
  <c r="BA191" i="37" s="1"/>
  <c r="BA185" i="37"/>
  <c r="BK190" i="37"/>
  <c r="BK186" i="37"/>
  <c r="BA190" i="37"/>
  <c r="BA186" i="37"/>
  <c r="AG190" i="37"/>
  <c r="AG186" i="37"/>
  <c r="AA71" i="37"/>
  <c r="Y71" i="37" s="1"/>
  <c r="AA72" i="37"/>
  <c r="Y72" i="37" s="1"/>
  <c r="AA73" i="37"/>
  <c r="Y73" i="37" s="1"/>
  <c r="AA74" i="37"/>
  <c r="Y74" i="37" s="1"/>
  <c r="AA75" i="37"/>
  <c r="Y75" i="37" s="1"/>
  <c r="AA76" i="37"/>
  <c r="Y76" i="37" s="1"/>
  <c r="AA77" i="37"/>
  <c r="Y77" i="37" s="1"/>
  <c r="AA78" i="37"/>
  <c r="Y78" i="37" s="1"/>
  <c r="AA79" i="37"/>
  <c r="Y79" i="37" s="1"/>
  <c r="AA80" i="37"/>
  <c r="Y80" i="37" s="1"/>
  <c r="AA81" i="37"/>
  <c r="Y81" i="37" s="1"/>
  <c r="AA82" i="37"/>
  <c r="Y82" i="37" s="1"/>
  <c r="AA83" i="37"/>
  <c r="Y83" i="37" s="1"/>
  <c r="AA84" i="37"/>
  <c r="Y84" i="37" s="1"/>
  <c r="AA85" i="37"/>
  <c r="Y85" i="37" s="1"/>
  <c r="AA86" i="37"/>
  <c r="Y86" i="37" s="1"/>
  <c r="AA87" i="37"/>
  <c r="Y87" i="37" s="1"/>
  <c r="AA88" i="37"/>
  <c r="Y88" i="37" s="1"/>
  <c r="AA89" i="37"/>
  <c r="Y89" i="37" s="1"/>
  <c r="AA90" i="37"/>
  <c r="Y90" i="37" s="1"/>
  <c r="AA91" i="37"/>
  <c r="AA92" i="37"/>
  <c r="Y92" i="37" s="1"/>
  <c r="AA93" i="37"/>
  <c r="Y93" i="37" s="1"/>
  <c r="AA94" i="37"/>
  <c r="Y94" i="37" s="1"/>
  <c r="AA95" i="37"/>
  <c r="Y95" i="37" s="1"/>
  <c r="AA96" i="37"/>
  <c r="Y96" i="37" s="1"/>
  <c r="AA97" i="37"/>
  <c r="Y97" i="37" s="1"/>
  <c r="AA98" i="37"/>
  <c r="Y98" i="37" s="1"/>
  <c r="AA99" i="37"/>
  <c r="Y99" i="37" s="1"/>
  <c r="AA100" i="37"/>
  <c r="AA101" i="37"/>
  <c r="Y101" i="37" s="1"/>
  <c r="AA102" i="37"/>
  <c r="Y102" i="37" s="1"/>
  <c r="AA103" i="37"/>
  <c r="AA104" i="37"/>
  <c r="Y104" i="37" s="1"/>
  <c r="AA105" i="37"/>
  <c r="Y105" i="37" s="1"/>
  <c r="AA106" i="37"/>
  <c r="Y106" i="37" s="1"/>
  <c r="AA107" i="37"/>
  <c r="Y107" i="37" s="1"/>
  <c r="AA108" i="37"/>
  <c r="Y108" i="37" s="1"/>
  <c r="AA109" i="37"/>
  <c r="Y109" i="37" s="1"/>
  <c r="AA110" i="37"/>
  <c r="Y110" i="37" s="1"/>
  <c r="AA111" i="37"/>
  <c r="Y111" i="37" s="1"/>
  <c r="AA112" i="37"/>
  <c r="AA113" i="37"/>
  <c r="Y113" i="37" s="1"/>
  <c r="AA114" i="37"/>
  <c r="Y114" i="37" s="1"/>
  <c r="AA115" i="37"/>
  <c r="Y115" i="37" s="1"/>
  <c r="AA116" i="37"/>
  <c r="AA117" i="37"/>
  <c r="Y117" i="37" s="1"/>
  <c r="AA118" i="37"/>
  <c r="Y118" i="37" s="1"/>
  <c r="AA119" i="37"/>
  <c r="Y119" i="37" s="1"/>
  <c r="AA120" i="37"/>
  <c r="Y120" i="37" s="1"/>
  <c r="AA121" i="37"/>
  <c r="Y121" i="37" s="1"/>
  <c r="AA122" i="37"/>
  <c r="Y122" i="37" s="1"/>
  <c r="AA123" i="37"/>
  <c r="Y123" i="37" s="1"/>
  <c r="AA124" i="37"/>
  <c r="Y124" i="37" s="1"/>
  <c r="AA125" i="37"/>
  <c r="Y125" i="37" s="1"/>
  <c r="AA126" i="37"/>
  <c r="Y126" i="37" s="1"/>
  <c r="AA127" i="37"/>
  <c r="Y127" i="37" s="1"/>
  <c r="AA128" i="37"/>
  <c r="Y128" i="37" s="1"/>
  <c r="AA129" i="37"/>
  <c r="Y129" i="37" s="1"/>
  <c r="AA130" i="37"/>
  <c r="Y130" i="37" s="1"/>
  <c r="AA131" i="37"/>
  <c r="Y131" i="37" s="1"/>
  <c r="AA132" i="37"/>
  <c r="AA133" i="37"/>
  <c r="Y133" i="37" s="1"/>
  <c r="AA134" i="37"/>
  <c r="Y134" i="37" s="1"/>
  <c r="AA135" i="37"/>
  <c r="Y135" i="37" s="1"/>
  <c r="AA136" i="37"/>
  <c r="AA137" i="37"/>
  <c r="AA138" i="37"/>
  <c r="Y138" i="37" s="1"/>
  <c r="AA139" i="37"/>
  <c r="Y139" i="37" s="1"/>
  <c r="AA140" i="37"/>
  <c r="Y140" i="37" s="1"/>
  <c r="AA141" i="37"/>
  <c r="Y141" i="37" s="1"/>
  <c r="AA142" i="37"/>
  <c r="Y142" i="37" s="1"/>
  <c r="AA143" i="37"/>
  <c r="Y143" i="37" s="1"/>
  <c r="AA144" i="37"/>
  <c r="Y144" i="37" s="1"/>
  <c r="AA145" i="37"/>
  <c r="AA146" i="37"/>
  <c r="Y146" i="37" s="1"/>
  <c r="AA147" i="37"/>
  <c r="Y147" i="37" s="1"/>
  <c r="AA148" i="37"/>
  <c r="Y148" i="37" s="1"/>
  <c r="AA149" i="37"/>
  <c r="AA150" i="37"/>
  <c r="Y150" i="37" s="1"/>
  <c r="AA151" i="37"/>
  <c r="Y151" i="37" s="1"/>
  <c r="AA152" i="37"/>
  <c r="Y152" i="37" s="1"/>
  <c r="AA153" i="37"/>
  <c r="AA154" i="37"/>
  <c r="Y154" i="37" s="1"/>
  <c r="AA155" i="37"/>
  <c r="Y155" i="37" s="1"/>
  <c r="AA156" i="37"/>
  <c r="Y156" i="37" s="1"/>
  <c r="AA157" i="37"/>
  <c r="Y157" i="37" s="1"/>
  <c r="AA158" i="37"/>
  <c r="Y158" i="37" s="1"/>
  <c r="AA159" i="37"/>
  <c r="Y159" i="37" s="1"/>
  <c r="AA160" i="37"/>
  <c r="AA161" i="37"/>
  <c r="Y161" i="37" s="1"/>
  <c r="AA162" i="37"/>
  <c r="Y162" i="37" s="1"/>
  <c r="AA163" i="37"/>
  <c r="Y163" i="37" s="1"/>
  <c r="AA164" i="37"/>
  <c r="Y164" i="37" s="1"/>
  <c r="AA165" i="37"/>
  <c r="Y165" i="37" s="1"/>
  <c r="AA166" i="37"/>
  <c r="Y166" i="37" s="1"/>
  <c r="AA167" i="37"/>
  <c r="Y167" i="37" s="1"/>
  <c r="AA168" i="37"/>
  <c r="Y168" i="37" s="1"/>
  <c r="AA169" i="37"/>
  <c r="Y169" i="37" s="1"/>
  <c r="AA170" i="37"/>
  <c r="Y170" i="37" s="1"/>
  <c r="AA171" i="37"/>
  <c r="AA172" i="37"/>
  <c r="Y172" i="37" s="1"/>
  <c r="AA173" i="37"/>
  <c r="AA174" i="37"/>
  <c r="Y174" i="37" s="1"/>
  <c r="AA175" i="37"/>
  <c r="Y175" i="37" s="1"/>
  <c r="AA176" i="37"/>
  <c r="Y176" i="37" s="1"/>
  <c r="AA177" i="37"/>
  <c r="Y177" i="37" s="1"/>
  <c r="AA178" i="37"/>
  <c r="Y178" i="37" s="1"/>
  <c r="AA179" i="37"/>
  <c r="Y179" i="37" s="1"/>
  <c r="AA180" i="37"/>
  <c r="Y180" i="37" s="1"/>
  <c r="AA181" i="37"/>
  <c r="Y181" i="37" s="1"/>
  <c r="AA182" i="37"/>
  <c r="AA70" i="37"/>
  <c r="AA19" i="37"/>
  <c r="Y19" i="37" s="1"/>
  <c r="AA20" i="37"/>
  <c r="Y20" i="37" s="1"/>
  <c r="AA21" i="37"/>
  <c r="Y21" i="37" s="1"/>
  <c r="AA22" i="37"/>
  <c r="Y22" i="37" s="1"/>
  <c r="AA23" i="37"/>
  <c r="Y23" i="37" s="1"/>
  <c r="AA24" i="37"/>
  <c r="Y24" i="37" s="1"/>
  <c r="AA25" i="37"/>
  <c r="Y25" i="37" s="1"/>
  <c r="AA6" i="37"/>
  <c r="AA26" i="37"/>
  <c r="Y26" i="37" s="1"/>
  <c r="AA7" i="37"/>
  <c r="Y7" i="37" s="1"/>
  <c r="AA8" i="37"/>
  <c r="Y8" i="37" s="1"/>
  <c r="AA9" i="37"/>
  <c r="Y9" i="37" s="1"/>
  <c r="AA10" i="37"/>
  <c r="Y10" i="37" s="1"/>
  <c r="AA11" i="37"/>
  <c r="Y11" i="37" s="1"/>
  <c r="AA27" i="37"/>
  <c r="Y27" i="37" s="1"/>
  <c r="AA28" i="37"/>
  <c r="Y28" i="37" s="1"/>
  <c r="AA29" i="37"/>
  <c r="Y29" i="37" s="1"/>
  <c r="AA30" i="37"/>
  <c r="AA31" i="37"/>
  <c r="Y31" i="37" s="1"/>
  <c r="AA32" i="37"/>
  <c r="Y32" i="37" s="1"/>
  <c r="AA33" i="37"/>
  <c r="Y33" i="37" s="1"/>
  <c r="AA34" i="37"/>
  <c r="Y34" i="37" s="1"/>
  <c r="AA35" i="37"/>
  <c r="Y35" i="37" s="1"/>
  <c r="AA36" i="37"/>
  <c r="Y36" i="37" s="1"/>
  <c r="AA37" i="37"/>
  <c r="Y37" i="37" s="1"/>
  <c r="AA38" i="37"/>
  <c r="Y38" i="37" s="1"/>
  <c r="AA39" i="37"/>
  <c r="AA40" i="37"/>
  <c r="Y40" i="37" s="1"/>
  <c r="AA41" i="37"/>
  <c r="Y41" i="37" s="1"/>
  <c r="AA42" i="37"/>
  <c r="Y42" i="37" s="1"/>
  <c r="AA43" i="37"/>
  <c r="Y43" i="37" s="1"/>
  <c r="AA44" i="37"/>
  <c r="Y44" i="37" s="1"/>
  <c r="AA45" i="37"/>
  <c r="Y45" i="37" s="1"/>
  <c r="AA46" i="37"/>
  <c r="Y46" i="37" s="1"/>
  <c r="AA47" i="37"/>
  <c r="Y47" i="37" s="1"/>
  <c r="AA48" i="37"/>
  <c r="Y48" i="37" s="1"/>
  <c r="AA49" i="37"/>
  <c r="Y49" i="37" s="1"/>
  <c r="AA50" i="37"/>
  <c r="Y50" i="37" s="1"/>
  <c r="AA51" i="37"/>
  <c r="Y51" i="37" s="1"/>
  <c r="AA52" i="37"/>
  <c r="Y52" i="37" s="1"/>
  <c r="AA53" i="37"/>
  <c r="Y53" i="37" s="1"/>
  <c r="AA54" i="37"/>
  <c r="Y54" i="37" s="1"/>
  <c r="AA55" i="37"/>
  <c r="Y55" i="37" s="1"/>
  <c r="AA56" i="37"/>
  <c r="Y56" i="37" s="1"/>
  <c r="AA57" i="37"/>
  <c r="Y57" i="37" s="1"/>
  <c r="AA58" i="37"/>
  <c r="Y58" i="37" s="1"/>
  <c r="AA59" i="37"/>
  <c r="Y59" i="37" s="1"/>
  <c r="AA60" i="37"/>
  <c r="Y60" i="37" s="1"/>
  <c r="AA61" i="37"/>
  <c r="Y61" i="37" s="1"/>
  <c r="AA62" i="37"/>
  <c r="Y62" i="37" s="1"/>
  <c r="AA63" i="37"/>
  <c r="Y63" i="37" s="1"/>
  <c r="AA64" i="37"/>
  <c r="AA65" i="37"/>
  <c r="Y65" i="37" s="1"/>
  <c r="AA66" i="37"/>
  <c r="Y66" i="37" s="1"/>
  <c r="AA67" i="37"/>
  <c r="AA5" i="37"/>
  <c r="Y91" i="37"/>
  <c r="Y103" i="37"/>
  <c r="Y112" i="37"/>
  <c r="Y136" i="37"/>
  <c r="Y160" i="37"/>
  <c r="Y171" i="37"/>
  <c r="Y182" i="37"/>
  <c r="Y70" i="37"/>
  <c r="Y30" i="37"/>
  <c r="Y39" i="37"/>
  <c r="Y67" i="37"/>
  <c r="AQ193" i="37"/>
  <c r="AQ187" i="37"/>
  <c r="AQ191" i="37"/>
  <c r="AQ185" i="37"/>
  <c r="AQ190" i="37"/>
  <c r="AQ186" i="37"/>
  <c r="C185" i="37"/>
  <c r="D185" i="37" s="1"/>
  <c r="AI70" i="37"/>
  <c r="W41" i="37"/>
  <c r="AS66" i="37"/>
  <c r="AS65" i="37"/>
  <c r="AS62" i="37"/>
  <c r="AS61" i="37"/>
  <c r="AS58" i="37"/>
  <c r="AS57" i="37"/>
  <c r="AS54" i="37"/>
  <c r="AS53" i="37"/>
  <c r="AS51" i="37"/>
  <c r="AS50" i="37"/>
  <c r="AS49" i="37"/>
  <c r="AS46" i="37"/>
  <c r="AS45" i="37"/>
  <c r="AS42" i="37"/>
  <c r="AS41" i="37"/>
  <c r="AS39" i="37"/>
  <c r="AS67" i="37"/>
  <c r="AS30" i="37"/>
  <c r="AS34" i="37"/>
  <c r="AS38" i="37"/>
  <c r="AI179" i="37"/>
  <c r="AI175" i="37"/>
  <c r="AI167" i="37"/>
  <c r="AI163" i="37"/>
  <c r="AI160" i="37"/>
  <c r="I111" i="12" l="1"/>
  <c r="I62" i="12"/>
  <c r="AT9" i="19" s="1"/>
  <c r="BV2" i="19" s="1"/>
  <c r="BV6" i="19" s="1"/>
  <c r="I85" i="12"/>
  <c r="W26" i="37"/>
  <c r="W23" i="37"/>
  <c r="AE4" i="19"/>
  <c r="AJ4" i="19" s="1"/>
  <c r="I52" i="12"/>
  <c r="BR6" i="19"/>
  <c r="I103" i="12"/>
  <c r="J99" i="12"/>
  <c r="J103" i="12" s="1"/>
  <c r="J49" i="12"/>
  <c r="AE5" i="19"/>
  <c r="AJ5" i="19" s="1"/>
  <c r="AL5" i="19" s="1"/>
  <c r="BB6" i="19"/>
  <c r="BN9" i="19"/>
  <c r="W33" i="37"/>
  <c r="W57" i="37"/>
  <c r="W256" i="37"/>
  <c r="W29" i="37"/>
  <c r="W20" i="37"/>
  <c r="W45" i="37"/>
  <c r="W49" i="37"/>
  <c r="W196" i="37"/>
  <c r="W199" i="37"/>
  <c r="W18" i="37"/>
  <c r="W202" i="37"/>
  <c r="W222" i="37"/>
  <c r="Y64" i="37"/>
  <c r="W64" i="37"/>
  <c r="Y6" i="37"/>
  <c r="W6" i="37"/>
  <c r="Y132" i="37"/>
  <c r="W132" i="37"/>
  <c r="AG195" i="37"/>
  <c r="W195" i="37"/>
  <c r="AG209" i="37"/>
  <c r="W209" i="37"/>
  <c r="AG224" i="37"/>
  <c r="W224" i="37"/>
  <c r="W198" i="37"/>
  <c r="AG208" i="37"/>
  <c r="W208" i="37"/>
  <c r="AG216" i="37"/>
  <c r="W216" i="37"/>
  <c r="AG233" i="37"/>
  <c r="W233" i="37"/>
  <c r="AG235" i="37"/>
  <c r="W235" i="37"/>
  <c r="AG241" i="37"/>
  <c r="W241" i="37"/>
  <c r="AG243" i="37"/>
  <c r="W243" i="37"/>
  <c r="AG249" i="37"/>
  <c r="W249" i="37"/>
  <c r="AG263" i="37"/>
  <c r="W263" i="37"/>
  <c r="W179" i="37"/>
  <c r="W175" i="37"/>
  <c r="W167" i="37"/>
  <c r="W163" i="37"/>
  <c r="W159" i="37"/>
  <c r="W155" i="37"/>
  <c r="W151" i="37"/>
  <c r="W147" i="37"/>
  <c r="W143" i="37"/>
  <c r="W139" i="37"/>
  <c r="W135" i="37"/>
  <c r="W131" i="37"/>
  <c r="W127" i="37"/>
  <c r="W123" i="37"/>
  <c r="W119" i="37"/>
  <c r="W115" i="37"/>
  <c r="W111" i="37"/>
  <c r="W107" i="37"/>
  <c r="W103" i="37"/>
  <c r="W99" i="37"/>
  <c r="W95" i="37"/>
  <c r="W87" i="37"/>
  <c r="W83" i="37"/>
  <c r="W79" i="37"/>
  <c r="W75" i="37"/>
  <c r="W71" i="37"/>
  <c r="W217" i="37"/>
  <c r="W191" i="37"/>
  <c r="W262" i="37"/>
  <c r="W250" i="37"/>
  <c r="W238" i="37"/>
  <c r="Y116" i="37"/>
  <c r="W116" i="37"/>
  <c r="Y100" i="37"/>
  <c r="W100" i="37"/>
  <c r="AG211" i="37"/>
  <c r="W211" i="37"/>
  <c r="AG236" i="37"/>
  <c r="W236" i="37"/>
  <c r="AG244" i="37"/>
  <c r="W244" i="37"/>
  <c r="W22" i="37"/>
  <c r="AG193" i="37"/>
  <c r="W193" i="37"/>
  <c r="W60" i="37"/>
  <c r="AG187" i="37"/>
  <c r="W187" i="37"/>
  <c r="AG196" i="37"/>
  <c r="AG226" i="37"/>
  <c r="W226" i="37"/>
  <c r="AG237" i="37"/>
  <c r="W237" i="37"/>
  <c r="AG245" i="37"/>
  <c r="W245" i="37"/>
  <c r="AG248" i="37"/>
  <c r="W248" i="37"/>
  <c r="AG251" i="37"/>
  <c r="W251" i="37"/>
  <c r="AG257" i="37"/>
  <c r="W257" i="37"/>
  <c r="AG261" i="37"/>
  <c r="W261" i="37"/>
  <c r="W37" i="37"/>
  <c r="W66" i="37"/>
  <c r="W62" i="37"/>
  <c r="W58" i="37"/>
  <c r="W24" i="37"/>
  <c r="W181" i="37"/>
  <c r="W157" i="37"/>
  <c r="W205" i="37"/>
  <c r="W201" i="37"/>
  <c r="W197" i="37"/>
  <c r="W214" i="37"/>
  <c r="W210" i="37"/>
  <c r="W258" i="37"/>
  <c r="AG203" i="37"/>
  <c r="W203" i="37"/>
  <c r="AG231" i="37"/>
  <c r="W231" i="37"/>
  <c r="Y173" i="37"/>
  <c r="W173" i="37"/>
  <c r="Y153" i="37"/>
  <c r="W153" i="37"/>
  <c r="Y149" i="37"/>
  <c r="W149" i="37"/>
  <c r="Y145" i="37"/>
  <c r="W145" i="37"/>
  <c r="Y137" i="37"/>
  <c r="W137" i="37"/>
  <c r="AG199" i="37"/>
  <c r="AG204" i="37"/>
  <c r="W204" i="37"/>
  <c r="AG213" i="37"/>
  <c r="W213" i="37"/>
  <c r="AG215" i="37"/>
  <c r="W215" i="37"/>
  <c r="AG227" i="37"/>
  <c r="W227" i="37"/>
  <c r="AG229" i="37"/>
  <c r="W229" i="37"/>
  <c r="AG232" i="37"/>
  <c r="W232" i="37"/>
  <c r="AG239" i="37"/>
  <c r="W239" i="37"/>
  <c r="AG247" i="37"/>
  <c r="W247" i="37"/>
  <c r="AG255" i="37"/>
  <c r="W255" i="37"/>
  <c r="AG260" i="37"/>
  <c r="W260" i="37"/>
  <c r="W10" i="37"/>
  <c r="W165" i="37"/>
  <c r="W133" i="37"/>
  <c r="W129" i="37"/>
  <c r="W125" i="37"/>
  <c r="W121" i="37"/>
  <c r="W117" i="37"/>
  <c r="W113" i="37"/>
  <c r="W109" i="37"/>
  <c r="W105" i="37"/>
  <c r="W101" i="37"/>
  <c r="W97" i="37"/>
  <c r="W93" i="37"/>
  <c r="W89" i="37"/>
  <c r="W56" i="37"/>
  <c r="W177" i="37"/>
  <c r="W141" i="37"/>
  <c r="W259" i="37"/>
  <c r="W207" i="37"/>
  <c r="W223" i="37"/>
  <c r="W254" i="37"/>
  <c r="W242" i="37"/>
  <c r="W230" i="37"/>
  <c r="W85" i="37"/>
  <c r="W81" i="37"/>
  <c r="W77" i="37"/>
  <c r="W73" i="37"/>
  <c r="W189" i="37"/>
  <c r="BK210" i="37"/>
  <c r="BK214" i="37"/>
  <c r="W90" i="37"/>
  <c r="W82" i="37"/>
  <c r="W74" i="37"/>
  <c r="W170" i="37"/>
  <c r="W166" i="37"/>
  <c r="W162" i="37"/>
  <c r="W128" i="37"/>
  <c r="W124" i="37"/>
  <c r="W120" i="37"/>
  <c r="W108" i="37"/>
  <c r="W104" i="37"/>
  <c r="W96" i="37"/>
  <c r="W92" i="37"/>
  <c r="W88" i="37"/>
  <c r="W86" i="37"/>
  <c r="W84" i="37"/>
  <c r="W80" i="37"/>
  <c r="W78" i="37"/>
  <c r="W76" i="37"/>
  <c r="W72" i="37"/>
  <c r="W174" i="37"/>
  <c r="W158" i="37"/>
  <c r="W154" i="37"/>
  <c r="W150" i="37"/>
  <c r="W146" i="37"/>
  <c r="W142" i="37"/>
  <c r="W138" i="37"/>
  <c r="W134" i="37"/>
  <c r="W130" i="37"/>
  <c r="W126" i="37"/>
  <c r="W122" i="37"/>
  <c r="W118" i="37"/>
  <c r="W114" i="37"/>
  <c r="W110" i="37"/>
  <c r="W106" i="37"/>
  <c r="W102" i="37"/>
  <c r="W98" i="37"/>
  <c r="W94" i="37"/>
  <c r="W168" i="37"/>
  <c r="W164" i="37"/>
  <c r="W156" i="37"/>
  <c r="W152" i="37"/>
  <c r="W148" i="37"/>
  <c r="W144" i="37"/>
  <c r="W140" i="37"/>
  <c r="W180" i="37"/>
  <c r="W176" i="37"/>
  <c r="W172" i="37"/>
  <c r="W178" i="37"/>
  <c r="W169" i="37"/>
  <c r="W161" i="37"/>
  <c r="W65" i="37"/>
  <c r="W44" i="37"/>
  <c r="W61" i="37"/>
  <c r="W42" i="37"/>
  <c r="W46" i="37"/>
  <c r="W40" i="37"/>
  <c r="W34" i="37"/>
  <c r="W7" i="37"/>
  <c r="W32" i="37"/>
  <c r="W9" i="37"/>
  <c r="W38" i="37"/>
  <c r="W36" i="37"/>
  <c r="W28" i="37"/>
  <c r="W30" i="37"/>
  <c r="W19" i="37"/>
  <c r="W11" i="37"/>
  <c r="AS44" i="37"/>
  <c r="AS56" i="37"/>
  <c r="AS64" i="37"/>
  <c r="AS28" i="37"/>
  <c r="AS32" i="37"/>
  <c r="W50" i="37"/>
  <c r="W54" i="37"/>
  <c r="W53" i="37"/>
  <c r="W48" i="37"/>
  <c r="W52" i="37"/>
  <c r="W63" i="37"/>
  <c r="W59" i="37"/>
  <c r="W55" i="37"/>
  <c r="W51" i="37"/>
  <c r="W47" i="37"/>
  <c r="W43" i="37"/>
  <c r="W35" i="37"/>
  <c r="W31" i="37"/>
  <c r="W27" i="37"/>
  <c r="W8" i="37"/>
  <c r="W25" i="37"/>
  <c r="W21" i="37"/>
  <c r="AI159" i="37"/>
  <c r="AI158" i="37"/>
  <c r="AI157" i="37"/>
  <c r="AI156" i="37"/>
  <c r="AI155" i="37"/>
  <c r="AI154" i="37"/>
  <c r="AI153" i="37"/>
  <c r="AI152" i="37"/>
  <c r="AI151" i="37"/>
  <c r="AI150" i="37"/>
  <c r="AI149" i="37"/>
  <c r="AI148" i="37"/>
  <c r="AI147" i="37"/>
  <c r="AI146" i="37"/>
  <c r="AI145" i="37"/>
  <c r="AI144" i="37"/>
  <c r="AI143" i="37"/>
  <c r="AI142" i="37"/>
  <c r="AI141" i="37"/>
  <c r="AI140" i="37"/>
  <c r="AI139" i="37"/>
  <c r="AI138" i="37"/>
  <c r="AI137" i="37"/>
  <c r="AI130" i="37"/>
  <c r="C130" i="37"/>
  <c r="D130" i="37" s="1"/>
  <c r="AI134" i="37"/>
  <c r="AI135" i="37"/>
  <c r="AI136" i="37"/>
  <c r="AI133" i="37"/>
  <c r="AI126" i="37"/>
  <c r="AI128" i="37"/>
  <c r="AI129" i="37"/>
  <c r="AI131" i="37"/>
  <c r="AI132" i="37"/>
  <c r="AI127" i="37"/>
  <c r="AI125" i="37"/>
  <c r="AI111" i="37"/>
  <c r="AI110" i="37"/>
  <c r="AI109" i="37"/>
  <c r="AI108" i="37"/>
  <c r="AI107" i="37"/>
  <c r="AI106" i="37"/>
  <c r="AI105" i="37"/>
  <c r="AI104" i="37"/>
  <c r="AI103" i="37"/>
  <c r="AI102" i="37"/>
  <c r="AI101" i="37"/>
  <c r="AI100" i="37"/>
  <c r="AI99" i="37"/>
  <c r="AI98" i="37"/>
  <c r="AI97" i="37"/>
  <c r="AI96" i="37"/>
  <c r="AI95" i="37"/>
  <c r="AI94" i="37"/>
  <c r="AI93" i="37"/>
  <c r="AI92" i="37"/>
  <c r="AI91" i="37"/>
  <c r="AI72" i="37"/>
  <c r="AI74" i="37"/>
  <c r="AI75" i="37"/>
  <c r="AI76" i="37"/>
  <c r="AI77" i="37"/>
  <c r="AI78" i="37"/>
  <c r="AI80" i="37"/>
  <c r="AI81" i="37"/>
  <c r="AI86" i="37"/>
  <c r="AI87" i="37"/>
  <c r="AI90" i="37"/>
  <c r="AI112" i="37"/>
  <c r="AI113" i="37"/>
  <c r="AI115" i="37"/>
  <c r="AI116" i="37"/>
  <c r="AI119" i="37"/>
  <c r="AI120" i="37"/>
  <c r="AI121" i="37"/>
  <c r="AI123" i="37"/>
  <c r="AI124" i="37"/>
  <c r="AI71" i="37"/>
  <c r="AI73" i="37"/>
  <c r="AI79" i="37"/>
  <c r="AI82" i="37"/>
  <c r="AI83" i="37"/>
  <c r="AI84" i="37"/>
  <c r="AI85" i="37"/>
  <c r="AI88" i="37"/>
  <c r="AI89" i="37"/>
  <c r="AI114" i="37"/>
  <c r="AI117" i="37"/>
  <c r="AI118" i="37"/>
  <c r="AI122" i="37"/>
  <c r="AI171" i="37"/>
  <c r="AI182" i="37"/>
  <c r="AI66" i="37"/>
  <c r="AI65" i="37"/>
  <c r="AI64" i="37"/>
  <c r="AI63" i="37"/>
  <c r="AI62" i="37"/>
  <c r="AI61" i="37"/>
  <c r="AI60" i="37"/>
  <c r="AI59" i="37"/>
  <c r="AI58" i="37"/>
  <c r="AI57" i="37"/>
  <c r="AI56" i="37"/>
  <c r="AI55" i="37"/>
  <c r="AI54" i="37"/>
  <c r="AI53" i="37"/>
  <c r="AI52" i="37"/>
  <c r="AI51" i="37"/>
  <c r="AI50" i="37"/>
  <c r="AI49" i="37"/>
  <c r="AI48" i="37"/>
  <c r="AI47" i="37"/>
  <c r="AI46" i="37"/>
  <c r="AI45" i="37"/>
  <c r="AI44" i="37"/>
  <c r="AI43" i="37"/>
  <c r="AI42" i="37"/>
  <c r="AI41" i="37"/>
  <c r="AI40" i="37"/>
  <c r="C49" i="37"/>
  <c r="D49" i="37" s="1"/>
  <c r="AI10" i="37"/>
  <c r="AI6" i="37"/>
  <c r="AI26" i="37"/>
  <c r="AI11" i="37"/>
  <c r="AI7" i="37"/>
  <c r="AI28" i="37"/>
  <c r="AI29" i="37"/>
  <c r="AI32" i="37"/>
  <c r="AI33" i="37"/>
  <c r="AI8" i="37"/>
  <c r="AI9" i="37"/>
  <c r="AI27" i="37"/>
  <c r="C26" i="37"/>
  <c r="D26" i="37" s="1"/>
  <c r="AI19" i="37"/>
  <c r="AI21" i="37"/>
  <c r="AI22" i="37"/>
  <c r="AI23" i="37"/>
  <c r="AI20" i="37"/>
  <c r="AI24" i="37"/>
  <c r="AI25" i="37"/>
  <c r="AI31" i="37"/>
  <c r="AI35" i="37"/>
  <c r="AI36" i="37"/>
  <c r="AI38" i="37"/>
  <c r="AI39" i="37"/>
  <c r="AI67" i="37"/>
  <c r="AI18" i="37"/>
  <c r="AI37" i="37"/>
  <c r="AI30" i="37"/>
  <c r="AI34" i="37"/>
  <c r="AB67" i="37"/>
  <c r="C67" i="37"/>
  <c r="D67" i="37" s="1"/>
  <c r="C38" i="37"/>
  <c r="D38" i="37" s="1"/>
  <c r="C37" i="37"/>
  <c r="D37" i="37" s="1"/>
  <c r="C36" i="37"/>
  <c r="D36" i="37" s="1"/>
  <c r="C35" i="37"/>
  <c r="D35" i="37" s="1"/>
  <c r="C34" i="37"/>
  <c r="D34" i="37" s="1"/>
  <c r="C33" i="37"/>
  <c r="D33" i="37" s="1"/>
  <c r="AF32" i="37"/>
  <c r="C32" i="37"/>
  <c r="D32" i="37" s="1"/>
  <c r="C31" i="37"/>
  <c r="D31" i="37" s="1"/>
  <c r="C30" i="37"/>
  <c r="D30" i="37" s="1"/>
  <c r="C29" i="37"/>
  <c r="D29" i="37" s="1"/>
  <c r="C28" i="37"/>
  <c r="D28" i="37" s="1"/>
  <c r="C27" i="37"/>
  <c r="D27" i="37" s="1"/>
  <c r="C66" i="37"/>
  <c r="D66" i="37" s="1"/>
  <c r="C65" i="37"/>
  <c r="D65" i="37" s="1"/>
  <c r="C64" i="37"/>
  <c r="D64" i="37" s="1"/>
  <c r="C63" i="37"/>
  <c r="D63" i="37" s="1"/>
  <c r="C62" i="37"/>
  <c r="D62" i="37" s="1"/>
  <c r="C61" i="37"/>
  <c r="D61" i="37" s="1"/>
  <c r="AF60" i="37"/>
  <c r="C60" i="37"/>
  <c r="D60" i="37" s="1"/>
  <c r="C59" i="37"/>
  <c r="D59" i="37" s="1"/>
  <c r="C58" i="37"/>
  <c r="D58" i="37" s="1"/>
  <c r="C57" i="37"/>
  <c r="D57" i="37" s="1"/>
  <c r="C56" i="37"/>
  <c r="D56" i="37" s="1"/>
  <c r="C55" i="37"/>
  <c r="D55" i="37" s="1"/>
  <c r="C50" i="37"/>
  <c r="D50" i="37" s="1"/>
  <c r="AF54" i="37"/>
  <c r="C54" i="37"/>
  <c r="D54" i="37" s="1"/>
  <c r="C52" i="37"/>
  <c r="D52" i="37" s="1"/>
  <c r="C48" i="37"/>
  <c r="D48" i="37" s="1"/>
  <c r="C53" i="37"/>
  <c r="D53" i="37" s="1"/>
  <c r="AF51" i="37"/>
  <c r="C51" i="37"/>
  <c r="D51" i="37" s="1"/>
  <c r="C47" i="37"/>
  <c r="D47" i="37" s="1"/>
  <c r="C46" i="37"/>
  <c r="D46" i="37" s="1"/>
  <c r="C45" i="37"/>
  <c r="D45" i="37" s="1"/>
  <c r="C44" i="37"/>
  <c r="C43" i="37"/>
  <c r="C42" i="37"/>
  <c r="C41" i="37"/>
  <c r="D41" i="37" s="1"/>
  <c r="C40" i="37"/>
  <c r="D40" i="37" s="1"/>
  <c r="AB39" i="37"/>
  <c r="C39" i="37"/>
  <c r="D39" i="37" s="1"/>
  <c r="C7" i="37"/>
  <c r="D7" i="37" s="1"/>
  <c r="AF11" i="37"/>
  <c r="C11" i="37"/>
  <c r="D11" i="37" s="1"/>
  <c r="C9" i="37"/>
  <c r="D9" i="37" s="1"/>
  <c r="C6" i="37"/>
  <c r="D6" i="37" s="1"/>
  <c r="C10" i="37"/>
  <c r="D10" i="37" s="1"/>
  <c r="AF8" i="37"/>
  <c r="C8" i="37"/>
  <c r="D8" i="37" s="1"/>
  <c r="C25" i="37"/>
  <c r="D25" i="37" s="1"/>
  <c r="C24" i="37"/>
  <c r="D24" i="37" s="1"/>
  <c r="C23" i="37"/>
  <c r="D23" i="37" s="1"/>
  <c r="C22" i="37"/>
  <c r="D22" i="37" s="1"/>
  <c r="C21" i="37"/>
  <c r="D21" i="37" s="1"/>
  <c r="C20" i="37"/>
  <c r="D20" i="37" s="1"/>
  <c r="AF19" i="37"/>
  <c r="C19" i="37"/>
  <c r="D19" i="37" s="1"/>
  <c r="C18" i="37"/>
  <c r="D18" i="37" s="1"/>
  <c r="AB5" i="37"/>
  <c r="C5" i="37"/>
  <c r="D5" i="37" s="1"/>
  <c r="BV9" i="19" l="1"/>
  <c r="AB13" i="19"/>
  <c r="AJ9" i="19"/>
  <c r="AL4" i="19"/>
  <c r="AL9" i="19" s="1"/>
  <c r="AF130" i="37"/>
  <c r="AD130" i="37"/>
  <c r="AF49" i="37"/>
  <c r="AF26" i="37"/>
  <c r="AF28" i="37"/>
  <c r="AD28" i="37"/>
  <c r="AF56" i="37"/>
  <c r="AD56" i="37"/>
  <c r="AF44" i="37"/>
  <c r="AD51" i="37"/>
  <c r="AD60" i="37"/>
  <c r="AD32" i="37"/>
  <c r="AF36" i="37"/>
  <c r="AD27" i="37"/>
  <c r="AD31" i="37"/>
  <c r="AD34" i="37"/>
  <c r="AD35" i="37"/>
  <c r="AF27" i="37"/>
  <c r="AF29" i="37"/>
  <c r="AF31" i="37"/>
  <c r="AF33" i="37"/>
  <c r="AF35" i="37"/>
  <c r="AF37" i="37"/>
  <c r="AF64" i="37"/>
  <c r="AD55" i="37"/>
  <c r="AD59" i="37"/>
  <c r="AD62" i="37"/>
  <c r="AD63" i="37"/>
  <c r="AF55" i="37"/>
  <c r="AF57" i="37"/>
  <c r="AF59" i="37"/>
  <c r="AF61" i="37"/>
  <c r="AF63" i="37"/>
  <c r="AF65" i="37"/>
  <c r="AD43" i="37"/>
  <c r="AD54" i="37"/>
  <c r="AD47" i="37"/>
  <c r="AF40" i="37"/>
  <c r="AD48" i="37"/>
  <c r="AF41" i="37"/>
  <c r="AF43" i="37"/>
  <c r="AF45" i="37"/>
  <c r="AF47" i="37"/>
  <c r="AF53" i="37"/>
  <c r="AF50" i="37"/>
  <c r="AF22" i="37"/>
  <c r="AD22" i="37"/>
  <c r="AD19" i="37"/>
  <c r="AD8" i="37"/>
  <c r="AD11" i="37"/>
  <c r="AD25" i="37"/>
  <c r="AD21" i="37"/>
  <c r="AD24" i="37"/>
  <c r="AF20" i="37"/>
  <c r="AF23" i="37"/>
  <c r="AF25" i="37"/>
  <c r="AF10" i="37"/>
  <c r="AF7" i="37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0" i="13"/>
  <c r="C31" i="13"/>
  <c r="D31" i="13"/>
  <c r="C32" i="13"/>
  <c r="D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39" i="13"/>
  <c r="D39" i="13"/>
  <c r="C40" i="13"/>
  <c r="D40" i="13"/>
  <c r="C41" i="13"/>
  <c r="D41" i="13"/>
  <c r="C42" i="13"/>
  <c r="D42" i="13"/>
  <c r="C43" i="13"/>
  <c r="D43" i="13"/>
  <c r="C44" i="13"/>
  <c r="D44" i="13"/>
  <c r="C45" i="13"/>
  <c r="D45" i="13"/>
  <c r="C46" i="13"/>
  <c r="D46" i="13"/>
  <c r="C47" i="13"/>
  <c r="D47" i="13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55" i="13"/>
  <c r="D55" i="13"/>
  <c r="C56" i="13"/>
  <c r="D56" i="13"/>
  <c r="C57" i="13"/>
  <c r="D57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109" i="13"/>
  <c r="D109" i="13"/>
  <c r="C110" i="13"/>
  <c r="D110" i="13"/>
  <c r="C111" i="13"/>
  <c r="D111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7" i="13"/>
  <c r="D127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150" i="13"/>
  <c r="D150" i="13"/>
  <c r="C151" i="13"/>
  <c r="D151" i="13"/>
  <c r="C152" i="13"/>
  <c r="D152" i="13"/>
  <c r="C153" i="13"/>
  <c r="D153" i="13"/>
  <c r="C154" i="13"/>
  <c r="D154" i="13"/>
  <c r="C155" i="13"/>
  <c r="D155" i="13"/>
  <c r="C156" i="13"/>
  <c r="D156" i="13"/>
  <c r="C157" i="13"/>
  <c r="D157" i="13"/>
  <c r="C158" i="13"/>
  <c r="D158" i="13"/>
  <c r="C159" i="13"/>
  <c r="D159" i="13"/>
  <c r="C160" i="13"/>
  <c r="D160" i="13"/>
  <c r="C5" i="14"/>
  <c r="D5" i="14"/>
  <c r="C6" i="14"/>
  <c r="D6" i="14"/>
  <c r="C7" i="14"/>
  <c r="D7" i="14"/>
  <c r="C8" i="14"/>
  <c r="D8" i="14"/>
  <c r="C9" i="14"/>
  <c r="D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C201" i="14"/>
  <c r="D201" i="14"/>
  <c r="C202" i="14"/>
  <c r="D202" i="14"/>
  <c r="C203" i="14"/>
  <c r="D203" i="14"/>
  <c r="C204" i="14"/>
  <c r="D204" i="14"/>
  <c r="C205" i="14"/>
  <c r="D205" i="14"/>
  <c r="C206" i="14"/>
  <c r="D206" i="14"/>
  <c r="C207" i="14"/>
  <c r="D207" i="14"/>
  <c r="C208" i="14"/>
  <c r="D208" i="14"/>
  <c r="C209" i="14"/>
  <c r="D209" i="14"/>
  <c r="C210" i="14"/>
  <c r="D210" i="14"/>
  <c r="C211" i="14"/>
  <c r="D211" i="14"/>
  <c r="C212" i="14"/>
  <c r="D212" i="14"/>
  <c r="C213" i="14"/>
  <c r="D213" i="14"/>
  <c r="C214" i="14"/>
  <c r="D214" i="14"/>
  <c r="C215" i="14"/>
  <c r="D215" i="14"/>
  <c r="C216" i="14"/>
  <c r="D216" i="14"/>
  <c r="C217" i="14"/>
  <c r="D217" i="14"/>
  <c r="C218" i="14"/>
  <c r="D218" i="14"/>
  <c r="C219" i="14"/>
  <c r="D219" i="14"/>
  <c r="C220" i="14"/>
  <c r="D220" i="14"/>
  <c r="C221" i="14"/>
  <c r="D221" i="14"/>
  <c r="C222" i="14"/>
  <c r="D222" i="14"/>
  <c r="C223" i="14"/>
  <c r="D223" i="14"/>
  <c r="C224" i="14"/>
  <c r="D224" i="14"/>
  <c r="C225" i="14"/>
  <c r="D225" i="14"/>
  <c r="C226" i="14"/>
  <c r="D226" i="14"/>
  <c r="C227" i="14"/>
  <c r="D227" i="14"/>
  <c r="C228" i="14"/>
  <c r="D228" i="14"/>
  <c r="C229" i="14"/>
  <c r="D229" i="14"/>
  <c r="C230" i="14"/>
  <c r="D230" i="14"/>
  <c r="C231" i="14"/>
  <c r="D231" i="14"/>
  <c r="C232" i="14"/>
  <c r="D232" i="14"/>
  <c r="C233" i="14"/>
  <c r="D233" i="14"/>
  <c r="C234" i="14"/>
  <c r="D234" i="14"/>
  <c r="C235" i="14"/>
  <c r="D235" i="14"/>
  <c r="C236" i="14"/>
  <c r="D236" i="14"/>
  <c r="C237" i="14"/>
  <c r="D237" i="14"/>
  <c r="C238" i="14"/>
  <c r="D238" i="14"/>
  <c r="C239" i="14"/>
  <c r="D239" i="14"/>
  <c r="C240" i="14"/>
  <c r="D240" i="14"/>
  <c r="C241" i="14"/>
  <c r="D241" i="14"/>
  <c r="C242" i="14"/>
  <c r="D242" i="14"/>
  <c r="C243" i="14"/>
  <c r="D243" i="14"/>
  <c r="C244" i="14"/>
  <c r="D244" i="14"/>
  <c r="C245" i="14"/>
  <c r="D245" i="14"/>
  <c r="C246" i="14"/>
  <c r="D246" i="14"/>
  <c r="C247" i="14"/>
  <c r="D247" i="14"/>
  <c r="C248" i="14"/>
  <c r="D248" i="14"/>
  <c r="C249" i="14"/>
  <c r="D249" i="14"/>
  <c r="C250" i="14"/>
  <c r="D250" i="14"/>
  <c r="C251" i="14"/>
  <c r="D251" i="14"/>
  <c r="C252" i="14"/>
  <c r="D252" i="14"/>
  <c r="C253" i="14"/>
  <c r="D253" i="14"/>
  <c r="C254" i="14"/>
  <c r="D254" i="14"/>
  <c r="C255" i="14"/>
  <c r="D255" i="14"/>
  <c r="C256" i="14"/>
  <c r="D256" i="14"/>
  <c r="C257" i="14"/>
  <c r="D257" i="14"/>
  <c r="C258" i="14"/>
  <c r="D258" i="14"/>
  <c r="AD49" i="37" l="1"/>
  <c r="AD26" i="37"/>
  <c r="AF52" i="37"/>
  <c r="AF9" i="37"/>
  <c r="AD36" i="37"/>
  <c r="AD64" i="37"/>
  <c r="AD44" i="37"/>
  <c r="AF38" i="37"/>
  <c r="AD33" i="37"/>
  <c r="AD38" i="37"/>
  <c r="AD37" i="37"/>
  <c r="AF34" i="37"/>
  <c r="AF30" i="37"/>
  <c r="AD29" i="37"/>
  <c r="AD30" i="37"/>
  <c r="AF66" i="37"/>
  <c r="AD61" i="37"/>
  <c r="AD66" i="37"/>
  <c r="AD65" i="37"/>
  <c r="AF62" i="37"/>
  <c r="AF58" i="37"/>
  <c r="AD57" i="37"/>
  <c r="AD58" i="37"/>
  <c r="AD52" i="37"/>
  <c r="AD40" i="37"/>
  <c r="AD45" i="37"/>
  <c r="AD41" i="37"/>
  <c r="AF46" i="37"/>
  <c r="AF48" i="37"/>
  <c r="AF42" i="37"/>
  <c r="AD53" i="37"/>
  <c r="AD50" i="37"/>
  <c r="AD42" i="37"/>
  <c r="AD46" i="37"/>
  <c r="AF18" i="37"/>
  <c r="AD7" i="37"/>
  <c r="AD18" i="37"/>
  <c r="AD9" i="37"/>
  <c r="AF6" i="37"/>
  <c r="AF21" i="37"/>
  <c r="AD6" i="37"/>
  <c r="AF24" i="37"/>
  <c r="AD23" i="37"/>
  <c r="AD20" i="37"/>
  <c r="AD10" i="37"/>
  <c r="C24" i="11"/>
  <c r="K34" i="22" l="1"/>
  <c r="J34" i="22"/>
  <c r="I34" i="22"/>
  <c r="H34" i="22"/>
  <c r="G34" i="22"/>
  <c r="F34" i="22"/>
  <c r="F37" i="22" s="1"/>
  <c r="K5" i="22"/>
  <c r="J5" i="22"/>
  <c r="I5" i="22"/>
  <c r="I9" i="22" s="1"/>
  <c r="H5" i="22"/>
  <c r="H9" i="22" s="1"/>
  <c r="G5" i="22"/>
  <c r="F5" i="22"/>
  <c r="F9" i="22" s="1"/>
  <c r="I16" i="19"/>
  <c r="K16" i="19"/>
  <c r="I17" i="19"/>
  <c r="K17" i="19"/>
  <c r="I18" i="19"/>
  <c r="K18" i="19"/>
  <c r="I19" i="19"/>
  <c r="K19" i="19"/>
  <c r="I20" i="19"/>
  <c r="K20" i="19"/>
  <c r="I21" i="19"/>
  <c r="K21" i="19"/>
  <c r="I22" i="19"/>
  <c r="K22" i="19"/>
  <c r="I23" i="19"/>
  <c r="K23" i="19"/>
  <c r="I24" i="19"/>
  <c r="K24" i="19"/>
  <c r="I25" i="19"/>
  <c r="K25" i="19"/>
  <c r="I26" i="19"/>
  <c r="K26" i="19"/>
  <c r="I27" i="19"/>
  <c r="K27" i="19"/>
  <c r="I28" i="19"/>
  <c r="K28" i="19"/>
  <c r="I29" i="19"/>
  <c r="K29" i="19"/>
  <c r="I30" i="19"/>
  <c r="K30" i="19"/>
  <c r="I31" i="19"/>
  <c r="K31" i="19"/>
  <c r="I32" i="19"/>
  <c r="K32" i="19"/>
  <c r="L32" i="19"/>
  <c r="I33" i="19"/>
  <c r="K33" i="19"/>
  <c r="L33" i="19"/>
  <c r="I34" i="19"/>
  <c r="K34" i="19"/>
  <c r="L34" i="19"/>
  <c r="I35" i="19"/>
  <c r="K35" i="19"/>
  <c r="L35" i="19"/>
  <c r="I36" i="19"/>
  <c r="K36" i="19"/>
  <c r="L36" i="19"/>
  <c r="I37" i="19"/>
  <c r="K37" i="19"/>
  <c r="L37" i="19"/>
  <c r="I38" i="19"/>
  <c r="K38" i="19"/>
  <c r="L38" i="19"/>
  <c r="I39" i="19"/>
  <c r="K39" i="19"/>
  <c r="L39" i="19"/>
  <c r="I40" i="19"/>
  <c r="K40" i="19"/>
  <c r="I41" i="19"/>
  <c r="K41" i="19"/>
  <c r="I42" i="19"/>
  <c r="K42" i="19"/>
  <c r="I43" i="19"/>
  <c r="K43" i="19"/>
  <c r="I44" i="19"/>
  <c r="K44" i="19"/>
  <c r="I45" i="19"/>
  <c r="K45" i="19"/>
  <c r="I46" i="19"/>
  <c r="K46" i="19"/>
  <c r="I47" i="19"/>
  <c r="K47" i="19"/>
  <c r="I48" i="19"/>
  <c r="K48" i="19"/>
  <c r="I49" i="19"/>
  <c r="K49" i="19"/>
  <c r="I50" i="19"/>
  <c r="K50" i="19"/>
  <c r="L50" i="19"/>
  <c r="I51" i="19"/>
  <c r="K51" i="19"/>
  <c r="L51" i="19"/>
  <c r="I52" i="19"/>
  <c r="K52" i="19"/>
  <c r="L52" i="19"/>
  <c r="I53" i="19"/>
  <c r="K53" i="19"/>
  <c r="L53" i="19"/>
  <c r="I54" i="19"/>
  <c r="K54" i="19"/>
  <c r="L54" i="19"/>
  <c r="I55" i="19"/>
  <c r="K55" i="19"/>
  <c r="L55" i="19"/>
  <c r="I56" i="19"/>
  <c r="K56" i="19"/>
  <c r="L56" i="19"/>
  <c r="I57" i="19"/>
  <c r="K57" i="19"/>
  <c r="L57" i="19"/>
  <c r="I58" i="19"/>
  <c r="K58" i="19"/>
  <c r="L58" i="19"/>
  <c r="I59" i="19"/>
  <c r="K59" i="19"/>
  <c r="L59" i="19"/>
  <c r="I60" i="19"/>
  <c r="K60" i="19"/>
  <c r="L60" i="19"/>
  <c r="I61" i="19"/>
  <c r="K61" i="19"/>
  <c r="L61" i="19"/>
  <c r="I62" i="19"/>
  <c r="K62" i="19"/>
  <c r="L62" i="19"/>
  <c r="I63" i="19"/>
  <c r="K63" i="19"/>
  <c r="L63" i="19"/>
  <c r="I64" i="19"/>
  <c r="K64" i="19"/>
  <c r="L64" i="19"/>
  <c r="I65" i="19"/>
  <c r="K65" i="19"/>
  <c r="L65" i="19"/>
  <c r="I66" i="19"/>
  <c r="K66" i="19"/>
  <c r="L66" i="19"/>
  <c r="I67" i="19"/>
  <c r="K67" i="19"/>
  <c r="L67" i="19"/>
  <c r="I68" i="19"/>
  <c r="K68" i="19"/>
  <c r="L68" i="19"/>
  <c r="I69" i="19"/>
  <c r="K69" i="19"/>
  <c r="L69" i="19"/>
  <c r="I70" i="19"/>
  <c r="K70" i="19"/>
  <c r="L70" i="19"/>
  <c r="I71" i="19"/>
  <c r="K71" i="19"/>
  <c r="L71" i="19"/>
  <c r="I72" i="19"/>
  <c r="K72" i="19"/>
  <c r="L72" i="19"/>
  <c r="I73" i="19"/>
  <c r="K73" i="19"/>
  <c r="L73" i="19"/>
  <c r="I74" i="19"/>
  <c r="K74" i="19"/>
  <c r="L74" i="19"/>
  <c r="I75" i="19"/>
  <c r="K75" i="19"/>
  <c r="L75" i="19"/>
  <c r="I76" i="19"/>
  <c r="K76" i="19"/>
  <c r="L76" i="19"/>
  <c r="I77" i="19"/>
  <c r="K77" i="19"/>
  <c r="L77" i="19"/>
  <c r="I78" i="19"/>
  <c r="K78" i="19"/>
  <c r="L78" i="19"/>
  <c r="I79" i="19"/>
  <c r="K79" i="19"/>
  <c r="L79" i="19"/>
  <c r="I80" i="19"/>
  <c r="K80" i="19"/>
  <c r="L80" i="19"/>
  <c r="I81" i="19"/>
  <c r="K81" i="19"/>
  <c r="L81" i="19"/>
  <c r="I82" i="19"/>
  <c r="K82" i="19"/>
  <c r="L82" i="19"/>
  <c r="I83" i="19"/>
  <c r="K83" i="19"/>
  <c r="L83" i="19"/>
  <c r="I84" i="19"/>
  <c r="K84" i="19"/>
  <c r="L84" i="19"/>
  <c r="I85" i="19"/>
  <c r="K85" i="19"/>
  <c r="L85" i="19"/>
  <c r="I86" i="19"/>
  <c r="K86" i="19"/>
  <c r="L86" i="19"/>
  <c r="I87" i="19"/>
  <c r="K87" i="19"/>
  <c r="L87" i="19"/>
  <c r="I88" i="19"/>
  <c r="K88" i="19"/>
  <c r="L88" i="19"/>
  <c r="I89" i="19"/>
  <c r="K89" i="19"/>
  <c r="L89" i="19"/>
  <c r="I90" i="19"/>
  <c r="K90" i="19"/>
  <c r="L90" i="19"/>
  <c r="I91" i="19"/>
  <c r="K91" i="19"/>
  <c r="L91" i="19"/>
  <c r="I92" i="19"/>
  <c r="K92" i="19"/>
  <c r="L92" i="19"/>
  <c r="I93" i="19"/>
  <c r="K93" i="19"/>
  <c r="L93" i="19"/>
  <c r="I94" i="19"/>
  <c r="K94" i="19"/>
  <c r="L94" i="19"/>
  <c r="I95" i="19"/>
  <c r="K95" i="19"/>
  <c r="L95" i="19"/>
  <c r="I96" i="19"/>
  <c r="K96" i="19"/>
  <c r="L96" i="19"/>
  <c r="I97" i="19"/>
  <c r="K97" i="19"/>
  <c r="L97" i="19"/>
  <c r="I98" i="19"/>
  <c r="K98" i="19"/>
  <c r="L98" i="19"/>
  <c r="I99" i="19"/>
  <c r="K99" i="19"/>
  <c r="L99" i="19"/>
  <c r="I100" i="19"/>
  <c r="J100" i="19"/>
  <c r="K100" i="19"/>
  <c r="L100" i="19"/>
  <c r="I101" i="19"/>
  <c r="K101" i="19"/>
  <c r="L101" i="19"/>
  <c r="I102" i="19"/>
  <c r="K102" i="19"/>
  <c r="L102" i="19"/>
  <c r="I103" i="19"/>
  <c r="K103" i="19"/>
  <c r="L103" i="19"/>
  <c r="I104" i="19"/>
  <c r="J104" i="19"/>
  <c r="K104" i="19"/>
  <c r="L104" i="19"/>
  <c r="I105" i="19"/>
  <c r="J105" i="19"/>
  <c r="K105" i="19"/>
  <c r="L105" i="19"/>
  <c r="I106" i="19"/>
  <c r="J106" i="19"/>
  <c r="K106" i="19"/>
  <c r="L106" i="19"/>
  <c r="I107" i="19"/>
  <c r="J107" i="19"/>
  <c r="K107" i="19"/>
  <c r="L107" i="19"/>
  <c r="I108" i="19"/>
  <c r="J108" i="19"/>
  <c r="K108" i="19"/>
  <c r="L108" i="19"/>
  <c r="I109" i="19"/>
  <c r="J109" i="19"/>
  <c r="K109" i="19"/>
  <c r="L109" i="19"/>
  <c r="I110" i="19"/>
  <c r="J110" i="19"/>
  <c r="K110" i="19"/>
  <c r="L110" i="19"/>
  <c r="I111" i="19"/>
  <c r="J111" i="19"/>
  <c r="K111" i="19"/>
  <c r="L111" i="19"/>
  <c r="I112" i="19"/>
  <c r="J112" i="19"/>
  <c r="K112" i="19"/>
  <c r="L112" i="19"/>
  <c r="I113" i="19"/>
  <c r="J113" i="19"/>
  <c r="K113" i="19"/>
  <c r="L113" i="19"/>
  <c r="I114" i="19"/>
  <c r="J114" i="19"/>
  <c r="K114" i="19"/>
  <c r="L114" i="19"/>
  <c r="I115" i="19"/>
  <c r="J115" i="19"/>
  <c r="K115" i="19"/>
  <c r="L115" i="19"/>
  <c r="I116" i="19"/>
  <c r="J116" i="19"/>
  <c r="K116" i="19"/>
  <c r="L116" i="19"/>
  <c r="I117" i="19"/>
  <c r="J117" i="19"/>
  <c r="K117" i="19"/>
  <c r="L117" i="19"/>
  <c r="I118" i="19"/>
  <c r="J118" i="19"/>
  <c r="K118" i="19"/>
  <c r="L118" i="19"/>
  <c r="I119" i="19"/>
  <c r="J119" i="19"/>
  <c r="K119" i="19"/>
  <c r="L119" i="19"/>
  <c r="I120" i="19"/>
  <c r="J120" i="19"/>
  <c r="K120" i="19"/>
  <c r="L120" i="19"/>
  <c r="K9" i="22" l="1"/>
  <c r="J9" i="22"/>
  <c r="G9" i="22"/>
  <c r="H26" i="42"/>
  <c r="AF91" i="37"/>
  <c r="C25" i="11"/>
  <c r="AA13" i="34"/>
  <c r="G58" i="10"/>
  <c r="R29" i="10"/>
  <c r="R30" i="10" s="1"/>
  <c r="S15" i="20"/>
  <c r="C4" i="11"/>
  <c r="C3" i="11"/>
  <c r="I42" i="22"/>
  <c r="H42" i="22"/>
  <c r="G42" i="22"/>
  <c r="F42" i="22"/>
  <c r="F43" i="22" s="1"/>
  <c r="I38" i="22"/>
  <c r="H38" i="22"/>
  <c r="G38" i="22"/>
  <c r="I37" i="22"/>
  <c r="H37" i="22"/>
  <c r="G37" i="22"/>
  <c r="B56" i="18"/>
  <c r="D56" i="18" s="1"/>
  <c r="C30" i="10" s="1"/>
  <c r="B62" i="18"/>
  <c r="D62" i="18" s="1"/>
  <c r="F69" i="22" s="1"/>
  <c r="C34" i="10" s="1"/>
  <c r="B57" i="18"/>
  <c r="D57" i="18" s="1"/>
  <c r="F47" i="22" s="1"/>
  <c r="B52" i="18"/>
  <c r="D52" i="18" s="1"/>
  <c r="B59" i="18"/>
  <c r="D59" i="18" s="1"/>
  <c r="G8" i="45" s="1"/>
  <c r="M6" i="20" s="1"/>
  <c r="K63" i="22"/>
  <c r="J63" i="22"/>
  <c r="K65" i="22"/>
  <c r="K66" i="22" s="1"/>
  <c r="J65" i="22"/>
  <c r="K42" i="22"/>
  <c r="J42" i="22"/>
  <c r="J13" i="22"/>
  <c r="K13" i="22"/>
  <c r="K38" i="22"/>
  <c r="K39" i="22" s="1"/>
  <c r="K24" i="3" s="1"/>
  <c r="J38" i="22"/>
  <c r="J39" i="22" s="1"/>
  <c r="I65" i="22"/>
  <c r="I66" i="22" s="1"/>
  <c r="H65" i="22"/>
  <c r="H66" i="22" s="1"/>
  <c r="G65" i="22"/>
  <c r="G66" i="22" s="1"/>
  <c r="F65" i="22"/>
  <c r="F66" i="22" s="1"/>
  <c r="I63" i="22"/>
  <c r="H63" i="22"/>
  <c r="G63" i="22"/>
  <c r="F63" i="22"/>
  <c r="I62" i="22"/>
  <c r="H62" i="22"/>
  <c r="G62" i="22"/>
  <c r="F62" i="22"/>
  <c r="B60" i="18"/>
  <c r="D60" i="18" s="1"/>
  <c r="F59" i="22" s="1"/>
  <c r="B58" i="18"/>
  <c r="D58" i="18" s="1"/>
  <c r="B48" i="18"/>
  <c r="D48" i="18" s="1"/>
  <c r="E22" i="22" s="1"/>
  <c r="F22" i="22" s="1"/>
  <c r="K61" i="22"/>
  <c r="J61" i="22"/>
  <c r="J68" i="22" s="1"/>
  <c r="D53" i="18"/>
  <c r="K36" i="22"/>
  <c r="K46" i="22" s="1"/>
  <c r="J36" i="22"/>
  <c r="H108" i="12"/>
  <c r="J108" i="12" s="1"/>
  <c r="H109" i="12"/>
  <c r="J109" i="12" s="1"/>
  <c r="H110" i="12"/>
  <c r="J110" i="12" s="1"/>
  <c r="H107" i="12"/>
  <c r="J107" i="12" s="1"/>
  <c r="D94" i="12"/>
  <c r="D93" i="12"/>
  <c r="B43" i="18"/>
  <c r="D43" i="18" s="1"/>
  <c r="D19" i="46"/>
  <c r="I13" i="22"/>
  <c r="I8" i="22"/>
  <c r="K7" i="22"/>
  <c r="K17" i="22" s="1"/>
  <c r="J7" i="22"/>
  <c r="J17" i="22" s="1"/>
  <c r="H13" i="22"/>
  <c r="F13" i="22"/>
  <c r="G13" i="22"/>
  <c r="H8" i="22"/>
  <c r="G8" i="22"/>
  <c r="F8" i="22"/>
  <c r="G27" i="12"/>
  <c r="AV4" i="19"/>
  <c r="C95" i="21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L24" i="42" l="1"/>
  <c r="L23" i="42"/>
  <c r="K23" i="3"/>
  <c r="F51" i="22"/>
  <c r="C33" i="10"/>
  <c r="H113" i="22"/>
  <c r="J113" i="22" s="1"/>
  <c r="F18" i="22"/>
  <c r="K64" i="22"/>
  <c r="J67" i="22" s="1"/>
  <c r="J64" i="22"/>
  <c r="J70" i="22" s="1"/>
  <c r="M23" i="42"/>
  <c r="M22" i="42"/>
  <c r="M21" i="42"/>
  <c r="O21" i="42" s="1"/>
  <c r="M19" i="42"/>
  <c r="O19" i="42" s="1"/>
  <c r="M20" i="42"/>
  <c r="M24" i="42"/>
  <c r="M15" i="42"/>
  <c r="M16" i="42"/>
  <c r="K10" i="22"/>
  <c r="J11" i="22"/>
  <c r="K11" i="22"/>
  <c r="J10" i="22"/>
  <c r="B34" i="10"/>
  <c r="B31" i="10"/>
  <c r="V24" i="3"/>
  <c r="V21" i="3"/>
  <c r="K16" i="3"/>
  <c r="K15" i="3"/>
  <c r="K40" i="22"/>
  <c r="J40" i="22"/>
  <c r="E35" i="22"/>
  <c r="Q7" i="45"/>
  <c r="F36" i="22"/>
  <c r="F38" i="22"/>
  <c r="F76" i="22"/>
  <c r="F78" i="22" s="1"/>
  <c r="F71" i="22"/>
  <c r="F72" i="22" s="1"/>
  <c r="F61" i="22"/>
  <c r="G61" i="22" s="1"/>
  <c r="J66" i="22"/>
  <c r="H71" i="22"/>
  <c r="H72" i="22" s="1"/>
  <c r="G59" i="22"/>
  <c r="H59" i="22" s="1"/>
  <c r="I59" i="22" s="1"/>
  <c r="J59" i="22" s="1"/>
  <c r="K59" i="22" s="1"/>
  <c r="K68" i="22"/>
  <c r="K43" i="22"/>
  <c r="J43" i="22"/>
  <c r="N19" i="3"/>
  <c r="J46" i="22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5" i="19"/>
  <c r="V20" i="3" l="1"/>
  <c r="O23" i="42"/>
  <c r="V23" i="3"/>
  <c r="V22" i="3"/>
  <c r="C32" i="10"/>
  <c r="J71" i="22"/>
  <c r="J72" i="22" s="1"/>
  <c r="J73" i="22"/>
  <c r="J74" i="22" s="1"/>
  <c r="O20" i="42"/>
  <c r="O22" i="42"/>
  <c r="O24" i="42"/>
  <c r="J44" i="22"/>
  <c r="J12" i="22"/>
  <c r="J45" i="22"/>
  <c r="J41" i="22"/>
  <c r="J48" i="22" s="1"/>
  <c r="J49" i="22" s="1"/>
  <c r="F40" i="22"/>
  <c r="F39" i="22"/>
  <c r="J16" i="22"/>
  <c r="J23" i="3"/>
  <c r="J24" i="3"/>
  <c r="G64" i="22"/>
  <c r="F67" i="22" s="1"/>
  <c r="H61" i="22"/>
  <c r="I61" i="22" s="1"/>
  <c r="I64" i="22" s="1"/>
  <c r="H67" i="22" s="1"/>
  <c r="F64" i="22"/>
  <c r="X8" i="20"/>
  <c r="U20" i="42"/>
  <c r="T18" i="3"/>
  <c r="R4" i="3"/>
  <c r="F7" i="20"/>
  <c r="B27" i="18"/>
  <c r="D27" i="18" s="1"/>
  <c r="I3" i="45"/>
  <c r="I4" i="45"/>
  <c r="I2" i="45"/>
  <c r="A7" i="45"/>
  <c r="A8" i="45"/>
  <c r="A9" i="45"/>
  <c r="A10" i="45"/>
  <c r="A11" i="45"/>
  <c r="A12" i="45"/>
  <c r="A13" i="45"/>
  <c r="A6" i="45"/>
  <c r="B7" i="45"/>
  <c r="B8" i="45"/>
  <c r="B9" i="45"/>
  <c r="B10" i="45"/>
  <c r="B11" i="45"/>
  <c r="B12" i="45"/>
  <c r="B13" i="45"/>
  <c r="C7" i="45"/>
  <c r="C8" i="45"/>
  <c r="C9" i="45"/>
  <c r="C10" i="45"/>
  <c r="C11" i="45"/>
  <c r="C12" i="45"/>
  <c r="C13" i="45"/>
  <c r="C6" i="45"/>
  <c r="B45" i="18"/>
  <c r="B44" i="18"/>
  <c r="L19" i="42" l="1"/>
  <c r="K19" i="3"/>
  <c r="H64" i="22"/>
  <c r="H70" i="22" s="1"/>
  <c r="F70" i="22"/>
  <c r="D44" i="18"/>
  <c r="D45" i="18"/>
  <c r="B16" i="18"/>
  <c r="D16" i="18" s="1"/>
  <c r="D28" i="12"/>
  <c r="C119" i="21"/>
  <c r="C112" i="21"/>
  <c r="F27" i="12"/>
  <c r="B20" i="18"/>
  <c r="P35" i="35"/>
  <c r="O35" i="35"/>
  <c r="N35" i="35"/>
  <c r="M35" i="35"/>
  <c r="L35" i="35"/>
  <c r="K35" i="35"/>
  <c r="J35" i="35"/>
  <c r="I35" i="35"/>
  <c r="H35" i="35"/>
  <c r="G35" i="35"/>
  <c r="D35" i="35"/>
  <c r="C35" i="35"/>
  <c r="B35" i="35"/>
  <c r="P34" i="35"/>
  <c r="O34" i="35"/>
  <c r="N34" i="35"/>
  <c r="M34" i="35"/>
  <c r="L34" i="35"/>
  <c r="K34" i="35"/>
  <c r="J34" i="35"/>
  <c r="I34" i="35"/>
  <c r="H34" i="35"/>
  <c r="G34" i="35"/>
  <c r="D34" i="35"/>
  <c r="C34" i="35"/>
  <c r="B34" i="35"/>
  <c r="P33" i="35"/>
  <c r="O33" i="35"/>
  <c r="N33" i="35"/>
  <c r="M33" i="35"/>
  <c r="L33" i="35"/>
  <c r="K33" i="35"/>
  <c r="J33" i="35"/>
  <c r="I33" i="35"/>
  <c r="H33" i="35"/>
  <c r="G33" i="35"/>
  <c r="D33" i="35"/>
  <c r="C33" i="35"/>
  <c r="B33" i="35"/>
  <c r="P32" i="35"/>
  <c r="O32" i="35"/>
  <c r="N32" i="35"/>
  <c r="M32" i="35"/>
  <c r="L32" i="35"/>
  <c r="K32" i="35"/>
  <c r="J32" i="35"/>
  <c r="I32" i="35"/>
  <c r="H32" i="35"/>
  <c r="G32" i="35"/>
  <c r="D32" i="35"/>
  <c r="B32" i="35"/>
  <c r="P31" i="35"/>
  <c r="O31" i="35"/>
  <c r="N31" i="35"/>
  <c r="M31" i="35"/>
  <c r="L31" i="35"/>
  <c r="K31" i="35"/>
  <c r="J31" i="35"/>
  <c r="I31" i="35"/>
  <c r="H31" i="35"/>
  <c r="G31" i="35"/>
  <c r="D31" i="35"/>
  <c r="B31" i="35"/>
  <c r="P30" i="35"/>
  <c r="O30" i="35"/>
  <c r="N30" i="35"/>
  <c r="M30" i="35"/>
  <c r="L30" i="35"/>
  <c r="K30" i="35"/>
  <c r="J30" i="35"/>
  <c r="I30" i="35"/>
  <c r="H30" i="35"/>
  <c r="G30" i="35"/>
  <c r="D30" i="35"/>
  <c r="B30" i="35"/>
  <c r="P29" i="35"/>
  <c r="O29" i="35"/>
  <c r="N29" i="35"/>
  <c r="M29" i="35"/>
  <c r="L29" i="35"/>
  <c r="K29" i="35"/>
  <c r="J29" i="35"/>
  <c r="I29" i="35"/>
  <c r="H29" i="35"/>
  <c r="G29" i="35"/>
  <c r="D29" i="35"/>
  <c r="B29" i="35"/>
  <c r="P28" i="35"/>
  <c r="O28" i="35"/>
  <c r="N28" i="35"/>
  <c r="M28" i="35"/>
  <c r="L28" i="35"/>
  <c r="K28" i="35"/>
  <c r="J28" i="35"/>
  <c r="I28" i="35"/>
  <c r="H28" i="35"/>
  <c r="G28" i="35"/>
  <c r="D28" i="35"/>
  <c r="B28" i="35"/>
  <c r="P27" i="35"/>
  <c r="O27" i="35"/>
  <c r="N27" i="35"/>
  <c r="M27" i="35"/>
  <c r="L27" i="35"/>
  <c r="K27" i="35"/>
  <c r="J27" i="35"/>
  <c r="I27" i="35"/>
  <c r="H27" i="35"/>
  <c r="G27" i="35"/>
  <c r="D27" i="35"/>
  <c r="B27" i="35"/>
  <c r="P26" i="35"/>
  <c r="O26" i="35"/>
  <c r="N26" i="35"/>
  <c r="M26" i="35"/>
  <c r="L26" i="35"/>
  <c r="K26" i="35"/>
  <c r="J26" i="35"/>
  <c r="I26" i="35"/>
  <c r="H26" i="35"/>
  <c r="G26" i="35"/>
  <c r="D26" i="35"/>
  <c r="B26" i="35"/>
  <c r="P25" i="35"/>
  <c r="O25" i="35"/>
  <c r="N25" i="35"/>
  <c r="M25" i="35"/>
  <c r="L25" i="35"/>
  <c r="K25" i="35"/>
  <c r="J25" i="35"/>
  <c r="I25" i="35"/>
  <c r="H25" i="35"/>
  <c r="G25" i="35"/>
  <c r="D25" i="35"/>
  <c r="B25" i="35"/>
  <c r="P24" i="35"/>
  <c r="O24" i="35"/>
  <c r="N24" i="35"/>
  <c r="M24" i="35"/>
  <c r="L24" i="35"/>
  <c r="K24" i="35"/>
  <c r="J24" i="35"/>
  <c r="I24" i="35"/>
  <c r="H24" i="35"/>
  <c r="G24" i="35"/>
  <c r="D24" i="35"/>
  <c r="B24" i="35"/>
  <c r="P23" i="35"/>
  <c r="O23" i="35"/>
  <c r="N23" i="35"/>
  <c r="M23" i="35"/>
  <c r="L23" i="35"/>
  <c r="K23" i="35"/>
  <c r="J23" i="35"/>
  <c r="I23" i="35"/>
  <c r="H23" i="35"/>
  <c r="G23" i="35"/>
  <c r="D23" i="35"/>
  <c r="B23" i="35"/>
  <c r="P22" i="35"/>
  <c r="O22" i="35"/>
  <c r="N22" i="35"/>
  <c r="M22" i="35"/>
  <c r="L22" i="35"/>
  <c r="K22" i="35"/>
  <c r="J22" i="35"/>
  <c r="I22" i="35"/>
  <c r="H22" i="35"/>
  <c r="G22" i="35"/>
  <c r="D22" i="35"/>
  <c r="B22" i="35"/>
  <c r="P21" i="35"/>
  <c r="O21" i="35"/>
  <c r="N21" i="35"/>
  <c r="M21" i="35"/>
  <c r="L21" i="35"/>
  <c r="K21" i="35"/>
  <c r="J21" i="35"/>
  <c r="I21" i="35"/>
  <c r="H21" i="35"/>
  <c r="G21" i="35"/>
  <c r="D21" i="35"/>
  <c r="B21" i="35"/>
  <c r="B42" i="18"/>
  <c r="D42" i="18" s="1"/>
  <c r="Q208" i="45"/>
  <c r="Q204" i="45"/>
  <c r="P204" i="45"/>
  <c r="O202" i="45"/>
  <c r="Q195" i="45"/>
  <c r="Q191" i="45"/>
  <c r="P191" i="45"/>
  <c r="O189" i="45"/>
  <c r="Q182" i="45"/>
  <c r="Q178" i="45"/>
  <c r="P178" i="45"/>
  <c r="O176" i="45"/>
  <c r="Q168" i="45"/>
  <c r="P164" i="45"/>
  <c r="C32" i="35" s="1"/>
  <c r="O162" i="45"/>
  <c r="Q155" i="45"/>
  <c r="P151" i="45"/>
  <c r="C31" i="35" s="1"/>
  <c r="O149" i="45"/>
  <c r="Q142" i="45"/>
  <c r="P138" i="45"/>
  <c r="C30" i="35" s="1"/>
  <c r="O136" i="45"/>
  <c r="Q128" i="45"/>
  <c r="P124" i="45"/>
  <c r="C29" i="35" s="1"/>
  <c r="O122" i="45"/>
  <c r="Q115" i="45"/>
  <c r="P111" i="45"/>
  <c r="C28" i="35" s="1"/>
  <c r="Q102" i="45"/>
  <c r="P98" i="45"/>
  <c r="C27" i="35" s="1"/>
  <c r="O96" i="45"/>
  <c r="Q88" i="45"/>
  <c r="C26" i="35"/>
  <c r="O82" i="45"/>
  <c r="Q75" i="45"/>
  <c r="C25" i="35"/>
  <c r="O69" i="45"/>
  <c r="Q62" i="45"/>
  <c r="P58" i="45"/>
  <c r="C24" i="35" s="1"/>
  <c r="O56" i="45"/>
  <c r="Q48" i="45"/>
  <c r="C23" i="35"/>
  <c r="O42" i="45"/>
  <c r="Q35" i="45"/>
  <c r="P31" i="45"/>
  <c r="C22" i="35" s="1"/>
  <c r="O29" i="45"/>
  <c r="Q22" i="45"/>
  <c r="P18" i="45"/>
  <c r="C21" i="35" s="1"/>
  <c r="M18" i="3"/>
  <c r="M17" i="3"/>
  <c r="N18" i="3"/>
  <c r="N17" i="3"/>
  <c r="AK120" i="19"/>
  <c r="AL120" i="19" s="1"/>
  <c r="AK119" i="19"/>
  <c r="AL119" i="19" s="1"/>
  <c r="AK118" i="19"/>
  <c r="AL118" i="19" s="1"/>
  <c r="AK117" i="19"/>
  <c r="AL117" i="19" s="1"/>
  <c r="AK116" i="19"/>
  <c r="AL116" i="19" s="1"/>
  <c r="AK115" i="19"/>
  <c r="AL115" i="19" s="1"/>
  <c r="AK114" i="19"/>
  <c r="AL114" i="19" s="1"/>
  <c r="AK113" i="19"/>
  <c r="AL113" i="19" s="1"/>
  <c r="AK112" i="19"/>
  <c r="AL112" i="19" s="1"/>
  <c r="AK111" i="19"/>
  <c r="AL111" i="19" s="1"/>
  <c r="AK110" i="19"/>
  <c r="AL110" i="19" s="1"/>
  <c r="AK109" i="19"/>
  <c r="AL109" i="19" s="1"/>
  <c r="AK108" i="19"/>
  <c r="AL108" i="19" s="1"/>
  <c r="AK107" i="19"/>
  <c r="AL107" i="19" s="1"/>
  <c r="AK106" i="19"/>
  <c r="AL106" i="19" s="1"/>
  <c r="AK105" i="19"/>
  <c r="AL105" i="19" s="1"/>
  <c r="AK104" i="19"/>
  <c r="AL104" i="19" s="1"/>
  <c r="AK103" i="19"/>
  <c r="AL103" i="19" s="1"/>
  <c r="AK102" i="19"/>
  <c r="AL102" i="19" s="1"/>
  <c r="AK101" i="19"/>
  <c r="AL101" i="19" s="1"/>
  <c r="AK100" i="19"/>
  <c r="AL100" i="19" s="1"/>
  <c r="AK99" i="19"/>
  <c r="AL99" i="19" s="1"/>
  <c r="AK98" i="19"/>
  <c r="AL98" i="19" s="1"/>
  <c r="AK97" i="19"/>
  <c r="AL97" i="19" s="1"/>
  <c r="AK96" i="19"/>
  <c r="AL96" i="19" s="1"/>
  <c r="AK95" i="19"/>
  <c r="AL95" i="19" s="1"/>
  <c r="AK94" i="19"/>
  <c r="AL94" i="19" s="1"/>
  <c r="AK93" i="19"/>
  <c r="AL93" i="19" s="1"/>
  <c r="AK92" i="19"/>
  <c r="AL92" i="19" s="1"/>
  <c r="AK91" i="19"/>
  <c r="AL91" i="19" s="1"/>
  <c r="AK90" i="19"/>
  <c r="AL90" i="19" s="1"/>
  <c r="AK89" i="19"/>
  <c r="AL89" i="19" s="1"/>
  <c r="AK88" i="19"/>
  <c r="AL88" i="19" s="1"/>
  <c r="AK87" i="19"/>
  <c r="AL87" i="19" s="1"/>
  <c r="AK86" i="19"/>
  <c r="AL86" i="19" s="1"/>
  <c r="AK85" i="19"/>
  <c r="AL85" i="19" s="1"/>
  <c r="AK84" i="19"/>
  <c r="AL84" i="19" s="1"/>
  <c r="AK83" i="19"/>
  <c r="AL83" i="19" s="1"/>
  <c r="AK82" i="19"/>
  <c r="AL82" i="19" s="1"/>
  <c r="AK81" i="19"/>
  <c r="AL81" i="19" s="1"/>
  <c r="AK80" i="19"/>
  <c r="AL80" i="19" s="1"/>
  <c r="AK79" i="19"/>
  <c r="AL79" i="19" s="1"/>
  <c r="AK78" i="19"/>
  <c r="AL78" i="19" s="1"/>
  <c r="AK77" i="19"/>
  <c r="AL77" i="19" s="1"/>
  <c r="AK76" i="19"/>
  <c r="AL76" i="19" s="1"/>
  <c r="AK75" i="19"/>
  <c r="AL75" i="19" s="1"/>
  <c r="AK74" i="19"/>
  <c r="AL74" i="19" s="1"/>
  <c r="AK73" i="19"/>
  <c r="AL73" i="19" s="1"/>
  <c r="AK72" i="19"/>
  <c r="AL72" i="19" s="1"/>
  <c r="AK71" i="19"/>
  <c r="AL71" i="19" s="1"/>
  <c r="AK70" i="19"/>
  <c r="AL70" i="19" s="1"/>
  <c r="AK69" i="19"/>
  <c r="AL69" i="19" s="1"/>
  <c r="AK68" i="19"/>
  <c r="AL68" i="19" s="1"/>
  <c r="AK67" i="19"/>
  <c r="AL67" i="19" s="1"/>
  <c r="AK66" i="19"/>
  <c r="AL66" i="19" s="1"/>
  <c r="AK65" i="19"/>
  <c r="AL65" i="19" s="1"/>
  <c r="AK64" i="19"/>
  <c r="AL64" i="19" s="1"/>
  <c r="AK63" i="19"/>
  <c r="AL63" i="19" s="1"/>
  <c r="AK62" i="19"/>
  <c r="AL62" i="19" s="1"/>
  <c r="AK61" i="19"/>
  <c r="AL61" i="19" s="1"/>
  <c r="AK60" i="19"/>
  <c r="AL60" i="19" s="1"/>
  <c r="AK59" i="19"/>
  <c r="AL59" i="19" s="1"/>
  <c r="AK58" i="19"/>
  <c r="AL58" i="19" s="1"/>
  <c r="AK57" i="19"/>
  <c r="AL57" i="19" s="1"/>
  <c r="AK56" i="19"/>
  <c r="AL56" i="19" s="1"/>
  <c r="AK55" i="19"/>
  <c r="AL55" i="19" s="1"/>
  <c r="AK54" i="19"/>
  <c r="AL54" i="19" s="1"/>
  <c r="AK53" i="19"/>
  <c r="AL53" i="19" s="1"/>
  <c r="AK52" i="19"/>
  <c r="AL52" i="19" s="1"/>
  <c r="AK51" i="19"/>
  <c r="AL51" i="19" s="1"/>
  <c r="AK50" i="19"/>
  <c r="AL50" i="19" s="1"/>
  <c r="AK49" i="19"/>
  <c r="AL49" i="19" s="1"/>
  <c r="AK48" i="19"/>
  <c r="AL48" i="19" s="1"/>
  <c r="AK47" i="19"/>
  <c r="AL47" i="19" s="1"/>
  <c r="AK46" i="19"/>
  <c r="AL46" i="19" s="1"/>
  <c r="AK45" i="19"/>
  <c r="AL45" i="19" s="1"/>
  <c r="AK44" i="19"/>
  <c r="AL44" i="19" s="1"/>
  <c r="AK43" i="19"/>
  <c r="AL43" i="19" s="1"/>
  <c r="AK42" i="19"/>
  <c r="AL42" i="19" s="1"/>
  <c r="AK41" i="19"/>
  <c r="AL41" i="19" s="1"/>
  <c r="AK40" i="19"/>
  <c r="AL40" i="19" s="1"/>
  <c r="AK39" i="19"/>
  <c r="AL39" i="19" s="1"/>
  <c r="AK38" i="19"/>
  <c r="AL38" i="19" s="1"/>
  <c r="AK37" i="19"/>
  <c r="AL37" i="19" s="1"/>
  <c r="AK36" i="19"/>
  <c r="AL36" i="19" s="1"/>
  <c r="AK35" i="19"/>
  <c r="AL35" i="19" s="1"/>
  <c r="AK34" i="19"/>
  <c r="AL34" i="19" s="1"/>
  <c r="AK33" i="19"/>
  <c r="AL33" i="19" s="1"/>
  <c r="AK32" i="19"/>
  <c r="AL32" i="19" s="1"/>
  <c r="AK31" i="19"/>
  <c r="AL31" i="19" s="1"/>
  <c r="AK30" i="19"/>
  <c r="AL30" i="19" s="1"/>
  <c r="AK29" i="19"/>
  <c r="AL29" i="19" s="1"/>
  <c r="AK28" i="19"/>
  <c r="AL28" i="19" s="1"/>
  <c r="AK27" i="19"/>
  <c r="AL27" i="19" s="1"/>
  <c r="AK26" i="19"/>
  <c r="AL26" i="19" s="1"/>
  <c r="AK25" i="19"/>
  <c r="AL25" i="19" s="1"/>
  <c r="AK24" i="19"/>
  <c r="AL24" i="19" s="1"/>
  <c r="AK23" i="19"/>
  <c r="AL23" i="19" s="1"/>
  <c r="AK22" i="19"/>
  <c r="AL22" i="19" s="1"/>
  <c r="AK21" i="19"/>
  <c r="AL21" i="19" s="1"/>
  <c r="AK20" i="19"/>
  <c r="AL20" i="19" s="1"/>
  <c r="AK19" i="19"/>
  <c r="AL19" i="19" s="1"/>
  <c r="AK18" i="19"/>
  <c r="AL18" i="19" s="1"/>
  <c r="AK17" i="19"/>
  <c r="AL17" i="19" s="1"/>
  <c r="AK16" i="19"/>
  <c r="AL16" i="19" s="1"/>
  <c r="AK15" i="19"/>
  <c r="AL15" i="19" s="1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0" i="19"/>
  <c r="AJ61" i="19"/>
  <c r="AJ62" i="19"/>
  <c r="AJ63" i="19"/>
  <c r="AJ64" i="19"/>
  <c r="AJ65" i="19"/>
  <c r="AJ66" i="19"/>
  <c r="AJ67" i="19"/>
  <c r="AJ68" i="19"/>
  <c r="AJ69" i="19"/>
  <c r="AJ70" i="19"/>
  <c r="AJ71" i="19"/>
  <c r="AJ72" i="19"/>
  <c r="AJ73" i="19"/>
  <c r="AJ74" i="19"/>
  <c r="AJ75" i="19"/>
  <c r="AJ76" i="19"/>
  <c r="AJ77" i="19"/>
  <c r="AJ78" i="19"/>
  <c r="AJ79" i="19"/>
  <c r="AJ80" i="19"/>
  <c r="AJ81" i="19"/>
  <c r="AJ82" i="19"/>
  <c r="AJ83" i="19"/>
  <c r="AJ84" i="19"/>
  <c r="AJ85" i="19"/>
  <c r="AJ86" i="19"/>
  <c r="AJ87" i="19"/>
  <c r="AJ88" i="19"/>
  <c r="AJ89" i="19"/>
  <c r="AJ90" i="19"/>
  <c r="AJ91" i="19"/>
  <c r="AJ92" i="19"/>
  <c r="AJ93" i="19"/>
  <c r="AJ94" i="19"/>
  <c r="AJ95" i="19"/>
  <c r="AJ96" i="19"/>
  <c r="AJ97" i="19"/>
  <c r="AJ98" i="19"/>
  <c r="AJ99" i="19"/>
  <c r="AJ100" i="19"/>
  <c r="AJ101" i="19"/>
  <c r="AJ102" i="19"/>
  <c r="AJ103" i="19"/>
  <c r="AJ104" i="19"/>
  <c r="AJ105" i="19"/>
  <c r="AJ106" i="19"/>
  <c r="AJ107" i="19"/>
  <c r="AJ108" i="19"/>
  <c r="AJ109" i="19"/>
  <c r="AJ110" i="19"/>
  <c r="AJ111" i="19"/>
  <c r="AJ112" i="19"/>
  <c r="AJ113" i="19"/>
  <c r="AJ114" i="19"/>
  <c r="AJ115" i="19"/>
  <c r="AJ116" i="19"/>
  <c r="AJ117" i="19"/>
  <c r="AJ118" i="19"/>
  <c r="AJ119" i="19"/>
  <c r="AJ120" i="19"/>
  <c r="G69" i="45" l="1"/>
  <c r="G16" i="45"/>
  <c r="A21" i="12"/>
  <c r="B20" i="12"/>
  <c r="A20" i="12"/>
  <c r="B34" i="18"/>
  <c r="D34" i="18" s="1"/>
  <c r="B35" i="18"/>
  <c r="D35" i="18" s="1"/>
  <c r="F28" i="12" s="1"/>
  <c r="AJ15" i="19"/>
  <c r="L16" i="42"/>
  <c r="L15" i="42"/>
  <c r="U23" i="42"/>
  <c r="U22" i="42"/>
  <c r="U14" i="42"/>
  <c r="S4" i="3"/>
  <c r="A49" i="42"/>
  <c r="A50" i="42"/>
  <c r="A51" i="42"/>
  <c r="A52" i="42"/>
  <c r="A53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B6" i="45"/>
  <c r="A4" i="44"/>
  <c r="A5" i="44"/>
  <c r="A6" i="44"/>
  <c r="A7" i="44"/>
  <c r="A8" i="44"/>
  <c r="A3" i="44"/>
  <c r="A9" i="44"/>
  <c r="A2" i="44"/>
  <c r="E7" i="20" s="1"/>
  <c r="C71" i="21"/>
  <c r="C70" i="21"/>
  <c r="C69" i="21"/>
  <c r="B95" i="21"/>
  <c r="C17" i="21"/>
  <c r="C2" i="21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5" i="25"/>
  <c r="T22" i="42"/>
  <c r="T23" i="42"/>
  <c r="U15" i="42"/>
  <c r="C27" i="21"/>
  <c r="E13" i="35"/>
  <c r="E12" i="35"/>
  <c r="S9" i="35"/>
  <c r="S27" i="35"/>
  <c r="S28" i="35"/>
  <c r="S29" i="35"/>
  <c r="S30" i="35"/>
  <c r="S31" i="35"/>
  <c r="S32" i="35"/>
  <c r="S33" i="35"/>
  <c r="F31" i="10"/>
  <c r="F34" i="10"/>
  <c r="P9" i="35"/>
  <c r="O9" i="35"/>
  <c r="R9" i="35"/>
  <c r="L88" i="12" l="1"/>
  <c r="L113" i="12"/>
  <c r="L87" i="12"/>
  <c r="L114" i="12"/>
  <c r="B21" i="12"/>
  <c r="G28" i="12"/>
  <c r="L62" i="12"/>
  <c r="L61" i="12"/>
  <c r="Q33" i="35"/>
  <c r="Q35" i="35"/>
  <c r="Q34" i="35"/>
  <c r="F9" i="35"/>
  <c r="H6" i="35"/>
  <c r="H16" i="35" s="1"/>
  <c r="G6" i="35"/>
  <c r="G16" i="35" s="1"/>
  <c r="T18" i="35"/>
  <c r="T19" i="35"/>
  <c r="T20" i="35"/>
  <c r="Q27" i="35"/>
  <c r="H9" i="35"/>
  <c r="I9" i="35"/>
  <c r="J9" i="35"/>
  <c r="K9" i="35"/>
  <c r="L9" i="35"/>
  <c r="M9" i="35"/>
  <c r="N9" i="35"/>
  <c r="G9" i="35"/>
  <c r="P16" i="35"/>
  <c r="N16" i="35"/>
  <c r="M16" i="35"/>
  <c r="L16" i="35"/>
  <c r="K16" i="35"/>
  <c r="J16" i="35"/>
  <c r="I16" i="35"/>
  <c r="I20" i="35"/>
  <c r="M20" i="35"/>
  <c r="N20" i="35"/>
  <c r="G20" i="35"/>
  <c r="G19" i="35"/>
  <c r="F28" i="35" l="1"/>
  <c r="R28" i="35" s="1"/>
  <c r="L19" i="35"/>
  <c r="P19" i="35"/>
  <c r="H19" i="35"/>
  <c r="G8" i="35"/>
  <c r="P29" i="10" s="1"/>
  <c r="F34" i="35"/>
  <c r="R34" i="35" s="1"/>
  <c r="S34" i="35" s="1"/>
  <c r="F33" i="35"/>
  <c r="R33" i="35" s="1"/>
  <c r="F30" i="35"/>
  <c r="R30" i="35" s="1"/>
  <c r="F35" i="35"/>
  <c r="R35" i="35" s="1"/>
  <c r="S35" i="35" s="1"/>
  <c r="F31" i="35"/>
  <c r="R31" i="35" s="1"/>
  <c r="F32" i="35"/>
  <c r="R32" i="35" s="1"/>
  <c r="F29" i="35"/>
  <c r="R29" i="35" s="1"/>
  <c r="F27" i="35"/>
  <c r="R27" i="35" s="1"/>
  <c r="J20" i="35"/>
  <c r="F26" i="35"/>
  <c r="Q30" i="35"/>
  <c r="Q29" i="35"/>
  <c r="Q32" i="35"/>
  <c r="Q31" i="35"/>
  <c r="M19" i="35"/>
  <c r="M7" i="35" s="1"/>
  <c r="P35" i="10" s="1"/>
  <c r="O20" i="35"/>
  <c r="O19" i="35"/>
  <c r="K19" i="35"/>
  <c r="P20" i="35"/>
  <c r="L20" i="35"/>
  <c r="N19" i="35"/>
  <c r="N8" i="35" s="1"/>
  <c r="P39" i="10" s="1"/>
  <c r="H20" i="35"/>
  <c r="I19" i="35"/>
  <c r="I8" i="35" s="1"/>
  <c r="P31" i="10" s="1"/>
  <c r="J19" i="35"/>
  <c r="J8" i="35" s="1"/>
  <c r="P32" i="10" s="1"/>
  <c r="K20" i="35"/>
  <c r="O18" i="35"/>
  <c r="K18" i="35"/>
  <c r="G18" i="35"/>
  <c r="P18" i="35"/>
  <c r="L18" i="35"/>
  <c r="H18" i="35"/>
  <c r="M18" i="35"/>
  <c r="I18" i="35"/>
  <c r="N18" i="35"/>
  <c r="J18" i="35"/>
  <c r="F23" i="35"/>
  <c r="R23" i="35" s="1"/>
  <c r="S23" i="35" s="1"/>
  <c r="F25" i="35"/>
  <c r="R25" i="35" s="1"/>
  <c r="S25" i="35" s="1"/>
  <c r="F21" i="35"/>
  <c r="R21" i="35" s="1"/>
  <c r="S21" i="35" s="1"/>
  <c r="F22" i="35"/>
  <c r="R22" i="35" s="1"/>
  <c r="S22" i="35" s="1"/>
  <c r="F24" i="35"/>
  <c r="R24" i="35" s="1"/>
  <c r="S24" i="35" s="1"/>
  <c r="C97" i="37"/>
  <c r="D97" i="37" s="1"/>
  <c r="C76" i="37"/>
  <c r="D76" i="37" s="1"/>
  <c r="C98" i="37"/>
  <c r="D98" i="37" s="1"/>
  <c r="C108" i="37"/>
  <c r="D108" i="37" s="1"/>
  <c r="C106" i="37"/>
  <c r="D106" i="37" s="1"/>
  <c r="C96" i="37"/>
  <c r="D96" i="37" s="1"/>
  <c r="C107" i="37"/>
  <c r="D107" i="37" s="1"/>
  <c r="C105" i="37"/>
  <c r="D105" i="37" s="1"/>
  <c r="C84" i="37"/>
  <c r="D84" i="37" s="1"/>
  <c r="C86" i="37"/>
  <c r="D86" i="37" s="1"/>
  <c r="C75" i="37"/>
  <c r="D75" i="37" s="1"/>
  <c r="C85" i="37"/>
  <c r="D85" i="37" s="1"/>
  <c r="C87" i="37"/>
  <c r="D87" i="37" s="1"/>
  <c r="C77" i="37"/>
  <c r="D77" i="37" s="1"/>
  <c r="BS16" i="19"/>
  <c r="BS17" i="19"/>
  <c r="BS18" i="19"/>
  <c r="BS19" i="19"/>
  <c r="BS20" i="19"/>
  <c r="BS21" i="19"/>
  <c r="BS22" i="19"/>
  <c r="BS23" i="19"/>
  <c r="BS24" i="19"/>
  <c r="BS25" i="19"/>
  <c r="BS26" i="19"/>
  <c r="BS27" i="19"/>
  <c r="BS28" i="19"/>
  <c r="BS29" i="19"/>
  <c r="BS30" i="19"/>
  <c r="BS31" i="19"/>
  <c r="BS32" i="19"/>
  <c r="BS33" i="19"/>
  <c r="BS34" i="19"/>
  <c r="BS35" i="19"/>
  <c r="BS36" i="19"/>
  <c r="BS37" i="19"/>
  <c r="BS38" i="19"/>
  <c r="BS39" i="19"/>
  <c r="BS40" i="19"/>
  <c r="BS41" i="19"/>
  <c r="BS42" i="19"/>
  <c r="BS43" i="19"/>
  <c r="BS44" i="19"/>
  <c r="BS45" i="19"/>
  <c r="BS46" i="19"/>
  <c r="BS47" i="19"/>
  <c r="BS48" i="19"/>
  <c r="BS49" i="19"/>
  <c r="BS50" i="19"/>
  <c r="BS51" i="19"/>
  <c r="BS52" i="19"/>
  <c r="BS53" i="19"/>
  <c r="BS54" i="19"/>
  <c r="BS55" i="19"/>
  <c r="BS56" i="19"/>
  <c r="BS57" i="19"/>
  <c r="BS58" i="19"/>
  <c r="BS59" i="19"/>
  <c r="BS60" i="19"/>
  <c r="BS61" i="19"/>
  <c r="BS62" i="19"/>
  <c r="BS63" i="19"/>
  <c r="BS64" i="19"/>
  <c r="BS65" i="19"/>
  <c r="BS66" i="19"/>
  <c r="BS67" i="19"/>
  <c r="BS68" i="19"/>
  <c r="BS69" i="19"/>
  <c r="BS70" i="19"/>
  <c r="BS71" i="19"/>
  <c r="BS72" i="19"/>
  <c r="BS73" i="19"/>
  <c r="BS74" i="19"/>
  <c r="BS75" i="19"/>
  <c r="BS76" i="19"/>
  <c r="BS77" i="19"/>
  <c r="BS78" i="19"/>
  <c r="BS79" i="19"/>
  <c r="BS80" i="19"/>
  <c r="BS81" i="19"/>
  <c r="BS82" i="19"/>
  <c r="BS83" i="19"/>
  <c r="BS84" i="19"/>
  <c r="BS85" i="19"/>
  <c r="BS86" i="19"/>
  <c r="BS87" i="19"/>
  <c r="BS88" i="19"/>
  <c r="BS89" i="19"/>
  <c r="BS90" i="19"/>
  <c r="BS91" i="19"/>
  <c r="BS92" i="19"/>
  <c r="BS93" i="19"/>
  <c r="BS94" i="19"/>
  <c r="BS95" i="19"/>
  <c r="BS96" i="19"/>
  <c r="BS97" i="19"/>
  <c r="BS98" i="19"/>
  <c r="BS99" i="19"/>
  <c r="BS100" i="19"/>
  <c r="BS101" i="19"/>
  <c r="BS102" i="19"/>
  <c r="BS103" i="19"/>
  <c r="BS104" i="19"/>
  <c r="BS105" i="19"/>
  <c r="BS106" i="19"/>
  <c r="BS107" i="19"/>
  <c r="BS108" i="19"/>
  <c r="BS109" i="19"/>
  <c r="BS110" i="19"/>
  <c r="BS111" i="19"/>
  <c r="BS112" i="19"/>
  <c r="BS113" i="19"/>
  <c r="BS114" i="19"/>
  <c r="BS115" i="19"/>
  <c r="BS116" i="19"/>
  <c r="BS117" i="19"/>
  <c r="BS118" i="19"/>
  <c r="BS119" i="19"/>
  <c r="BS120" i="19"/>
  <c r="BS15" i="19"/>
  <c r="R26" i="35" l="1"/>
  <c r="S26" i="35" s="1"/>
  <c r="S20" i="35" s="1"/>
  <c r="F18" i="35"/>
  <c r="O8" i="35"/>
  <c r="H8" i="35"/>
  <c r="P30" i="10" s="1"/>
  <c r="K8" i="35"/>
  <c r="P33" i="10" s="1"/>
  <c r="P8" i="35"/>
  <c r="P41" i="10" s="1"/>
  <c r="L8" i="35"/>
  <c r="P34" i="10" s="1"/>
  <c r="AD91" i="37"/>
  <c r="AD75" i="37"/>
  <c r="AD105" i="37"/>
  <c r="AD96" i="37"/>
  <c r="AD108" i="37"/>
  <c r="AD76" i="37"/>
  <c r="AD85" i="37"/>
  <c r="AD87" i="37"/>
  <c r="AD84" i="37"/>
  <c r="AD107" i="37"/>
  <c r="AD106" i="37"/>
  <c r="AD98" i="37"/>
  <c r="AD97" i="37"/>
  <c r="AD77" i="37"/>
  <c r="AD86" i="37"/>
  <c r="S19" i="35"/>
  <c r="Q28" i="35"/>
  <c r="R19" i="35"/>
  <c r="F20" i="35"/>
  <c r="F19" i="35"/>
  <c r="AF76" i="37"/>
  <c r="AF75" i="37"/>
  <c r="AF87" i="37"/>
  <c r="C23" i="11"/>
  <c r="R18" i="35" l="1"/>
  <c r="S18" i="35"/>
  <c r="S8" i="35"/>
  <c r="R20" i="35"/>
  <c r="R8" i="35" s="1"/>
  <c r="P37" i="10" s="1"/>
  <c r="F8" i="35"/>
  <c r="AF107" i="37"/>
  <c r="AF77" i="37"/>
  <c r="AF106" i="37"/>
  <c r="AF86" i="37"/>
  <c r="AF85" i="37"/>
  <c r="AF105" i="37"/>
  <c r="AF98" i="37"/>
  <c r="AF84" i="37"/>
  <c r="AF96" i="37"/>
  <c r="AF108" i="37"/>
  <c r="AF97" i="37"/>
  <c r="W15" i="42" l="1"/>
  <c r="K15" i="19" l="1"/>
  <c r="N15" i="19" s="1"/>
  <c r="C110" i="37"/>
  <c r="D110" i="37" s="1"/>
  <c r="C109" i="37"/>
  <c r="D109" i="37" s="1"/>
  <c r="C89" i="37"/>
  <c r="D89" i="37" s="1"/>
  <c r="C88" i="37"/>
  <c r="D88" i="37" s="1"/>
  <c r="AD88" i="37" l="1"/>
  <c r="AD109" i="37"/>
  <c r="AD89" i="37"/>
  <c r="AD110" i="37"/>
  <c r="AF110" i="37" l="1"/>
  <c r="AF89" i="37"/>
  <c r="AF88" i="37"/>
  <c r="AF109" i="37"/>
  <c r="AA26" i="42" l="1"/>
  <c r="AA13" i="19" l="1"/>
  <c r="M17" i="35" s="1"/>
  <c r="C2" i="13"/>
  <c r="B50" i="18"/>
  <c r="D50" i="18" s="1"/>
  <c r="B32" i="10" s="1"/>
  <c r="F32" i="10" s="1"/>
  <c r="B55" i="18"/>
  <c r="D55" i="18" s="1"/>
  <c r="B33" i="10" s="1"/>
  <c r="F33" i="10" s="1"/>
  <c r="B54" i="18"/>
  <c r="D54" i="18" s="1"/>
  <c r="B30" i="10" s="1"/>
  <c r="F30" i="10" s="1"/>
  <c r="E59" i="22"/>
  <c r="B49" i="18"/>
  <c r="D49" i="18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30" i="3"/>
  <c r="E4" i="22" l="1"/>
  <c r="E24" i="22" s="1"/>
  <c r="B29" i="10"/>
  <c r="F29" i="10" s="1"/>
  <c r="E33" i="22"/>
  <c r="E51" i="22" s="1"/>
  <c r="G7" i="45"/>
  <c r="M5" i="20" s="1"/>
  <c r="E76" i="22"/>
  <c r="F33" i="22"/>
  <c r="A83" i="3"/>
  <c r="H84" i="22" l="1"/>
  <c r="J84" i="22" s="1"/>
  <c r="V15" i="3"/>
  <c r="J121" i="22"/>
  <c r="J122" i="22"/>
  <c r="O15" i="42"/>
  <c r="O16" i="42"/>
  <c r="N16" i="3"/>
  <c r="N15" i="3"/>
  <c r="V16" i="3"/>
  <c r="E52" i="22"/>
  <c r="H7" i="45" s="1"/>
  <c r="N5" i="20" s="1"/>
  <c r="E53" i="22"/>
  <c r="C30" i="11" s="1"/>
  <c r="F53" i="22"/>
  <c r="E78" i="22"/>
  <c r="G33" i="22"/>
  <c r="H33" i="22" s="1"/>
  <c r="I33" i="22" s="1"/>
  <c r="J33" i="22" s="1"/>
  <c r="K33" i="22" s="1"/>
  <c r="G36" i="22"/>
  <c r="A84" i="3"/>
  <c r="G39" i="22" l="1"/>
  <c r="G40" i="22"/>
  <c r="H36" i="22"/>
  <c r="A85" i="3"/>
  <c r="K20" i="3" l="1"/>
  <c r="L20" i="42"/>
  <c r="F45" i="22"/>
  <c r="F41" i="22"/>
  <c r="H40" i="22"/>
  <c r="H39" i="22"/>
  <c r="I36" i="22"/>
  <c r="A86" i="3"/>
  <c r="I40" i="22" l="1"/>
  <c r="H41" i="22" s="1"/>
  <c r="L21" i="42"/>
  <c r="K21" i="3"/>
  <c r="A87" i="3"/>
  <c r="A88" i="3"/>
  <c r="K22" i="3" l="1"/>
  <c r="L22" i="42"/>
  <c r="H45" i="22"/>
  <c r="A89" i="3"/>
  <c r="A90" i="3" l="1"/>
  <c r="A91" i="3" l="1"/>
  <c r="A92" i="3" l="1"/>
  <c r="K37" i="10" l="1"/>
  <c r="K36" i="10"/>
  <c r="J36" i="10"/>
  <c r="J35" i="10"/>
  <c r="J30" i="10"/>
  <c r="J31" i="10"/>
  <c r="J32" i="10"/>
  <c r="J33" i="10"/>
  <c r="J29" i="10"/>
  <c r="A98" i="42"/>
  <c r="A99" i="42"/>
  <c r="A100" i="42"/>
  <c r="A101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I4" i="3"/>
  <c r="O117" i="25" l="1"/>
  <c r="O116" i="25"/>
  <c r="O115" i="25"/>
  <c r="O114" i="25"/>
  <c r="O113" i="25"/>
  <c r="O120" i="25"/>
  <c r="O119" i="25"/>
  <c r="O118" i="25"/>
  <c r="O112" i="25"/>
  <c r="O111" i="25"/>
  <c r="O110" i="25"/>
  <c r="O109" i="25"/>
  <c r="O108" i="25"/>
  <c r="O107" i="25"/>
  <c r="O106" i="25"/>
  <c r="O105" i="25"/>
  <c r="O104" i="25"/>
  <c r="N32" i="25"/>
  <c r="P32" i="25" s="1"/>
  <c r="N32" i="19"/>
  <c r="N30" i="25"/>
  <c r="N116" i="25"/>
  <c r="N112" i="25"/>
  <c r="N108" i="25"/>
  <c r="N104" i="25"/>
  <c r="N100" i="25"/>
  <c r="N96" i="25"/>
  <c r="N94" i="25"/>
  <c r="N92" i="25"/>
  <c r="N90" i="25"/>
  <c r="N87" i="25"/>
  <c r="N83" i="25"/>
  <c r="N79" i="25"/>
  <c r="N75" i="25"/>
  <c r="N71" i="25"/>
  <c r="N67" i="25"/>
  <c r="N63" i="25"/>
  <c r="N59" i="25"/>
  <c r="N55" i="25"/>
  <c r="N118" i="25"/>
  <c r="N114" i="25"/>
  <c r="N110" i="25"/>
  <c r="N106" i="25"/>
  <c r="N102" i="25"/>
  <c r="N98" i="25"/>
  <c r="N88" i="25"/>
  <c r="N84" i="25"/>
  <c r="N80" i="25"/>
  <c r="N76" i="25"/>
  <c r="N72" i="25"/>
  <c r="N68" i="25"/>
  <c r="N64" i="25"/>
  <c r="N60" i="25"/>
  <c r="N56" i="25"/>
  <c r="N52" i="25"/>
  <c r="N50" i="25"/>
  <c r="N48" i="25"/>
  <c r="N46" i="25"/>
  <c r="N44" i="25"/>
  <c r="N42" i="25"/>
  <c r="N40" i="25"/>
  <c r="N38" i="25"/>
  <c r="N36" i="25"/>
  <c r="N34" i="25"/>
  <c r="N29" i="25"/>
  <c r="N119" i="25"/>
  <c r="N115" i="25"/>
  <c r="N111" i="25"/>
  <c r="N107" i="25"/>
  <c r="N103" i="25"/>
  <c r="N99" i="25"/>
  <c r="N95" i="25"/>
  <c r="N93" i="25"/>
  <c r="N91" i="25"/>
  <c r="N89" i="25"/>
  <c r="N85" i="25"/>
  <c r="N81" i="25"/>
  <c r="N77" i="25"/>
  <c r="N73" i="25"/>
  <c r="N69" i="25"/>
  <c r="N65" i="25"/>
  <c r="N61" i="25"/>
  <c r="N57" i="25"/>
  <c r="N53" i="25"/>
  <c r="N31" i="25"/>
  <c r="N120" i="25"/>
  <c r="N117" i="25"/>
  <c r="N113" i="25"/>
  <c r="N109" i="25"/>
  <c r="N105" i="25"/>
  <c r="N101" i="25"/>
  <c r="N97" i="25"/>
  <c r="N86" i="25"/>
  <c r="N82" i="25"/>
  <c r="N78" i="25"/>
  <c r="N74" i="25"/>
  <c r="N70" i="25"/>
  <c r="N66" i="25"/>
  <c r="N62" i="25"/>
  <c r="N58" i="25"/>
  <c r="N54" i="25"/>
  <c r="N51" i="25"/>
  <c r="N49" i="25"/>
  <c r="N47" i="25"/>
  <c r="N45" i="25"/>
  <c r="N43" i="25"/>
  <c r="N41" i="25"/>
  <c r="N39" i="25"/>
  <c r="N37" i="25"/>
  <c r="N35" i="25"/>
  <c r="N33" i="25"/>
  <c r="N28" i="25"/>
  <c r="N27" i="25"/>
  <c r="N25" i="25"/>
  <c r="N23" i="25"/>
  <c r="N20" i="25"/>
  <c r="N18" i="25"/>
  <c r="N16" i="25"/>
  <c r="N21" i="25"/>
  <c r="N26" i="25"/>
  <c r="N24" i="25"/>
  <c r="N22" i="25"/>
  <c r="N19" i="25"/>
  <c r="N17" i="25"/>
  <c r="U12" i="19"/>
  <c r="D32" i="25" l="1"/>
  <c r="D19" i="25"/>
  <c r="P19" i="25"/>
  <c r="D23" i="25"/>
  <c r="P23" i="25"/>
  <c r="D78" i="25"/>
  <c r="P78" i="25"/>
  <c r="D22" i="25"/>
  <c r="P22" i="25"/>
  <c r="D16" i="25"/>
  <c r="P16" i="25"/>
  <c r="D25" i="25"/>
  <c r="P25" i="25"/>
  <c r="D35" i="25"/>
  <c r="P35" i="25"/>
  <c r="D43" i="25"/>
  <c r="P43" i="25"/>
  <c r="D51" i="25"/>
  <c r="P51" i="25"/>
  <c r="D66" i="25"/>
  <c r="P66" i="25"/>
  <c r="D82" i="25"/>
  <c r="P82" i="25"/>
  <c r="D105" i="25"/>
  <c r="P105" i="25"/>
  <c r="D120" i="25"/>
  <c r="P120" i="25"/>
  <c r="D61" i="25"/>
  <c r="P61" i="25"/>
  <c r="D77" i="25"/>
  <c r="P77" i="25"/>
  <c r="D91" i="25"/>
  <c r="P91" i="25"/>
  <c r="D103" i="25"/>
  <c r="P103" i="25"/>
  <c r="D119" i="25"/>
  <c r="P119" i="25"/>
  <c r="D38" i="25"/>
  <c r="P38" i="25"/>
  <c r="D46" i="25"/>
  <c r="P46" i="25"/>
  <c r="D56" i="25"/>
  <c r="P56" i="25"/>
  <c r="D72" i="25"/>
  <c r="P72" i="25"/>
  <c r="D88" i="25"/>
  <c r="P88" i="25"/>
  <c r="D110" i="25"/>
  <c r="P110" i="25"/>
  <c r="D59" i="25"/>
  <c r="P59" i="25"/>
  <c r="D75" i="25"/>
  <c r="P75" i="25"/>
  <c r="D90" i="25"/>
  <c r="P90" i="25"/>
  <c r="D100" i="25"/>
  <c r="P100" i="25"/>
  <c r="D116" i="25"/>
  <c r="P116" i="25"/>
  <c r="D33" i="25"/>
  <c r="P33" i="25"/>
  <c r="D62" i="25"/>
  <c r="P62" i="25"/>
  <c r="D117" i="25"/>
  <c r="P117" i="25"/>
  <c r="D73" i="25"/>
  <c r="P73" i="25"/>
  <c r="D89" i="25"/>
  <c r="P89" i="25"/>
  <c r="D99" i="25"/>
  <c r="P99" i="25"/>
  <c r="D115" i="25"/>
  <c r="P115" i="25"/>
  <c r="D36" i="25"/>
  <c r="P36" i="25"/>
  <c r="D44" i="25"/>
  <c r="P44" i="25"/>
  <c r="D52" i="25"/>
  <c r="P52" i="25"/>
  <c r="D68" i="25"/>
  <c r="P68" i="25"/>
  <c r="D84" i="25"/>
  <c r="P84" i="25"/>
  <c r="D106" i="25"/>
  <c r="P106" i="25"/>
  <c r="D55" i="25"/>
  <c r="P55" i="25"/>
  <c r="D71" i="25"/>
  <c r="P71" i="25"/>
  <c r="D87" i="25"/>
  <c r="P87" i="25"/>
  <c r="D96" i="25"/>
  <c r="P96" i="25"/>
  <c r="D112" i="25"/>
  <c r="P112" i="25"/>
  <c r="D21" i="25"/>
  <c r="P21" i="25"/>
  <c r="D49" i="25"/>
  <c r="P49" i="25"/>
  <c r="D57" i="25"/>
  <c r="P57" i="25"/>
  <c r="D17" i="25"/>
  <c r="P17" i="25"/>
  <c r="D26" i="25"/>
  <c r="P26" i="25"/>
  <c r="D20" i="25"/>
  <c r="P20" i="25"/>
  <c r="D28" i="25"/>
  <c r="P28" i="25"/>
  <c r="D39" i="25"/>
  <c r="P39" i="25"/>
  <c r="D47" i="25"/>
  <c r="P47" i="25"/>
  <c r="D58" i="25"/>
  <c r="P58" i="25"/>
  <c r="D74" i="25"/>
  <c r="P74" i="25"/>
  <c r="D97" i="25"/>
  <c r="P97" i="25"/>
  <c r="D113" i="25"/>
  <c r="P113" i="25"/>
  <c r="D53" i="25"/>
  <c r="P53" i="25"/>
  <c r="D69" i="25"/>
  <c r="P69" i="25"/>
  <c r="D85" i="25"/>
  <c r="P85" i="25"/>
  <c r="D95" i="25"/>
  <c r="P95" i="25"/>
  <c r="D111" i="25"/>
  <c r="P111" i="25"/>
  <c r="D34" i="25"/>
  <c r="P34" i="25"/>
  <c r="D42" i="25"/>
  <c r="P42" i="25"/>
  <c r="D50" i="25"/>
  <c r="P50" i="25"/>
  <c r="D64" i="25"/>
  <c r="P64" i="25"/>
  <c r="D80" i="25"/>
  <c r="P80" i="25"/>
  <c r="D102" i="25"/>
  <c r="P102" i="25"/>
  <c r="D118" i="25"/>
  <c r="P118" i="25"/>
  <c r="D67" i="25"/>
  <c r="P67" i="25"/>
  <c r="D83" i="25"/>
  <c r="P83" i="25"/>
  <c r="D94" i="25"/>
  <c r="P94" i="25"/>
  <c r="D108" i="25"/>
  <c r="P108" i="25"/>
  <c r="D30" i="25"/>
  <c r="P30" i="25"/>
  <c r="D41" i="25"/>
  <c r="P41" i="25"/>
  <c r="D101" i="25"/>
  <c r="P101" i="25"/>
  <c r="D24" i="25"/>
  <c r="P24" i="25"/>
  <c r="D18" i="25"/>
  <c r="P18" i="25"/>
  <c r="D27" i="25"/>
  <c r="P27" i="25"/>
  <c r="D37" i="25"/>
  <c r="P37" i="25"/>
  <c r="D45" i="25"/>
  <c r="P45" i="25"/>
  <c r="D54" i="25"/>
  <c r="P54" i="25"/>
  <c r="D70" i="25"/>
  <c r="P70" i="25"/>
  <c r="D86" i="25"/>
  <c r="P86" i="25"/>
  <c r="D109" i="25"/>
  <c r="P109" i="25"/>
  <c r="D31" i="25"/>
  <c r="P31" i="25"/>
  <c r="D65" i="25"/>
  <c r="P65" i="25"/>
  <c r="D81" i="25"/>
  <c r="P81" i="25"/>
  <c r="D93" i="25"/>
  <c r="P93" i="25"/>
  <c r="D107" i="25"/>
  <c r="P107" i="25"/>
  <c r="D29" i="25"/>
  <c r="P29" i="25"/>
  <c r="D40" i="25"/>
  <c r="P40" i="25"/>
  <c r="D48" i="25"/>
  <c r="P48" i="25"/>
  <c r="D60" i="25"/>
  <c r="P60" i="25"/>
  <c r="D76" i="25"/>
  <c r="P76" i="25"/>
  <c r="D98" i="25"/>
  <c r="P98" i="25"/>
  <c r="D114" i="25"/>
  <c r="P114" i="25"/>
  <c r="D63" i="25"/>
  <c r="P63" i="25"/>
  <c r="D79" i="25"/>
  <c r="P79" i="25"/>
  <c r="D92" i="25"/>
  <c r="P92" i="25"/>
  <c r="D104" i="25"/>
  <c r="P104" i="25"/>
  <c r="A30" i="42"/>
  <c r="AD3" i="2" l="1"/>
  <c r="AD4" i="2"/>
  <c r="AD5" i="2"/>
  <c r="AD6" i="2"/>
  <c r="AD2" i="2"/>
  <c r="AC3" i="2"/>
  <c r="AC4" i="2"/>
  <c r="AC5" i="2"/>
  <c r="AC6" i="2"/>
  <c r="AC2" i="2"/>
  <c r="AB3" i="2"/>
  <c r="AB4" i="2"/>
  <c r="AB5" i="2"/>
  <c r="AB6" i="2"/>
  <c r="AB7" i="2"/>
  <c r="AB8" i="2"/>
  <c r="AB9" i="2"/>
  <c r="AB2" i="2"/>
  <c r="AA3" i="2"/>
  <c r="AA4" i="2"/>
  <c r="AA5" i="2"/>
  <c r="AA6" i="2"/>
  <c r="AA7" i="2"/>
  <c r="AA8" i="2"/>
  <c r="AA9" i="2"/>
  <c r="AA2" i="2"/>
  <c r="Z3" i="2"/>
  <c r="Z4" i="2"/>
  <c r="Z5" i="2"/>
  <c r="Z6" i="2"/>
  <c r="Z7" i="2"/>
  <c r="Z8" i="2"/>
  <c r="Z9" i="2"/>
  <c r="Z2" i="2"/>
  <c r="Y3" i="2"/>
  <c r="Y4" i="2"/>
  <c r="Y5" i="2"/>
  <c r="Y6" i="2"/>
  <c r="Y7" i="2"/>
  <c r="Y8" i="2"/>
  <c r="Y9" i="2"/>
  <c r="Y2" i="2"/>
  <c r="X3" i="2"/>
  <c r="X4" i="2"/>
  <c r="X5" i="2"/>
  <c r="X6" i="2"/>
  <c r="X7" i="2"/>
  <c r="X8" i="2"/>
  <c r="X9" i="2"/>
  <c r="X2" i="2"/>
  <c r="W3" i="2"/>
  <c r="W4" i="2"/>
  <c r="W5" i="2"/>
  <c r="W6" i="2"/>
  <c r="W7" i="2"/>
  <c r="W8" i="2"/>
  <c r="W9" i="2"/>
  <c r="W2" i="2"/>
  <c r="U7" i="2"/>
  <c r="V8" i="2"/>
  <c r="V9" i="2"/>
  <c r="V3" i="2"/>
  <c r="V4" i="2"/>
  <c r="V5" i="2"/>
  <c r="V6" i="2"/>
  <c r="V7" i="2"/>
  <c r="V2" i="2"/>
  <c r="U3" i="2"/>
  <c r="U4" i="2"/>
  <c r="U5" i="2"/>
  <c r="U6" i="2"/>
  <c r="U2" i="2"/>
  <c r="T2" i="2"/>
  <c r="S2" i="2"/>
  <c r="R2" i="2"/>
  <c r="Q2" i="2"/>
  <c r="P2" i="2"/>
  <c r="O2" i="2"/>
  <c r="N2" i="2"/>
  <c r="L2" i="2"/>
  <c r="J2" i="2"/>
  <c r="I2" i="2"/>
  <c r="H2" i="2"/>
  <c r="G2" i="2"/>
  <c r="F2" i="2"/>
  <c r="D2" i="2"/>
  <c r="C2" i="2"/>
  <c r="B2" i="2"/>
  <c r="A2" i="2"/>
  <c r="B9" i="42" l="1"/>
  <c r="E1" i="14"/>
  <c r="F1" i="14"/>
  <c r="G1" i="14"/>
  <c r="H1" i="14"/>
  <c r="I1" i="14"/>
  <c r="J1" i="14"/>
  <c r="G13" i="12" s="1"/>
  <c r="K1" i="14"/>
  <c r="L13" i="12" s="1"/>
  <c r="L1" i="14"/>
  <c r="M1" i="14"/>
  <c r="C13" i="12" s="1"/>
  <c r="N1" i="14"/>
  <c r="O1" i="14"/>
  <c r="B1" i="14"/>
  <c r="E2" i="14"/>
  <c r="F2" i="14"/>
  <c r="G2" i="14"/>
  <c r="H2" i="14"/>
  <c r="I2" i="14"/>
  <c r="J2" i="14"/>
  <c r="G14" i="12" s="1"/>
  <c r="K2" i="14"/>
  <c r="L14" i="12" s="1"/>
  <c r="L2" i="14"/>
  <c r="M2" i="14"/>
  <c r="C14" i="12" s="1"/>
  <c r="N2" i="14"/>
  <c r="O2" i="14"/>
  <c r="B2" i="14"/>
  <c r="D2" i="13"/>
  <c r="C13" i="11" s="1"/>
  <c r="E2" i="13"/>
  <c r="F2" i="13"/>
  <c r="G2" i="13"/>
  <c r="H2" i="13"/>
  <c r="C12" i="12" s="1"/>
  <c r="I2" i="13"/>
  <c r="H12" i="12" s="1"/>
  <c r="J2" i="13"/>
  <c r="I12" i="12" s="1"/>
  <c r="K2" i="13"/>
  <c r="L12" i="12" s="1"/>
  <c r="L2" i="13"/>
  <c r="M2" i="13"/>
  <c r="N2" i="13"/>
  <c r="O2" i="13"/>
  <c r="P2" i="13"/>
  <c r="Q2" i="13"/>
  <c r="R2" i="13"/>
  <c r="S2" i="13"/>
  <c r="T2" i="13"/>
  <c r="E1" i="13"/>
  <c r="R9" i="3" s="1"/>
  <c r="F1" i="13"/>
  <c r="G1" i="13"/>
  <c r="H1" i="13"/>
  <c r="I1" i="13"/>
  <c r="H11" i="12" s="1"/>
  <c r="J1" i="13"/>
  <c r="I11" i="12" s="1"/>
  <c r="K1" i="13"/>
  <c r="L11" i="12" s="1"/>
  <c r="L1" i="13"/>
  <c r="M1" i="13"/>
  <c r="N1" i="13"/>
  <c r="O1" i="13"/>
  <c r="P1" i="13"/>
  <c r="Q1" i="13"/>
  <c r="R1" i="13"/>
  <c r="S1" i="13"/>
  <c r="T1" i="13"/>
  <c r="B1" i="13"/>
  <c r="D4" i="13"/>
  <c r="C4" i="13"/>
  <c r="B2" i="13"/>
  <c r="C4" i="14"/>
  <c r="D4" i="14"/>
  <c r="C1" i="14"/>
  <c r="C264" i="37"/>
  <c r="D264" i="37" s="1"/>
  <c r="C253" i="37"/>
  <c r="D253" i="37" s="1"/>
  <c r="C256" i="37"/>
  <c r="D256" i="37" s="1"/>
  <c r="C255" i="37"/>
  <c r="D255" i="37" s="1"/>
  <c r="C258" i="37"/>
  <c r="D258" i="37" s="1"/>
  <c r="C254" i="37"/>
  <c r="D254" i="37" s="1"/>
  <c r="C257" i="37"/>
  <c r="D257" i="37" s="1"/>
  <c r="C252" i="37"/>
  <c r="D252" i="37" s="1"/>
  <c r="C19" i="11" l="1"/>
  <c r="T10" i="42" s="1"/>
  <c r="C11" i="12"/>
  <c r="C1" i="13"/>
  <c r="R10" i="3"/>
  <c r="R12" i="3"/>
  <c r="C20" i="11"/>
  <c r="R11" i="3"/>
  <c r="C21" i="11"/>
  <c r="S11" i="3"/>
  <c r="N9" i="42"/>
  <c r="L9" i="3"/>
  <c r="A17" i="10"/>
  <c r="D1" i="13"/>
  <c r="D1" i="14"/>
  <c r="C15" i="11"/>
  <c r="C17" i="11"/>
  <c r="C22" i="11"/>
  <c r="C2" i="14"/>
  <c r="C16" i="11"/>
  <c r="C14" i="11"/>
  <c r="A14" i="10" s="1"/>
  <c r="D2" i="14"/>
  <c r="B15" i="10" l="1"/>
  <c r="A15" i="10"/>
  <c r="U11" i="42"/>
  <c r="T11" i="42"/>
  <c r="C18" i="11"/>
  <c r="A13" i="10" s="1"/>
  <c r="M2" i="20"/>
  <c r="T12" i="42"/>
  <c r="A16" i="10"/>
  <c r="N12" i="42"/>
  <c r="L12" i="3"/>
  <c r="N11" i="42"/>
  <c r="L11" i="3"/>
  <c r="O11" i="42"/>
  <c r="M11" i="3"/>
  <c r="N10" i="42"/>
  <c r="L10" i="3"/>
  <c r="T9" i="42" l="1"/>
  <c r="J4" i="42" l="1"/>
  <c r="U19" i="42"/>
  <c r="G12" i="42"/>
  <c r="G11" i="42"/>
  <c r="G10" i="42"/>
  <c r="G9" i="42"/>
  <c r="B12" i="42"/>
  <c r="C11" i="42"/>
  <c r="B11" i="42"/>
  <c r="S1" i="42"/>
  <c r="T20" i="3" l="1"/>
  <c r="S20" i="3"/>
  <c r="S21" i="3"/>
  <c r="T21" i="3"/>
  <c r="T17" i="3"/>
  <c r="B19" i="10" l="1"/>
  <c r="G1" i="10"/>
  <c r="F57" i="10"/>
  <c r="F59" i="10"/>
  <c r="F58" i="10"/>
  <c r="C154" i="37"/>
  <c r="D154" i="37" s="1"/>
  <c r="C79" i="37"/>
  <c r="C100" i="37"/>
  <c r="D100" i="37" s="1"/>
  <c r="AF79" i="37" l="1"/>
  <c r="AF100" i="37"/>
  <c r="AF154" i="37"/>
  <c r="AD100" i="37" l="1"/>
  <c r="AD79" i="37"/>
  <c r="AD154" i="37"/>
  <c r="C17" i="3" l="1"/>
  <c r="C20" i="3" l="1"/>
  <c r="C19" i="3"/>
  <c r="C18" i="3"/>
  <c r="R1" i="3" l="1"/>
  <c r="I15" i="19"/>
  <c r="D10" i="18"/>
  <c r="C68" i="11"/>
  <c r="C37" i="10"/>
  <c r="A33" i="10"/>
  <c r="A29" i="10"/>
  <c r="A12" i="10"/>
  <c r="K39" i="10"/>
  <c r="K30" i="10"/>
  <c r="K31" i="10"/>
  <c r="K32" i="10"/>
  <c r="K33" i="10"/>
  <c r="K29" i="10"/>
  <c r="K35" i="10"/>
  <c r="AF112" i="37"/>
  <c r="T13" i="34"/>
  <c r="U13" i="34"/>
  <c r="AF136" i="37"/>
  <c r="C137" i="37"/>
  <c r="D137" i="37" s="1"/>
  <c r="C138" i="37"/>
  <c r="D138" i="37" s="1"/>
  <c r="C139" i="37"/>
  <c r="D139" i="37" s="1"/>
  <c r="C140" i="37"/>
  <c r="D140" i="37" s="1"/>
  <c r="C141" i="37"/>
  <c r="D141" i="37" s="1"/>
  <c r="C142" i="37"/>
  <c r="D142" i="37" s="1"/>
  <c r="C143" i="37"/>
  <c r="D143" i="37" s="1"/>
  <c r="C144" i="37"/>
  <c r="D144" i="37" s="1"/>
  <c r="C145" i="37"/>
  <c r="D145" i="37" s="1"/>
  <c r="C146" i="37"/>
  <c r="D146" i="37" s="1"/>
  <c r="C147" i="37"/>
  <c r="D147" i="37" s="1"/>
  <c r="C148" i="37"/>
  <c r="D148" i="37" s="1"/>
  <c r="C113" i="37"/>
  <c r="D113" i="37" s="1"/>
  <c r="C114" i="37"/>
  <c r="D114" i="37" s="1"/>
  <c r="C115" i="37"/>
  <c r="D115" i="37" s="1"/>
  <c r="C116" i="37"/>
  <c r="D116" i="37" s="1"/>
  <c r="C117" i="37"/>
  <c r="D117" i="37" s="1"/>
  <c r="C118" i="37"/>
  <c r="D118" i="37" s="1"/>
  <c r="C119" i="37"/>
  <c r="D119" i="37" s="1"/>
  <c r="C120" i="37"/>
  <c r="D120" i="37" s="1"/>
  <c r="C121" i="37"/>
  <c r="D121" i="37" s="1"/>
  <c r="C122" i="37"/>
  <c r="D122" i="37" s="1"/>
  <c r="C123" i="37"/>
  <c r="D123" i="37" s="1"/>
  <c r="C124" i="37"/>
  <c r="D124" i="37" s="1"/>
  <c r="AD122" i="37" l="1"/>
  <c r="AD118" i="37"/>
  <c r="AF114" i="37"/>
  <c r="AD147" i="37"/>
  <c r="AF145" i="37"/>
  <c r="AD143" i="37"/>
  <c r="AD141" i="37"/>
  <c r="AD139" i="37"/>
  <c r="AD137" i="37"/>
  <c r="AF123" i="37"/>
  <c r="AF119" i="37"/>
  <c r="AF115" i="37"/>
  <c r="AD124" i="37"/>
  <c r="AD120" i="37"/>
  <c r="AD116" i="37"/>
  <c r="AD148" i="37"/>
  <c r="AF146" i="37"/>
  <c r="AF144" i="37"/>
  <c r="AD142" i="37"/>
  <c r="AD140" i="37"/>
  <c r="AF138" i="37"/>
  <c r="AD121" i="37"/>
  <c r="AD117" i="37"/>
  <c r="AD113" i="37"/>
  <c r="N15" i="25"/>
  <c r="K41" i="10"/>
  <c r="G57" i="10"/>
  <c r="AF143" i="37"/>
  <c r="G38" i="10"/>
  <c r="AF122" i="37"/>
  <c r="AF120" i="37"/>
  <c r="AF116" i="37"/>
  <c r="C104" i="21"/>
  <c r="B96" i="21"/>
  <c r="C96" i="21"/>
  <c r="F37" i="10"/>
  <c r="F36" i="10"/>
  <c r="B21" i="10"/>
  <c r="B55" i="10"/>
  <c r="C6" i="11"/>
  <c r="C5" i="11"/>
  <c r="AF117" i="37" l="1"/>
  <c r="AF142" i="37"/>
  <c r="AF141" i="37"/>
  <c r="AF121" i="37"/>
  <c r="AF118" i="37"/>
  <c r="AF147" i="37"/>
  <c r="AF139" i="37"/>
  <c r="AF148" i="37"/>
  <c r="AF137" i="37"/>
  <c r="AF124" i="37"/>
  <c r="AF113" i="37"/>
  <c r="AD138" i="37"/>
  <c r="AD146" i="37"/>
  <c r="AD119" i="37"/>
  <c r="AD145" i="37"/>
  <c r="AD114" i="37"/>
  <c r="AF140" i="37"/>
  <c r="AD144" i="37"/>
  <c r="AD115" i="37"/>
  <c r="AD123" i="37"/>
  <c r="D15" i="25"/>
  <c r="P15" i="25"/>
  <c r="C19" i="10"/>
  <c r="G59" i="10"/>
  <c r="C12" i="11" l="1"/>
  <c r="C11" i="11"/>
  <c r="F10" i="10" s="1"/>
  <c r="C10" i="11"/>
  <c r="E10" i="10" s="1"/>
  <c r="C9" i="11"/>
  <c r="E9" i="10" s="1"/>
  <c r="C8" i="11"/>
  <c r="C7" i="11"/>
  <c r="V9" i="3" l="1"/>
  <c r="V12" i="3" s="1"/>
  <c r="E11" i="10"/>
  <c r="E16" i="25"/>
  <c r="C16" i="25" s="1"/>
  <c r="A16" i="25" s="1"/>
  <c r="F16" i="25"/>
  <c r="G16" i="25"/>
  <c r="H16" i="25"/>
  <c r="E17" i="25"/>
  <c r="C17" i="25" s="1"/>
  <c r="A17" i="25" s="1"/>
  <c r="F17" i="25"/>
  <c r="G17" i="25"/>
  <c r="H17" i="25"/>
  <c r="E18" i="25"/>
  <c r="C18" i="25" s="1"/>
  <c r="A18" i="25" s="1"/>
  <c r="F18" i="25"/>
  <c r="G18" i="25"/>
  <c r="H18" i="25"/>
  <c r="E19" i="25"/>
  <c r="C19" i="25" s="1"/>
  <c r="A19" i="25" s="1"/>
  <c r="F19" i="25"/>
  <c r="G19" i="25"/>
  <c r="H19" i="25"/>
  <c r="E20" i="25"/>
  <c r="C20" i="25" s="1"/>
  <c r="A20" i="25" s="1"/>
  <c r="F20" i="25"/>
  <c r="G20" i="25"/>
  <c r="H20" i="25"/>
  <c r="E21" i="25"/>
  <c r="C21" i="25" s="1"/>
  <c r="A21" i="25" s="1"/>
  <c r="F21" i="25"/>
  <c r="G21" i="25"/>
  <c r="H21" i="25"/>
  <c r="E22" i="25"/>
  <c r="C22" i="25" s="1"/>
  <c r="A22" i="25" s="1"/>
  <c r="F22" i="25"/>
  <c r="G22" i="25"/>
  <c r="H22" i="25"/>
  <c r="E23" i="25"/>
  <c r="C23" i="25" s="1"/>
  <c r="A23" i="25" s="1"/>
  <c r="F23" i="25"/>
  <c r="G23" i="25"/>
  <c r="H23" i="25"/>
  <c r="E24" i="25"/>
  <c r="C24" i="25" s="1"/>
  <c r="A24" i="25" s="1"/>
  <c r="F24" i="25"/>
  <c r="G24" i="25"/>
  <c r="H24" i="25"/>
  <c r="E25" i="25"/>
  <c r="C25" i="25" s="1"/>
  <c r="A25" i="25" s="1"/>
  <c r="F25" i="25"/>
  <c r="G25" i="25"/>
  <c r="H25" i="25"/>
  <c r="E26" i="25"/>
  <c r="C26" i="25" s="1"/>
  <c r="A26" i="25" s="1"/>
  <c r="F26" i="25"/>
  <c r="G26" i="25"/>
  <c r="H26" i="25"/>
  <c r="E27" i="25"/>
  <c r="C27" i="25" s="1"/>
  <c r="A27" i="25" s="1"/>
  <c r="F27" i="25"/>
  <c r="G27" i="25"/>
  <c r="H27" i="25"/>
  <c r="E28" i="25"/>
  <c r="C28" i="25" s="1"/>
  <c r="A28" i="25" s="1"/>
  <c r="F28" i="25"/>
  <c r="G28" i="25"/>
  <c r="H28" i="25"/>
  <c r="E29" i="25"/>
  <c r="C29" i="25" s="1"/>
  <c r="A29" i="25" s="1"/>
  <c r="F29" i="25"/>
  <c r="G29" i="25"/>
  <c r="H29" i="25"/>
  <c r="E30" i="25"/>
  <c r="C30" i="25" s="1"/>
  <c r="A30" i="25" s="1"/>
  <c r="F30" i="25"/>
  <c r="G30" i="25"/>
  <c r="H30" i="25"/>
  <c r="E31" i="25"/>
  <c r="C31" i="25" s="1"/>
  <c r="A31" i="25" s="1"/>
  <c r="F31" i="25"/>
  <c r="G31" i="25"/>
  <c r="H31" i="25"/>
  <c r="E32" i="25"/>
  <c r="C32" i="25" s="1"/>
  <c r="A32" i="25" s="1"/>
  <c r="F32" i="25"/>
  <c r="G32" i="25"/>
  <c r="H32" i="25"/>
  <c r="E33" i="25"/>
  <c r="C33" i="25" s="1"/>
  <c r="A33" i="25" s="1"/>
  <c r="F33" i="25"/>
  <c r="G33" i="25"/>
  <c r="H33" i="25"/>
  <c r="E34" i="25"/>
  <c r="C34" i="25" s="1"/>
  <c r="A34" i="25" s="1"/>
  <c r="F34" i="25"/>
  <c r="G34" i="25"/>
  <c r="H34" i="25"/>
  <c r="E35" i="25"/>
  <c r="C35" i="25" s="1"/>
  <c r="A35" i="25" s="1"/>
  <c r="F35" i="25"/>
  <c r="G35" i="25"/>
  <c r="H35" i="25"/>
  <c r="E36" i="25"/>
  <c r="C36" i="25" s="1"/>
  <c r="A36" i="25" s="1"/>
  <c r="F36" i="25"/>
  <c r="G36" i="25"/>
  <c r="H36" i="25"/>
  <c r="E37" i="25"/>
  <c r="C37" i="25" s="1"/>
  <c r="A37" i="25" s="1"/>
  <c r="F37" i="25"/>
  <c r="G37" i="25"/>
  <c r="H37" i="25"/>
  <c r="E38" i="25"/>
  <c r="C38" i="25" s="1"/>
  <c r="A38" i="25" s="1"/>
  <c r="F38" i="25"/>
  <c r="G38" i="25"/>
  <c r="H38" i="25"/>
  <c r="E39" i="25"/>
  <c r="C39" i="25" s="1"/>
  <c r="A39" i="25" s="1"/>
  <c r="F39" i="25"/>
  <c r="G39" i="25"/>
  <c r="H39" i="25"/>
  <c r="E40" i="25"/>
  <c r="C40" i="25" s="1"/>
  <c r="A40" i="25" s="1"/>
  <c r="F40" i="25"/>
  <c r="G40" i="25"/>
  <c r="H40" i="25"/>
  <c r="E41" i="25"/>
  <c r="C41" i="25" s="1"/>
  <c r="A41" i="25" s="1"/>
  <c r="F41" i="25"/>
  <c r="G41" i="25"/>
  <c r="H41" i="25"/>
  <c r="E42" i="25"/>
  <c r="C42" i="25" s="1"/>
  <c r="A42" i="25" s="1"/>
  <c r="F42" i="25"/>
  <c r="G42" i="25"/>
  <c r="H42" i="25"/>
  <c r="E43" i="25"/>
  <c r="C43" i="25" s="1"/>
  <c r="A43" i="25" s="1"/>
  <c r="F43" i="25"/>
  <c r="G43" i="25"/>
  <c r="H43" i="25"/>
  <c r="E44" i="25"/>
  <c r="C44" i="25" s="1"/>
  <c r="A44" i="25" s="1"/>
  <c r="F44" i="25"/>
  <c r="G44" i="25"/>
  <c r="H44" i="25"/>
  <c r="E45" i="25"/>
  <c r="C45" i="25" s="1"/>
  <c r="A45" i="25" s="1"/>
  <c r="F45" i="25"/>
  <c r="G45" i="25"/>
  <c r="H45" i="25"/>
  <c r="E46" i="25"/>
  <c r="C46" i="25" s="1"/>
  <c r="A46" i="25" s="1"/>
  <c r="F46" i="25"/>
  <c r="G46" i="25"/>
  <c r="H46" i="25"/>
  <c r="E47" i="25"/>
  <c r="C47" i="25" s="1"/>
  <c r="A47" i="25" s="1"/>
  <c r="F47" i="25"/>
  <c r="G47" i="25"/>
  <c r="H47" i="25"/>
  <c r="E48" i="25"/>
  <c r="C48" i="25" s="1"/>
  <c r="A48" i="25" s="1"/>
  <c r="F48" i="25"/>
  <c r="G48" i="25"/>
  <c r="H48" i="25"/>
  <c r="E49" i="25"/>
  <c r="C49" i="25" s="1"/>
  <c r="A49" i="25" s="1"/>
  <c r="F49" i="25"/>
  <c r="G49" i="25"/>
  <c r="H49" i="25"/>
  <c r="E50" i="25"/>
  <c r="C50" i="25" s="1"/>
  <c r="A50" i="25" s="1"/>
  <c r="F50" i="25"/>
  <c r="G50" i="25"/>
  <c r="H50" i="25"/>
  <c r="E51" i="25"/>
  <c r="C51" i="25" s="1"/>
  <c r="A51" i="25" s="1"/>
  <c r="F51" i="25"/>
  <c r="G51" i="25"/>
  <c r="H51" i="25"/>
  <c r="E52" i="25"/>
  <c r="C52" i="25" s="1"/>
  <c r="A52" i="25" s="1"/>
  <c r="F52" i="25"/>
  <c r="G52" i="25"/>
  <c r="H52" i="25"/>
  <c r="E53" i="25"/>
  <c r="C53" i="25" s="1"/>
  <c r="A53" i="25" s="1"/>
  <c r="F53" i="25"/>
  <c r="G53" i="25"/>
  <c r="H53" i="25"/>
  <c r="E54" i="25"/>
  <c r="C54" i="25" s="1"/>
  <c r="A54" i="25" s="1"/>
  <c r="F54" i="25"/>
  <c r="G54" i="25"/>
  <c r="H54" i="25"/>
  <c r="E55" i="25"/>
  <c r="C55" i="25" s="1"/>
  <c r="A55" i="25" s="1"/>
  <c r="F55" i="25"/>
  <c r="G55" i="25"/>
  <c r="H55" i="25"/>
  <c r="E56" i="25"/>
  <c r="C56" i="25" s="1"/>
  <c r="A56" i="25" s="1"/>
  <c r="F56" i="25"/>
  <c r="G56" i="25"/>
  <c r="H56" i="25"/>
  <c r="E57" i="25"/>
  <c r="C57" i="25" s="1"/>
  <c r="A57" i="25" s="1"/>
  <c r="F57" i="25"/>
  <c r="G57" i="25"/>
  <c r="H57" i="25"/>
  <c r="E58" i="25"/>
  <c r="C58" i="25" s="1"/>
  <c r="A58" i="25" s="1"/>
  <c r="F58" i="25"/>
  <c r="G58" i="25"/>
  <c r="H58" i="25"/>
  <c r="E59" i="25"/>
  <c r="C59" i="25" s="1"/>
  <c r="A59" i="25" s="1"/>
  <c r="F59" i="25"/>
  <c r="G59" i="25"/>
  <c r="H59" i="25"/>
  <c r="E60" i="25"/>
  <c r="C60" i="25" s="1"/>
  <c r="A60" i="25" s="1"/>
  <c r="F60" i="25"/>
  <c r="G60" i="25"/>
  <c r="H60" i="25"/>
  <c r="E61" i="25"/>
  <c r="C61" i="25" s="1"/>
  <c r="A61" i="25" s="1"/>
  <c r="F61" i="25"/>
  <c r="G61" i="25"/>
  <c r="H61" i="25"/>
  <c r="E62" i="25"/>
  <c r="C62" i="25" s="1"/>
  <c r="A62" i="25" s="1"/>
  <c r="F62" i="25"/>
  <c r="G62" i="25"/>
  <c r="H62" i="25"/>
  <c r="E63" i="25"/>
  <c r="C63" i="25" s="1"/>
  <c r="A63" i="25" s="1"/>
  <c r="F63" i="25"/>
  <c r="G63" i="25"/>
  <c r="H63" i="25"/>
  <c r="E64" i="25"/>
  <c r="C64" i="25" s="1"/>
  <c r="A64" i="25" s="1"/>
  <c r="F64" i="25"/>
  <c r="G64" i="25"/>
  <c r="H64" i="25"/>
  <c r="E65" i="25"/>
  <c r="C65" i="25" s="1"/>
  <c r="A65" i="25" s="1"/>
  <c r="F65" i="25"/>
  <c r="G65" i="25"/>
  <c r="H65" i="25"/>
  <c r="E66" i="25"/>
  <c r="C66" i="25" s="1"/>
  <c r="A66" i="25" s="1"/>
  <c r="F66" i="25"/>
  <c r="G66" i="25"/>
  <c r="H66" i="25"/>
  <c r="E67" i="25"/>
  <c r="C67" i="25" s="1"/>
  <c r="A67" i="25" s="1"/>
  <c r="F67" i="25"/>
  <c r="G67" i="25"/>
  <c r="H67" i="25"/>
  <c r="E68" i="25"/>
  <c r="C68" i="25" s="1"/>
  <c r="A68" i="25" s="1"/>
  <c r="F68" i="25"/>
  <c r="G68" i="25"/>
  <c r="H68" i="25"/>
  <c r="E69" i="25"/>
  <c r="C69" i="25" s="1"/>
  <c r="A69" i="25" s="1"/>
  <c r="F69" i="25"/>
  <c r="G69" i="25"/>
  <c r="H69" i="25"/>
  <c r="E70" i="25"/>
  <c r="C70" i="25" s="1"/>
  <c r="A70" i="25" s="1"/>
  <c r="F70" i="25"/>
  <c r="G70" i="25"/>
  <c r="H70" i="25"/>
  <c r="E71" i="25"/>
  <c r="C71" i="25" s="1"/>
  <c r="A71" i="25" s="1"/>
  <c r="F71" i="25"/>
  <c r="G71" i="25"/>
  <c r="H71" i="25"/>
  <c r="E72" i="25"/>
  <c r="C72" i="25" s="1"/>
  <c r="A72" i="25" s="1"/>
  <c r="F72" i="25"/>
  <c r="G72" i="25"/>
  <c r="H72" i="25"/>
  <c r="E73" i="25"/>
  <c r="C73" i="25" s="1"/>
  <c r="A73" i="25" s="1"/>
  <c r="F73" i="25"/>
  <c r="G73" i="25"/>
  <c r="H73" i="25"/>
  <c r="E74" i="25"/>
  <c r="C74" i="25" s="1"/>
  <c r="A74" i="25" s="1"/>
  <c r="F74" i="25"/>
  <c r="G74" i="25"/>
  <c r="H74" i="25"/>
  <c r="E75" i="25"/>
  <c r="C75" i="25" s="1"/>
  <c r="A75" i="25" s="1"/>
  <c r="F75" i="25"/>
  <c r="G75" i="25"/>
  <c r="H75" i="25"/>
  <c r="E76" i="25"/>
  <c r="C76" i="25" s="1"/>
  <c r="A76" i="25" s="1"/>
  <c r="F76" i="25"/>
  <c r="G76" i="25"/>
  <c r="H76" i="25"/>
  <c r="E77" i="25"/>
  <c r="C77" i="25" s="1"/>
  <c r="A77" i="25" s="1"/>
  <c r="F77" i="25"/>
  <c r="G77" i="25"/>
  <c r="H77" i="25"/>
  <c r="E78" i="25"/>
  <c r="C78" i="25" s="1"/>
  <c r="A78" i="25" s="1"/>
  <c r="F78" i="25"/>
  <c r="G78" i="25"/>
  <c r="H78" i="25"/>
  <c r="E79" i="25"/>
  <c r="C79" i="25" s="1"/>
  <c r="A79" i="25" s="1"/>
  <c r="F79" i="25"/>
  <c r="G79" i="25"/>
  <c r="H79" i="25"/>
  <c r="E80" i="25"/>
  <c r="C80" i="25" s="1"/>
  <c r="A80" i="25" s="1"/>
  <c r="F80" i="25"/>
  <c r="G80" i="25"/>
  <c r="H80" i="25"/>
  <c r="E81" i="25"/>
  <c r="C81" i="25" s="1"/>
  <c r="A81" i="25" s="1"/>
  <c r="F81" i="25"/>
  <c r="G81" i="25"/>
  <c r="H81" i="25"/>
  <c r="E82" i="25"/>
  <c r="C82" i="25" s="1"/>
  <c r="A82" i="25" s="1"/>
  <c r="F82" i="25"/>
  <c r="G82" i="25"/>
  <c r="H82" i="25"/>
  <c r="E83" i="25"/>
  <c r="C83" i="25" s="1"/>
  <c r="A83" i="25" s="1"/>
  <c r="F83" i="25"/>
  <c r="G83" i="25"/>
  <c r="H83" i="25"/>
  <c r="E84" i="25"/>
  <c r="C84" i="25" s="1"/>
  <c r="A84" i="25" s="1"/>
  <c r="F84" i="25"/>
  <c r="G84" i="25"/>
  <c r="H84" i="25"/>
  <c r="E85" i="25"/>
  <c r="C85" i="25" s="1"/>
  <c r="A85" i="25" s="1"/>
  <c r="F85" i="25"/>
  <c r="G85" i="25"/>
  <c r="H85" i="25"/>
  <c r="E86" i="25"/>
  <c r="C86" i="25" s="1"/>
  <c r="A86" i="25" s="1"/>
  <c r="F86" i="25"/>
  <c r="G86" i="25"/>
  <c r="H86" i="25"/>
  <c r="E87" i="25"/>
  <c r="C87" i="25" s="1"/>
  <c r="A87" i="25" s="1"/>
  <c r="F87" i="25"/>
  <c r="G87" i="25"/>
  <c r="H87" i="25"/>
  <c r="E88" i="25"/>
  <c r="C88" i="25" s="1"/>
  <c r="A88" i="25" s="1"/>
  <c r="F88" i="25"/>
  <c r="G88" i="25"/>
  <c r="H88" i="25"/>
  <c r="E89" i="25"/>
  <c r="C89" i="25" s="1"/>
  <c r="A89" i="25" s="1"/>
  <c r="F89" i="25"/>
  <c r="G89" i="25"/>
  <c r="H89" i="25"/>
  <c r="E90" i="25"/>
  <c r="C90" i="25" s="1"/>
  <c r="A90" i="25" s="1"/>
  <c r="F90" i="25"/>
  <c r="G90" i="25"/>
  <c r="H90" i="25"/>
  <c r="E91" i="25"/>
  <c r="C91" i="25" s="1"/>
  <c r="A91" i="25" s="1"/>
  <c r="F91" i="25"/>
  <c r="G91" i="25"/>
  <c r="H91" i="25"/>
  <c r="E92" i="25"/>
  <c r="C92" i="25" s="1"/>
  <c r="A92" i="25" s="1"/>
  <c r="F92" i="25"/>
  <c r="G92" i="25"/>
  <c r="H92" i="25"/>
  <c r="E93" i="25"/>
  <c r="C93" i="25" s="1"/>
  <c r="A93" i="25" s="1"/>
  <c r="F93" i="25"/>
  <c r="G93" i="25"/>
  <c r="H93" i="25"/>
  <c r="E94" i="25"/>
  <c r="C94" i="25" s="1"/>
  <c r="A94" i="25" s="1"/>
  <c r="F94" i="25"/>
  <c r="G94" i="25"/>
  <c r="H94" i="25"/>
  <c r="E95" i="25"/>
  <c r="C95" i="25" s="1"/>
  <c r="A95" i="25" s="1"/>
  <c r="F95" i="25"/>
  <c r="G95" i="25"/>
  <c r="H95" i="25"/>
  <c r="E96" i="25"/>
  <c r="C96" i="25" s="1"/>
  <c r="A96" i="25" s="1"/>
  <c r="F96" i="25"/>
  <c r="G96" i="25"/>
  <c r="H96" i="25"/>
  <c r="E97" i="25"/>
  <c r="C97" i="25" s="1"/>
  <c r="A97" i="25" s="1"/>
  <c r="F97" i="25"/>
  <c r="G97" i="25"/>
  <c r="H97" i="25"/>
  <c r="E98" i="25"/>
  <c r="C98" i="25" s="1"/>
  <c r="A98" i="25" s="1"/>
  <c r="F98" i="25"/>
  <c r="G98" i="25"/>
  <c r="H98" i="25"/>
  <c r="E99" i="25"/>
  <c r="C99" i="25" s="1"/>
  <c r="A99" i="25" s="1"/>
  <c r="F99" i="25"/>
  <c r="G99" i="25"/>
  <c r="H99" i="25"/>
  <c r="E100" i="25"/>
  <c r="C100" i="25" s="1"/>
  <c r="A100" i="25" s="1"/>
  <c r="F100" i="25"/>
  <c r="G100" i="25"/>
  <c r="H100" i="25"/>
  <c r="E101" i="25"/>
  <c r="C101" i="25" s="1"/>
  <c r="A101" i="25" s="1"/>
  <c r="F101" i="25"/>
  <c r="G101" i="25"/>
  <c r="H101" i="25"/>
  <c r="E102" i="25"/>
  <c r="C102" i="25" s="1"/>
  <c r="A102" i="25" s="1"/>
  <c r="F102" i="25"/>
  <c r="G102" i="25"/>
  <c r="H102" i="25"/>
  <c r="E103" i="25"/>
  <c r="C103" i="25" s="1"/>
  <c r="A103" i="25" s="1"/>
  <c r="F103" i="25"/>
  <c r="G103" i="25"/>
  <c r="H103" i="25"/>
  <c r="E104" i="25"/>
  <c r="C104" i="25" s="1"/>
  <c r="A104" i="25" s="1"/>
  <c r="F104" i="25"/>
  <c r="G104" i="25"/>
  <c r="H104" i="25"/>
  <c r="E105" i="25"/>
  <c r="C105" i="25" s="1"/>
  <c r="A105" i="25" s="1"/>
  <c r="F105" i="25"/>
  <c r="G105" i="25"/>
  <c r="H105" i="25"/>
  <c r="E106" i="25"/>
  <c r="C106" i="25" s="1"/>
  <c r="A106" i="25" s="1"/>
  <c r="F106" i="25"/>
  <c r="G106" i="25"/>
  <c r="H106" i="25"/>
  <c r="E107" i="25"/>
  <c r="C107" i="25" s="1"/>
  <c r="A107" i="25" s="1"/>
  <c r="F107" i="25"/>
  <c r="G107" i="25"/>
  <c r="H107" i="25"/>
  <c r="E108" i="25"/>
  <c r="C108" i="25" s="1"/>
  <c r="A108" i="25" s="1"/>
  <c r="F108" i="25"/>
  <c r="G108" i="25"/>
  <c r="H108" i="25"/>
  <c r="E109" i="25"/>
  <c r="C109" i="25" s="1"/>
  <c r="A109" i="25" s="1"/>
  <c r="F109" i="25"/>
  <c r="G109" i="25"/>
  <c r="H109" i="25"/>
  <c r="E110" i="25"/>
  <c r="C110" i="25" s="1"/>
  <c r="A110" i="25" s="1"/>
  <c r="F110" i="25"/>
  <c r="G110" i="25"/>
  <c r="H110" i="25"/>
  <c r="E111" i="25"/>
  <c r="C111" i="25" s="1"/>
  <c r="A111" i="25" s="1"/>
  <c r="F111" i="25"/>
  <c r="G111" i="25"/>
  <c r="H111" i="25"/>
  <c r="E112" i="25"/>
  <c r="C112" i="25" s="1"/>
  <c r="A112" i="25" s="1"/>
  <c r="F112" i="25"/>
  <c r="G112" i="25"/>
  <c r="H112" i="25"/>
  <c r="E113" i="25"/>
  <c r="C113" i="25" s="1"/>
  <c r="A113" i="25" s="1"/>
  <c r="F113" i="25"/>
  <c r="G113" i="25"/>
  <c r="H113" i="25"/>
  <c r="E114" i="25"/>
  <c r="C114" i="25" s="1"/>
  <c r="A114" i="25" s="1"/>
  <c r="F114" i="25"/>
  <c r="G114" i="25"/>
  <c r="H114" i="25"/>
  <c r="E115" i="25"/>
  <c r="C115" i="25" s="1"/>
  <c r="A115" i="25" s="1"/>
  <c r="F115" i="25"/>
  <c r="G115" i="25"/>
  <c r="H115" i="25"/>
  <c r="E116" i="25"/>
  <c r="C116" i="25" s="1"/>
  <c r="A116" i="25" s="1"/>
  <c r="F116" i="25"/>
  <c r="G116" i="25"/>
  <c r="H116" i="25"/>
  <c r="E117" i="25"/>
  <c r="C117" i="25" s="1"/>
  <c r="A117" i="25" s="1"/>
  <c r="F117" i="25"/>
  <c r="G117" i="25"/>
  <c r="H117" i="25"/>
  <c r="E118" i="25"/>
  <c r="C118" i="25" s="1"/>
  <c r="A118" i="25" s="1"/>
  <c r="F118" i="25"/>
  <c r="G118" i="25"/>
  <c r="H118" i="25"/>
  <c r="E119" i="25"/>
  <c r="C119" i="25" s="1"/>
  <c r="A119" i="25" s="1"/>
  <c r="F119" i="25"/>
  <c r="G119" i="25"/>
  <c r="H119" i="25"/>
  <c r="E120" i="25"/>
  <c r="C120" i="25" s="1"/>
  <c r="A120" i="25" s="1"/>
  <c r="F120" i="25"/>
  <c r="G120" i="25"/>
  <c r="H120" i="25"/>
  <c r="E15" i="25"/>
  <c r="C15" i="25" s="1"/>
  <c r="A15" i="25" s="1"/>
  <c r="G15" i="25"/>
  <c r="H15" i="25"/>
  <c r="AB112" i="37"/>
  <c r="AB70" i="37"/>
  <c r="NC4" i="25"/>
  <c r="MC4" i="25"/>
  <c r="LC4" i="25"/>
  <c r="KC4" i="25"/>
  <c r="JC4" i="25"/>
  <c r="FL117" i="25" l="1"/>
  <c r="BG117" i="25"/>
  <c r="BD117" i="25"/>
  <c r="BH117" i="25"/>
  <c r="BF117" i="25"/>
  <c r="BE117" i="25"/>
  <c r="FL113" i="25"/>
  <c r="BG113" i="25"/>
  <c r="BD113" i="25"/>
  <c r="BH113" i="25"/>
  <c r="BE113" i="25"/>
  <c r="BF113" i="25"/>
  <c r="FL110" i="25"/>
  <c r="BF110" i="25"/>
  <c r="BG110" i="25"/>
  <c r="BE110" i="25"/>
  <c r="BD110" i="25"/>
  <c r="BH110" i="25"/>
  <c r="FL106" i="25"/>
  <c r="BF106" i="25"/>
  <c r="BG106" i="25"/>
  <c r="BE106" i="25"/>
  <c r="BD106" i="25"/>
  <c r="BH106" i="25"/>
  <c r="FL120" i="25"/>
  <c r="BD120" i="25"/>
  <c r="BH120" i="25"/>
  <c r="BE120" i="25"/>
  <c r="BF120" i="25"/>
  <c r="BG120" i="25"/>
  <c r="FL115" i="25"/>
  <c r="BE115" i="25"/>
  <c r="BD115" i="25"/>
  <c r="BF115" i="25"/>
  <c r="BG115" i="25"/>
  <c r="BH115" i="25"/>
  <c r="FL111" i="25"/>
  <c r="BE111" i="25"/>
  <c r="BH111" i="25"/>
  <c r="BF111" i="25"/>
  <c r="BG111" i="25"/>
  <c r="BD111" i="25"/>
  <c r="FL107" i="25"/>
  <c r="BE107" i="25"/>
  <c r="BD107" i="25"/>
  <c r="BF107" i="25"/>
  <c r="BH107" i="25"/>
  <c r="BG107" i="25"/>
  <c r="FL118" i="25"/>
  <c r="BF118" i="25"/>
  <c r="BE118" i="25"/>
  <c r="BG118" i="25"/>
  <c r="BD118" i="25"/>
  <c r="BH118" i="25"/>
  <c r="FL114" i="25"/>
  <c r="BF114" i="25"/>
  <c r="BG114" i="25"/>
  <c r="BE114" i="25"/>
  <c r="BD114" i="25"/>
  <c r="BH114" i="25"/>
  <c r="FL108" i="25"/>
  <c r="BD108" i="25"/>
  <c r="BH108" i="25"/>
  <c r="BE108" i="25"/>
  <c r="BF108" i="25"/>
  <c r="BG108" i="25"/>
  <c r="FL119" i="25"/>
  <c r="BE119" i="25"/>
  <c r="BH119" i="25"/>
  <c r="BF119" i="25"/>
  <c r="BG119" i="25"/>
  <c r="BD119" i="25"/>
  <c r="FL116" i="25"/>
  <c r="BD116" i="25"/>
  <c r="BH116" i="25"/>
  <c r="BE116" i="25"/>
  <c r="BF116" i="25"/>
  <c r="BG116" i="25"/>
  <c r="FL112" i="25"/>
  <c r="BD112" i="25"/>
  <c r="BH112" i="25"/>
  <c r="BE112" i="25"/>
  <c r="BG112" i="25"/>
  <c r="BF112" i="25"/>
  <c r="FL109" i="25"/>
  <c r="BG109" i="25"/>
  <c r="BF109" i="25"/>
  <c r="BD109" i="25"/>
  <c r="BH109" i="25"/>
  <c r="BE109" i="25"/>
  <c r="FL105" i="25"/>
  <c r="BG105" i="25"/>
  <c r="BD105" i="25"/>
  <c r="BH105" i="25"/>
  <c r="BE105" i="25"/>
  <c r="BF105" i="25"/>
  <c r="IC119" i="25"/>
  <c r="IG119" i="25"/>
  <c r="IK119" i="25"/>
  <c r="IJ119" i="25"/>
  <c r="ID119" i="25"/>
  <c r="IH119" i="25"/>
  <c r="IL119" i="25"/>
  <c r="IF119" i="25"/>
  <c r="IA119" i="25"/>
  <c r="IE119" i="25"/>
  <c r="II119" i="25"/>
  <c r="IM119" i="25"/>
  <c r="IB119" i="25"/>
  <c r="IN119" i="25"/>
  <c r="IA115" i="25"/>
  <c r="IE115" i="25"/>
  <c r="II115" i="25"/>
  <c r="IM115" i="25"/>
  <c r="IB115" i="25"/>
  <c r="IF115" i="25"/>
  <c r="IJ115" i="25"/>
  <c r="IN115" i="25"/>
  <c r="IC115" i="25"/>
  <c r="IG115" i="25"/>
  <c r="IK115" i="25"/>
  <c r="IL115" i="25"/>
  <c r="ID115" i="25"/>
  <c r="IH115" i="25"/>
  <c r="IC112" i="25"/>
  <c r="IG112" i="25"/>
  <c r="IK112" i="25"/>
  <c r="ID112" i="25"/>
  <c r="IH112" i="25"/>
  <c r="IL112" i="25"/>
  <c r="IA112" i="25"/>
  <c r="IE112" i="25"/>
  <c r="II112" i="25"/>
  <c r="IM112" i="25"/>
  <c r="IF112" i="25"/>
  <c r="IJ112" i="25"/>
  <c r="IN112" i="25"/>
  <c r="IB112" i="25"/>
  <c r="IA109" i="25"/>
  <c r="IE109" i="25"/>
  <c r="II109" i="25"/>
  <c r="IM109" i="25"/>
  <c r="IB109" i="25"/>
  <c r="IF109" i="25"/>
  <c r="IJ109" i="25"/>
  <c r="IN109" i="25"/>
  <c r="IC109" i="25"/>
  <c r="IG109" i="25"/>
  <c r="IK109" i="25"/>
  <c r="ID109" i="25"/>
  <c r="IH109" i="25"/>
  <c r="IL109" i="25"/>
  <c r="IA105" i="25"/>
  <c r="IE105" i="25"/>
  <c r="II105" i="25"/>
  <c r="IM105" i="25"/>
  <c r="IB105" i="25"/>
  <c r="IF105" i="25"/>
  <c r="IJ105" i="25"/>
  <c r="IN105" i="25"/>
  <c r="IC105" i="25"/>
  <c r="IG105" i="25"/>
  <c r="IK105" i="25"/>
  <c r="IH105" i="25"/>
  <c r="IL105" i="25"/>
  <c r="ID105" i="25"/>
  <c r="IB102" i="25"/>
  <c r="IJ102" i="25"/>
  <c r="IA102" i="25"/>
  <c r="IJ99" i="25"/>
  <c r="IA99" i="25"/>
  <c r="IB99" i="25"/>
  <c r="IA96" i="25"/>
  <c r="IB96" i="25"/>
  <c r="IJ96" i="25"/>
  <c r="IB94" i="25"/>
  <c r="IJ94" i="25"/>
  <c r="IA94" i="25"/>
  <c r="IA93" i="25"/>
  <c r="IB93" i="25"/>
  <c r="IJ93" i="25"/>
  <c r="IB90" i="25"/>
  <c r="IJ90" i="25"/>
  <c r="IA90" i="25"/>
  <c r="IA89" i="25"/>
  <c r="IB89" i="25"/>
  <c r="IJ89" i="25"/>
  <c r="IA88" i="25"/>
  <c r="IB88" i="25"/>
  <c r="IJ88" i="25"/>
  <c r="IJ87" i="25"/>
  <c r="IA87" i="25"/>
  <c r="IB87" i="25"/>
  <c r="IB86" i="25"/>
  <c r="IJ86" i="25"/>
  <c r="IA86" i="25"/>
  <c r="IA85" i="25"/>
  <c r="IB85" i="25"/>
  <c r="IJ85" i="25"/>
  <c r="IA84" i="25"/>
  <c r="IB84" i="25"/>
  <c r="IJ84" i="25"/>
  <c r="IJ83" i="25"/>
  <c r="IA83" i="25"/>
  <c r="IB83" i="25"/>
  <c r="IB82" i="25"/>
  <c r="IJ82" i="25"/>
  <c r="IA82" i="25"/>
  <c r="IA81" i="25"/>
  <c r="IB81" i="25"/>
  <c r="IJ81" i="25"/>
  <c r="IA80" i="25"/>
  <c r="IB80" i="25"/>
  <c r="IJ80" i="25"/>
  <c r="IJ79" i="25"/>
  <c r="IA79" i="25"/>
  <c r="IB79" i="25"/>
  <c r="IB78" i="25"/>
  <c r="IJ78" i="25"/>
  <c r="IA78" i="25"/>
  <c r="IA77" i="25"/>
  <c r="IB77" i="25"/>
  <c r="IJ77" i="25"/>
  <c r="IA76" i="25"/>
  <c r="IB76" i="25"/>
  <c r="IJ76" i="25"/>
  <c r="IJ75" i="25"/>
  <c r="IA75" i="25"/>
  <c r="IB75" i="25"/>
  <c r="IB74" i="25"/>
  <c r="IJ74" i="25"/>
  <c r="IA74" i="25"/>
  <c r="IA73" i="25"/>
  <c r="IB73" i="25"/>
  <c r="IJ73" i="25"/>
  <c r="IA72" i="25"/>
  <c r="IB72" i="25"/>
  <c r="IJ72" i="25"/>
  <c r="IJ71" i="25"/>
  <c r="IA71" i="25"/>
  <c r="IB71" i="25"/>
  <c r="IB70" i="25"/>
  <c r="IJ70" i="25"/>
  <c r="IA70" i="25"/>
  <c r="IA69" i="25"/>
  <c r="IB69" i="25"/>
  <c r="IJ69" i="25"/>
  <c r="IA68" i="25"/>
  <c r="IB68" i="25"/>
  <c r="IJ68" i="25"/>
  <c r="IJ67" i="25"/>
  <c r="IA67" i="25"/>
  <c r="IB67" i="25"/>
  <c r="IB66" i="25"/>
  <c r="IJ66" i="25"/>
  <c r="IA66" i="25"/>
  <c r="IA65" i="25"/>
  <c r="IB65" i="25"/>
  <c r="IJ65" i="25"/>
  <c r="IA64" i="25"/>
  <c r="IB64" i="25"/>
  <c r="IJ64" i="25"/>
  <c r="IJ63" i="25"/>
  <c r="IA63" i="25"/>
  <c r="IB63" i="25"/>
  <c r="IB62" i="25"/>
  <c r="IJ62" i="25"/>
  <c r="IA62" i="25"/>
  <c r="IA61" i="25"/>
  <c r="IB61" i="25"/>
  <c r="IJ61" i="25"/>
  <c r="IA60" i="25"/>
  <c r="IB60" i="25"/>
  <c r="IJ60" i="25"/>
  <c r="IJ59" i="25"/>
  <c r="IA59" i="25"/>
  <c r="IB59" i="25"/>
  <c r="IB58" i="25"/>
  <c r="IJ58" i="25"/>
  <c r="IA58" i="25"/>
  <c r="IB57" i="25"/>
  <c r="IJ57" i="25"/>
  <c r="IA57" i="25"/>
  <c r="IB56" i="25"/>
  <c r="IJ56" i="25"/>
  <c r="IA56" i="25"/>
  <c r="IA55" i="25"/>
  <c r="IJ55" i="25"/>
  <c r="IB55" i="25"/>
  <c r="IA54" i="25"/>
  <c r="IJ54" i="25"/>
  <c r="IB54" i="25"/>
  <c r="IJ53" i="25"/>
  <c r="IA53" i="25"/>
  <c r="IB53" i="25"/>
  <c r="IJ52" i="25"/>
  <c r="IA52" i="25"/>
  <c r="IB52" i="25"/>
  <c r="IA51" i="25"/>
  <c r="IJ51" i="25"/>
  <c r="IB51" i="25"/>
  <c r="IA118" i="25"/>
  <c r="IE118" i="25"/>
  <c r="II118" i="25"/>
  <c r="IM118" i="25"/>
  <c r="IL118" i="25"/>
  <c r="IB118" i="25"/>
  <c r="IF118" i="25"/>
  <c r="IJ118" i="25"/>
  <c r="IN118" i="25"/>
  <c r="IH118" i="25"/>
  <c r="IC118" i="25"/>
  <c r="IG118" i="25"/>
  <c r="IK118" i="25"/>
  <c r="ID118" i="25"/>
  <c r="IC116" i="25"/>
  <c r="IG116" i="25"/>
  <c r="IK116" i="25"/>
  <c r="ID116" i="25"/>
  <c r="IH116" i="25"/>
  <c r="IA116" i="25"/>
  <c r="IE116" i="25"/>
  <c r="II116" i="25"/>
  <c r="IM116" i="25"/>
  <c r="IL116" i="25"/>
  <c r="IB116" i="25"/>
  <c r="IN116" i="25"/>
  <c r="IJ116" i="25"/>
  <c r="IF116" i="25"/>
  <c r="IA113" i="25"/>
  <c r="IE113" i="25"/>
  <c r="II113" i="25"/>
  <c r="IM113" i="25"/>
  <c r="IB113" i="25"/>
  <c r="IF113" i="25"/>
  <c r="IJ113" i="25"/>
  <c r="IN113" i="25"/>
  <c r="IC113" i="25"/>
  <c r="IG113" i="25"/>
  <c r="IK113" i="25"/>
  <c r="IH113" i="25"/>
  <c r="ID113" i="25"/>
  <c r="IL113" i="25"/>
  <c r="IC110" i="25"/>
  <c r="IG110" i="25"/>
  <c r="IK110" i="25"/>
  <c r="ID110" i="25"/>
  <c r="IH110" i="25"/>
  <c r="IL110" i="25"/>
  <c r="IA110" i="25"/>
  <c r="IE110" i="25"/>
  <c r="II110" i="25"/>
  <c r="IM110" i="25"/>
  <c r="IB110" i="25"/>
  <c r="IF110" i="25"/>
  <c r="IN110" i="25"/>
  <c r="IJ110" i="25"/>
  <c r="IA107" i="25"/>
  <c r="IE107" i="25"/>
  <c r="II107" i="25"/>
  <c r="IM107" i="25"/>
  <c r="IB107" i="25"/>
  <c r="IF107" i="25"/>
  <c r="IJ107" i="25"/>
  <c r="IN107" i="25"/>
  <c r="IC107" i="25"/>
  <c r="IG107" i="25"/>
  <c r="IK107" i="25"/>
  <c r="IL107" i="25"/>
  <c r="ID107" i="25"/>
  <c r="IH107" i="25"/>
  <c r="IA104" i="25"/>
  <c r="IB104" i="25"/>
  <c r="IJ104" i="25"/>
  <c r="IA101" i="25"/>
  <c r="IB101" i="25"/>
  <c r="IJ101" i="25"/>
  <c r="IA97" i="25"/>
  <c r="IB97" i="25"/>
  <c r="IJ97" i="25"/>
  <c r="IJ91" i="25"/>
  <c r="IA91" i="25"/>
  <c r="IB91" i="25"/>
  <c r="IA120" i="25"/>
  <c r="IE120" i="25"/>
  <c r="II120" i="25"/>
  <c r="IM120" i="25"/>
  <c r="IL120" i="25"/>
  <c r="IB120" i="25"/>
  <c r="IF120" i="25"/>
  <c r="IJ120" i="25"/>
  <c r="IN120" i="25"/>
  <c r="ID120" i="25"/>
  <c r="IH120" i="25"/>
  <c r="IC120" i="25"/>
  <c r="IG120" i="25"/>
  <c r="IK120" i="25"/>
  <c r="IC117" i="25"/>
  <c r="IG117" i="25"/>
  <c r="IK117" i="25"/>
  <c r="IB117" i="25"/>
  <c r="IN117" i="25"/>
  <c r="ID117" i="25"/>
  <c r="IH117" i="25"/>
  <c r="IL117" i="25"/>
  <c r="IA117" i="25"/>
  <c r="IE117" i="25"/>
  <c r="II117" i="25"/>
  <c r="IM117" i="25"/>
  <c r="IF117" i="25"/>
  <c r="IJ117" i="25"/>
  <c r="IC114" i="25"/>
  <c r="IG114" i="25"/>
  <c r="IK114" i="25"/>
  <c r="ID114" i="25"/>
  <c r="IH114" i="25"/>
  <c r="IL114" i="25"/>
  <c r="IA114" i="25"/>
  <c r="IE114" i="25"/>
  <c r="II114" i="25"/>
  <c r="IM114" i="25"/>
  <c r="IJ114" i="25"/>
  <c r="IN114" i="25"/>
  <c r="IF114" i="25"/>
  <c r="IB114" i="25"/>
  <c r="IA111" i="25"/>
  <c r="IE111" i="25"/>
  <c r="II111" i="25"/>
  <c r="IM111" i="25"/>
  <c r="IB111" i="25"/>
  <c r="IF111" i="25"/>
  <c r="IJ111" i="25"/>
  <c r="IN111" i="25"/>
  <c r="IC111" i="25"/>
  <c r="IG111" i="25"/>
  <c r="IK111" i="25"/>
  <c r="ID111" i="25"/>
  <c r="IH111" i="25"/>
  <c r="IL111" i="25"/>
  <c r="IC108" i="25"/>
  <c r="IG108" i="25"/>
  <c r="IK108" i="25"/>
  <c r="ID108" i="25"/>
  <c r="IH108" i="25"/>
  <c r="IL108" i="25"/>
  <c r="IA108" i="25"/>
  <c r="IE108" i="25"/>
  <c r="II108" i="25"/>
  <c r="IM108" i="25"/>
  <c r="IN108" i="25"/>
  <c r="IB108" i="25"/>
  <c r="IJ108" i="25"/>
  <c r="IF108" i="25"/>
  <c r="IC106" i="25"/>
  <c r="IG106" i="25"/>
  <c r="IK106" i="25"/>
  <c r="ID106" i="25"/>
  <c r="IH106" i="25"/>
  <c r="IL106" i="25"/>
  <c r="IA106" i="25"/>
  <c r="IE106" i="25"/>
  <c r="II106" i="25"/>
  <c r="IM106" i="25"/>
  <c r="IJ106" i="25"/>
  <c r="IN106" i="25"/>
  <c r="IF106" i="25"/>
  <c r="IB106" i="25"/>
  <c r="IJ103" i="25"/>
  <c r="IA103" i="25"/>
  <c r="IB103" i="25"/>
  <c r="IA100" i="25"/>
  <c r="IB100" i="25"/>
  <c r="IJ100" i="25"/>
  <c r="IB98" i="25"/>
  <c r="IJ98" i="25"/>
  <c r="IA98" i="25"/>
  <c r="IJ95" i="25"/>
  <c r="IA95" i="25"/>
  <c r="IB95" i="25"/>
  <c r="IA92" i="25"/>
  <c r="IB92" i="25"/>
  <c r="IJ92" i="25"/>
  <c r="HC117" i="25"/>
  <c r="HI117" i="25"/>
  <c r="HM117" i="25"/>
  <c r="HQ117" i="25"/>
  <c r="HD117" i="25"/>
  <c r="HJ117" i="25"/>
  <c r="HN117" i="25"/>
  <c r="HR117" i="25"/>
  <c r="HE117" i="25"/>
  <c r="HK117" i="25"/>
  <c r="HO117" i="25"/>
  <c r="HP117" i="25"/>
  <c r="GJ117" i="25"/>
  <c r="GN117" i="25"/>
  <c r="GR117" i="25"/>
  <c r="GK117" i="25"/>
  <c r="GO117" i="25"/>
  <c r="HH117" i="25"/>
  <c r="GH117" i="25"/>
  <c r="GL117" i="25"/>
  <c r="GP117" i="25"/>
  <c r="GI117" i="25"/>
  <c r="FK117" i="25"/>
  <c r="FQ117" i="25"/>
  <c r="GM117" i="25"/>
  <c r="FM117" i="25"/>
  <c r="FR117" i="25"/>
  <c r="GQ117" i="25"/>
  <c r="FN117" i="25"/>
  <c r="CC117" i="25"/>
  <c r="CI117" i="25"/>
  <c r="CQ117" i="25"/>
  <c r="CU117" i="25"/>
  <c r="FO117" i="25"/>
  <c r="CD117" i="25"/>
  <c r="CJ117" i="25"/>
  <c r="CR117" i="25"/>
  <c r="CV117" i="25"/>
  <c r="CE117" i="25"/>
  <c r="CK117" i="25"/>
  <c r="CS117" i="25"/>
  <c r="CT117" i="25"/>
  <c r="AK117" i="25"/>
  <c r="HL117" i="25"/>
  <c r="CB117" i="25"/>
  <c r="AL117" i="25"/>
  <c r="AP117" i="25"/>
  <c r="AT117" i="25"/>
  <c r="AX117" i="25"/>
  <c r="BB117" i="25"/>
  <c r="BJ117" i="25"/>
  <c r="BN117" i="25"/>
  <c r="AM117" i="25"/>
  <c r="AR117" i="25"/>
  <c r="AW117" i="25"/>
  <c r="BC117" i="25"/>
  <c r="BM117" i="25"/>
  <c r="BR117" i="25"/>
  <c r="BV117" i="25"/>
  <c r="CP117" i="25"/>
  <c r="AQ117" i="25"/>
  <c r="BL117" i="25"/>
  <c r="AN117" i="25"/>
  <c r="AS117" i="25"/>
  <c r="AY117" i="25"/>
  <c r="BI117" i="25"/>
  <c r="BO117" i="25"/>
  <c r="BS117" i="25"/>
  <c r="BW117" i="25"/>
  <c r="AJ117" i="25"/>
  <c r="AV117" i="25"/>
  <c r="BU117" i="25"/>
  <c r="CF117" i="25"/>
  <c r="AI117" i="25"/>
  <c r="AO117" i="25"/>
  <c r="AU117" i="25"/>
  <c r="AZ117" i="25"/>
  <c r="BK117" i="25"/>
  <c r="BP117" i="25"/>
  <c r="BT117" i="25"/>
  <c r="BX117" i="25"/>
  <c r="BA117" i="25"/>
  <c r="BQ117" i="25"/>
  <c r="HE114" i="25"/>
  <c r="HK114" i="25"/>
  <c r="HO114" i="25"/>
  <c r="HH114" i="25"/>
  <c r="HL114" i="25"/>
  <c r="HP114" i="25"/>
  <c r="HC114" i="25"/>
  <c r="HI114" i="25"/>
  <c r="HM114" i="25"/>
  <c r="HQ114" i="25"/>
  <c r="HJ114" i="25"/>
  <c r="GK114" i="25"/>
  <c r="GO114" i="25"/>
  <c r="HN114" i="25"/>
  <c r="GH114" i="25"/>
  <c r="GL114" i="25"/>
  <c r="GP114" i="25"/>
  <c r="HR114" i="25"/>
  <c r="GI114" i="25"/>
  <c r="GM114" i="25"/>
  <c r="GQ114" i="25"/>
  <c r="HD114" i="25"/>
  <c r="GJ114" i="25"/>
  <c r="FN114" i="25"/>
  <c r="GN114" i="25"/>
  <c r="FO114" i="25"/>
  <c r="GR114" i="25"/>
  <c r="FQ114" i="25"/>
  <c r="CD114" i="25"/>
  <c r="CJ114" i="25"/>
  <c r="CR114" i="25"/>
  <c r="CV114" i="25"/>
  <c r="FR114" i="25"/>
  <c r="CE114" i="25"/>
  <c r="CK114" i="25"/>
  <c r="CS114" i="25"/>
  <c r="FK114" i="25"/>
  <c r="CB114" i="25"/>
  <c r="CF114" i="25"/>
  <c r="CP114" i="25"/>
  <c r="CT114" i="25"/>
  <c r="CQ114" i="25"/>
  <c r="AI114" i="25"/>
  <c r="AM114" i="25"/>
  <c r="AQ114" i="25"/>
  <c r="AU114" i="25"/>
  <c r="AY114" i="25"/>
  <c r="BC114" i="25"/>
  <c r="BK114" i="25"/>
  <c r="BO114" i="25"/>
  <c r="BS114" i="25"/>
  <c r="BW114" i="25"/>
  <c r="FM114" i="25"/>
  <c r="CU114" i="25"/>
  <c r="AJ114" i="25"/>
  <c r="AN114" i="25"/>
  <c r="AR114" i="25"/>
  <c r="AV114" i="25"/>
  <c r="AZ114" i="25"/>
  <c r="BL114" i="25"/>
  <c r="BP114" i="25"/>
  <c r="BT114" i="25"/>
  <c r="BX114" i="25"/>
  <c r="CC114" i="25"/>
  <c r="AK114" i="25"/>
  <c r="AS114" i="25"/>
  <c r="BA114" i="25"/>
  <c r="BI114" i="25"/>
  <c r="BQ114" i="25"/>
  <c r="AX114" i="25"/>
  <c r="BV114" i="25"/>
  <c r="CI114" i="25"/>
  <c r="AL114" i="25"/>
  <c r="AT114" i="25"/>
  <c r="BB114" i="25"/>
  <c r="BJ114" i="25"/>
  <c r="BR114" i="25"/>
  <c r="AP114" i="25"/>
  <c r="BN114" i="25"/>
  <c r="AO114" i="25"/>
  <c r="AW114" i="25"/>
  <c r="BM114" i="25"/>
  <c r="BU114" i="25"/>
  <c r="HC109" i="25"/>
  <c r="HI109" i="25"/>
  <c r="HM109" i="25"/>
  <c r="HQ109" i="25"/>
  <c r="HD109" i="25"/>
  <c r="HJ109" i="25"/>
  <c r="HN109" i="25"/>
  <c r="HR109" i="25"/>
  <c r="HE109" i="25"/>
  <c r="HK109" i="25"/>
  <c r="HO109" i="25"/>
  <c r="HP109" i="25"/>
  <c r="GJ109" i="25"/>
  <c r="GN109" i="25"/>
  <c r="GR109" i="25"/>
  <c r="GK109" i="25"/>
  <c r="GO109" i="25"/>
  <c r="HH109" i="25"/>
  <c r="GH109" i="25"/>
  <c r="GL109" i="25"/>
  <c r="GP109" i="25"/>
  <c r="HL109" i="25"/>
  <c r="GQ109" i="25"/>
  <c r="FK109" i="25"/>
  <c r="FQ109" i="25"/>
  <c r="CD109" i="25"/>
  <c r="CJ109" i="25"/>
  <c r="CR109" i="25"/>
  <c r="FM109" i="25"/>
  <c r="FR109" i="25"/>
  <c r="CE109" i="25"/>
  <c r="CK109" i="25"/>
  <c r="GI109" i="25"/>
  <c r="FN109" i="25"/>
  <c r="CB109" i="25"/>
  <c r="CP109" i="25"/>
  <c r="CU109" i="25"/>
  <c r="GM109" i="25"/>
  <c r="FO109" i="25"/>
  <c r="CC109" i="25"/>
  <c r="CQ109" i="25"/>
  <c r="CV109" i="25"/>
  <c r="CF109" i="25"/>
  <c r="CS109" i="25"/>
  <c r="AK109" i="25"/>
  <c r="AO109" i="25"/>
  <c r="AS109" i="25"/>
  <c r="AW109" i="25"/>
  <c r="BA109" i="25"/>
  <c r="BI109" i="25"/>
  <c r="BM109" i="25"/>
  <c r="BQ109" i="25"/>
  <c r="BU109" i="25"/>
  <c r="CI109" i="25"/>
  <c r="AL109" i="25"/>
  <c r="AP109" i="25"/>
  <c r="AT109" i="25"/>
  <c r="AX109" i="25"/>
  <c r="BB109" i="25"/>
  <c r="BJ109" i="25"/>
  <c r="BN109" i="25"/>
  <c r="BR109" i="25"/>
  <c r="BV109" i="25"/>
  <c r="CT109" i="25"/>
  <c r="AM109" i="25"/>
  <c r="AU109" i="25"/>
  <c r="BC109" i="25"/>
  <c r="BK109" i="25"/>
  <c r="BS109" i="25"/>
  <c r="AR109" i="25"/>
  <c r="BP109" i="25"/>
  <c r="AN109" i="25"/>
  <c r="X109" i="19" s="1"/>
  <c r="AV109" i="25"/>
  <c r="BL109" i="25"/>
  <c r="BT109" i="25"/>
  <c r="AJ109" i="25"/>
  <c r="AZ109" i="25"/>
  <c r="BX109" i="25"/>
  <c r="AI109" i="25"/>
  <c r="AQ109" i="25"/>
  <c r="AY109" i="25"/>
  <c r="BO109" i="25"/>
  <c r="BW109" i="25"/>
  <c r="HE106" i="25"/>
  <c r="HK106" i="25"/>
  <c r="HO106" i="25"/>
  <c r="HH106" i="25"/>
  <c r="HL106" i="25"/>
  <c r="HP106" i="25"/>
  <c r="HC106" i="25"/>
  <c r="HI106" i="25"/>
  <c r="HM106" i="25"/>
  <c r="HQ106" i="25"/>
  <c r="HJ106" i="25"/>
  <c r="GK106" i="25"/>
  <c r="GO106" i="25"/>
  <c r="HN106" i="25"/>
  <c r="GH106" i="25"/>
  <c r="GL106" i="25"/>
  <c r="GP106" i="25"/>
  <c r="HR106" i="25"/>
  <c r="GI106" i="25"/>
  <c r="GM106" i="25"/>
  <c r="GQ106" i="25"/>
  <c r="GR106" i="25"/>
  <c r="FN106" i="25"/>
  <c r="CE106" i="25"/>
  <c r="CK106" i="25"/>
  <c r="CS106" i="25"/>
  <c r="HD106" i="25"/>
  <c r="FO106" i="25"/>
  <c r="CB106" i="25"/>
  <c r="CF106" i="25"/>
  <c r="CP106" i="25"/>
  <c r="CT106" i="25"/>
  <c r="GJ106" i="25"/>
  <c r="FQ106" i="25"/>
  <c r="CI106" i="25"/>
  <c r="CU106" i="25"/>
  <c r="GN106" i="25"/>
  <c r="FR106" i="25"/>
  <c r="CJ106" i="25"/>
  <c r="CV106" i="25"/>
  <c r="FK106" i="25"/>
  <c r="CC106" i="25"/>
  <c r="CQ106" i="25"/>
  <c r="CR106" i="25"/>
  <c r="AI106" i="25"/>
  <c r="AM106" i="25"/>
  <c r="AQ106" i="25"/>
  <c r="AU106" i="25"/>
  <c r="AY106" i="25"/>
  <c r="BC106" i="25"/>
  <c r="BK106" i="25"/>
  <c r="BO106" i="25"/>
  <c r="BS106" i="25"/>
  <c r="BW106" i="25"/>
  <c r="AJ106" i="25"/>
  <c r="AN106" i="25"/>
  <c r="AR106" i="25"/>
  <c r="AV106" i="25"/>
  <c r="AZ106" i="25"/>
  <c r="BL106" i="25"/>
  <c r="BP106" i="25"/>
  <c r="BT106" i="25"/>
  <c r="BX106" i="25"/>
  <c r="AK106" i="25"/>
  <c r="AS106" i="25"/>
  <c r="BA106" i="25"/>
  <c r="BI106" i="25"/>
  <c r="BQ106" i="25"/>
  <c r="AP106" i="25"/>
  <c r="BN106" i="25"/>
  <c r="FM106" i="25"/>
  <c r="CD106" i="25"/>
  <c r="AL106" i="25"/>
  <c r="AT106" i="25"/>
  <c r="BB106" i="25"/>
  <c r="BJ106" i="25"/>
  <c r="BR106" i="25"/>
  <c r="AX106" i="25"/>
  <c r="BV106" i="25"/>
  <c r="AO106" i="25"/>
  <c r="AW106" i="25"/>
  <c r="BM106" i="25"/>
  <c r="BU106" i="25"/>
  <c r="HM101" i="25"/>
  <c r="HC101" i="25"/>
  <c r="HJ101" i="25" s="1"/>
  <c r="CS101" i="25"/>
  <c r="GM101" i="25"/>
  <c r="CQ101" i="25"/>
  <c r="CR101" i="25"/>
  <c r="FM101" i="25"/>
  <c r="HC96" i="25"/>
  <c r="HI96" i="25" s="1"/>
  <c r="HP96" i="25" s="1"/>
  <c r="HM96" i="25"/>
  <c r="GM96" i="25"/>
  <c r="CR96" i="25"/>
  <c r="CS96" i="25"/>
  <c r="CQ96" i="25"/>
  <c r="FM96" i="25"/>
  <c r="HE120" i="25"/>
  <c r="HK120" i="25"/>
  <c r="HO120" i="25"/>
  <c r="HH120" i="25"/>
  <c r="HL120" i="25"/>
  <c r="HP120" i="25"/>
  <c r="HC120" i="25"/>
  <c r="HI120" i="25"/>
  <c r="HM120" i="25"/>
  <c r="HQ120" i="25"/>
  <c r="HD120" i="25"/>
  <c r="GI120" i="25"/>
  <c r="GM120" i="25"/>
  <c r="GQ120" i="25"/>
  <c r="HJ120" i="25"/>
  <c r="GJ120" i="25"/>
  <c r="GN120" i="25"/>
  <c r="GR120" i="25"/>
  <c r="HN120" i="25"/>
  <c r="GK120" i="25"/>
  <c r="GO120" i="25"/>
  <c r="GH120" i="25"/>
  <c r="FN120" i="25"/>
  <c r="GL120" i="25"/>
  <c r="FO120" i="25"/>
  <c r="HR120" i="25"/>
  <c r="GP120" i="25"/>
  <c r="FK120" i="25"/>
  <c r="CB120" i="25"/>
  <c r="CF120" i="25"/>
  <c r="CP120" i="25"/>
  <c r="CT120" i="25"/>
  <c r="FM120" i="25"/>
  <c r="CC120" i="25"/>
  <c r="CI120" i="25"/>
  <c r="CQ120" i="25"/>
  <c r="CU120" i="25"/>
  <c r="FQ120" i="25"/>
  <c r="CD120" i="25"/>
  <c r="CJ120" i="25"/>
  <c r="CR120" i="25"/>
  <c r="CV120" i="25"/>
  <c r="CE120" i="25"/>
  <c r="CK120" i="25"/>
  <c r="AJ120" i="25"/>
  <c r="AN120" i="25"/>
  <c r="AR120" i="25"/>
  <c r="AV120" i="25"/>
  <c r="AZ120" i="25"/>
  <c r="BL120" i="25"/>
  <c r="BP120" i="25"/>
  <c r="BT120" i="25"/>
  <c r="BX120" i="25"/>
  <c r="AK120" i="25"/>
  <c r="AS120" i="25"/>
  <c r="BA120" i="25"/>
  <c r="BM120" i="25"/>
  <c r="BQ120" i="25"/>
  <c r="AT120" i="25"/>
  <c r="BR120" i="25"/>
  <c r="AI120" i="25"/>
  <c r="AQ120" i="25"/>
  <c r="BC120" i="25"/>
  <c r="BO120" i="25"/>
  <c r="CS120" i="25"/>
  <c r="AO120" i="25"/>
  <c r="AW120" i="25"/>
  <c r="BI120" i="25"/>
  <c r="BU120" i="25"/>
  <c r="BJ120" i="25"/>
  <c r="BV120" i="25"/>
  <c r="AM120" i="25"/>
  <c r="AY120" i="25"/>
  <c r="BK120" i="25"/>
  <c r="BS120" i="25"/>
  <c r="FR120" i="25"/>
  <c r="AL120" i="25"/>
  <c r="AP120" i="25"/>
  <c r="AX120" i="25"/>
  <c r="BB120" i="25"/>
  <c r="BN120" i="25"/>
  <c r="AU120" i="25"/>
  <c r="BW120" i="25"/>
  <c r="HC115" i="25"/>
  <c r="HI115" i="25"/>
  <c r="HM115" i="25"/>
  <c r="HQ115" i="25"/>
  <c r="HD115" i="25"/>
  <c r="HJ115" i="25"/>
  <c r="HN115" i="25"/>
  <c r="HR115" i="25"/>
  <c r="HE115" i="25"/>
  <c r="HK115" i="25"/>
  <c r="HO115" i="25"/>
  <c r="HL115" i="25"/>
  <c r="GH115" i="25"/>
  <c r="GL115" i="25"/>
  <c r="GP115" i="25"/>
  <c r="HP115" i="25"/>
  <c r="GI115" i="25"/>
  <c r="GM115" i="25"/>
  <c r="GQ115" i="25"/>
  <c r="GJ115" i="25"/>
  <c r="GN115" i="25"/>
  <c r="GR115" i="25"/>
  <c r="GO115" i="25"/>
  <c r="FK115" i="25"/>
  <c r="FQ115" i="25"/>
  <c r="HH115" i="25"/>
  <c r="FM115" i="25"/>
  <c r="FR115" i="25"/>
  <c r="CE115" i="25"/>
  <c r="CK115" i="25"/>
  <c r="CS115" i="25"/>
  <c r="GK115" i="25"/>
  <c r="CB115" i="25"/>
  <c r="CF115" i="25"/>
  <c r="CP115" i="25"/>
  <c r="CT115" i="25"/>
  <c r="FN115" i="25"/>
  <c r="CC115" i="25"/>
  <c r="CI115" i="25"/>
  <c r="CQ115" i="25"/>
  <c r="CU115" i="25"/>
  <c r="CR115" i="25"/>
  <c r="AK115" i="25"/>
  <c r="AO115" i="25"/>
  <c r="AS115" i="25"/>
  <c r="AW115" i="25"/>
  <c r="BA115" i="25"/>
  <c r="BI115" i="25"/>
  <c r="BM115" i="25"/>
  <c r="BQ115" i="25"/>
  <c r="BU115" i="25"/>
  <c r="CV115" i="25"/>
  <c r="AL115" i="25"/>
  <c r="AP115" i="25"/>
  <c r="AT115" i="25"/>
  <c r="AX115" i="25"/>
  <c r="BB115" i="25"/>
  <c r="BJ115" i="25"/>
  <c r="BN115" i="25"/>
  <c r="BR115" i="25"/>
  <c r="BV115" i="25"/>
  <c r="FO115" i="25"/>
  <c r="AI115" i="25"/>
  <c r="AQ115" i="25"/>
  <c r="AY115" i="25"/>
  <c r="BO115" i="25"/>
  <c r="BW115" i="25"/>
  <c r="AV115" i="25"/>
  <c r="BT115" i="25"/>
  <c r="AJ115" i="25"/>
  <c r="AR115" i="25"/>
  <c r="AZ115" i="25"/>
  <c r="BP115" i="25"/>
  <c r="BX115" i="25"/>
  <c r="CJ115" i="25"/>
  <c r="CD115" i="25"/>
  <c r="AM115" i="25"/>
  <c r="AU115" i="25"/>
  <c r="BC115" i="25"/>
  <c r="BK115" i="25"/>
  <c r="BS115" i="25"/>
  <c r="AN115" i="25"/>
  <c r="BL115" i="25"/>
  <c r="HC111" i="25"/>
  <c r="HI111" i="25"/>
  <c r="HM111" i="25"/>
  <c r="HQ111" i="25"/>
  <c r="HD111" i="25"/>
  <c r="HJ111" i="25"/>
  <c r="HN111" i="25"/>
  <c r="HR111" i="25"/>
  <c r="HE111" i="25"/>
  <c r="HK111" i="25"/>
  <c r="HO111" i="25"/>
  <c r="GH111" i="25"/>
  <c r="GL111" i="25"/>
  <c r="GP111" i="25"/>
  <c r="HH111" i="25"/>
  <c r="GI111" i="25"/>
  <c r="GM111" i="25"/>
  <c r="GQ111" i="25"/>
  <c r="HL111" i="25"/>
  <c r="GJ111" i="25"/>
  <c r="GN111" i="25"/>
  <c r="GR111" i="25"/>
  <c r="GK111" i="25"/>
  <c r="FK111" i="25"/>
  <c r="FQ111" i="25"/>
  <c r="GO111" i="25"/>
  <c r="FM111" i="25"/>
  <c r="FR111" i="25"/>
  <c r="HP111" i="25"/>
  <c r="CE111" i="25"/>
  <c r="CK111" i="25"/>
  <c r="CS111" i="25"/>
  <c r="CB111" i="25"/>
  <c r="CF111" i="25"/>
  <c r="CP111" i="25"/>
  <c r="CT111" i="25"/>
  <c r="FN111" i="25"/>
  <c r="CC111" i="25"/>
  <c r="CI111" i="25"/>
  <c r="CQ111" i="25"/>
  <c r="CU111" i="25"/>
  <c r="CJ111" i="25"/>
  <c r="AK111" i="25"/>
  <c r="AO111" i="25"/>
  <c r="AS111" i="25"/>
  <c r="AW111" i="25"/>
  <c r="BA111" i="25"/>
  <c r="BI111" i="25"/>
  <c r="BM111" i="25"/>
  <c r="BQ111" i="25"/>
  <c r="BU111" i="25"/>
  <c r="CR111" i="25"/>
  <c r="AL111" i="25"/>
  <c r="AP111" i="25"/>
  <c r="AT111" i="25"/>
  <c r="AX111" i="25"/>
  <c r="BB111" i="25"/>
  <c r="BJ111" i="25"/>
  <c r="BN111" i="25"/>
  <c r="BR111" i="25"/>
  <c r="BV111" i="25"/>
  <c r="CV111" i="25"/>
  <c r="AI111" i="25"/>
  <c r="AQ111" i="25"/>
  <c r="AY111" i="25"/>
  <c r="BO111" i="25"/>
  <c r="BW111" i="25"/>
  <c r="CD111" i="25"/>
  <c r="BL111" i="25"/>
  <c r="AJ111" i="25"/>
  <c r="AR111" i="25"/>
  <c r="AZ111" i="25"/>
  <c r="BP111" i="25"/>
  <c r="BX111" i="25"/>
  <c r="FO111" i="25"/>
  <c r="AN111" i="25"/>
  <c r="AV111" i="25"/>
  <c r="BT111" i="25"/>
  <c r="AM111" i="25"/>
  <c r="AU111" i="25"/>
  <c r="BC111" i="25"/>
  <c r="BK111" i="25"/>
  <c r="BS111" i="25"/>
  <c r="HC107" i="25"/>
  <c r="HI107" i="25"/>
  <c r="HM107" i="25"/>
  <c r="HQ107" i="25"/>
  <c r="HD107" i="25"/>
  <c r="HJ107" i="25"/>
  <c r="HN107" i="25"/>
  <c r="HR107" i="25"/>
  <c r="HE107" i="25"/>
  <c r="HK107" i="25"/>
  <c r="HO107" i="25"/>
  <c r="HL107" i="25"/>
  <c r="GH107" i="25"/>
  <c r="GL107" i="25"/>
  <c r="GP107" i="25"/>
  <c r="HP107" i="25"/>
  <c r="GI107" i="25"/>
  <c r="GM107" i="25"/>
  <c r="GQ107" i="25"/>
  <c r="GJ107" i="25"/>
  <c r="GN107" i="25"/>
  <c r="GR107" i="25"/>
  <c r="FK107" i="25"/>
  <c r="FQ107" i="25"/>
  <c r="CB107" i="25"/>
  <c r="CF107" i="25"/>
  <c r="CP107" i="25"/>
  <c r="CT107" i="25"/>
  <c r="GK107" i="25"/>
  <c r="FM107" i="25"/>
  <c r="FR107" i="25"/>
  <c r="CC107" i="25"/>
  <c r="CI107" i="25"/>
  <c r="CQ107" i="25"/>
  <c r="CU107" i="25"/>
  <c r="CJ107" i="25"/>
  <c r="CV107" i="25"/>
  <c r="CK107" i="25"/>
  <c r="HH107" i="25"/>
  <c r="GO107" i="25"/>
  <c r="FN107" i="25"/>
  <c r="CD107" i="25"/>
  <c r="CR107" i="25"/>
  <c r="FO107" i="25"/>
  <c r="AK107" i="25"/>
  <c r="AO107" i="25"/>
  <c r="AS107" i="25"/>
  <c r="AW107" i="25"/>
  <c r="BA107" i="25"/>
  <c r="BI107" i="25"/>
  <c r="BM107" i="25"/>
  <c r="BQ107" i="25"/>
  <c r="BU107" i="25"/>
  <c r="CE107" i="25"/>
  <c r="AL107" i="25"/>
  <c r="AP107" i="25"/>
  <c r="AT107" i="25"/>
  <c r="AX107" i="25"/>
  <c r="BB107" i="25"/>
  <c r="BJ107" i="25"/>
  <c r="BN107" i="25"/>
  <c r="BR107" i="25"/>
  <c r="BV107" i="25"/>
  <c r="AI107" i="25"/>
  <c r="AQ107" i="25"/>
  <c r="AY107" i="25"/>
  <c r="BO107" i="25"/>
  <c r="BW107" i="25"/>
  <c r="AV107" i="25"/>
  <c r="AJ107" i="25"/>
  <c r="AR107" i="25"/>
  <c r="AZ107" i="25"/>
  <c r="BP107" i="25"/>
  <c r="BX107" i="25"/>
  <c r="BT107" i="25"/>
  <c r="CS107" i="25"/>
  <c r="AM107" i="25"/>
  <c r="AU107" i="25"/>
  <c r="BC107" i="25"/>
  <c r="BK107" i="25"/>
  <c r="BS107" i="25"/>
  <c r="AN107" i="25"/>
  <c r="BL107" i="25"/>
  <c r="HM103" i="25"/>
  <c r="HC103" i="25"/>
  <c r="HH103" i="25" s="1"/>
  <c r="GM103" i="25"/>
  <c r="CS103" i="25"/>
  <c r="CQ103" i="25"/>
  <c r="CR103" i="25"/>
  <c r="FM103" i="25"/>
  <c r="HC99" i="25"/>
  <c r="HH99" i="25" s="1"/>
  <c r="HM99" i="25"/>
  <c r="GM99" i="25"/>
  <c r="CQ99" i="25"/>
  <c r="CR99" i="25"/>
  <c r="CS99" i="25"/>
  <c r="FM99" i="25"/>
  <c r="HC97" i="25"/>
  <c r="HH97" i="25" s="1"/>
  <c r="HM97" i="25"/>
  <c r="GM97" i="25"/>
  <c r="CR97" i="25"/>
  <c r="CS97" i="25"/>
  <c r="CQ97" i="25"/>
  <c r="FM97" i="25"/>
  <c r="HM94" i="25"/>
  <c r="HC94" i="25"/>
  <c r="HE94" i="25" s="1"/>
  <c r="GM94" i="25"/>
  <c r="CS94" i="25"/>
  <c r="CQ94" i="25"/>
  <c r="CR94" i="25"/>
  <c r="FM94" i="25"/>
  <c r="HM92" i="25"/>
  <c r="GM92" i="25"/>
  <c r="CS92" i="25"/>
  <c r="HC92" i="25"/>
  <c r="HH92" i="25" s="1"/>
  <c r="CQ92" i="25"/>
  <c r="CR92" i="25"/>
  <c r="FM92" i="25"/>
  <c r="HC91" i="25"/>
  <c r="HH91" i="25" s="1"/>
  <c r="HM91" i="25"/>
  <c r="GM91" i="25"/>
  <c r="CS91" i="25"/>
  <c r="CQ91" i="25"/>
  <c r="CR91" i="25"/>
  <c r="FM91" i="25"/>
  <c r="GM90" i="25"/>
  <c r="HM90" i="25"/>
  <c r="HC90" i="25"/>
  <c r="HE90" i="25" s="1"/>
  <c r="CS90" i="25"/>
  <c r="CQ90" i="25"/>
  <c r="CR90" i="25"/>
  <c r="HJ90" i="25"/>
  <c r="FM90" i="25"/>
  <c r="HC89" i="25"/>
  <c r="HH89" i="25" s="1"/>
  <c r="HM89" i="25"/>
  <c r="GM89" i="25"/>
  <c r="CQ89" i="25"/>
  <c r="CR89" i="25"/>
  <c r="CS89" i="25"/>
  <c r="FM89" i="25"/>
  <c r="HM88" i="25"/>
  <c r="GM88" i="25"/>
  <c r="HC88" i="25"/>
  <c r="HI88" i="25" s="1"/>
  <c r="HP88" i="25" s="1"/>
  <c r="CQ88" i="25"/>
  <c r="CR88" i="25"/>
  <c r="CS88" i="25"/>
  <c r="FM88" i="25"/>
  <c r="GM87" i="25"/>
  <c r="HC87" i="25"/>
  <c r="HH87" i="25" s="1"/>
  <c r="HM87" i="25"/>
  <c r="CQ87" i="25"/>
  <c r="CR87" i="25"/>
  <c r="CS87" i="25"/>
  <c r="FM87" i="25"/>
  <c r="HC86" i="25"/>
  <c r="HD86" i="25" s="1"/>
  <c r="BH86" i="25" s="1"/>
  <c r="HM86" i="25"/>
  <c r="GM86" i="25"/>
  <c r="CQ86" i="25"/>
  <c r="CR86" i="25"/>
  <c r="CS86" i="25"/>
  <c r="FM86" i="25"/>
  <c r="HC85" i="25"/>
  <c r="HE85" i="25" s="1"/>
  <c r="HM85" i="25"/>
  <c r="GM85" i="25"/>
  <c r="CQ85" i="25"/>
  <c r="CR85" i="25"/>
  <c r="CS85" i="25"/>
  <c r="FM85" i="25"/>
  <c r="HC119" i="25"/>
  <c r="HI119" i="25"/>
  <c r="HM119" i="25"/>
  <c r="HQ119" i="25"/>
  <c r="HD119" i="25"/>
  <c r="HJ119" i="25"/>
  <c r="HN119" i="25"/>
  <c r="HR119" i="25"/>
  <c r="HE119" i="25"/>
  <c r="HK119" i="25"/>
  <c r="HO119" i="25"/>
  <c r="GH119" i="25"/>
  <c r="GL119" i="25"/>
  <c r="GP119" i="25"/>
  <c r="HH119" i="25"/>
  <c r="GI119" i="25"/>
  <c r="GM119" i="25"/>
  <c r="GQ119" i="25"/>
  <c r="HL119" i="25"/>
  <c r="GJ119" i="25"/>
  <c r="GN119" i="25"/>
  <c r="GR119" i="25"/>
  <c r="FK119" i="25"/>
  <c r="FQ119" i="25"/>
  <c r="HP119" i="25"/>
  <c r="FM119" i="25"/>
  <c r="FR119" i="25"/>
  <c r="CE119" i="25"/>
  <c r="CK119" i="25"/>
  <c r="CS119" i="25"/>
  <c r="CB119" i="25"/>
  <c r="CF119" i="25"/>
  <c r="CP119" i="25"/>
  <c r="CT119" i="25"/>
  <c r="GK119" i="25"/>
  <c r="FN119" i="25"/>
  <c r="CC119" i="25"/>
  <c r="CI119" i="25"/>
  <c r="CQ119" i="25"/>
  <c r="CU119" i="25"/>
  <c r="CV119" i="25"/>
  <c r="GO119" i="25"/>
  <c r="FO119" i="25"/>
  <c r="CD119" i="25"/>
  <c r="AL119" i="25"/>
  <c r="AP119" i="25"/>
  <c r="AT119" i="25"/>
  <c r="AX119" i="25"/>
  <c r="BB119" i="25"/>
  <c r="BJ119" i="25"/>
  <c r="BN119" i="25"/>
  <c r="BR119" i="25"/>
  <c r="BV119" i="25"/>
  <c r="AM119" i="25"/>
  <c r="BC119" i="25"/>
  <c r="BK119" i="25"/>
  <c r="BS119" i="25"/>
  <c r="AK119" i="25"/>
  <c r="AW119" i="25"/>
  <c r="BI119" i="25"/>
  <c r="AI119" i="25"/>
  <c r="AQ119" i="25"/>
  <c r="AU119" i="25"/>
  <c r="AY119" i="25"/>
  <c r="BO119" i="25"/>
  <c r="BW119" i="25"/>
  <c r="AS119" i="25"/>
  <c r="BQ119" i="25"/>
  <c r="CJ119" i="25"/>
  <c r="AJ119" i="25"/>
  <c r="AN119" i="25"/>
  <c r="X119" i="19" s="1"/>
  <c r="AR119" i="25"/>
  <c r="AV119" i="25"/>
  <c r="AZ119" i="25"/>
  <c r="BL119" i="25"/>
  <c r="BP119" i="25"/>
  <c r="BT119" i="25"/>
  <c r="BX119" i="25"/>
  <c r="CR119" i="25"/>
  <c r="AO119" i="25"/>
  <c r="BA119" i="25"/>
  <c r="BM119" i="25"/>
  <c r="BU119" i="25"/>
  <c r="HE116" i="25"/>
  <c r="HK116" i="25"/>
  <c r="HO116" i="25"/>
  <c r="HH116" i="25"/>
  <c r="HL116" i="25"/>
  <c r="HP116" i="25"/>
  <c r="HC116" i="25"/>
  <c r="HI116" i="25"/>
  <c r="HM116" i="25"/>
  <c r="HQ116" i="25"/>
  <c r="HN116" i="25"/>
  <c r="GI116" i="25"/>
  <c r="GM116" i="25"/>
  <c r="GQ116" i="25"/>
  <c r="HR116" i="25"/>
  <c r="GJ116" i="25"/>
  <c r="GN116" i="25"/>
  <c r="GR116" i="25"/>
  <c r="HD116" i="25"/>
  <c r="GK116" i="25"/>
  <c r="GO116" i="25"/>
  <c r="FN116" i="25"/>
  <c r="GH116" i="25"/>
  <c r="FO116" i="25"/>
  <c r="FK116" i="25"/>
  <c r="CB116" i="25"/>
  <c r="CF116" i="25"/>
  <c r="CP116" i="25"/>
  <c r="CT116" i="25"/>
  <c r="FM116" i="25"/>
  <c r="CC116" i="25"/>
  <c r="CI116" i="25"/>
  <c r="CQ116" i="25"/>
  <c r="CU116" i="25"/>
  <c r="HJ116" i="25"/>
  <c r="GL116" i="25"/>
  <c r="FQ116" i="25"/>
  <c r="CD116" i="25"/>
  <c r="CJ116" i="25"/>
  <c r="CR116" i="25"/>
  <c r="CV116" i="25"/>
  <c r="GP116" i="25"/>
  <c r="CS116" i="25"/>
  <c r="AI116" i="25"/>
  <c r="AM116" i="25"/>
  <c r="AQ116" i="25"/>
  <c r="AU116" i="25"/>
  <c r="AY116" i="25"/>
  <c r="BC116" i="25"/>
  <c r="BK116" i="25"/>
  <c r="BO116" i="25"/>
  <c r="BS116" i="25"/>
  <c r="BW116" i="25"/>
  <c r="AJ116" i="25"/>
  <c r="AN116" i="25"/>
  <c r="AR116" i="25"/>
  <c r="AV116" i="25"/>
  <c r="AZ116" i="25"/>
  <c r="BL116" i="25"/>
  <c r="BP116" i="25"/>
  <c r="BT116" i="25"/>
  <c r="BX116" i="25"/>
  <c r="CE116" i="25"/>
  <c r="AO116" i="25"/>
  <c r="AW116" i="25"/>
  <c r="BM116" i="25"/>
  <c r="BU116" i="25"/>
  <c r="BJ116" i="25"/>
  <c r="FR116" i="25"/>
  <c r="CK116" i="25"/>
  <c r="AP116" i="25"/>
  <c r="AX116" i="25"/>
  <c r="BN116" i="25"/>
  <c r="BV116" i="25"/>
  <c r="AL116" i="25"/>
  <c r="BB116" i="25"/>
  <c r="AK116" i="25"/>
  <c r="AS116" i="25"/>
  <c r="BA116" i="25"/>
  <c r="BI116" i="25"/>
  <c r="BQ116" i="25"/>
  <c r="AT116" i="25"/>
  <c r="BR116" i="25"/>
  <c r="HE112" i="25"/>
  <c r="HK112" i="25"/>
  <c r="HO112" i="25"/>
  <c r="HH112" i="25"/>
  <c r="HL112" i="25"/>
  <c r="HP112" i="25"/>
  <c r="HC112" i="25"/>
  <c r="HI112" i="25"/>
  <c r="HM112" i="25"/>
  <c r="HQ112" i="25"/>
  <c r="HD112" i="25"/>
  <c r="GI112" i="25"/>
  <c r="GM112" i="25"/>
  <c r="GQ112" i="25"/>
  <c r="HJ112" i="25"/>
  <c r="GJ112" i="25"/>
  <c r="GN112" i="25"/>
  <c r="GR112" i="25"/>
  <c r="HN112" i="25"/>
  <c r="GK112" i="25"/>
  <c r="GO112" i="25"/>
  <c r="GP112" i="25"/>
  <c r="FN112" i="25"/>
  <c r="FO112" i="25"/>
  <c r="GH112" i="25"/>
  <c r="FK112" i="25"/>
  <c r="CB112" i="25"/>
  <c r="CF112" i="25"/>
  <c r="CP112" i="25"/>
  <c r="CT112" i="25"/>
  <c r="HR112" i="25"/>
  <c r="GL112" i="25"/>
  <c r="FM112" i="25"/>
  <c r="CC112" i="25"/>
  <c r="CI112" i="25"/>
  <c r="CQ112" i="25"/>
  <c r="CU112" i="25"/>
  <c r="FQ112" i="25"/>
  <c r="CD112" i="25"/>
  <c r="CJ112" i="25"/>
  <c r="CR112" i="25"/>
  <c r="CV112" i="25"/>
  <c r="FR112" i="25"/>
  <c r="CK112" i="25"/>
  <c r="AI112" i="25"/>
  <c r="AM112" i="25"/>
  <c r="AQ112" i="25"/>
  <c r="AU112" i="25"/>
  <c r="AY112" i="25"/>
  <c r="BC112" i="25"/>
  <c r="BK112" i="25"/>
  <c r="BO112" i="25"/>
  <c r="BS112" i="25"/>
  <c r="BW112" i="25"/>
  <c r="CS112" i="25"/>
  <c r="AJ112" i="25"/>
  <c r="AN112" i="25"/>
  <c r="X112" i="19" s="1"/>
  <c r="AR112" i="25"/>
  <c r="AV112" i="25"/>
  <c r="AZ112" i="25"/>
  <c r="BL112" i="25"/>
  <c r="BP112" i="25"/>
  <c r="BT112" i="25"/>
  <c r="BX112" i="25"/>
  <c r="AO112" i="25"/>
  <c r="AW112" i="25"/>
  <c r="BM112" i="25"/>
  <c r="BU112" i="25"/>
  <c r="AT112" i="25"/>
  <c r="CE112" i="25"/>
  <c r="AP112" i="25"/>
  <c r="AX112" i="25"/>
  <c r="BN112" i="25"/>
  <c r="BV112" i="25"/>
  <c r="BJ112" i="25"/>
  <c r="AK112" i="25"/>
  <c r="AS112" i="25"/>
  <c r="BA112" i="25"/>
  <c r="BI112" i="25"/>
  <c r="BQ112" i="25"/>
  <c r="AL112" i="25"/>
  <c r="BB112" i="25"/>
  <c r="BR112" i="25"/>
  <c r="HE108" i="25"/>
  <c r="HK108" i="25"/>
  <c r="HO108" i="25"/>
  <c r="HH108" i="25"/>
  <c r="HL108" i="25"/>
  <c r="HP108" i="25"/>
  <c r="HC108" i="25"/>
  <c r="HI108" i="25"/>
  <c r="HM108" i="25"/>
  <c r="HQ108" i="25"/>
  <c r="HN108" i="25"/>
  <c r="GI108" i="25"/>
  <c r="GM108" i="25"/>
  <c r="GQ108" i="25"/>
  <c r="HR108" i="25"/>
  <c r="GJ108" i="25"/>
  <c r="GN108" i="25"/>
  <c r="GR108" i="25"/>
  <c r="HD108" i="25"/>
  <c r="GK108" i="25"/>
  <c r="GO108" i="25"/>
  <c r="GL108" i="25"/>
  <c r="FN108" i="25"/>
  <c r="CC108" i="25"/>
  <c r="CI108" i="25"/>
  <c r="CQ108" i="25"/>
  <c r="CU108" i="25"/>
  <c r="GP108" i="25"/>
  <c r="FO108" i="25"/>
  <c r="CD108" i="25"/>
  <c r="CJ108" i="25"/>
  <c r="CR108" i="25"/>
  <c r="CV108" i="25"/>
  <c r="FK108" i="25"/>
  <c r="CK108" i="25"/>
  <c r="FM108" i="25"/>
  <c r="CB108" i="25"/>
  <c r="CP108" i="25"/>
  <c r="FQ108" i="25"/>
  <c r="CE108" i="25"/>
  <c r="CS108" i="25"/>
  <c r="HJ108" i="25"/>
  <c r="CT108" i="25"/>
  <c r="AI108" i="25"/>
  <c r="AM108" i="25"/>
  <c r="AQ108" i="25"/>
  <c r="AU108" i="25"/>
  <c r="AY108" i="25"/>
  <c r="BC108" i="25"/>
  <c r="BK108" i="25"/>
  <c r="BO108" i="25"/>
  <c r="BS108" i="25"/>
  <c r="BW108" i="25"/>
  <c r="GH108" i="25"/>
  <c r="FR108" i="25"/>
  <c r="AJ108" i="25"/>
  <c r="AN108" i="25"/>
  <c r="X108" i="19" s="1"/>
  <c r="AR108" i="25"/>
  <c r="AV108" i="25"/>
  <c r="AZ108" i="25"/>
  <c r="BL108" i="25"/>
  <c r="BP108" i="25"/>
  <c r="BT108" i="25"/>
  <c r="BX108" i="25"/>
  <c r="AO108" i="25"/>
  <c r="AW108" i="25"/>
  <c r="BM108" i="25"/>
  <c r="BU108" i="25"/>
  <c r="AL108" i="25"/>
  <c r="BJ108" i="25"/>
  <c r="AP108" i="25"/>
  <c r="AX108" i="25"/>
  <c r="BN108" i="25"/>
  <c r="BV108" i="25"/>
  <c r="BB108" i="25"/>
  <c r="AK108" i="25"/>
  <c r="AS108" i="25"/>
  <c r="BA108" i="25"/>
  <c r="BI108" i="25"/>
  <c r="BQ108" i="25"/>
  <c r="CF108" i="25"/>
  <c r="AT108" i="25"/>
  <c r="BR108" i="25"/>
  <c r="HC104" i="25"/>
  <c r="HD104" i="25" s="1"/>
  <c r="BH104" i="25" s="1"/>
  <c r="GM104" i="25"/>
  <c r="HM104" i="25"/>
  <c r="CR104" i="25"/>
  <c r="CS104" i="25"/>
  <c r="CQ104" i="25"/>
  <c r="FM104" i="25"/>
  <c r="HC100" i="25"/>
  <c r="HH100" i="25" s="1"/>
  <c r="HM100" i="25"/>
  <c r="GM100" i="25"/>
  <c r="CS100" i="25"/>
  <c r="CQ100" i="25"/>
  <c r="CR100" i="25"/>
  <c r="FM100" i="25"/>
  <c r="HM98" i="25"/>
  <c r="HC98" i="25"/>
  <c r="HE98" i="25" s="1"/>
  <c r="GM98" i="25"/>
  <c r="CQ98" i="25"/>
  <c r="CR98" i="25"/>
  <c r="CS98" i="25"/>
  <c r="FM98" i="25"/>
  <c r="HC93" i="25"/>
  <c r="HH93" i="25" s="1"/>
  <c r="HM93" i="25"/>
  <c r="GM93" i="25"/>
  <c r="CS93" i="25"/>
  <c r="CQ93" i="25"/>
  <c r="CR93" i="25"/>
  <c r="FM93" i="25"/>
  <c r="HE118" i="25"/>
  <c r="HK118" i="25"/>
  <c r="HO118" i="25"/>
  <c r="HH118" i="25"/>
  <c r="HL118" i="25"/>
  <c r="HP118" i="25"/>
  <c r="HC118" i="25"/>
  <c r="HI118" i="25"/>
  <c r="HM118" i="25"/>
  <c r="HQ118" i="25"/>
  <c r="HR118" i="25"/>
  <c r="GK118" i="25"/>
  <c r="GO118" i="25"/>
  <c r="HD118" i="25"/>
  <c r="GH118" i="25"/>
  <c r="GL118" i="25"/>
  <c r="GP118" i="25"/>
  <c r="HJ118" i="25"/>
  <c r="GI118" i="25"/>
  <c r="GM118" i="25"/>
  <c r="GQ118" i="25"/>
  <c r="HN118" i="25"/>
  <c r="GN118" i="25"/>
  <c r="FN118" i="25"/>
  <c r="GR118" i="25"/>
  <c r="FO118" i="25"/>
  <c r="FQ118" i="25"/>
  <c r="CD118" i="25"/>
  <c r="CJ118" i="25"/>
  <c r="CR118" i="25"/>
  <c r="CV118" i="25"/>
  <c r="GJ118" i="25"/>
  <c r="FR118" i="25"/>
  <c r="CE118" i="25"/>
  <c r="CK118" i="25"/>
  <c r="CS118" i="25"/>
  <c r="FK118" i="25"/>
  <c r="CB118" i="25"/>
  <c r="CF118" i="25"/>
  <c r="CP118" i="25"/>
  <c r="CT118" i="25"/>
  <c r="FM118" i="25"/>
  <c r="CU118" i="25"/>
  <c r="CC118" i="25"/>
  <c r="CI118" i="25"/>
  <c r="AJ118" i="25"/>
  <c r="AN118" i="25"/>
  <c r="X118" i="19" s="1"/>
  <c r="AR118" i="25"/>
  <c r="AV118" i="25"/>
  <c r="AZ118" i="25"/>
  <c r="BL118" i="25"/>
  <c r="BP118" i="25"/>
  <c r="BT118" i="25"/>
  <c r="BX118" i="25"/>
  <c r="AI118" i="25"/>
  <c r="AY118" i="25"/>
  <c r="BO118" i="25"/>
  <c r="CQ118" i="25"/>
  <c r="AK118" i="25"/>
  <c r="AO118" i="25"/>
  <c r="AS118" i="25"/>
  <c r="AW118" i="25"/>
  <c r="BA118" i="25"/>
  <c r="BI118" i="25"/>
  <c r="BM118" i="25"/>
  <c r="BQ118" i="25"/>
  <c r="BU118" i="25"/>
  <c r="AQ118" i="25"/>
  <c r="BC118" i="25"/>
  <c r="BK118" i="25"/>
  <c r="BW118" i="25"/>
  <c r="AL118" i="25"/>
  <c r="AP118" i="25"/>
  <c r="AT118" i="25"/>
  <c r="AX118" i="25"/>
  <c r="BB118" i="25"/>
  <c r="BJ118" i="25"/>
  <c r="BN118" i="25"/>
  <c r="BR118" i="25"/>
  <c r="BV118" i="25"/>
  <c r="AM118" i="25"/>
  <c r="AU118" i="25"/>
  <c r="BS118" i="25"/>
  <c r="HC113" i="25"/>
  <c r="HI113" i="25"/>
  <c r="HM113" i="25"/>
  <c r="HQ113" i="25"/>
  <c r="HD113" i="25"/>
  <c r="HJ113" i="25"/>
  <c r="HN113" i="25"/>
  <c r="HR113" i="25"/>
  <c r="HE113" i="25"/>
  <c r="HK113" i="25"/>
  <c r="HO113" i="25"/>
  <c r="HH113" i="25"/>
  <c r="GJ113" i="25"/>
  <c r="GN113" i="25"/>
  <c r="GR113" i="25"/>
  <c r="HL113" i="25"/>
  <c r="GK113" i="25"/>
  <c r="GO113" i="25"/>
  <c r="HP113" i="25"/>
  <c r="GH113" i="25"/>
  <c r="GL113" i="25"/>
  <c r="GP113" i="25"/>
  <c r="FK113" i="25"/>
  <c r="FQ113" i="25"/>
  <c r="GI113" i="25"/>
  <c r="FM113" i="25"/>
  <c r="FR113" i="25"/>
  <c r="FN113" i="25"/>
  <c r="CC113" i="25"/>
  <c r="CI113" i="25"/>
  <c r="CQ113" i="25"/>
  <c r="CU113" i="25"/>
  <c r="FO113" i="25"/>
  <c r="CD113" i="25"/>
  <c r="CJ113" i="25"/>
  <c r="CR113" i="25"/>
  <c r="CV113" i="25"/>
  <c r="GM113" i="25"/>
  <c r="CE113" i="25"/>
  <c r="CK113" i="25"/>
  <c r="CS113" i="25"/>
  <c r="CP113" i="25"/>
  <c r="AK113" i="25"/>
  <c r="AO113" i="25"/>
  <c r="AS113" i="25"/>
  <c r="AW113" i="25"/>
  <c r="BA113" i="25"/>
  <c r="BI113" i="25"/>
  <c r="BM113" i="25"/>
  <c r="BQ113" i="25"/>
  <c r="BU113" i="25"/>
  <c r="CT113" i="25"/>
  <c r="AL113" i="25"/>
  <c r="AP113" i="25"/>
  <c r="AT113" i="25"/>
  <c r="AX113" i="25"/>
  <c r="BB113" i="25"/>
  <c r="BJ113" i="25"/>
  <c r="BN113" i="25"/>
  <c r="BR113" i="25"/>
  <c r="BV113" i="25"/>
  <c r="AM113" i="25"/>
  <c r="AU113" i="25"/>
  <c r="BC113" i="25"/>
  <c r="BK113" i="25"/>
  <c r="BS113" i="25"/>
  <c r="GQ113" i="25"/>
  <c r="AJ113" i="25"/>
  <c r="AN113" i="25"/>
  <c r="X113" i="19" s="1"/>
  <c r="AV113" i="25"/>
  <c r="BL113" i="25"/>
  <c r="BT113" i="25"/>
  <c r="AR113" i="25"/>
  <c r="BP113" i="25"/>
  <c r="CB113" i="25"/>
  <c r="AI113" i="25"/>
  <c r="AQ113" i="25"/>
  <c r="AY113" i="25"/>
  <c r="BO113" i="25"/>
  <c r="BW113" i="25"/>
  <c r="CF113" i="25"/>
  <c r="AZ113" i="25"/>
  <c r="BX113" i="25"/>
  <c r="HE110" i="25"/>
  <c r="HK110" i="25"/>
  <c r="HO110" i="25"/>
  <c r="HH110" i="25"/>
  <c r="HL110" i="25"/>
  <c r="HP110" i="25"/>
  <c r="HC110" i="25"/>
  <c r="HI110" i="25"/>
  <c r="HM110" i="25"/>
  <c r="HQ110" i="25"/>
  <c r="HR110" i="25"/>
  <c r="GK110" i="25"/>
  <c r="GO110" i="25"/>
  <c r="HD110" i="25"/>
  <c r="GH110" i="25"/>
  <c r="GL110" i="25"/>
  <c r="GP110" i="25"/>
  <c r="HJ110" i="25"/>
  <c r="GI110" i="25"/>
  <c r="GM110" i="25"/>
  <c r="GQ110" i="25"/>
  <c r="FN110" i="25"/>
  <c r="HN110" i="25"/>
  <c r="GJ110" i="25"/>
  <c r="FO110" i="25"/>
  <c r="FQ110" i="25"/>
  <c r="CD110" i="25"/>
  <c r="CJ110" i="25"/>
  <c r="CR110" i="25"/>
  <c r="CV110" i="25"/>
  <c r="FR110" i="25"/>
  <c r="CE110" i="25"/>
  <c r="CK110" i="25"/>
  <c r="CS110" i="25"/>
  <c r="GN110" i="25"/>
  <c r="FK110" i="25"/>
  <c r="CB110" i="25"/>
  <c r="CF110" i="25"/>
  <c r="CP110" i="25"/>
  <c r="CT110" i="25"/>
  <c r="CI110" i="25"/>
  <c r="AI110" i="25"/>
  <c r="AM110" i="25"/>
  <c r="AQ110" i="25"/>
  <c r="AU110" i="25"/>
  <c r="AY110" i="25"/>
  <c r="BC110" i="25"/>
  <c r="BK110" i="25"/>
  <c r="BO110" i="25"/>
  <c r="BS110" i="25"/>
  <c r="BW110" i="25"/>
  <c r="CQ110" i="25"/>
  <c r="AJ110" i="25"/>
  <c r="AN110" i="25"/>
  <c r="AR110" i="25"/>
  <c r="AV110" i="25"/>
  <c r="AZ110" i="25"/>
  <c r="BL110" i="25"/>
  <c r="BP110" i="25"/>
  <c r="BT110" i="25"/>
  <c r="BX110" i="25"/>
  <c r="AK110" i="25"/>
  <c r="AS110" i="25"/>
  <c r="BA110" i="25"/>
  <c r="BI110" i="25"/>
  <c r="BQ110" i="25"/>
  <c r="AP110" i="25"/>
  <c r="BV110" i="25"/>
  <c r="CC110" i="25"/>
  <c r="AL110" i="25"/>
  <c r="AT110" i="25"/>
  <c r="BB110" i="25"/>
  <c r="BJ110" i="25"/>
  <c r="BR110" i="25"/>
  <c r="GR110" i="25"/>
  <c r="FM110" i="25"/>
  <c r="CU110" i="25"/>
  <c r="AO110" i="25"/>
  <c r="AW110" i="25"/>
  <c r="BM110" i="25"/>
  <c r="BU110" i="25"/>
  <c r="AX110" i="25"/>
  <c r="BN110" i="25"/>
  <c r="HC105" i="25"/>
  <c r="HI105" i="25"/>
  <c r="HM105" i="25"/>
  <c r="HQ105" i="25"/>
  <c r="HD105" i="25"/>
  <c r="HJ105" i="25"/>
  <c r="HN105" i="25"/>
  <c r="HR105" i="25"/>
  <c r="HE105" i="25"/>
  <c r="HK105" i="25"/>
  <c r="HO105" i="25"/>
  <c r="HH105" i="25"/>
  <c r="GJ105" i="25"/>
  <c r="GN105" i="25"/>
  <c r="GR105" i="25"/>
  <c r="HL105" i="25"/>
  <c r="GK105" i="25"/>
  <c r="GO105" i="25"/>
  <c r="HP105" i="25"/>
  <c r="GH105" i="25"/>
  <c r="GL105" i="25"/>
  <c r="GP105" i="25"/>
  <c r="GM105" i="25"/>
  <c r="FK105" i="25"/>
  <c r="FQ105" i="25"/>
  <c r="CD105" i="25"/>
  <c r="CJ105" i="25"/>
  <c r="CR105" i="25"/>
  <c r="CV105" i="25"/>
  <c r="GQ105" i="25"/>
  <c r="FM105" i="25"/>
  <c r="FR105" i="25"/>
  <c r="CE105" i="25"/>
  <c r="CK105" i="25"/>
  <c r="CS105" i="25"/>
  <c r="FN105" i="25"/>
  <c r="CF105" i="25"/>
  <c r="CT105" i="25"/>
  <c r="AI105" i="25"/>
  <c r="AM105" i="25"/>
  <c r="AQ105" i="25"/>
  <c r="AU105" i="25"/>
  <c r="AY105" i="25"/>
  <c r="BC105" i="25"/>
  <c r="FO105" i="25"/>
  <c r="CI105" i="25"/>
  <c r="CU105" i="25"/>
  <c r="AJ105" i="25"/>
  <c r="AN105" i="25"/>
  <c r="AR105" i="25"/>
  <c r="AV105" i="25"/>
  <c r="AZ105" i="25"/>
  <c r="CB105" i="25"/>
  <c r="CP105" i="25"/>
  <c r="AK105" i="25"/>
  <c r="AO105" i="25"/>
  <c r="AS105" i="25"/>
  <c r="AW105" i="25"/>
  <c r="BA105" i="25"/>
  <c r="BI105" i="25"/>
  <c r="GI105" i="25"/>
  <c r="AP105" i="25"/>
  <c r="BM105" i="25"/>
  <c r="BQ105" i="25"/>
  <c r="BU105" i="25"/>
  <c r="CC105" i="25"/>
  <c r="AT105" i="25"/>
  <c r="BJ105" i="25"/>
  <c r="BN105" i="25"/>
  <c r="BR105" i="25"/>
  <c r="BV105" i="25"/>
  <c r="CQ105" i="25"/>
  <c r="BK105" i="25"/>
  <c r="BS105" i="25"/>
  <c r="BB105" i="25"/>
  <c r="AL105" i="25"/>
  <c r="BL105" i="25"/>
  <c r="BT105" i="25"/>
  <c r="BP105" i="25"/>
  <c r="AX105" i="25"/>
  <c r="BO105" i="25"/>
  <c r="BW105" i="25"/>
  <c r="BX105" i="25"/>
  <c r="HM102" i="25"/>
  <c r="HC102" i="25"/>
  <c r="HE102" i="25" s="1"/>
  <c r="CS102" i="25"/>
  <c r="CQ102" i="25"/>
  <c r="GM102" i="25"/>
  <c r="CR102" i="25"/>
  <c r="FM102" i="25"/>
  <c r="HM95" i="25"/>
  <c r="HC95" i="25"/>
  <c r="HH95" i="25" s="1"/>
  <c r="CR95" i="25"/>
  <c r="GM95" i="25"/>
  <c r="CS95" i="25"/>
  <c r="CQ95" i="25"/>
  <c r="FM95" i="25"/>
  <c r="HC82" i="25"/>
  <c r="HD82" i="25" s="1"/>
  <c r="BH82" i="25" s="1"/>
  <c r="HM82" i="25"/>
  <c r="GM82" i="25"/>
  <c r="FM82" i="25"/>
  <c r="CS82" i="25"/>
  <c r="CQ82" i="25"/>
  <c r="CR82" i="25"/>
  <c r="HC79" i="25"/>
  <c r="HM79" i="25"/>
  <c r="GM79" i="25"/>
  <c r="FM79" i="25"/>
  <c r="CQ79" i="25"/>
  <c r="CR79" i="25"/>
  <c r="CS79" i="25"/>
  <c r="HC76" i="25"/>
  <c r="HH76" i="25" s="1"/>
  <c r="HM76" i="25"/>
  <c r="GM76" i="25"/>
  <c r="FM76" i="25"/>
  <c r="CQ76" i="25"/>
  <c r="CR76" i="25"/>
  <c r="CS76" i="25"/>
  <c r="HC73" i="25"/>
  <c r="HM73" i="25"/>
  <c r="GM73" i="25"/>
  <c r="CS73" i="25"/>
  <c r="CQ73" i="25"/>
  <c r="FM73" i="25"/>
  <c r="CR73" i="25"/>
  <c r="HC69" i="25"/>
  <c r="HH69" i="25" s="1"/>
  <c r="HM69" i="25"/>
  <c r="GM69" i="25"/>
  <c r="CQ69" i="25"/>
  <c r="CR69" i="25"/>
  <c r="FM69" i="25"/>
  <c r="CS69" i="25"/>
  <c r="HM66" i="25"/>
  <c r="HC66" i="25"/>
  <c r="HJ66" i="25" s="1"/>
  <c r="GM66" i="25"/>
  <c r="CQ66" i="25"/>
  <c r="CR66" i="25"/>
  <c r="CS66" i="25"/>
  <c r="FM66" i="25"/>
  <c r="HC63" i="25"/>
  <c r="HH63" i="25" s="1"/>
  <c r="HM63" i="25"/>
  <c r="GM63" i="25"/>
  <c r="CQ63" i="25"/>
  <c r="CR63" i="25"/>
  <c r="FM63" i="25"/>
  <c r="CS63" i="25"/>
  <c r="HC59" i="25"/>
  <c r="HH59" i="25" s="1"/>
  <c r="HM59" i="25"/>
  <c r="GM59" i="25"/>
  <c r="CQ59" i="25"/>
  <c r="FM59" i="25"/>
  <c r="CR59" i="25"/>
  <c r="CS59" i="25"/>
  <c r="HC56" i="25"/>
  <c r="HH56" i="25" s="1"/>
  <c r="HM56" i="25"/>
  <c r="GM56" i="25"/>
  <c r="FM56" i="25"/>
  <c r="CQ56" i="25"/>
  <c r="CR56" i="25"/>
  <c r="CS56" i="25"/>
  <c r="HM54" i="25"/>
  <c r="HC54" i="25"/>
  <c r="HE54" i="25" s="1"/>
  <c r="GM54" i="25"/>
  <c r="CR54" i="25"/>
  <c r="CS54" i="25"/>
  <c r="FM54" i="25"/>
  <c r="CQ54" i="25"/>
  <c r="HM50" i="25"/>
  <c r="HC50" i="25"/>
  <c r="HH50" i="25" s="1"/>
  <c r="GM50" i="25"/>
  <c r="CQ50" i="25"/>
  <c r="CR50" i="25"/>
  <c r="FM50" i="25"/>
  <c r="CS50" i="25"/>
  <c r="HM47" i="25"/>
  <c r="GM47" i="25"/>
  <c r="CR47" i="25"/>
  <c r="CS47" i="25"/>
  <c r="FM47" i="25"/>
  <c r="CQ47" i="25"/>
  <c r="HM44" i="25"/>
  <c r="GM44" i="25"/>
  <c r="FM44" i="25"/>
  <c r="CQ44" i="25"/>
  <c r="CR44" i="25"/>
  <c r="CS44" i="25"/>
  <c r="HM41" i="25"/>
  <c r="GM41" i="25"/>
  <c r="CQ41" i="25"/>
  <c r="FM41" i="25"/>
  <c r="CR41" i="25"/>
  <c r="CS41" i="25"/>
  <c r="HM38" i="25"/>
  <c r="GM38" i="25"/>
  <c r="FM38" i="25"/>
  <c r="CS38" i="25"/>
  <c r="CQ38" i="25"/>
  <c r="CR38" i="25"/>
  <c r="HM34" i="25"/>
  <c r="GM34" i="25"/>
  <c r="FM34" i="25"/>
  <c r="CQ34" i="25"/>
  <c r="CR34" i="25"/>
  <c r="CS34" i="25"/>
  <c r="GM31" i="25"/>
  <c r="HM31" i="25"/>
  <c r="FM31" i="25"/>
  <c r="CQ31" i="25"/>
  <c r="CR31" i="25"/>
  <c r="CS31" i="25"/>
  <c r="HM29" i="25"/>
  <c r="GM29" i="25"/>
  <c r="FM29" i="25"/>
  <c r="CQ29" i="25"/>
  <c r="CR29" i="25"/>
  <c r="CS29" i="25"/>
  <c r="HM28" i="25"/>
  <c r="FM28" i="25"/>
  <c r="GM28" i="25"/>
  <c r="CS28" i="25"/>
  <c r="CQ28" i="25"/>
  <c r="CR28" i="25"/>
  <c r="HM27" i="25"/>
  <c r="GM27" i="25"/>
  <c r="FM27" i="25"/>
  <c r="CQ27" i="25"/>
  <c r="CR27" i="25"/>
  <c r="CS27" i="25"/>
  <c r="HM24" i="25"/>
  <c r="GM24" i="25"/>
  <c r="FM24" i="25"/>
  <c r="CR24" i="25"/>
  <c r="CS24" i="25"/>
  <c r="CQ24" i="25"/>
  <c r="HM23" i="25"/>
  <c r="FM23" i="25"/>
  <c r="CQ23" i="25"/>
  <c r="GM23" i="25"/>
  <c r="CR23" i="25"/>
  <c r="CS23" i="25"/>
  <c r="HM22" i="25"/>
  <c r="GM22" i="25"/>
  <c r="FM22" i="25"/>
  <c r="CS22" i="25"/>
  <c r="CQ22" i="25"/>
  <c r="CR22" i="25"/>
  <c r="HM21" i="25"/>
  <c r="GM21" i="25"/>
  <c r="FM21" i="25"/>
  <c r="CQ21" i="25"/>
  <c r="CR21" i="25"/>
  <c r="CS21" i="25"/>
  <c r="HM20" i="25"/>
  <c r="GM20" i="25"/>
  <c r="FM20" i="25"/>
  <c r="CS20" i="25"/>
  <c r="CQ20" i="25"/>
  <c r="CR20" i="25"/>
  <c r="HM19" i="25"/>
  <c r="GM19" i="25"/>
  <c r="FM19" i="25"/>
  <c r="CQ19" i="25"/>
  <c r="CR19" i="25"/>
  <c r="CS19" i="25"/>
  <c r="HM18" i="25"/>
  <c r="GM18" i="25"/>
  <c r="CQ18" i="25"/>
  <c r="CR18" i="25"/>
  <c r="FM18" i="25"/>
  <c r="CS18" i="25"/>
  <c r="HM17" i="25"/>
  <c r="GM17" i="25"/>
  <c r="FM17" i="25"/>
  <c r="CS17" i="25"/>
  <c r="CQ17" i="25"/>
  <c r="CR17" i="25"/>
  <c r="HM16" i="25"/>
  <c r="GM16" i="25"/>
  <c r="FM16" i="25"/>
  <c r="CQ16" i="25"/>
  <c r="CR16" i="25"/>
  <c r="CS16" i="25"/>
  <c r="HC84" i="25"/>
  <c r="HH84" i="25" s="1"/>
  <c r="HM84" i="25"/>
  <c r="GM84" i="25"/>
  <c r="FM84" i="25"/>
  <c r="CR84" i="25"/>
  <c r="CS84" i="25"/>
  <c r="CQ84" i="25"/>
  <c r="HC80" i="25"/>
  <c r="HD80" i="25" s="1"/>
  <c r="BH80" i="25" s="1"/>
  <c r="HM80" i="25"/>
  <c r="GM80" i="25"/>
  <c r="FM80" i="25"/>
  <c r="CQ80" i="25"/>
  <c r="CR80" i="25"/>
  <c r="CS80" i="25"/>
  <c r="HC77" i="25"/>
  <c r="HE77" i="25" s="1"/>
  <c r="HM77" i="25"/>
  <c r="GM77" i="25"/>
  <c r="FM77" i="25"/>
  <c r="CR77" i="25"/>
  <c r="CS77" i="25"/>
  <c r="CQ77" i="25"/>
  <c r="HC74" i="25"/>
  <c r="HJ74" i="25" s="1"/>
  <c r="HM74" i="25"/>
  <c r="GM74" i="25"/>
  <c r="FM74" i="25"/>
  <c r="CQ74" i="25"/>
  <c r="CR74" i="25"/>
  <c r="CS74" i="25"/>
  <c r="HC72" i="25"/>
  <c r="HE72" i="25" s="1"/>
  <c r="HM72" i="25"/>
  <c r="GM72" i="25"/>
  <c r="FM72" i="25"/>
  <c r="CQ72" i="25"/>
  <c r="CR72" i="25"/>
  <c r="CS72" i="25"/>
  <c r="HM70" i="25"/>
  <c r="HC70" i="25"/>
  <c r="HE70" i="25" s="1"/>
  <c r="GM70" i="25"/>
  <c r="CS70" i="25"/>
  <c r="FM70" i="25"/>
  <c r="CQ70" i="25"/>
  <c r="CR70" i="25"/>
  <c r="HC67" i="25"/>
  <c r="HH67" i="25" s="1"/>
  <c r="HM67" i="25"/>
  <c r="GM67" i="25"/>
  <c r="CS67" i="25"/>
  <c r="FM67" i="25"/>
  <c r="CQ67" i="25"/>
  <c r="CR67" i="25"/>
  <c r="HM62" i="25"/>
  <c r="HC62" i="25"/>
  <c r="CQ62" i="25"/>
  <c r="GM62" i="25"/>
  <c r="CR62" i="25"/>
  <c r="FM62" i="25"/>
  <c r="CS62" i="25"/>
  <c r="HC60" i="25"/>
  <c r="HH60" i="25" s="1"/>
  <c r="HM60" i="25"/>
  <c r="CQ60" i="25"/>
  <c r="GM60" i="25"/>
  <c r="FM60" i="25"/>
  <c r="CR60" i="25"/>
  <c r="CS60" i="25"/>
  <c r="HM57" i="25"/>
  <c r="GM57" i="25"/>
  <c r="CR57" i="25"/>
  <c r="CS57" i="25"/>
  <c r="HC57" i="25"/>
  <c r="HJ57" i="25" s="1"/>
  <c r="FM57" i="25"/>
  <c r="CQ57" i="25"/>
  <c r="HC53" i="25"/>
  <c r="HD53" i="25" s="1"/>
  <c r="BH53" i="25" s="1"/>
  <c r="GM53" i="25"/>
  <c r="HM53" i="25"/>
  <c r="CQ53" i="25"/>
  <c r="CR53" i="25"/>
  <c r="CS53" i="25"/>
  <c r="FM53" i="25"/>
  <c r="HC51" i="25"/>
  <c r="HH51" i="25" s="1"/>
  <c r="HM51" i="25"/>
  <c r="GM51" i="25"/>
  <c r="CS51" i="25"/>
  <c r="FM51" i="25"/>
  <c r="CQ51" i="25"/>
  <c r="CR51" i="25"/>
  <c r="HM48" i="25"/>
  <c r="GM48" i="25"/>
  <c r="FM48" i="25"/>
  <c r="CQ48" i="25"/>
  <c r="CR48" i="25"/>
  <c r="CS48" i="25"/>
  <c r="HM45" i="25"/>
  <c r="GM45" i="25"/>
  <c r="FM45" i="25"/>
  <c r="CR45" i="25"/>
  <c r="CS45" i="25"/>
  <c r="CQ45" i="25"/>
  <c r="HM42" i="25"/>
  <c r="GM42" i="25"/>
  <c r="CR42" i="25"/>
  <c r="FM42" i="25"/>
  <c r="CS42" i="25"/>
  <c r="CQ42" i="25"/>
  <c r="HM39" i="25"/>
  <c r="GM39" i="25"/>
  <c r="FM39" i="25"/>
  <c r="CQ39" i="25"/>
  <c r="CR39" i="25"/>
  <c r="CS39" i="25"/>
  <c r="HM36" i="25"/>
  <c r="GM36" i="25"/>
  <c r="FM36" i="25"/>
  <c r="CQ36" i="25"/>
  <c r="CR36" i="25"/>
  <c r="CS36" i="25"/>
  <c r="HM33" i="25"/>
  <c r="CQ33" i="25"/>
  <c r="GM33" i="25"/>
  <c r="CR33" i="25"/>
  <c r="FM33" i="25"/>
  <c r="CS33" i="25"/>
  <c r="HM25" i="25"/>
  <c r="GM25" i="25"/>
  <c r="FM25" i="25"/>
  <c r="CQ25" i="25"/>
  <c r="CR25" i="25"/>
  <c r="CS25" i="25"/>
  <c r="HC83" i="25"/>
  <c r="HE83" i="25" s="1"/>
  <c r="HM83" i="25"/>
  <c r="GM83" i="25"/>
  <c r="FM83" i="25"/>
  <c r="CS83" i="25"/>
  <c r="CQ83" i="25"/>
  <c r="CR83" i="25"/>
  <c r="HC81" i="25"/>
  <c r="HE81" i="25" s="1"/>
  <c r="HM81" i="25"/>
  <c r="GM81" i="25"/>
  <c r="FM81" i="25"/>
  <c r="CS81" i="25"/>
  <c r="CQ81" i="25"/>
  <c r="CR81" i="25"/>
  <c r="HC78" i="25"/>
  <c r="HD78" i="25" s="1"/>
  <c r="BH78" i="25" s="1"/>
  <c r="HM78" i="25"/>
  <c r="GM78" i="25"/>
  <c r="FM78" i="25"/>
  <c r="CS78" i="25"/>
  <c r="CQ78" i="25"/>
  <c r="CR78" i="25"/>
  <c r="HC75" i="25"/>
  <c r="HH75" i="25" s="1"/>
  <c r="HM75" i="25"/>
  <c r="GM75" i="25"/>
  <c r="FM75" i="25"/>
  <c r="CS75" i="25"/>
  <c r="CQ75" i="25"/>
  <c r="CR75" i="25"/>
  <c r="HC71" i="25"/>
  <c r="HH71" i="25" s="1"/>
  <c r="HM71" i="25"/>
  <c r="GM71" i="25"/>
  <c r="FM71" i="25"/>
  <c r="CQ71" i="25"/>
  <c r="CR71" i="25"/>
  <c r="CS71" i="25"/>
  <c r="HC68" i="25"/>
  <c r="HH68" i="25" s="1"/>
  <c r="HM68" i="25"/>
  <c r="FM68" i="25"/>
  <c r="CQ68" i="25"/>
  <c r="CR68" i="25"/>
  <c r="CS68" i="25"/>
  <c r="GM68" i="25"/>
  <c r="HC65" i="25"/>
  <c r="HI65" i="25" s="1"/>
  <c r="HP65" i="25" s="1"/>
  <c r="HM65" i="25"/>
  <c r="CQ65" i="25"/>
  <c r="CR65" i="25"/>
  <c r="GM65" i="25"/>
  <c r="CS65" i="25"/>
  <c r="FM65" i="25"/>
  <c r="HC64" i="25"/>
  <c r="HE64" i="25" s="1"/>
  <c r="HM64" i="25"/>
  <c r="GM64" i="25"/>
  <c r="FM64" i="25"/>
  <c r="CR64" i="25"/>
  <c r="CS64" i="25"/>
  <c r="CQ64" i="25"/>
  <c r="HM61" i="25"/>
  <c r="HC61" i="25"/>
  <c r="GM61" i="25"/>
  <c r="CS61" i="25"/>
  <c r="CQ61" i="25"/>
  <c r="FM61" i="25"/>
  <c r="CR61" i="25"/>
  <c r="HC58" i="25"/>
  <c r="HE58" i="25" s="1"/>
  <c r="HM58" i="25"/>
  <c r="GM58" i="25"/>
  <c r="CQ58" i="25"/>
  <c r="CR58" i="25"/>
  <c r="CS58" i="25"/>
  <c r="FM58" i="25"/>
  <c r="HC55" i="25"/>
  <c r="HH55" i="25" s="1"/>
  <c r="HM55" i="25"/>
  <c r="GM55" i="25"/>
  <c r="CS55" i="25"/>
  <c r="FM55" i="25"/>
  <c r="CQ55" i="25"/>
  <c r="CR55" i="25"/>
  <c r="HM52" i="25"/>
  <c r="HC52" i="25"/>
  <c r="HJ52" i="25" s="1"/>
  <c r="GM52" i="25"/>
  <c r="CS52" i="25"/>
  <c r="FM52" i="25"/>
  <c r="CQ52" i="25"/>
  <c r="CR52" i="25"/>
  <c r="HM49" i="25"/>
  <c r="GM49" i="25"/>
  <c r="CS49" i="25"/>
  <c r="CQ49" i="25"/>
  <c r="CR49" i="25"/>
  <c r="FM49" i="25"/>
  <c r="HM46" i="25"/>
  <c r="GM46" i="25"/>
  <c r="CQ46" i="25"/>
  <c r="CR46" i="25"/>
  <c r="FM46" i="25"/>
  <c r="CS46" i="25"/>
  <c r="HM43" i="25"/>
  <c r="GM43" i="25"/>
  <c r="FM43" i="25"/>
  <c r="CS43" i="25"/>
  <c r="CQ43" i="25"/>
  <c r="CR43" i="25"/>
  <c r="HM40" i="25"/>
  <c r="GM40" i="25"/>
  <c r="CR40" i="25"/>
  <c r="CS40" i="25"/>
  <c r="FM40" i="25"/>
  <c r="CQ40" i="25"/>
  <c r="HM37" i="25"/>
  <c r="GM37" i="25"/>
  <c r="CQ37" i="25"/>
  <c r="CR37" i="25"/>
  <c r="FM37" i="25"/>
  <c r="CS37" i="25"/>
  <c r="HM35" i="25"/>
  <c r="GM35" i="25"/>
  <c r="FM35" i="25"/>
  <c r="CR35" i="25"/>
  <c r="CS35" i="25"/>
  <c r="CQ35" i="25"/>
  <c r="HM32" i="25"/>
  <c r="GM32" i="25"/>
  <c r="FM32" i="25"/>
  <c r="CQ32" i="25"/>
  <c r="CR32" i="25"/>
  <c r="CS32" i="25"/>
  <c r="HM30" i="25"/>
  <c r="GM30" i="25"/>
  <c r="FM30" i="25"/>
  <c r="CS30" i="25"/>
  <c r="CQ30" i="25"/>
  <c r="CR30" i="25"/>
  <c r="GM26" i="25"/>
  <c r="HM26" i="25"/>
  <c r="CR26" i="25"/>
  <c r="FM26" i="25"/>
  <c r="CS26" i="25"/>
  <c r="CQ26" i="25"/>
  <c r="CA120" i="25"/>
  <c r="DT120" i="25"/>
  <c r="DT118" i="25"/>
  <c r="CA118" i="25"/>
  <c r="DT115" i="25"/>
  <c r="CA115" i="25"/>
  <c r="DT111" i="25"/>
  <c r="CA111" i="25"/>
  <c r="CA109" i="25"/>
  <c r="DT109" i="25"/>
  <c r="DT106" i="25"/>
  <c r="CA106" i="25"/>
  <c r="DT119" i="25"/>
  <c r="CA119" i="25"/>
  <c r="CA116" i="25"/>
  <c r="DT116" i="25"/>
  <c r="CA113" i="25"/>
  <c r="DT113" i="25"/>
  <c r="CA110" i="25"/>
  <c r="DT110" i="25"/>
  <c r="DT107" i="25"/>
  <c r="CA107" i="25"/>
  <c r="CA117" i="25"/>
  <c r="DT117" i="25"/>
  <c r="DT114" i="25"/>
  <c r="CA114" i="25"/>
  <c r="CA112" i="25"/>
  <c r="DT112" i="25"/>
  <c r="CA108" i="25"/>
  <c r="DT108" i="25"/>
  <c r="CA105" i="25"/>
  <c r="DT105" i="25"/>
  <c r="CA102" i="25"/>
  <c r="AP102" i="25" s="1"/>
  <c r="CA98" i="25"/>
  <c r="AP98" i="25" s="1"/>
  <c r="CA94" i="25"/>
  <c r="AP94" i="25" s="1"/>
  <c r="CA90" i="25"/>
  <c r="AP90" i="25" s="1"/>
  <c r="CA86" i="25"/>
  <c r="AP86" i="25" s="1"/>
  <c r="CA82" i="25"/>
  <c r="AP82" i="25" s="1"/>
  <c r="CA78" i="25"/>
  <c r="AP78" i="25" s="1"/>
  <c r="CA73" i="25"/>
  <c r="AP73" i="25" s="1"/>
  <c r="CA69" i="25"/>
  <c r="AP69" i="25" s="1"/>
  <c r="CA66" i="25"/>
  <c r="AP66" i="25" s="1"/>
  <c r="CA62" i="25"/>
  <c r="AP62" i="25" s="1"/>
  <c r="CA58" i="25"/>
  <c r="AP58" i="25" s="1"/>
  <c r="CA53" i="25"/>
  <c r="AP53" i="25" s="1"/>
  <c r="CA104" i="25"/>
  <c r="AP104" i="25" s="1"/>
  <c r="CA100" i="25"/>
  <c r="AP100" i="25" s="1"/>
  <c r="CA96" i="25"/>
  <c r="AP96" i="25" s="1"/>
  <c r="CA92" i="25"/>
  <c r="AP92" i="25" s="1"/>
  <c r="CA88" i="25"/>
  <c r="AP88" i="25" s="1"/>
  <c r="CA83" i="25"/>
  <c r="AP83" i="25" s="1"/>
  <c r="CA79" i="25"/>
  <c r="AP79" i="25" s="1"/>
  <c r="CA75" i="25"/>
  <c r="AP75" i="25" s="1"/>
  <c r="CA71" i="25"/>
  <c r="AP71" i="25" s="1"/>
  <c r="CA67" i="25"/>
  <c r="AP67" i="25" s="1"/>
  <c r="CA63" i="25"/>
  <c r="AP63" i="25" s="1"/>
  <c r="CA59" i="25"/>
  <c r="AP59" i="25" s="1"/>
  <c r="CA55" i="25"/>
  <c r="AP55" i="25" s="1"/>
  <c r="CA51" i="25"/>
  <c r="AP51" i="25" s="1"/>
  <c r="CA101" i="25"/>
  <c r="AP101" i="25" s="1"/>
  <c r="CA97" i="25"/>
  <c r="AP97" i="25" s="1"/>
  <c r="CA93" i="25"/>
  <c r="AP93" i="25" s="1"/>
  <c r="CA89" i="25"/>
  <c r="AP89" i="25" s="1"/>
  <c r="CA85" i="25"/>
  <c r="AP85" i="25" s="1"/>
  <c r="CA80" i="25"/>
  <c r="AP80" i="25" s="1"/>
  <c r="CA76" i="25"/>
  <c r="AP76" i="25" s="1"/>
  <c r="CA72" i="25"/>
  <c r="AP72" i="25" s="1"/>
  <c r="CA68" i="25"/>
  <c r="AP68" i="25" s="1"/>
  <c r="CA64" i="25"/>
  <c r="AP64" i="25" s="1"/>
  <c r="CA60" i="25"/>
  <c r="AP60" i="25" s="1"/>
  <c r="CA56" i="25"/>
  <c r="AP56" i="25" s="1"/>
  <c r="CA52" i="25"/>
  <c r="AP52" i="25" s="1"/>
  <c r="CA103" i="25"/>
  <c r="AP103" i="25" s="1"/>
  <c r="CA99" i="25"/>
  <c r="AP99" i="25" s="1"/>
  <c r="CA95" i="25"/>
  <c r="AP95" i="25" s="1"/>
  <c r="CA91" i="25"/>
  <c r="AP91" i="25" s="1"/>
  <c r="CA87" i="25"/>
  <c r="AP87" i="25" s="1"/>
  <c r="CA84" i="25"/>
  <c r="AP84" i="25" s="1"/>
  <c r="CA81" i="25"/>
  <c r="AP81" i="25" s="1"/>
  <c r="CA77" i="25"/>
  <c r="AP77" i="25" s="1"/>
  <c r="CA74" i="25"/>
  <c r="AP74" i="25" s="1"/>
  <c r="CA70" i="25"/>
  <c r="AP70" i="25" s="1"/>
  <c r="CA65" i="25"/>
  <c r="AP65" i="25" s="1"/>
  <c r="CA61" i="25"/>
  <c r="AP61" i="25" s="1"/>
  <c r="CA57" i="25"/>
  <c r="AP57" i="25" s="1"/>
  <c r="CA54" i="25"/>
  <c r="AP54" i="25" s="1"/>
  <c r="CA50" i="25"/>
  <c r="AP50" i="25" s="1"/>
  <c r="OK119" i="25"/>
  <c r="OH119" i="25"/>
  <c r="OL119" i="25"/>
  <c r="OI119" i="25"/>
  <c r="PI119" i="25"/>
  <c r="OJ119" i="25"/>
  <c r="OM119" i="25"/>
  <c r="PJ119" i="25"/>
  <c r="PN119" i="25"/>
  <c r="OC119" i="25"/>
  <c r="PC119" i="25"/>
  <c r="PM119" i="25"/>
  <c r="ON119" i="25"/>
  <c r="PK119" i="25"/>
  <c r="PL119" i="25"/>
  <c r="PH119" i="25"/>
  <c r="OH116" i="25"/>
  <c r="OL116" i="25"/>
  <c r="OI116" i="25"/>
  <c r="OM116" i="25"/>
  <c r="ON116" i="25"/>
  <c r="PJ116" i="25"/>
  <c r="PN116" i="25"/>
  <c r="PK116" i="25"/>
  <c r="PH116" i="25"/>
  <c r="OJ116" i="25"/>
  <c r="PL116" i="25"/>
  <c r="PC116" i="25"/>
  <c r="PI116" i="25"/>
  <c r="OK116" i="25"/>
  <c r="PM116" i="25"/>
  <c r="OC116" i="25"/>
  <c r="OI113" i="25"/>
  <c r="OM113" i="25"/>
  <c r="OJ113" i="25"/>
  <c r="ON113" i="25"/>
  <c r="OK113" i="25"/>
  <c r="PK113" i="25"/>
  <c r="OL113" i="25"/>
  <c r="PH113" i="25"/>
  <c r="PL113" i="25"/>
  <c r="PM113" i="25"/>
  <c r="OC113" i="25"/>
  <c r="PC113" i="25"/>
  <c r="OH113" i="25"/>
  <c r="PN113" i="25"/>
  <c r="PI113" i="25"/>
  <c r="PJ113" i="25"/>
  <c r="OJ110" i="25"/>
  <c r="ON110" i="25"/>
  <c r="OK110" i="25"/>
  <c r="OH110" i="25"/>
  <c r="PH110" i="25"/>
  <c r="PL110" i="25"/>
  <c r="OI110" i="25"/>
  <c r="PI110" i="25"/>
  <c r="PM110" i="25"/>
  <c r="OL110" i="25"/>
  <c r="PJ110" i="25"/>
  <c r="OM110" i="25"/>
  <c r="PK110" i="25"/>
  <c r="OC110" i="25"/>
  <c r="PC110" i="25"/>
  <c r="PN110" i="25"/>
  <c r="OK107" i="25"/>
  <c r="OH107" i="25"/>
  <c r="OL107" i="25"/>
  <c r="OM107" i="25"/>
  <c r="PI107" i="25"/>
  <c r="PM107" i="25"/>
  <c r="ON107" i="25"/>
  <c r="PJ107" i="25"/>
  <c r="PN107" i="25"/>
  <c r="OI107" i="25"/>
  <c r="PK107" i="25"/>
  <c r="PL107" i="25"/>
  <c r="PH107" i="25"/>
  <c r="OC107" i="25"/>
  <c r="PC107" i="25"/>
  <c r="OJ107" i="25"/>
  <c r="OJ104" i="25"/>
  <c r="PJ104" i="25"/>
  <c r="OC104" i="25"/>
  <c r="OH104" i="25" s="1"/>
  <c r="PC104" i="25"/>
  <c r="PF104" i="25" s="1"/>
  <c r="OC101" i="25"/>
  <c r="PC101" i="25"/>
  <c r="PH101" i="25" s="1"/>
  <c r="OJ101" i="25"/>
  <c r="PJ101" i="25"/>
  <c r="OJ98" i="25"/>
  <c r="OC98" i="25"/>
  <c r="OH98" i="25" s="1"/>
  <c r="PC98" i="25"/>
  <c r="PF98" i="25" s="1"/>
  <c r="PJ98" i="25"/>
  <c r="OJ95" i="25"/>
  <c r="PJ95" i="25"/>
  <c r="OC95" i="25"/>
  <c r="OH95" i="25" s="1"/>
  <c r="PC95" i="25"/>
  <c r="PF95" i="25" s="1"/>
  <c r="OJ92" i="25"/>
  <c r="PJ92" i="25"/>
  <c r="OC92" i="25"/>
  <c r="OH92" i="25" s="1"/>
  <c r="PC92" i="25"/>
  <c r="PF92" i="25" s="1"/>
  <c r="OJ89" i="25"/>
  <c r="OC89" i="25"/>
  <c r="OH89" i="25" s="1"/>
  <c r="PC89" i="25"/>
  <c r="PF89" i="25" s="1"/>
  <c r="PJ89" i="25"/>
  <c r="OJ86" i="25"/>
  <c r="PJ86" i="25"/>
  <c r="OC86" i="25"/>
  <c r="OH86" i="25" s="1"/>
  <c r="PC86" i="25"/>
  <c r="OJ83" i="25"/>
  <c r="PJ83" i="25"/>
  <c r="OC83" i="25"/>
  <c r="OH83" i="25" s="1"/>
  <c r="PC83" i="25"/>
  <c r="OJ79" i="25"/>
  <c r="PJ79" i="25"/>
  <c r="OC79" i="25"/>
  <c r="OH79" i="25" s="1"/>
  <c r="PC79" i="25"/>
  <c r="PD79" i="25" s="1"/>
  <c r="OJ76" i="25"/>
  <c r="PJ76" i="25"/>
  <c r="PC76" i="25"/>
  <c r="OC76" i="25"/>
  <c r="OH76" i="25" s="1"/>
  <c r="OJ73" i="25"/>
  <c r="OC73" i="25"/>
  <c r="PC73" i="25"/>
  <c r="PJ73" i="25"/>
  <c r="OC69" i="25"/>
  <c r="OH69" i="25" s="1"/>
  <c r="PC69" i="25"/>
  <c r="PD69" i="25" s="1"/>
  <c r="PJ69" i="25"/>
  <c r="OJ69" i="25"/>
  <c r="OJ66" i="25"/>
  <c r="PJ66" i="25"/>
  <c r="OC66" i="25"/>
  <c r="OH66" i="25" s="1"/>
  <c r="PC66" i="25"/>
  <c r="PH66" i="25" s="1"/>
  <c r="OJ63" i="25"/>
  <c r="PJ63" i="25"/>
  <c r="OC63" i="25"/>
  <c r="OH63" i="25" s="1"/>
  <c r="PC63" i="25"/>
  <c r="PH63" i="25" s="1"/>
  <c r="OJ60" i="25"/>
  <c r="OC60" i="25"/>
  <c r="OD60" i="25" s="1"/>
  <c r="PC60" i="25"/>
  <c r="PH60" i="25" s="1"/>
  <c r="PJ60" i="25"/>
  <c r="OJ57" i="25"/>
  <c r="PJ57" i="25"/>
  <c r="OC57" i="25"/>
  <c r="OH57" i="25" s="1"/>
  <c r="PC57" i="25"/>
  <c r="PF57" i="25" s="1"/>
  <c r="OJ54" i="25"/>
  <c r="PJ54" i="25"/>
  <c r="OC54" i="25"/>
  <c r="OF54" i="25" s="1"/>
  <c r="PC54" i="25"/>
  <c r="PH54" i="25" s="1"/>
  <c r="OJ51" i="25"/>
  <c r="PJ51" i="25"/>
  <c r="OC51" i="25"/>
  <c r="OH51" i="25" s="1"/>
  <c r="PC51" i="25"/>
  <c r="PH51" i="25" s="1"/>
  <c r="OJ49" i="25"/>
  <c r="PJ49" i="25"/>
  <c r="OJ48" i="25"/>
  <c r="PJ48" i="25"/>
  <c r="OJ47" i="25"/>
  <c r="PJ47" i="25"/>
  <c r="PJ44" i="25"/>
  <c r="OJ44" i="25"/>
  <c r="OJ43" i="25"/>
  <c r="PJ43" i="25"/>
  <c r="OJ42" i="25"/>
  <c r="PJ42" i="25"/>
  <c r="OJ41" i="25"/>
  <c r="PJ41" i="25"/>
  <c r="OJ40" i="25"/>
  <c r="PJ40" i="25"/>
  <c r="OJ39" i="25"/>
  <c r="PJ39" i="25"/>
  <c r="OJ38" i="25"/>
  <c r="PJ38" i="25"/>
  <c r="OJ37" i="25"/>
  <c r="PJ37" i="25"/>
  <c r="OJ36" i="25"/>
  <c r="PJ36" i="25"/>
  <c r="OJ35" i="25"/>
  <c r="PJ35" i="25"/>
  <c r="OJ34" i="25"/>
  <c r="PJ34" i="25"/>
  <c r="OJ33" i="25"/>
  <c r="PJ33" i="25"/>
  <c r="OJ32" i="25"/>
  <c r="PJ32" i="25"/>
  <c r="OJ31" i="25"/>
  <c r="PJ31" i="25"/>
  <c r="OJ30" i="25"/>
  <c r="PJ30" i="25"/>
  <c r="OJ29" i="25"/>
  <c r="PJ29" i="25"/>
  <c r="OJ28" i="25"/>
  <c r="PJ28" i="25"/>
  <c r="OJ27" i="25"/>
  <c r="PJ27" i="25"/>
  <c r="OJ26" i="25"/>
  <c r="PJ26" i="25"/>
  <c r="OJ25" i="25"/>
  <c r="PJ25" i="25"/>
  <c r="OJ24" i="25"/>
  <c r="PJ24" i="25"/>
  <c r="OJ23" i="25"/>
  <c r="PJ23" i="25"/>
  <c r="OJ22" i="25"/>
  <c r="PJ22" i="25"/>
  <c r="OJ21" i="25"/>
  <c r="PJ21" i="25"/>
  <c r="OJ20" i="25"/>
  <c r="PJ20" i="25"/>
  <c r="OJ19" i="25"/>
  <c r="PJ19" i="25"/>
  <c r="OJ18" i="25"/>
  <c r="PJ18" i="25"/>
  <c r="OJ17" i="25"/>
  <c r="PJ17" i="25"/>
  <c r="OJ16" i="25"/>
  <c r="PJ16" i="25"/>
  <c r="OJ118" i="25"/>
  <c r="ON118" i="25"/>
  <c r="OK118" i="25"/>
  <c r="OH118" i="25"/>
  <c r="PH118" i="25"/>
  <c r="PL118" i="25"/>
  <c r="OI118" i="25"/>
  <c r="PI118" i="25"/>
  <c r="PM118" i="25"/>
  <c r="PJ118" i="25"/>
  <c r="PN118" i="25"/>
  <c r="OM118" i="25"/>
  <c r="PK118" i="25"/>
  <c r="OC118" i="25"/>
  <c r="PC118" i="25"/>
  <c r="OL118" i="25"/>
  <c r="OJ114" i="25"/>
  <c r="ON114" i="25"/>
  <c r="OK114" i="25"/>
  <c r="OL114" i="25"/>
  <c r="PH114" i="25"/>
  <c r="PL114" i="25"/>
  <c r="OM114" i="25"/>
  <c r="PI114" i="25"/>
  <c r="PM114" i="25"/>
  <c r="PN114" i="25"/>
  <c r="PJ114" i="25"/>
  <c r="OI114" i="25"/>
  <c r="PK114" i="25"/>
  <c r="OC114" i="25"/>
  <c r="PC114" i="25"/>
  <c r="OH114" i="25"/>
  <c r="OK111" i="25"/>
  <c r="OH111" i="25"/>
  <c r="OL111" i="25"/>
  <c r="OI111" i="25"/>
  <c r="PI111" i="25"/>
  <c r="PM111" i="25"/>
  <c r="OJ111" i="25"/>
  <c r="PJ111" i="25"/>
  <c r="PN111" i="25"/>
  <c r="PK111" i="25"/>
  <c r="OM111" i="25"/>
  <c r="OC111" i="25"/>
  <c r="PC111" i="25"/>
  <c r="PL111" i="25"/>
  <c r="ON111" i="25"/>
  <c r="PH111" i="25"/>
  <c r="OH108" i="25"/>
  <c r="OL108" i="25"/>
  <c r="OI108" i="25"/>
  <c r="OM108" i="25"/>
  <c r="ON108" i="25"/>
  <c r="PJ108" i="25"/>
  <c r="PN108" i="25"/>
  <c r="PK108" i="25"/>
  <c r="OJ108" i="25"/>
  <c r="PH108" i="25"/>
  <c r="OK108" i="25"/>
  <c r="PI108" i="25"/>
  <c r="PL108" i="25"/>
  <c r="PM108" i="25"/>
  <c r="OC108" i="25"/>
  <c r="PC108" i="25"/>
  <c r="OI105" i="25"/>
  <c r="OM105" i="25"/>
  <c r="OJ105" i="25"/>
  <c r="ON105" i="25"/>
  <c r="OK105" i="25"/>
  <c r="PK105" i="25"/>
  <c r="OL105" i="25"/>
  <c r="PH105" i="25"/>
  <c r="PL105" i="25"/>
  <c r="PM105" i="25"/>
  <c r="OC105" i="25"/>
  <c r="PC105" i="25"/>
  <c r="OH105" i="25"/>
  <c r="PN105" i="25"/>
  <c r="PI105" i="25"/>
  <c r="PJ105" i="25"/>
  <c r="OJ102" i="25"/>
  <c r="PJ102" i="25"/>
  <c r="OC102" i="25"/>
  <c r="PC102" i="25"/>
  <c r="PH102" i="25" s="1"/>
  <c r="OJ99" i="25"/>
  <c r="PJ99" i="25"/>
  <c r="OC99" i="25"/>
  <c r="OH99" i="25" s="1"/>
  <c r="PC99" i="25"/>
  <c r="PH99" i="25" s="1"/>
  <c r="OJ96" i="25"/>
  <c r="PJ96" i="25"/>
  <c r="OC96" i="25"/>
  <c r="OD96" i="25" s="1"/>
  <c r="PC96" i="25"/>
  <c r="OJ93" i="25"/>
  <c r="OC93" i="25"/>
  <c r="OH93" i="25" s="1"/>
  <c r="PC93" i="25"/>
  <c r="PH93" i="25" s="1"/>
  <c r="PJ93" i="25"/>
  <c r="OJ90" i="25"/>
  <c r="OC90" i="25"/>
  <c r="OF90" i="25" s="1"/>
  <c r="PC90" i="25"/>
  <c r="PJ90" i="25"/>
  <c r="OJ87" i="25"/>
  <c r="PJ87" i="25"/>
  <c r="OC87" i="25"/>
  <c r="OH87" i="25" s="1"/>
  <c r="PC87" i="25"/>
  <c r="PH87" i="25" s="1"/>
  <c r="OJ84" i="25"/>
  <c r="PJ84" i="25"/>
  <c r="OC84" i="25"/>
  <c r="OH84" i="25" s="1"/>
  <c r="PC84" i="25"/>
  <c r="OJ81" i="25"/>
  <c r="OC81" i="25"/>
  <c r="OF81" i="25" s="1"/>
  <c r="PC81" i="25"/>
  <c r="PH81" i="25" s="1"/>
  <c r="PJ81" i="25"/>
  <c r="OJ77" i="25"/>
  <c r="OC77" i="25"/>
  <c r="PC77" i="25"/>
  <c r="PH77" i="25" s="1"/>
  <c r="PJ77" i="25"/>
  <c r="OJ74" i="25"/>
  <c r="PJ74" i="25"/>
  <c r="OC74" i="25"/>
  <c r="OH74" i="25" s="1"/>
  <c r="PC74" i="25"/>
  <c r="PH74" i="25" s="1"/>
  <c r="OJ71" i="25"/>
  <c r="PJ71" i="25"/>
  <c r="OC71" i="25"/>
  <c r="OH71" i="25" s="1"/>
  <c r="PC71" i="25"/>
  <c r="PH71" i="25" s="1"/>
  <c r="OJ68" i="25"/>
  <c r="PC68" i="25"/>
  <c r="PF68" i="25" s="1"/>
  <c r="PJ68" i="25"/>
  <c r="OC68" i="25"/>
  <c r="OD68" i="25" s="1"/>
  <c r="OJ65" i="25"/>
  <c r="PJ65" i="25"/>
  <c r="OC65" i="25"/>
  <c r="OD65" i="25" s="1"/>
  <c r="PC65" i="25"/>
  <c r="PF65" i="25" s="1"/>
  <c r="OJ62" i="25"/>
  <c r="PJ62" i="25"/>
  <c r="OC62" i="25"/>
  <c r="OF62" i="25" s="1"/>
  <c r="PC62" i="25"/>
  <c r="PH62" i="25" s="1"/>
  <c r="OJ59" i="25"/>
  <c r="PJ59" i="25"/>
  <c r="OC59" i="25"/>
  <c r="OF59" i="25" s="1"/>
  <c r="PC59" i="25"/>
  <c r="PH59" i="25" s="1"/>
  <c r="OJ56" i="25"/>
  <c r="PJ56" i="25"/>
  <c r="OC56" i="25"/>
  <c r="OD56" i="25" s="1"/>
  <c r="PC56" i="25"/>
  <c r="PH56" i="25" s="1"/>
  <c r="OJ52" i="25"/>
  <c r="PC52" i="25"/>
  <c r="PD52" i="25" s="1"/>
  <c r="PJ52" i="25"/>
  <c r="OC52" i="25"/>
  <c r="OD52" i="25" s="1"/>
  <c r="OJ45" i="25"/>
  <c r="PJ45" i="25"/>
  <c r="OH120" i="25"/>
  <c r="OL120" i="25"/>
  <c r="OI120" i="25"/>
  <c r="OM120" i="25"/>
  <c r="OJ120" i="25"/>
  <c r="OK120" i="25"/>
  <c r="PK120" i="25"/>
  <c r="ON120" i="25"/>
  <c r="PI120" i="25"/>
  <c r="PN120" i="25"/>
  <c r="OC120" i="25"/>
  <c r="PC120" i="25"/>
  <c r="PH120" i="25"/>
  <c r="PL120" i="25"/>
  <c r="PM120" i="25"/>
  <c r="PJ120" i="25"/>
  <c r="OI117" i="25"/>
  <c r="OM117" i="25"/>
  <c r="OJ117" i="25"/>
  <c r="ON117" i="25"/>
  <c r="PK117" i="25"/>
  <c r="OH117" i="25"/>
  <c r="PH117" i="25"/>
  <c r="PL117" i="25"/>
  <c r="OK117" i="25"/>
  <c r="PI117" i="25"/>
  <c r="OC117" i="25"/>
  <c r="PC117" i="25"/>
  <c r="PN117" i="25"/>
  <c r="OL117" i="25"/>
  <c r="PJ117" i="25"/>
  <c r="PM117" i="25"/>
  <c r="OK115" i="25"/>
  <c r="OH115" i="25"/>
  <c r="OL115" i="25"/>
  <c r="OM115" i="25"/>
  <c r="PI115" i="25"/>
  <c r="PM115" i="25"/>
  <c r="ON115" i="25"/>
  <c r="PJ115" i="25"/>
  <c r="PN115" i="25"/>
  <c r="OI115" i="25"/>
  <c r="OJ115" i="25"/>
  <c r="PH115" i="25"/>
  <c r="PK115" i="25"/>
  <c r="OC115" i="25"/>
  <c r="PC115" i="25"/>
  <c r="PL115" i="25"/>
  <c r="OH112" i="25"/>
  <c r="OL112" i="25"/>
  <c r="OI112" i="25"/>
  <c r="OM112" i="25"/>
  <c r="OJ112" i="25"/>
  <c r="PJ112" i="25"/>
  <c r="PN112" i="25"/>
  <c r="OK112" i="25"/>
  <c r="PK112" i="25"/>
  <c r="ON112" i="25"/>
  <c r="PL112" i="25"/>
  <c r="PH112" i="25"/>
  <c r="PI112" i="25"/>
  <c r="OC112" i="25"/>
  <c r="PM112" i="25"/>
  <c r="PC112" i="25"/>
  <c r="OI109" i="25"/>
  <c r="OM109" i="25"/>
  <c r="OJ109" i="25"/>
  <c r="ON109" i="25"/>
  <c r="PK109" i="25"/>
  <c r="OH109" i="25"/>
  <c r="PH109" i="25"/>
  <c r="PL109" i="25"/>
  <c r="PI109" i="25"/>
  <c r="OC109" i="25"/>
  <c r="PC109" i="25"/>
  <c r="PM109" i="25"/>
  <c r="OL109" i="25"/>
  <c r="PN109" i="25"/>
  <c r="PJ109" i="25"/>
  <c r="OK109" i="25"/>
  <c r="OJ106" i="25"/>
  <c r="ON106" i="25"/>
  <c r="OK106" i="25"/>
  <c r="OL106" i="25"/>
  <c r="PH106" i="25"/>
  <c r="PL106" i="25"/>
  <c r="OM106" i="25"/>
  <c r="PI106" i="25"/>
  <c r="PM106" i="25"/>
  <c r="OH106" i="25"/>
  <c r="PN106" i="25"/>
  <c r="PJ106" i="25"/>
  <c r="OI106" i="25"/>
  <c r="OC106" i="25"/>
  <c r="PC106" i="25"/>
  <c r="PK106" i="25"/>
  <c r="OJ103" i="25"/>
  <c r="PJ103" i="25"/>
  <c r="OC103" i="25"/>
  <c r="PC103" i="25"/>
  <c r="OJ100" i="25"/>
  <c r="PJ100" i="25"/>
  <c r="OC100" i="25"/>
  <c r="OH100" i="25" s="1"/>
  <c r="PC100" i="25"/>
  <c r="PF100" i="25" s="1"/>
  <c r="OJ97" i="25"/>
  <c r="OC97" i="25"/>
  <c r="OH97" i="25" s="1"/>
  <c r="PC97" i="25"/>
  <c r="PH97" i="25" s="1"/>
  <c r="PJ97" i="25"/>
  <c r="PJ94" i="25"/>
  <c r="OC94" i="25"/>
  <c r="OH94" i="25" s="1"/>
  <c r="PC94" i="25"/>
  <c r="PH94" i="25" s="1"/>
  <c r="OJ94" i="25"/>
  <c r="OJ91" i="25"/>
  <c r="PJ91" i="25"/>
  <c r="PC91" i="25"/>
  <c r="OC91" i="25"/>
  <c r="OD91" i="25" s="1"/>
  <c r="OJ88" i="25"/>
  <c r="PJ88" i="25"/>
  <c r="PC88" i="25"/>
  <c r="OC88" i="25"/>
  <c r="OH88" i="25" s="1"/>
  <c r="OC85" i="25"/>
  <c r="OH85" i="25" s="1"/>
  <c r="PC85" i="25"/>
  <c r="PJ85" i="25"/>
  <c r="OJ85" i="25"/>
  <c r="OJ82" i="25"/>
  <c r="PJ82" i="25"/>
  <c r="OC82" i="25"/>
  <c r="OH82" i="25" s="1"/>
  <c r="PC82" i="25"/>
  <c r="OJ80" i="25"/>
  <c r="PJ80" i="25"/>
  <c r="PC80" i="25"/>
  <c r="PH80" i="25" s="1"/>
  <c r="OC80" i="25"/>
  <c r="OD80" i="25" s="1"/>
  <c r="OJ78" i="25"/>
  <c r="PJ78" i="25"/>
  <c r="OC78" i="25"/>
  <c r="OH78" i="25" s="1"/>
  <c r="PC78" i="25"/>
  <c r="OJ75" i="25"/>
  <c r="PJ75" i="25"/>
  <c r="OC75" i="25"/>
  <c r="PC75" i="25"/>
  <c r="PD75" i="25" s="1"/>
  <c r="OJ72" i="25"/>
  <c r="PJ72" i="25"/>
  <c r="OC72" i="25"/>
  <c r="PC72" i="25"/>
  <c r="OJ70" i="25"/>
  <c r="PJ70" i="25"/>
  <c r="OC70" i="25"/>
  <c r="PC70" i="25"/>
  <c r="PD70" i="25" s="1"/>
  <c r="OJ67" i="25"/>
  <c r="PJ67" i="25"/>
  <c r="OC67" i="25"/>
  <c r="OF67" i="25" s="1"/>
  <c r="PC67" i="25"/>
  <c r="PD67" i="25" s="1"/>
  <c r="OJ64" i="25"/>
  <c r="PJ64" i="25"/>
  <c r="OC64" i="25"/>
  <c r="OD64" i="25" s="1"/>
  <c r="PC64" i="25"/>
  <c r="PH64" i="25" s="1"/>
  <c r="OJ61" i="25"/>
  <c r="PJ61" i="25"/>
  <c r="OC61" i="25"/>
  <c r="PC61" i="25"/>
  <c r="PH61" i="25" s="1"/>
  <c r="OJ58" i="25"/>
  <c r="PJ58" i="25"/>
  <c r="OC58" i="25"/>
  <c r="OD58" i="25" s="1"/>
  <c r="PC58" i="25"/>
  <c r="PH58" i="25" s="1"/>
  <c r="OJ55" i="25"/>
  <c r="PJ55" i="25"/>
  <c r="OC55" i="25"/>
  <c r="PC55" i="25"/>
  <c r="PD55" i="25" s="1"/>
  <c r="OJ53" i="25"/>
  <c r="OC53" i="25"/>
  <c r="PC53" i="25"/>
  <c r="PF53" i="25" s="1"/>
  <c r="PJ53" i="25"/>
  <c r="OJ50" i="25"/>
  <c r="PJ50" i="25"/>
  <c r="OC50" i="25"/>
  <c r="OD50" i="25" s="1"/>
  <c r="PC50" i="25"/>
  <c r="OJ46" i="25"/>
  <c r="PJ46" i="25"/>
  <c r="DA117" i="25"/>
  <c r="DA113" i="25"/>
  <c r="DA111" i="25"/>
  <c r="DA106" i="25"/>
  <c r="DA103" i="25"/>
  <c r="LC103" i="25" s="1"/>
  <c r="DA97" i="25"/>
  <c r="DA91" i="25"/>
  <c r="IC91" i="25" s="1"/>
  <c r="DA119" i="25"/>
  <c r="DA115" i="25"/>
  <c r="DA109" i="25"/>
  <c r="DA104" i="25"/>
  <c r="IC104" i="25" s="1"/>
  <c r="DA100" i="25"/>
  <c r="IC100" i="25" s="1"/>
  <c r="DA98" i="25"/>
  <c r="IC98" i="25" s="1"/>
  <c r="DA94" i="25"/>
  <c r="DA93" i="25"/>
  <c r="IC93" i="25" s="1"/>
  <c r="DA89" i="25"/>
  <c r="IC89" i="25" s="1"/>
  <c r="DA88" i="25"/>
  <c r="IC88" i="25" s="1"/>
  <c r="DA87" i="25"/>
  <c r="DA86" i="25"/>
  <c r="IC86" i="25" s="1"/>
  <c r="DA85" i="25"/>
  <c r="IC85" i="25" s="1"/>
  <c r="DA84" i="25"/>
  <c r="IC84" i="25" s="1"/>
  <c r="DA83" i="25"/>
  <c r="DA82" i="25"/>
  <c r="IC82" i="25" s="1"/>
  <c r="DA81" i="25"/>
  <c r="IC81" i="25" s="1"/>
  <c r="DA80" i="25"/>
  <c r="IC80" i="25" s="1"/>
  <c r="DA79" i="25"/>
  <c r="DA78" i="25"/>
  <c r="IC78" i="25" s="1"/>
  <c r="DA77" i="25"/>
  <c r="IC77" i="25" s="1"/>
  <c r="DA76" i="25"/>
  <c r="IC76" i="25" s="1"/>
  <c r="DA75" i="25"/>
  <c r="DA74" i="25"/>
  <c r="IC74" i="25" s="1"/>
  <c r="DA73" i="25"/>
  <c r="IC73" i="25" s="1"/>
  <c r="DA72" i="25"/>
  <c r="IC72" i="25" s="1"/>
  <c r="DA71" i="25"/>
  <c r="DA70" i="25"/>
  <c r="IC70" i="25" s="1"/>
  <c r="DA69" i="25"/>
  <c r="IC69" i="25" s="1"/>
  <c r="DA68" i="25"/>
  <c r="IC68" i="25" s="1"/>
  <c r="DA67" i="25"/>
  <c r="DA66" i="25"/>
  <c r="IC66" i="25" s="1"/>
  <c r="DA65" i="25"/>
  <c r="IC65" i="25" s="1"/>
  <c r="DA64" i="25"/>
  <c r="KC64" i="25" s="1"/>
  <c r="KD64" i="25" s="1"/>
  <c r="DA63" i="25"/>
  <c r="DA62" i="25"/>
  <c r="IC62" i="25" s="1"/>
  <c r="DA61" i="25"/>
  <c r="IC61" i="25" s="1"/>
  <c r="DA60" i="25"/>
  <c r="IC60" i="25" s="1"/>
  <c r="DA59" i="25"/>
  <c r="DA58" i="25"/>
  <c r="IC58" i="25" s="1"/>
  <c r="DA57" i="25"/>
  <c r="IC57" i="25" s="1"/>
  <c r="DA56" i="25"/>
  <c r="IC56" i="25" s="1"/>
  <c r="DA55" i="25"/>
  <c r="MC55" i="25" s="1"/>
  <c r="MD55" i="25" s="1"/>
  <c r="BM55" i="25" s="1"/>
  <c r="DA54" i="25"/>
  <c r="IC54" i="25" s="1"/>
  <c r="DA53" i="25"/>
  <c r="IC53" i="25" s="1"/>
  <c r="DA52" i="25"/>
  <c r="NC52" i="25" s="1"/>
  <c r="DA51" i="25"/>
  <c r="MC51" i="25" s="1"/>
  <c r="MD51" i="25" s="1"/>
  <c r="BM51" i="25" s="1"/>
  <c r="DA50" i="25"/>
  <c r="KC50" i="25" s="1"/>
  <c r="DA120" i="25"/>
  <c r="DA116" i="25"/>
  <c r="DA112" i="25"/>
  <c r="DA108" i="25"/>
  <c r="DA105" i="25"/>
  <c r="DA101" i="25"/>
  <c r="IC101" i="25" s="1"/>
  <c r="DA99" i="25"/>
  <c r="KC99" i="25" s="1"/>
  <c r="DA95" i="25"/>
  <c r="DA92" i="25"/>
  <c r="IC92" i="25" s="1"/>
  <c r="DA118" i="25"/>
  <c r="DA114" i="25"/>
  <c r="DA110" i="25"/>
  <c r="DA107" i="25"/>
  <c r="DA102" i="25"/>
  <c r="IC102" i="25" s="1"/>
  <c r="DA96" i="25"/>
  <c r="MC96" i="25" s="1"/>
  <c r="DA90" i="25"/>
  <c r="PF120" i="25"/>
  <c r="OG120" i="25"/>
  <c r="PG120" i="25"/>
  <c r="OA120" i="25"/>
  <c r="DJ120" i="25"/>
  <c r="DN120" i="25"/>
  <c r="DL120" i="25"/>
  <c r="DO120" i="25"/>
  <c r="DE120" i="25"/>
  <c r="DM120" i="25"/>
  <c r="DK120" i="25"/>
  <c r="DC120" i="25"/>
  <c r="DD120" i="25"/>
  <c r="PF116" i="25"/>
  <c r="OG116" i="25"/>
  <c r="PG116" i="25"/>
  <c r="OA116" i="25"/>
  <c r="DJ116" i="25"/>
  <c r="DN116" i="25"/>
  <c r="DL116" i="25"/>
  <c r="DO116" i="25"/>
  <c r="DE116" i="25"/>
  <c r="DM116" i="25"/>
  <c r="DK116" i="25"/>
  <c r="DC116" i="25"/>
  <c r="DD116" i="25"/>
  <c r="PF112" i="25"/>
  <c r="OG112" i="25"/>
  <c r="PG112" i="25"/>
  <c r="OA112" i="25"/>
  <c r="DJ112" i="25"/>
  <c r="DN112" i="25"/>
  <c r="DL112" i="25"/>
  <c r="DO112" i="25"/>
  <c r="DE112" i="25"/>
  <c r="DM112" i="25"/>
  <c r="DD112" i="25"/>
  <c r="DK112" i="25"/>
  <c r="DC112" i="25"/>
  <c r="PF108" i="25"/>
  <c r="OG108" i="25"/>
  <c r="PG108" i="25"/>
  <c r="OA108" i="25"/>
  <c r="DJ108" i="25"/>
  <c r="DN108" i="25"/>
  <c r="DL108" i="25"/>
  <c r="DO108" i="25"/>
  <c r="DE108" i="25"/>
  <c r="DD108" i="25"/>
  <c r="DM108" i="25"/>
  <c r="DK108" i="25"/>
  <c r="DC108" i="25"/>
  <c r="OA104" i="25"/>
  <c r="OG104" i="25" s="1"/>
  <c r="PF118" i="25"/>
  <c r="OA118" i="25"/>
  <c r="PG118" i="25"/>
  <c r="OG118" i="25"/>
  <c r="DJ118" i="25"/>
  <c r="DN118" i="25"/>
  <c r="DL118" i="25"/>
  <c r="DK118" i="25"/>
  <c r="DC118" i="25"/>
  <c r="DD118" i="25"/>
  <c r="DM118" i="25"/>
  <c r="DO118" i="25"/>
  <c r="DE118" i="25"/>
  <c r="PF114" i="25"/>
  <c r="OA114" i="25"/>
  <c r="PG114" i="25"/>
  <c r="OG114" i="25"/>
  <c r="DJ114" i="25"/>
  <c r="DN114" i="25"/>
  <c r="DL114" i="25"/>
  <c r="DK114" i="25"/>
  <c r="DC114" i="25"/>
  <c r="DD114" i="25"/>
  <c r="DM114" i="25"/>
  <c r="DO114" i="25"/>
  <c r="DE114" i="25"/>
  <c r="PF110" i="25"/>
  <c r="OA110" i="25"/>
  <c r="PG110" i="25"/>
  <c r="OG110" i="25"/>
  <c r="DJ110" i="25"/>
  <c r="DN110" i="25"/>
  <c r="DL110" i="25"/>
  <c r="DK110" i="25"/>
  <c r="DC110" i="25"/>
  <c r="DM110" i="25"/>
  <c r="DD110" i="25"/>
  <c r="DO110" i="25"/>
  <c r="DE110" i="25"/>
  <c r="PF106" i="25"/>
  <c r="OA106" i="25"/>
  <c r="PG106" i="25"/>
  <c r="OG106" i="25"/>
  <c r="DJ106" i="25"/>
  <c r="DN106" i="25"/>
  <c r="DL106" i="25"/>
  <c r="DK106" i="25"/>
  <c r="DC106" i="25"/>
  <c r="DD106" i="25"/>
  <c r="DM106" i="25"/>
  <c r="DO106" i="25"/>
  <c r="DE106" i="25"/>
  <c r="PF102" i="25"/>
  <c r="OA102" i="25"/>
  <c r="OG102" i="25" s="1"/>
  <c r="OA101" i="25"/>
  <c r="OG101" i="25" s="1"/>
  <c r="OA100" i="25"/>
  <c r="OG100" i="25" s="1"/>
  <c r="OA98" i="25"/>
  <c r="OG98" i="25" s="1"/>
  <c r="OA97" i="25"/>
  <c r="OG97" i="25" s="1"/>
  <c r="OA96" i="25"/>
  <c r="OG96" i="25" s="1"/>
  <c r="OA95" i="25"/>
  <c r="OG95" i="25" s="1"/>
  <c r="OA94" i="25"/>
  <c r="OG94" i="25" s="1"/>
  <c r="OA93" i="25"/>
  <c r="OG93" i="25" s="1"/>
  <c r="OA92" i="25"/>
  <c r="OG92" i="25" s="1"/>
  <c r="OA91" i="25"/>
  <c r="OG91" i="25" s="1"/>
  <c r="OA90" i="25"/>
  <c r="OG90" i="25" s="1"/>
  <c r="OA89" i="25"/>
  <c r="OG89" i="25" s="1"/>
  <c r="OA88" i="25"/>
  <c r="OG88" i="25" s="1"/>
  <c r="OA87" i="25"/>
  <c r="OG87" i="25" s="1"/>
  <c r="OA86" i="25"/>
  <c r="OG86" i="25" s="1"/>
  <c r="OA85" i="25"/>
  <c r="OG85" i="25" s="1"/>
  <c r="OA84" i="25"/>
  <c r="OG84" i="25" s="1"/>
  <c r="OA83" i="25"/>
  <c r="OG83" i="25" s="1"/>
  <c r="OA82" i="25"/>
  <c r="OG82" i="25" s="1"/>
  <c r="OA81" i="25"/>
  <c r="OG81" i="25" s="1"/>
  <c r="OA80" i="25"/>
  <c r="OG80" i="25" s="1"/>
  <c r="OA79" i="25"/>
  <c r="OG79" i="25" s="1"/>
  <c r="OA78" i="25"/>
  <c r="OG78" i="25" s="1"/>
  <c r="OA77" i="25"/>
  <c r="OG77" i="25" s="1"/>
  <c r="OA76" i="25"/>
  <c r="OG76" i="25" s="1"/>
  <c r="OA75" i="25"/>
  <c r="OG75" i="25" s="1"/>
  <c r="OA74" i="25"/>
  <c r="OG74" i="25" s="1"/>
  <c r="OA73" i="25"/>
  <c r="OG73" i="25" s="1"/>
  <c r="OA72" i="25"/>
  <c r="OG72" i="25" s="1"/>
  <c r="OA71" i="25"/>
  <c r="OG71" i="25" s="1"/>
  <c r="OA70" i="25"/>
  <c r="OG70" i="25" s="1"/>
  <c r="OA69" i="25"/>
  <c r="OG69" i="25" s="1"/>
  <c r="OA68" i="25"/>
  <c r="OG68" i="25" s="1"/>
  <c r="OA67" i="25"/>
  <c r="OG67" i="25" s="1"/>
  <c r="OA66" i="25"/>
  <c r="OG66" i="25" s="1"/>
  <c r="OA65" i="25"/>
  <c r="OG65" i="25" s="1"/>
  <c r="OA64" i="25"/>
  <c r="OG64" i="25" s="1"/>
  <c r="OA63" i="25"/>
  <c r="OG63" i="25" s="1"/>
  <c r="OA62" i="25"/>
  <c r="OG62" i="25" s="1"/>
  <c r="OA61" i="25"/>
  <c r="OG61" i="25" s="1"/>
  <c r="OA60" i="25"/>
  <c r="OG60" i="25" s="1"/>
  <c r="OA59" i="25"/>
  <c r="OG59" i="25" s="1"/>
  <c r="OA58" i="25"/>
  <c r="OG58" i="25" s="1"/>
  <c r="OA57" i="25"/>
  <c r="OG57" i="25" s="1"/>
  <c r="OA56" i="25"/>
  <c r="OG56" i="25" s="1"/>
  <c r="OA55" i="25"/>
  <c r="OG55" i="25" s="1"/>
  <c r="OA54" i="25"/>
  <c r="OG54" i="25" s="1"/>
  <c r="OA53" i="25"/>
  <c r="OG53" i="25" s="1"/>
  <c r="OA52" i="25"/>
  <c r="OG52" i="25" s="1"/>
  <c r="OA51" i="25"/>
  <c r="OG51" i="25" s="1"/>
  <c r="OA50" i="25"/>
  <c r="OG50" i="25" s="1"/>
  <c r="OA49" i="25"/>
  <c r="OG49" i="25" s="1"/>
  <c r="OA48" i="25"/>
  <c r="OG48" i="25" s="1"/>
  <c r="OA47" i="25"/>
  <c r="OG47" i="25" s="1"/>
  <c r="OA46" i="25"/>
  <c r="OG46" i="25" s="1"/>
  <c r="OA45" i="25"/>
  <c r="OG45" i="25" s="1"/>
  <c r="OA44" i="25"/>
  <c r="OG44" i="25" s="1"/>
  <c r="OA43" i="25"/>
  <c r="OG43" i="25" s="1"/>
  <c r="OA42" i="25"/>
  <c r="OG42" i="25" s="1"/>
  <c r="OA41" i="25"/>
  <c r="OG41" i="25" s="1"/>
  <c r="OA40" i="25"/>
  <c r="OG40" i="25" s="1"/>
  <c r="OA39" i="25"/>
  <c r="OG39" i="25" s="1"/>
  <c r="OA38" i="25"/>
  <c r="OG38" i="25" s="1"/>
  <c r="OA37" i="25"/>
  <c r="OG37" i="25" s="1"/>
  <c r="OA36" i="25"/>
  <c r="OG36" i="25" s="1"/>
  <c r="OA35" i="25"/>
  <c r="OG35" i="25" s="1"/>
  <c r="OA34" i="25"/>
  <c r="OG34" i="25" s="1"/>
  <c r="OA33" i="25"/>
  <c r="OG33" i="25" s="1"/>
  <c r="OA32" i="25"/>
  <c r="OG32" i="25" s="1"/>
  <c r="OA31" i="25"/>
  <c r="OG31" i="25" s="1"/>
  <c r="OA30" i="25"/>
  <c r="OG30" i="25" s="1"/>
  <c r="OA29" i="25"/>
  <c r="OG29" i="25" s="1"/>
  <c r="OA28" i="25"/>
  <c r="OG28" i="25" s="1"/>
  <c r="OA27" i="25"/>
  <c r="OG27" i="25" s="1"/>
  <c r="OA26" i="25"/>
  <c r="OG26" i="25" s="1"/>
  <c r="OA25" i="25"/>
  <c r="OG25" i="25" s="1"/>
  <c r="OA24" i="25"/>
  <c r="OG24" i="25" s="1"/>
  <c r="OA23" i="25"/>
  <c r="OG23" i="25" s="1"/>
  <c r="OA22" i="25"/>
  <c r="OG22" i="25" s="1"/>
  <c r="OA21" i="25"/>
  <c r="OG21" i="25" s="1"/>
  <c r="OA20" i="25"/>
  <c r="OG20" i="25" s="1"/>
  <c r="OA19" i="25"/>
  <c r="OG19" i="25" s="1"/>
  <c r="OA18" i="25"/>
  <c r="OG18" i="25" s="1"/>
  <c r="OA17" i="25"/>
  <c r="OG17" i="25" s="1"/>
  <c r="OA16" i="25"/>
  <c r="OG16" i="25" s="1"/>
  <c r="PF119" i="25"/>
  <c r="PG119" i="25"/>
  <c r="OA119" i="25"/>
  <c r="DL119" i="25"/>
  <c r="OG119" i="25"/>
  <c r="DJ119" i="25"/>
  <c r="DN119" i="25"/>
  <c r="DM119" i="25"/>
  <c r="DD119" i="25"/>
  <c r="DO119" i="25"/>
  <c r="DE119" i="25"/>
  <c r="DC119" i="25"/>
  <c r="DK119" i="25"/>
  <c r="PF115" i="25"/>
  <c r="PG115" i="25"/>
  <c r="OA115" i="25"/>
  <c r="OG115" i="25"/>
  <c r="DL115" i="25"/>
  <c r="DJ115" i="25"/>
  <c r="DN115" i="25"/>
  <c r="DM115" i="25"/>
  <c r="DD115" i="25"/>
  <c r="DE115" i="25"/>
  <c r="DO115" i="25"/>
  <c r="DC115" i="25"/>
  <c r="DK115" i="25"/>
  <c r="PF111" i="25"/>
  <c r="PG111" i="25"/>
  <c r="OA111" i="25"/>
  <c r="DL111" i="25"/>
  <c r="DJ111" i="25"/>
  <c r="DN111" i="25"/>
  <c r="DM111" i="25"/>
  <c r="DD111" i="25"/>
  <c r="DE111" i="25"/>
  <c r="OG111" i="25"/>
  <c r="DO111" i="25"/>
  <c r="DC111" i="25"/>
  <c r="DK111" i="25"/>
  <c r="PF107" i="25"/>
  <c r="PG107" i="25"/>
  <c r="OA107" i="25"/>
  <c r="DL107" i="25"/>
  <c r="OG107" i="25"/>
  <c r="DJ107" i="25"/>
  <c r="DN107" i="25"/>
  <c r="DM107" i="25"/>
  <c r="DD107" i="25"/>
  <c r="DK107" i="25"/>
  <c r="DO107" i="25"/>
  <c r="DE107" i="25"/>
  <c r="DC107" i="25"/>
  <c r="PF105" i="25"/>
  <c r="PG105" i="25"/>
  <c r="OG105" i="25"/>
  <c r="OA105" i="25"/>
  <c r="DL105" i="25"/>
  <c r="DJ105" i="25"/>
  <c r="DN105" i="25"/>
  <c r="DK105" i="25"/>
  <c r="DC105" i="25"/>
  <c r="DM105" i="25"/>
  <c r="DD105" i="25"/>
  <c r="DO105" i="25"/>
  <c r="DE105" i="25"/>
  <c r="OA99" i="25"/>
  <c r="OG99" i="25" s="1"/>
  <c r="OA15" i="25"/>
  <c r="OG15" i="25" s="1"/>
  <c r="PF117" i="25"/>
  <c r="PG117" i="25"/>
  <c r="OG117" i="25"/>
  <c r="DL117" i="25"/>
  <c r="DJ117" i="25"/>
  <c r="DN117" i="25"/>
  <c r="DE117" i="25"/>
  <c r="DK117" i="25"/>
  <c r="DC117" i="25"/>
  <c r="DO117" i="25"/>
  <c r="DM117" i="25"/>
  <c r="DD117" i="25"/>
  <c r="OA117" i="25"/>
  <c r="PF113" i="25"/>
  <c r="PG113" i="25"/>
  <c r="OG113" i="25"/>
  <c r="DL113" i="25"/>
  <c r="OA113" i="25"/>
  <c r="DJ113" i="25"/>
  <c r="DN113" i="25"/>
  <c r="DK113" i="25"/>
  <c r="DC113" i="25"/>
  <c r="DO113" i="25"/>
  <c r="DM113" i="25"/>
  <c r="DD113" i="25"/>
  <c r="DE113" i="25"/>
  <c r="PF109" i="25"/>
  <c r="PG109" i="25"/>
  <c r="OG109" i="25"/>
  <c r="DL109" i="25"/>
  <c r="OA109" i="25"/>
  <c r="DJ109" i="25"/>
  <c r="DN109" i="25"/>
  <c r="DC109" i="25"/>
  <c r="DO109" i="25"/>
  <c r="DK109" i="25"/>
  <c r="DM109" i="25"/>
  <c r="DD109" i="25"/>
  <c r="DE109" i="25"/>
  <c r="OA103" i="25"/>
  <c r="OG103" i="25" s="1"/>
  <c r="PE120" i="25"/>
  <c r="PA120" i="25"/>
  <c r="PE116" i="25"/>
  <c r="PA116" i="25"/>
  <c r="PE112" i="25"/>
  <c r="PA112" i="25"/>
  <c r="PE107" i="25"/>
  <c r="PA107" i="25"/>
  <c r="PE103" i="25"/>
  <c r="PA103" i="25"/>
  <c r="PG103" i="25" s="1"/>
  <c r="PE99" i="25"/>
  <c r="PA99" i="25"/>
  <c r="PG99" i="25" s="1"/>
  <c r="PE96" i="25"/>
  <c r="PA96" i="25"/>
  <c r="PG96" i="25" s="1"/>
  <c r="PE92" i="25"/>
  <c r="PA92" i="25"/>
  <c r="PG92" i="25" s="1"/>
  <c r="PE90" i="25"/>
  <c r="PA90" i="25"/>
  <c r="PG90" i="25" s="1"/>
  <c r="PA85" i="25"/>
  <c r="PG85" i="25" s="1"/>
  <c r="PE85" i="25"/>
  <c r="PE79" i="25"/>
  <c r="PA79" i="25"/>
  <c r="PG79" i="25" s="1"/>
  <c r="PE76" i="25"/>
  <c r="PA76" i="25"/>
  <c r="PG76" i="25" s="1"/>
  <c r="PE72" i="25"/>
  <c r="PA72" i="25"/>
  <c r="PG72" i="25" s="1"/>
  <c r="PE69" i="25"/>
  <c r="PA69" i="25"/>
  <c r="PG69" i="25" s="1"/>
  <c r="PE66" i="25"/>
  <c r="PA66" i="25"/>
  <c r="PG66" i="25" s="1"/>
  <c r="PE63" i="25"/>
  <c r="PA63" i="25"/>
  <c r="PG63" i="25" s="1"/>
  <c r="PE60" i="25"/>
  <c r="PA60" i="25"/>
  <c r="PG60" i="25" s="1"/>
  <c r="PE57" i="25"/>
  <c r="PA57" i="25"/>
  <c r="PG57" i="25" s="1"/>
  <c r="PE55" i="25"/>
  <c r="PA55" i="25"/>
  <c r="PG55" i="25" s="1"/>
  <c r="PE52" i="25"/>
  <c r="PA52" i="25"/>
  <c r="PG52" i="25" s="1"/>
  <c r="PE50" i="25"/>
  <c r="PA50" i="25"/>
  <c r="PG50" i="25" s="1"/>
  <c r="PE48" i="25"/>
  <c r="PA48" i="25"/>
  <c r="PG48" i="25" s="1"/>
  <c r="PE45" i="25"/>
  <c r="PA45" i="25"/>
  <c r="PG45" i="25" s="1"/>
  <c r="PE44" i="25"/>
  <c r="PA44" i="25"/>
  <c r="PG44" i="25" s="1"/>
  <c r="PE41" i="25"/>
  <c r="PA41" i="25"/>
  <c r="PG41" i="25" s="1"/>
  <c r="PE39" i="25"/>
  <c r="PA39" i="25"/>
  <c r="PG39" i="25" s="1"/>
  <c r="PE37" i="25"/>
  <c r="PA37" i="25"/>
  <c r="PG37" i="25" s="1"/>
  <c r="PA35" i="25"/>
  <c r="PG35" i="25" s="1"/>
  <c r="PE35" i="25"/>
  <c r="PE33" i="25"/>
  <c r="PA33" i="25"/>
  <c r="PG33" i="25" s="1"/>
  <c r="PE31" i="25"/>
  <c r="PA31" i="25"/>
  <c r="PG31" i="25" s="1"/>
  <c r="PE29" i="25"/>
  <c r="PA29" i="25"/>
  <c r="PG29" i="25" s="1"/>
  <c r="PE26" i="25"/>
  <c r="PA26" i="25"/>
  <c r="PG26" i="25" s="1"/>
  <c r="PE24" i="25"/>
  <c r="PA24" i="25"/>
  <c r="PG24" i="25" s="1"/>
  <c r="PA19" i="25"/>
  <c r="PG19" i="25" s="1"/>
  <c r="PE19" i="25"/>
  <c r="PA118" i="25"/>
  <c r="PE118" i="25"/>
  <c r="PA114" i="25"/>
  <c r="PE114" i="25"/>
  <c r="PA110" i="25"/>
  <c r="PE110" i="25"/>
  <c r="PA106" i="25"/>
  <c r="PE106" i="25"/>
  <c r="PA102" i="25"/>
  <c r="PG102" i="25" s="1"/>
  <c r="PE102" i="25"/>
  <c r="PA98" i="25"/>
  <c r="PG98" i="25" s="1"/>
  <c r="PE98" i="25"/>
  <c r="PE94" i="25"/>
  <c r="PA94" i="25"/>
  <c r="PG94" i="25" s="1"/>
  <c r="PA89" i="25"/>
  <c r="PG89" i="25" s="1"/>
  <c r="PE89" i="25"/>
  <c r="PE84" i="25"/>
  <c r="PA84" i="25"/>
  <c r="PG84" i="25" s="1"/>
  <c r="PE80" i="25"/>
  <c r="PA80" i="25"/>
  <c r="PG80" i="25" s="1"/>
  <c r="PE75" i="25"/>
  <c r="PA75" i="25"/>
  <c r="PG75" i="25" s="1"/>
  <c r="PE71" i="25"/>
  <c r="PA71" i="25"/>
  <c r="PG71" i="25" s="1"/>
  <c r="PA67" i="25"/>
  <c r="PG67" i="25" s="1"/>
  <c r="PE67" i="25"/>
  <c r="PE62" i="25"/>
  <c r="PA62" i="25"/>
  <c r="PG62" i="25" s="1"/>
  <c r="PE58" i="25"/>
  <c r="PA58" i="25"/>
  <c r="PG58" i="25" s="1"/>
  <c r="PE53" i="25"/>
  <c r="PA53" i="25"/>
  <c r="PG53" i="25" s="1"/>
  <c r="PE47" i="25"/>
  <c r="PA47" i="25"/>
  <c r="PG47" i="25" s="1"/>
  <c r="PE28" i="25"/>
  <c r="PA28" i="25"/>
  <c r="PG28" i="25" s="1"/>
  <c r="PA15" i="25"/>
  <c r="PG15" i="25" s="1"/>
  <c r="PE15" i="25"/>
  <c r="PJ15" i="25"/>
  <c r="PE115" i="25"/>
  <c r="PA115" i="25"/>
  <c r="PE111" i="25"/>
  <c r="PA111" i="25"/>
  <c r="PE108" i="25"/>
  <c r="PA108" i="25"/>
  <c r="PE104" i="25"/>
  <c r="PA104" i="25"/>
  <c r="PG104" i="25" s="1"/>
  <c r="PE100" i="25"/>
  <c r="PA100" i="25"/>
  <c r="PG100" i="25" s="1"/>
  <c r="PE95" i="25"/>
  <c r="PA95" i="25"/>
  <c r="PG95" i="25" s="1"/>
  <c r="PE91" i="25"/>
  <c r="PA91" i="25"/>
  <c r="PG91" i="25" s="1"/>
  <c r="PE88" i="25"/>
  <c r="PA88" i="25"/>
  <c r="PG88" i="25" s="1"/>
  <c r="PE86" i="25"/>
  <c r="PA86" i="25"/>
  <c r="PG86" i="25" s="1"/>
  <c r="PE82" i="25"/>
  <c r="PA82" i="25"/>
  <c r="PG82" i="25" s="1"/>
  <c r="PE78" i="25"/>
  <c r="PA78" i="25"/>
  <c r="PG78" i="25" s="1"/>
  <c r="PE74" i="25"/>
  <c r="PA74" i="25"/>
  <c r="PG74" i="25" s="1"/>
  <c r="PE70" i="25"/>
  <c r="PA70" i="25"/>
  <c r="PG70" i="25" s="1"/>
  <c r="PE68" i="25"/>
  <c r="PA68" i="25"/>
  <c r="PG68" i="25" s="1"/>
  <c r="PE65" i="25"/>
  <c r="PA65" i="25"/>
  <c r="PG65" i="25" s="1"/>
  <c r="PE61" i="25"/>
  <c r="PA61" i="25"/>
  <c r="PG61" i="25" s="1"/>
  <c r="PE59" i="25"/>
  <c r="PA59" i="25"/>
  <c r="PG59" i="25" s="1"/>
  <c r="PE56" i="25"/>
  <c r="PA56" i="25"/>
  <c r="PG56" i="25" s="1"/>
  <c r="PE54" i="25"/>
  <c r="PA54" i="25"/>
  <c r="PG54" i="25" s="1"/>
  <c r="PA51" i="25"/>
  <c r="PG51" i="25" s="1"/>
  <c r="PE51" i="25"/>
  <c r="PE49" i="25"/>
  <c r="PA49" i="25"/>
  <c r="PG49" i="25" s="1"/>
  <c r="PE46" i="25"/>
  <c r="PA46" i="25"/>
  <c r="PG46" i="25" s="1"/>
  <c r="PE43" i="25"/>
  <c r="PA43" i="25"/>
  <c r="PG43" i="25" s="1"/>
  <c r="PE42" i="25"/>
  <c r="PA42" i="25"/>
  <c r="PG42" i="25" s="1"/>
  <c r="PE40" i="25"/>
  <c r="PA40" i="25"/>
  <c r="PG40" i="25" s="1"/>
  <c r="PE38" i="25"/>
  <c r="PA38" i="25"/>
  <c r="PG38" i="25" s="1"/>
  <c r="PE36" i="25"/>
  <c r="PA36" i="25"/>
  <c r="PG36" i="25" s="1"/>
  <c r="PE34" i="25"/>
  <c r="PA34" i="25"/>
  <c r="PG34" i="25" s="1"/>
  <c r="PE32" i="25"/>
  <c r="PA32" i="25"/>
  <c r="PG32" i="25" s="1"/>
  <c r="PE30" i="25"/>
  <c r="PA30" i="25"/>
  <c r="PG30" i="25" s="1"/>
  <c r="PE27" i="25"/>
  <c r="PA27" i="25"/>
  <c r="PG27" i="25" s="1"/>
  <c r="PE25" i="25"/>
  <c r="PA25" i="25"/>
  <c r="PG25" i="25" s="1"/>
  <c r="PE23" i="25"/>
  <c r="PA23" i="25"/>
  <c r="PG23" i="25" s="1"/>
  <c r="PE22" i="25"/>
  <c r="PA22" i="25"/>
  <c r="PG22" i="25" s="1"/>
  <c r="PE21" i="25"/>
  <c r="PA21" i="25"/>
  <c r="PG21" i="25" s="1"/>
  <c r="PE20" i="25"/>
  <c r="PA20" i="25"/>
  <c r="PG20" i="25" s="1"/>
  <c r="PE18" i="25"/>
  <c r="PA18" i="25"/>
  <c r="PG18" i="25" s="1"/>
  <c r="PE17" i="25"/>
  <c r="PA17" i="25"/>
  <c r="PG17" i="25" s="1"/>
  <c r="PE16" i="25"/>
  <c r="PA16" i="25"/>
  <c r="PG16" i="25" s="1"/>
  <c r="PE119" i="25"/>
  <c r="PA119" i="25"/>
  <c r="PA117" i="25"/>
  <c r="PE117" i="25"/>
  <c r="PA113" i="25"/>
  <c r="PE113" i="25"/>
  <c r="PA109" i="25"/>
  <c r="PE109" i="25"/>
  <c r="PA105" i="25"/>
  <c r="PE105" i="25"/>
  <c r="PA101" i="25"/>
  <c r="PG101" i="25" s="1"/>
  <c r="PE101" i="25"/>
  <c r="PA97" i="25"/>
  <c r="PG97" i="25" s="1"/>
  <c r="PE97" i="25"/>
  <c r="PA93" i="25"/>
  <c r="PG93" i="25" s="1"/>
  <c r="PE93" i="25"/>
  <c r="PE87" i="25"/>
  <c r="PA87" i="25"/>
  <c r="PG87" i="25" s="1"/>
  <c r="PE83" i="25"/>
  <c r="PA83" i="25"/>
  <c r="PG83" i="25" s="1"/>
  <c r="PA81" i="25"/>
  <c r="PG81" i="25" s="1"/>
  <c r="PE81" i="25"/>
  <c r="PA77" i="25"/>
  <c r="PG77" i="25" s="1"/>
  <c r="PE77" i="25"/>
  <c r="PA73" i="25"/>
  <c r="PG73" i="25" s="1"/>
  <c r="PE73" i="25"/>
  <c r="PE64" i="25"/>
  <c r="PA64" i="25"/>
  <c r="PG64" i="25" s="1"/>
  <c r="PB118" i="25"/>
  <c r="PD118" i="25"/>
  <c r="PB114" i="25"/>
  <c r="PD114" i="25"/>
  <c r="PB110" i="25"/>
  <c r="PD110" i="25"/>
  <c r="PB106" i="25"/>
  <c r="PD106" i="25"/>
  <c r="PB101" i="25"/>
  <c r="PB95" i="25"/>
  <c r="PD120" i="25"/>
  <c r="PB120" i="25"/>
  <c r="PD115" i="25"/>
  <c r="PB115" i="25"/>
  <c r="PD111" i="25"/>
  <c r="PB111" i="25"/>
  <c r="PD107" i="25"/>
  <c r="PB107" i="25"/>
  <c r="PB103" i="25"/>
  <c r="PB99" i="25"/>
  <c r="PB97" i="25"/>
  <c r="PB96" i="25"/>
  <c r="PB93" i="25"/>
  <c r="PB91" i="25"/>
  <c r="PB90" i="25"/>
  <c r="PB89" i="25"/>
  <c r="PB88" i="25"/>
  <c r="PB87" i="25"/>
  <c r="PB86" i="25"/>
  <c r="PB85" i="25"/>
  <c r="PB84" i="25"/>
  <c r="PB83" i="25"/>
  <c r="PB82" i="25"/>
  <c r="PB81" i="25"/>
  <c r="PB80" i="25"/>
  <c r="PB79" i="25"/>
  <c r="PB78" i="25"/>
  <c r="PB77" i="25"/>
  <c r="PB76" i="25"/>
  <c r="PB75" i="25"/>
  <c r="PB74" i="25"/>
  <c r="PB73" i="25"/>
  <c r="PB72" i="25"/>
  <c r="PB71" i="25"/>
  <c r="PB70" i="25"/>
  <c r="PB69" i="25"/>
  <c r="PB68" i="25"/>
  <c r="PB67" i="25"/>
  <c r="PB66" i="25"/>
  <c r="PB65" i="25"/>
  <c r="PB64" i="25"/>
  <c r="PB63" i="25"/>
  <c r="PB62" i="25"/>
  <c r="PB61" i="25"/>
  <c r="PB60" i="25"/>
  <c r="PB59" i="25"/>
  <c r="PB58" i="25"/>
  <c r="PB57" i="25"/>
  <c r="PB56" i="25"/>
  <c r="PB55" i="25"/>
  <c r="PB54" i="25"/>
  <c r="PB53" i="25"/>
  <c r="PB52" i="25"/>
  <c r="PB51" i="25"/>
  <c r="PB50" i="25"/>
  <c r="PB49" i="25"/>
  <c r="PC49" i="25" s="1"/>
  <c r="PH49" i="25" s="1"/>
  <c r="PB48" i="25"/>
  <c r="PC48" i="25" s="1"/>
  <c r="PB47" i="25"/>
  <c r="PC47" i="25" s="1"/>
  <c r="PH47" i="25" s="1"/>
  <c r="PB46" i="25"/>
  <c r="PC46" i="25" s="1"/>
  <c r="PH46" i="25" s="1"/>
  <c r="PB45" i="25"/>
  <c r="PC45" i="25" s="1"/>
  <c r="PB44" i="25"/>
  <c r="PC44" i="25" s="1"/>
  <c r="PH44" i="25" s="1"/>
  <c r="PB43" i="25"/>
  <c r="PC43" i="25" s="1"/>
  <c r="PB42" i="25"/>
  <c r="PC42" i="25" s="1"/>
  <c r="PD42" i="25" s="1"/>
  <c r="PB41" i="25"/>
  <c r="PC41" i="25" s="1"/>
  <c r="PB40" i="25"/>
  <c r="PC40" i="25" s="1"/>
  <c r="PH40" i="25" s="1"/>
  <c r="PB39" i="25"/>
  <c r="PC39" i="25" s="1"/>
  <c r="PB38" i="25"/>
  <c r="PC38" i="25" s="1"/>
  <c r="PH38" i="25" s="1"/>
  <c r="PB37" i="25"/>
  <c r="PC37" i="25" s="1"/>
  <c r="PH37" i="25" s="1"/>
  <c r="PB36" i="25"/>
  <c r="PC36" i="25" s="1"/>
  <c r="PB35" i="25"/>
  <c r="PC35" i="25" s="1"/>
  <c r="PD35" i="25" s="1"/>
  <c r="PB34" i="25"/>
  <c r="PC34" i="25" s="1"/>
  <c r="PD34" i="25" s="1"/>
  <c r="PB33" i="25"/>
  <c r="PC33" i="25" s="1"/>
  <c r="PB32" i="25"/>
  <c r="PC32" i="25" s="1"/>
  <c r="PB31" i="25"/>
  <c r="PC31" i="25" s="1"/>
  <c r="PH31" i="25" s="1"/>
  <c r="PB30" i="25"/>
  <c r="PC30" i="25" s="1"/>
  <c r="PH30" i="25" s="1"/>
  <c r="PB29" i="25"/>
  <c r="PC29" i="25" s="1"/>
  <c r="PF29" i="25" s="1"/>
  <c r="PB28" i="25"/>
  <c r="PC28" i="25" s="1"/>
  <c r="PF28" i="25" s="1"/>
  <c r="PB27" i="25"/>
  <c r="PC27" i="25" s="1"/>
  <c r="PH27" i="25" s="1"/>
  <c r="PB26" i="25"/>
  <c r="PC26" i="25" s="1"/>
  <c r="PH26" i="25" s="1"/>
  <c r="PB25" i="25"/>
  <c r="PC25" i="25" s="1"/>
  <c r="PF25" i="25" s="1"/>
  <c r="PB24" i="25"/>
  <c r="PC24" i="25" s="1"/>
  <c r="PH24" i="25" s="1"/>
  <c r="PB23" i="25"/>
  <c r="PC23" i="25" s="1"/>
  <c r="PH23" i="25" s="1"/>
  <c r="PB22" i="25"/>
  <c r="PC22" i="25" s="1"/>
  <c r="PH22" i="25" s="1"/>
  <c r="PB21" i="25"/>
  <c r="PC21" i="25" s="1"/>
  <c r="PD21" i="25" s="1"/>
  <c r="PB20" i="25"/>
  <c r="PC20" i="25" s="1"/>
  <c r="PB19" i="25"/>
  <c r="PC19" i="25" s="1"/>
  <c r="PB18" i="25"/>
  <c r="PC18" i="25" s="1"/>
  <c r="PB17" i="25"/>
  <c r="PC17" i="25" s="1"/>
  <c r="PB16" i="25"/>
  <c r="PC16" i="25" s="1"/>
  <c r="PD119" i="25"/>
  <c r="PB119" i="25"/>
  <c r="PD116" i="25"/>
  <c r="PB116" i="25"/>
  <c r="PD112" i="25"/>
  <c r="PB112" i="25"/>
  <c r="PD108" i="25"/>
  <c r="PB108" i="25"/>
  <c r="PB104" i="25"/>
  <c r="PB102" i="25"/>
  <c r="PB98" i="25"/>
  <c r="PB92" i="25"/>
  <c r="PB15" i="25"/>
  <c r="PC15" i="25" s="1"/>
  <c r="PB117" i="25"/>
  <c r="PD117" i="25"/>
  <c r="PB113" i="25"/>
  <c r="PD113" i="25"/>
  <c r="PB109" i="25"/>
  <c r="PD109" i="25"/>
  <c r="PB105" i="25"/>
  <c r="PD105" i="25"/>
  <c r="PB100" i="25"/>
  <c r="PB94" i="25"/>
  <c r="OB119" i="25"/>
  <c r="OD119" i="25"/>
  <c r="NZ119" i="25"/>
  <c r="OF119" i="25"/>
  <c r="OB116" i="25"/>
  <c r="OF116" i="25"/>
  <c r="OD116" i="25"/>
  <c r="NZ116" i="25"/>
  <c r="OB113" i="25"/>
  <c r="NZ113" i="25"/>
  <c r="OD113" i="25"/>
  <c r="OF113" i="25"/>
  <c r="OB110" i="25"/>
  <c r="OF110" i="25"/>
  <c r="NZ110" i="25"/>
  <c r="OD110" i="25"/>
  <c r="OB107" i="25"/>
  <c r="OD107" i="25"/>
  <c r="OF107" i="25"/>
  <c r="NZ107" i="25"/>
  <c r="OB104" i="25"/>
  <c r="NZ104" i="25"/>
  <c r="OB101" i="25"/>
  <c r="NZ101" i="25"/>
  <c r="OB99" i="25"/>
  <c r="OF99" i="25"/>
  <c r="NZ99" i="25"/>
  <c r="OB97" i="25"/>
  <c r="NZ97" i="25"/>
  <c r="OB95" i="25"/>
  <c r="NZ95" i="25"/>
  <c r="OB94" i="25"/>
  <c r="NZ94" i="25"/>
  <c r="OB92" i="25"/>
  <c r="NZ92" i="25"/>
  <c r="OB91" i="25"/>
  <c r="NZ91" i="25"/>
  <c r="OB90" i="25"/>
  <c r="NZ90" i="25"/>
  <c r="OB89" i="25"/>
  <c r="NZ89" i="25"/>
  <c r="OB88" i="25"/>
  <c r="NZ88" i="25"/>
  <c r="OB87" i="25"/>
  <c r="NZ87" i="25"/>
  <c r="OB86" i="25"/>
  <c r="NZ86" i="25"/>
  <c r="OB85" i="25"/>
  <c r="NZ85" i="25"/>
  <c r="OB84" i="25"/>
  <c r="NZ84" i="25"/>
  <c r="OB83" i="25"/>
  <c r="NZ83" i="25"/>
  <c r="OB82" i="25"/>
  <c r="NZ82" i="25"/>
  <c r="OB81" i="25"/>
  <c r="NZ81" i="25"/>
  <c r="OB80" i="25"/>
  <c r="NZ80" i="25"/>
  <c r="OB79" i="25"/>
  <c r="NZ79" i="25"/>
  <c r="OB78" i="25"/>
  <c r="NZ78" i="25"/>
  <c r="OB77" i="25"/>
  <c r="NZ77" i="25"/>
  <c r="OB76" i="25"/>
  <c r="NZ76" i="25"/>
  <c r="OB75" i="25"/>
  <c r="OD75" i="25"/>
  <c r="NZ75" i="25"/>
  <c r="OB74" i="25"/>
  <c r="OD74" i="25"/>
  <c r="NZ74" i="25"/>
  <c r="OB73" i="25"/>
  <c r="NZ73" i="25"/>
  <c r="OB72" i="25"/>
  <c r="NZ72" i="25"/>
  <c r="OB71" i="25"/>
  <c r="NZ71" i="25"/>
  <c r="OB70" i="25"/>
  <c r="NZ70" i="25"/>
  <c r="OB69" i="25"/>
  <c r="NZ69" i="25"/>
  <c r="OB68" i="25"/>
  <c r="NZ68" i="25"/>
  <c r="OB67" i="25"/>
  <c r="NZ67" i="25"/>
  <c r="OB66" i="25"/>
  <c r="NZ66" i="25"/>
  <c r="OB65" i="25"/>
  <c r="NZ65" i="25"/>
  <c r="OB64" i="25"/>
  <c r="NZ64" i="25"/>
  <c r="OB63" i="25"/>
  <c r="NZ63" i="25"/>
  <c r="OB62" i="25"/>
  <c r="NZ62" i="25"/>
  <c r="OB61" i="25"/>
  <c r="NZ61" i="25"/>
  <c r="OB60" i="25"/>
  <c r="NZ60" i="25"/>
  <c r="OB59" i="25"/>
  <c r="NZ59" i="25"/>
  <c r="OB58" i="25"/>
  <c r="NZ58" i="25"/>
  <c r="OB57" i="25"/>
  <c r="NZ57" i="25"/>
  <c r="OB56" i="25"/>
  <c r="NZ56" i="25"/>
  <c r="OB55" i="25"/>
  <c r="NZ55" i="25"/>
  <c r="OB54" i="25"/>
  <c r="NZ54" i="25"/>
  <c r="OB53" i="25"/>
  <c r="NZ53" i="25"/>
  <c r="OB52" i="25"/>
  <c r="NZ52" i="25"/>
  <c r="OB51" i="25"/>
  <c r="NZ51" i="25"/>
  <c r="OB50" i="25"/>
  <c r="NZ50" i="25"/>
  <c r="OB49" i="25"/>
  <c r="OC49" i="25" s="1"/>
  <c r="OH49" i="25" s="1"/>
  <c r="NZ49" i="25"/>
  <c r="OB48" i="25"/>
  <c r="OC48" i="25" s="1"/>
  <c r="OH48" i="25" s="1"/>
  <c r="NZ48" i="25"/>
  <c r="OB47" i="25"/>
  <c r="OC47" i="25" s="1"/>
  <c r="NZ47" i="25"/>
  <c r="OB46" i="25"/>
  <c r="OC46" i="25" s="1"/>
  <c r="OH46" i="25" s="1"/>
  <c r="NZ46" i="25"/>
  <c r="OB45" i="25"/>
  <c r="OC45" i="25" s="1"/>
  <c r="NZ45" i="25"/>
  <c r="OB44" i="25"/>
  <c r="OC44" i="25" s="1"/>
  <c r="OD44" i="25" s="1"/>
  <c r="NZ44" i="25"/>
  <c r="OB43" i="25"/>
  <c r="OC43" i="25" s="1"/>
  <c r="OH43" i="25" s="1"/>
  <c r="NZ43" i="25"/>
  <c r="OB42" i="25"/>
  <c r="OC42" i="25" s="1"/>
  <c r="OF42" i="25" s="1"/>
  <c r="NZ42" i="25"/>
  <c r="OB41" i="25"/>
  <c r="OC41" i="25" s="1"/>
  <c r="OH41" i="25" s="1"/>
  <c r="NZ41" i="25"/>
  <c r="OB40" i="25"/>
  <c r="OC40" i="25" s="1"/>
  <c r="OD40" i="25" s="1"/>
  <c r="NZ40" i="25"/>
  <c r="OB39" i="25"/>
  <c r="OC39" i="25" s="1"/>
  <c r="OF39" i="25" s="1"/>
  <c r="NZ39" i="25"/>
  <c r="OB38" i="25"/>
  <c r="OC38" i="25" s="1"/>
  <c r="OF38" i="25" s="1"/>
  <c r="NZ38" i="25"/>
  <c r="OB37" i="25"/>
  <c r="OC37" i="25" s="1"/>
  <c r="OH37" i="25" s="1"/>
  <c r="NZ37" i="25"/>
  <c r="OB36" i="25"/>
  <c r="OC36" i="25" s="1"/>
  <c r="OD36" i="25" s="1"/>
  <c r="NZ36" i="25"/>
  <c r="OB35" i="25"/>
  <c r="OC35" i="25" s="1"/>
  <c r="OF35" i="25" s="1"/>
  <c r="NZ35" i="25"/>
  <c r="OB34" i="25"/>
  <c r="OC34" i="25" s="1"/>
  <c r="OD34" i="25" s="1"/>
  <c r="NZ34" i="25"/>
  <c r="OB33" i="25"/>
  <c r="OC33" i="25" s="1"/>
  <c r="OH33" i="25" s="1"/>
  <c r="NZ33" i="25"/>
  <c r="OB32" i="25"/>
  <c r="OC32" i="25" s="1"/>
  <c r="OD32" i="25" s="1"/>
  <c r="NZ32" i="25"/>
  <c r="OB31" i="25"/>
  <c r="OC31" i="25" s="1"/>
  <c r="OD31" i="25" s="1"/>
  <c r="NZ31" i="25"/>
  <c r="OB30" i="25"/>
  <c r="OC30" i="25" s="1"/>
  <c r="NZ30" i="25"/>
  <c r="OB29" i="25"/>
  <c r="OC29" i="25" s="1"/>
  <c r="OH29" i="25" s="1"/>
  <c r="NZ29" i="25"/>
  <c r="OB28" i="25"/>
  <c r="OC28" i="25" s="1"/>
  <c r="OD28" i="25" s="1"/>
  <c r="NZ28" i="25"/>
  <c r="OB27" i="25"/>
  <c r="OC27" i="25" s="1"/>
  <c r="OF27" i="25" s="1"/>
  <c r="NZ27" i="25"/>
  <c r="OB26" i="25"/>
  <c r="OC26" i="25" s="1"/>
  <c r="OH26" i="25" s="1"/>
  <c r="NZ26" i="25"/>
  <c r="OB25" i="25"/>
  <c r="OC25" i="25" s="1"/>
  <c r="NZ25" i="25"/>
  <c r="OB24" i="25"/>
  <c r="OC24" i="25" s="1"/>
  <c r="OD24" i="25" s="1"/>
  <c r="NZ24" i="25"/>
  <c r="OB23" i="25"/>
  <c r="OC23" i="25" s="1"/>
  <c r="OF23" i="25" s="1"/>
  <c r="NZ23" i="25"/>
  <c r="OB22" i="25"/>
  <c r="OC22" i="25" s="1"/>
  <c r="NZ22" i="25"/>
  <c r="OB21" i="25"/>
  <c r="OC21" i="25" s="1"/>
  <c r="OH21" i="25" s="1"/>
  <c r="NZ21" i="25"/>
  <c r="OB20" i="25"/>
  <c r="OC20" i="25" s="1"/>
  <c r="NZ20" i="25"/>
  <c r="OB19" i="25"/>
  <c r="OC19" i="25" s="1"/>
  <c r="NZ19" i="25"/>
  <c r="OB18" i="25"/>
  <c r="OC18" i="25" s="1"/>
  <c r="NZ18" i="25"/>
  <c r="OB17" i="25"/>
  <c r="OC17" i="25" s="1"/>
  <c r="NZ17" i="25"/>
  <c r="OB16" i="25"/>
  <c r="NZ16" i="25"/>
  <c r="NZ15" i="25"/>
  <c r="OB15" i="25"/>
  <c r="OB118" i="25"/>
  <c r="OD118" i="25"/>
  <c r="OF118" i="25"/>
  <c r="NZ118" i="25"/>
  <c r="OB115" i="25"/>
  <c r="OD115" i="25"/>
  <c r="NZ115" i="25"/>
  <c r="OF115" i="25"/>
  <c r="OB112" i="25"/>
  <c r="OF112" i="25"/>
  <c r="OD112" i="25"/>
  <c r="NZ112" i="25"/>
  <c r="OB109" i="25"/>
  <c r="NZ109" i="25"/>
  <c r="OD109" i="25"/>
  <c r="OF109" i="25"/>
  <c r="OB106" i="25"/>
  <c r="OF106" i="25"/>
  <c r="OD106" i="25"/>
  <c r="NZ106" i="25"/>
  <c r="OB102" i="25"/>
  <c r="NZ102" i="25"/>
  <c r="OB98" i="25"/>
  <c r="NZ98" i="25"/>
  <c r="OB93" i="25"/>
  <c r="NZ93" i="25"/>
  <c r="OB120" i="25"/>
  <c r="OF120" i="25"/>
  <c r="OD120" i="25"/>
  <c r="NZ120" i="25"/>
  <c r="OB117" i="25"/>
  <c r="NZ117" i="25"/>
  <c r="OF117" i="25"/>
  <c r="OD117" i="25"/>
  <c r="OB114" i="25"/>
  <c r="NZ114" i="25"/>
  <c r="OD114" i="25"/>
  <c r="OF114" i="25"/>
  <c r="OB111" i="25"/>
  <c r="OD111" i="25"/>
  <c r="OF111" i="25"/>
  <c r="NZ111" i="25"/>
  <c r="OB108" i="25"/>
  <c r="OF108" i="25"/>
  <c r="OD108" i="25"/>
  <c r="NZ108" i="25"/>
  <c r="OB105" i="25"/>
  <c r="NZ105" i="25"/>
  <c r="OD105" i="25"/>
  <c r="OF105" i="25"/>
  <c r="OB103" i="25"/>
  <c r="NZ103" i="25"/>
  <c r="OB100" i="25"/>
  <c r="OD100" i="25"/>
  <c r="NZ100" i="25"/>
  <c r="OB96" i="25"/>
  <c r="NZ96" i="25"/>
  <c r="MI119" i="25"/>
  <c r="LI119" i="25"/>
  <c r="NI119" i="25"/>
  <c r="KI119" i="25"/>
  <c r="JI119" i="25"/>
  <c r="NI116" i="25"/>
  <c r="MI116" i="25"/>
  <c r="LI116" i="25"/>
  <c r="KI116" i="25"/>
  <c r="JI116" i="25"/>
  <c r="NI113" i="25"/>
  <c r="MI113" i="25"/>
  <c r="LI113" i="25"/>
  <c r="KI113" i="25"/>
  <c r="JI113" i="25"/>
  <c r="LI110" i="25"/>
  <c r="NI110" i="25"/>
  <c r="MI110" i="25"/>
  <c r="JI110" i="25"/>
  <c r="KI110" i="25"/>
  <c r="NI108" i="25"/>
  <c r="MI108" i="25"/>
  <c r="LI108" i="25"/>
  <c r="KI108" i="25"/>
  <c r="JI108" i="25"/>
  <c r="NI105" i="25"/>
  <c r="MI105" i="25"/>
  <c r="LI105" i="25"/>
  <c r="KI105" i="25"/>
  <c r="JI105" i="25"/>
  <c r="NI120" i="25"/>
  <c r="MI120" i="25"/>
  <c r="LI120" i="25"/>
  <c r="KI120" i="25"/>
  <c r="JI120" i="25"/>
  <c r="NI117" i="25"/>
  <c r="MI117" i="25"/>
  <c r="LI117" i="25"/>
  <c r="KI117" i="25"/>
  <c r="JI117" i="25"/>
  <c r="MI115" i="25"/>
  <c r="LI115" i="25"/>
  <c r="NI115" i="25"/>
  <c r="KI115" i="25"/>
  <c r="JI115" i="25"/>
  <c r="NI112" i="25"/>
  <c r="MI112" i="25"/>
  <c r="LI112" i="25"/>
  <c r="KI112" i="25"/>
  <c r="JI112" i="25"/>
  <c r="NI109" i="25"/>
  <c r="MI109" i="25"/>
  <c r="LI109" i="25"/>
  <c r="KI109" i="25"/>
  <c r="JI109" i="25"/>
  <c r="LI106" i="25"/>
  <c r="NI106" i="25"/>
  <c r="MI106" i="25"/>
  <c r="JI106" i="25"/>
  <c r="KI106" i="25"/>
  <c r="LI118" i="25"/>
  <c r="NI118" i="25"/>
  <c r="MI118" i="25"/>
  <c r="JI118" i="25"/>
  <c r="KI118" i="25"/>
  <c r="LI114" i="25"/>
  <c r="NI114" i="25"/>
  <c r="MI114" i="25"/>
  <c r="JI114" i="25"/>
  <c r="KI114" i="25"/>
  <c r="MI111" i="25"/>
  <c r="LI111" i="25"/>
  <c r="NI111" i="25"/>
  <c r="KI111" i="25"/>
  <c r="JI111" i="25"/>
  <c r="MI107" i="25"/>
  <c r="LI107" i="25"/>
  <c r="NI107" i="25"/>
  <c r="KI107" i="25"/>
  <c r="JI107" i="25"/>
  <c r="DB120" i="25"/>
  <c r="AX120" i="19" s="1"/>
  <c r="DF120" i="25"/>
  <c r="DH120" i="25"/>
  <c r="DG120" i="25"/>
  <c r="DI120" i="25"/>
  <c r="DB117" i="25"/>
  <c r="AX117" i="19" s="1"/>
  <c r="DF117" i="25"/>
  <c r="DH117" i="25"/>
  <c r="DG117" i="25"/>
  <c r="DI117" i="25"/>
  <c r="DB115" i="25"/>
  <c r="AX115" i="19" s="1"/>
  <c r="DF115" i="25"/>
  <c r="DH115" i="25"/>
  <c r="DG115" i="25"/>
  <c r="DI115" i="25"/>
  <c r="DB113" i="25"/>
  <c r="AX113" i="19" s="1"/>
  <c r="DF113" i="25"/>
  <c r="DG113" i="25"/>
  <c r="DH113" i="25"/>
  <c r="DI113" i="25"/>
  <c r="DB111" i="25"/>
  <c r="AX111" i="19" s="1"/>
  <c r="DF111" i="25"/>
  <c r="DG111" i="25"/>
  <c r="DH111" i="25"/>
  <c r="DI111" i="25"/>
  <c r="DB109" i="25"/>
  <c r="AX109" i="19" s="1"/>
  <c r="DF109" i="25"/>
  <c r="DG109" i="25"/>
  <c r="DH109" i="25"/>
  <c r="DI109" i="25"/>
  <c r="DB107" i="25"/>
  <c r="AX107" i="19" s="1"/>
  <c r="DF107" i="25"/>
  <c r="DG107" i="25"/>
  <c r="DH107" i="25"/>
  <c r="DI107" i="25"/>
  <c r="DB105" i="25"/>
  <c r="AX105" i="19" s="1"/>
  <c r="DF105" i="25"/>
  <c r="DH105" i="25"/>
  <c r="DG105" i="25"/>
  <c r="DI105" i="25"/>
  <c r="DB119" i="25"/>
  <c r="AX119" i="19" s="1"/>
  <c r="DF119" i="25"/>
  <c r="DH119" i="25"/>
  <c r="DG119" i="25"/>
  <c r="DI119" i="25"/>
  <c r="DB118" i="25"/>
  <c r="AX118" i="19" s="1"/>
  <c r="DF118" i="25"/>
  <c r="DH118" i="25"/>
  <c r="DG118" i="25"/>
  <c r="DI118" i="25"/>
  <c r="DB116" i="25"/>
  <c r="AX116" i="19" s="1"/>
  <c r="DF116" i="25"/>
  <c r="DH116" i="25"/>
  <c r="DG116" i="25"/>
  <c r="DI116" i="25"/>
  <c r="DB114" i="25"/>
  <c r="AX114" i="19" s="1"/>
  <c r="DF114" i="25"/>
  <c r="DG114" i="25"/>
  <c r="DH114" i="25"/>
  <c r="DI114" i="25"/>
  <c r="DB112" i="25"/>
  <c r="AX112" i="19" s="1"/>
  <c r="DF112" i="25"/>
  <c r="DG112" i="25"/>
  <c r="DH112" i="25"/>
  <c r="DI112" i="25"/>
  <c r="DB110" i="25"/>
  <c r="AX110" i="19" s="1"/>
  <c r="DF110" i="25"/>
  <c r="DG110" i="25"/>
  <c r="DH110" i="25"/>
  <c r="DI110" i="25"/>
  <c r="DB108" i="25"/>
  <c r="AX108" i="19" s="1"/>
  <c r="DF108" i="25"/>
  <c r="DG108" i="25"/>
  <c r="DH108" i="25"/>
  <c r="DI108" i="25"/>
  <c r="DB106" i="25"/>
  <c r="AX106" i="19" s="1"/>
  <c r="DF106" i="25"/>
  <c r="DG106" i="25"/>
  <c r="DH106" i="25"/>
  <c r="DI106" i="25"/>
  <c r="HA119" i="25"/>
  <c r="HB119" i="25"/>
  <c r="HA116" i="25"/>
  <c r="HB116" i="25"/>
  <c r="HB113" i="25"/>
  <c r="HA113" i="25"/>
  <c r="HB110" i="25"/>
  <c r="HA110" i="25"/>
  <c r="HA107" i="25"/>
  <c r="HB107" i="25"/>
  <c r="HB103" i="25"/>
  <c r="HB101" i="25"/>
  <c r="HB98" i="25"/>
  <c r="HB96" i="25"/>
  <c r="HB95" i="25"/>
  <c r="HB93" i="25"/>
  <c r="HB92" i="25"/>
  <c r="HB91" i="25"/>
  <c r="HB90" i="25"/>
  <c r="HB89" i="25"/>
  <c r="HB88" i="25"/>
  <c r="HB87" i="25"/>
  <c r="HB86" i="25"/>
  <c r="HB85" i="25"/>
  <c r="HB84" i="25"/>
  <c r="HB83" i="25"/>
  <c r="HB82" i="25"/>
  <c r="HB81" i="25"/>
  <c r="HB80" i="25"/>
  <c r="HB79" i="25"/>
  <c r="HB78" i="25"/>
  <c r="HB77" i="25"/>
  <c r="HB76" i="25"/>
  <c r="HB75" i="25"/>
  <c r="HB74" i="25"/>
  <c r="HB73" i="25"/>
  <c r="HB72" i="25"/>
  <c r="HB71" i="25"/>
  <c r="HB70" i="25"/>
  <c r="HB69" i="25"/>
  <c r="HB68" i="25"/>
  <c r="HB67" i="25"/>
  <c r="HB66" i="25"/>
  <c r="HB65" i="25"/>
  <c r="HB64" i="25"/>
  <c r="HB63" i="25"/>
  <c r="HB62" i="25"/>
  <c r="HB61" i="25"/>
  <c r="HB60" i="25"/>
  <c r="HB59" i="25"/>
  <c r="HB58" i="25"/>
  <c r="HB57" i="25"/>
  <c r="HB56" i="25"/>
  <c r="HB55" i="25"/>
  <c r="HB54" i="25"/>
  <c r="HB53" i="25"/>
  <c r="HB52" i="25"/>
  <c r="HB51" i="25"/>
  <c r="HB50" i="25"/>
  <c r="HB49" i="25"/>
  <c r="HC49" i="25" s="1"/>
  <c r="HD49" i="25" s="1"/>
  <c r="BH49" i="25" s="1"/>
  <c r="HB48" i="25"/>
  <c r="HC48" i="25" s="1"/>
  <c r="HH48" i="25" s="1"/>
  <c r="HB47" i="25"/>
  <c r="HC47" i="25" s="1"/>
  <c r="HH47" i="25" s="1"/>
  <c r="HB46" i="25"/>
  <c r="HC46" i="25" s="1"/>
  <c r="HH46" i="25" s="1"/>
  <c r="HB45" i="25"/>
  <c r="HC45" i="25" s="1"/>
  <c r="HH45" i="25" s="1"/>
  <c r="HB44" i="25"/>
  <c r="HC44" i="25" s="1"/>
  <c r="HE44" i="25" s="1"/>
  <c r="HB43" i="25"/>
  <c r="HC43" i="25" s="1"/>
  <c r="HH43" i="25" s="1"/>
  <c r="HB42" i="25"/>
  <c r="HC42" i="25" s="1"/>
  <c r="HD42" i="25" s="1"/>
  <c r="BH42" i="25" s="1"/>
  <c r="HB41" i="25"/>
  <c r="HC41" i="25" s="1"/>
  <c r="HB40" i="25"/>
  <c r="HC40" i="25" s="1"/>
  <c r="HJ40" i="25" s="1"/>
  <c r="HB39" i="25"/>
  <c r="HC39" i="25" s="1"/>
  <c r="HI39" i="25" s="1"/>
  <c r="HP39" i="25" s="1"/>
  <c r="HB38" i="25"/>
  <c r="HC38" i="25" s="1"/>
  <c r="HE38" i="25" s="1"/>
  <c r="HB37" i="25"/>
  <c r="HC37" i="25" s="1"/>
  <c r="HH37" i="25" s="1"/>
  <c r="HB36" i="25"/>
  <c r="HC36" i="25" s="1"/>
  <c r="HH36" i="25" s="1"/>
  <c r="HB35" i="25"/>
  <c r="HC35" i="25" s="1"/>
  <c r="HH35" i="25" s="1"/>
  <c r="HB34" i="25"/>
  <c r="HC34" i="25" s="1"/>
  <c r="HH34" i="25" s="1"/>
  <c r="HB33" i="25"/>
  <c r="HC33" i="25" s="1"/>
  <c r="HJ33" i="25" s="1"/>
  <c r="HB32" i="25"/>
  <c r="HC32" i="25" s="1"/>
  <c r="HE32" i="25" s="1"/>
  <c r="HB31" i="25"/>
  <c r="HC31" i="25" s="1"/>
  <c r="HB30" i="25"/>
  <c r="HC30" i="25" s="1"/>
  <c r="HE30" i="25" s="1"/>
  <c r="HB29" i="25"/>
  <c r="HC29" i="25" s="1"/>
  <c r="HH29" i="25" s="1"/>
  <c r="HB28" i="25"/>
  <c r="HC28" i="25" s="1"/>
  <c r="HD28" i="25" s="1"/>
  <c r="BH28" i="25" s="1"/>
  <c r="HB27" i="25"/>
  <c r="HC27" i="25" s="1"/>
  <c r="HD27" i="25" s="1"/>
  <c r="BH27" i="25" s="1"/>
  <c r="HB26" i="25"/>
  <c r="HC26" i="25" s="1"/>
  <c r="HJ26" i="25" s="1"/>
  <c r="HB25" i="25"/>
  <c r="HC25" i="25" s="1"/>
  <c r="HI25" i="25" s="1"/>
  <c r="HP25" i="25" s="1"/>
  <c r="HB24" i="25"/>
  <c r="HC24" i="25" s="1"/>
  <c r="HE24" i="25" s="1"/>
  <c r="HB23" i="25"/>
  <c r="HC23" i="25" s="1"/>
  <c r="HH23" i="25" s="1"/>
  <c r="HB22" i="25"/>
  <c r="HC22" i="25" s="1"/>
  <c r="HD22" i="25" s="1"/>
  <c r="BH22" i="25" s="1"/>
  <c r="HB21" i="25"/>
  <c r="HC21" i="25" s="1"/>
  <c r="HH21" i="25" s="1"/>
  <c r="HB20" i="25"/>
  <c r="HC20" i="25" s="1"/>
  <c r="HI20" i="25" s="1"/>
  <c r="HB19" i="25"/>
  <c r="HC19" i="25" s="1"/>
  <c r="HB18" i="25"/>
  <c r="HC18" i="25" s="1"/>
  <c r="HD18" i="25" s="1"/>
  <c r="BH18" i="25" s="1"/>
  <c r="HB17" i="25"/>
  <c r="HC17" i="25" s="1"/>
  <c r="HJ17" i="25" s="1"/>
  <c r="HB16" i="25"/>
  <c r="HC16" i="25" s="1"/>
  <c r="HD16" i="25" s="1"/>
  <c r="BH16" i="25" s="1"/>
  <c r="HA120" i="25"/>
  <c r="HB120" i="25"/>
  <c r="HB117" i="25"/>
  <c r="HA117" i="25"/>
  <c r="HA115" i="25"/>
  <c r="HB115" i="25"/>
  <c r="HA112" i="25"/>
  <c r="HB112" i="25"/>
  <c r="HA109" i="25"/>
  <c r="HB109" i="25"/>
  <c r="HB106" i="25"/>
  <c r="HA106" i="25"/>
  <c r="HB104" i="25"/>
  <c r="HB102" i="25"/>
  <c r="HB99" i="25"/>
  <c r="HB97" i="25"/>
  <c r="HB94" i="25"/>
  <c r="HM15" i="25"/>
  <c r="GB15" i="25"/>
  <c r="GC15" i="25" s="1"/>
  <c r="HB15" i="25"/>
  <c r="HC15" i="25" s="1"/>
  <c r="HH15" i="25" s="1"/>
  <c r="HB118" i="25"/>
  <c r="HA118" i="25"/>
  <c r="HB114" i="25"/>
  <c r="HA114" i="25"/>
  <c r="HA111" i="25"/>
  <c r="HB111" i="25"/>
  <c r="HB108" i="25"/>
  <c r="HA108" i="25"/>
  <c r="HA105" i="25"/>
  <c r="HB105" i="25"/>
  <c r="HB100" i="25"/>
  <c r="GM15" i="25"/>
  <c r="GE119" i="25"/>
  <c r="GC119" i="25"/>
  <c r="GA119" i="25"/>
  <c r="GD119" i="25"/>
  <c r="GB119" i="25"/>
  <c r="GD117" i="25"/>
  <c r="GA117" i="25"/>
  <c r="GE117" i="25"/>
  <c r="GB117" i="25"/>
  <c r="GC117" i="25"/>
  <c r="GC115" i="25"/>
  <c r="GB115" i="25"/>
  <c r="GD115" i="25"/>
  <c r="GE115" i="25"/>
  <c r="GA115" i="25"/>
  <c r="GE113" i="25"/>
  <c r="GA113" i="25"/>
  <c r="GC113" i="25"/>
  <c r="GB113" i="25"/>
  <c r="GD113" i="25"/>
  <c r="GE111" i="25"/>
  <c r="GC111" i="25"/>
  <c r="GA111" i="25"/>
  <c r="GD111" i="25"/>
  <c r="GB111" i="25"/>
  <c r="GE109" i="25"/>
  <c r="GA109" i="25"/>
  <c r="GD109" i="25"/>
  <c r="GB109" i="25"/>
  <c r="GC109" i="25"/>
  <c r="GE107" i="25"/>
  <c r="GC107" i="25"/>
  <c r="GA107" i="25"/>
  <c r="GB107" i="25"/>
  <c r="GD107" i="25"/>
  <c r="GE105" i="25"/>
  <c r="GA105" i="25"/>
  <c r="GB105" i="25"/>
  <c r="GC105" i="25"/>
  <c r="GD105" i="25"/>
  <c r="GC103" i="25"/>
  <c r="GB103" i="25"/>
  <c r="GC101" i="25"/>
  <c r="GB101" i="25"/>
  <c r="GC100" i="25"/>
  <c r="GB100" i="25"/>
  <c r="GB98" i="25"/>
  <c r="GC98" i="25"/>
  <c r="GB96" i="25"/>
  <c r="GC96" i="25"/>
  <c r="GB94" i="25"/>
  <c r="GC94" i="25"/>
  <c r="GC93" i="25"/>
  <c r="GB93" i="25"/>
  <c r="GB90" i="25"/>
  <c r="GC90" i="25"/>
  <c r="GB88" i="25"/>
  <c r="GC88" i="25"/>
  <c r="GC87" i="25"/>
  <c r="GB87" i="25"/>
  <c r="GC84" i="25"/>
  <c r="GB84" i="25"/>
  <c r="GC83" i="25"/>
  <c r="GB83" i="25"/>
  <c r="GB81" i="25"/>
  <c r="GC81" i="25"/>
  <c r="GH81" i="25" s="1"/>
  <c r="GC79" i="25"/>
  <c r="GB79" i="25"/>
  <c r="GC76" i="25"/>
  <c r="GB76" i="25"/>
  <c r="GB74" i="25"/>
  <c r="GC74" i="25"/>
  <c r="GB72" i="25"/>
  <c r="GC72" i="25"/>
  <c r="GB70" i="25"/>
  <c r="GC70" i="25"/>
  <c r="GC68" i="25"/>
  <c r="GB68" i="25"/>
  <c r="GB66" i="25"/>
  <c r="GC66" i="25"/>
  <c r="GC65" i="25"/>
  <c r="GB65" i="25"/>
  <c r="GC63" i="25"/>
  <c r="GB63" i="25"/>
  <c r="GC61" i="25"/>
  <c r="GB61" i="25"/>
  <c r="GB58" i="25"/>
  <c r="GC58" i="25"/>
  <c r="GB56" i="25"/>
  <c r="GC56" i="25"/>
  <c r="GC54" i="25"/>
  <c r="GB54" i="25"/>
  <c r="GC53" i="25"/>
  <c r="GB53" i="25"/>
  <c r="GB50" i="25"/>
  <c r="GC50" i="25"/>
  <c r="GB49" i="25"/>
  <c r="GC49" i="25" s="1"/>
  <c r="GI49" i="25" s="1"/>
  <c r="GP49" i="25" s="1"/>
  <c r="GB47" i="25"/>
  <c r="GC47" i="25" s="1"/>
  <c r="GB45" i="25"/>
  <c r="GC45" i="25" s="1"/>
  <c r="GH45" i="25" s="1"/>
  <c r="GB43" i="25"/>
  <c r="GC43" i="25"/>
  <c r="GB40" i="25"/>
  <c r="GC40" i="25"/>
  <c r="GI40" i="25" s="1"/>
  <c r="GP40" i="25" s="1"/>
  <c r="GB39" i="25"/>
  <c r="GC39" i="25" s="1"/>
  <c r="GI39" i="25" s="1"/>
  <c r="GP39" i="25" s="1"/>
  <c r="GC37" i="25"/>
  <c r="GI37" i="25" s="1"/>
  <c r="GP37" i="25" s="1"/>
  <c r="GB37" i="25"/>
  <c r="GB35" i="25"/>
  <c r="GC35" i="25" s="1"/>
  <c r="GH35" i="25" s="1"/>
  <c r="GB33" i="25"/>
  <c r="GC33" i="25" s="1"/>
  <c r="GI33" i="25" s="1"/>
  <c r="GP33" i="25" s="1"/>
  <c r="GB31" i="25"/>
  <c r="GC31" i="25" s="1"/>
  <c r="GB29" i="25"/>
  <c r="GC29" i="25" s="1"/>
  <c r="GB27" i="25"/>
  <c r="GC27" i="25" s="1"/>
  <c r="GB24" i="25"/>
  <c r="GC24" i="25" s="1"/>
  <c r="GB22" i="25"/>
  <c r="GC22" i="25" s="1"/>
  <c r="GB20" i="25"/>
  <c r="GC20" i="25" s="1"/>
  <c r="GB18" i="25"/>
  <c r="GC18" i="25" s="1"/>
  <c r="GB17" i="25"/>
  <c r="GC17" i="25" s="1"/>
  <c r="GD120" i="25"/>
  <c r="GB120" i="25"/>
  <c r="GC120" i="25"/>
  <c r="GE120" i="25"/>
  <c r="GA120" i="25"/>
  <c r="GD118" i="25"/>
  <c r="GB118" i="25"/>
  <c r="GE118" i="25"/>
  <c r="GA118" i="25"/>
  <c r="GC118" i="25"/>
  <c r="GD116" i="25"/>
  <c r="GB116" i="25"/>
  <c r="GE116" i="25"/>
  <c r="GA116" i="25"/>
  <c r="GC116" i="25"/>
  <c r="GD114" i="25"/>
  <c r="GE114" i="25"/>
  <c r="GB114" i="25"/>
  <c r="GC114" i="25"/>
  <c r="GA114" i="25"/>
  <c r="GD112" i="25"/>
  <c r="GE112" i="25"/>
  <c r="GC112" i="25"/>
  <c r="GA112" i="25"/>
  <c r="GB112" i="25"/>
  <c r="GD110" i="25"/>
  <c r="GE110" i="25"/>
  <c r="GB110" i="25"/>
  <c r="GA110" i="25"/>
  <c r="GC110" i="25"/>
  <c r="GD108" i="25"/>
  <c r="GB108" i="25"/>
  <c r="GA108" i="25"/>
  <c r="GE108" i="25"/>
  <c r="GC108" i="25"/>
  <c r="GD106" i="25"/>
  <c r="GE106" i="25"/>
  <c r="GB106" i="25"/>
  <c r="GC106" i="25"/>
  <c r="GA106" i="25"/>
  <c r="GB104" i="25"/>
  <c r="GC104" i="25"/>
  <c r="GB102" i="25"/>
  <c r="GC102" i="25"/>
  <c r="GC99" i="25"/>
  <c r="GB99" i="25"/>
  <c r="GB97" i="25"/>
  <c r="GC97" i="25"/>
  <c r="GC95" i="25"/>
  <c r="GB95" i="25"/>
  <c r="GC92" i="25"/>
  <c r="GB92" i="25"/>
  <c r="GC91" i="25"/>
  <c r="GB91" i="25"/>
  <c r="GB89" i="25"/>
  <c r="GC89" i="25"/>
  <c r="GB86" i="25"/>
  <c r="GC86" i="25"/>
  <c r="GC85" i="25"/>
  <c r="GB85" i="25"/>
  <c r="GB82" i="25"/>
  <c r="GC82" i="25"/>
  <c r="GB80" i="25"/>
  <c r="GC80" i="25"/>
  <c r="GB78" i="25"/>
  <c r="GC78" i="25"/>
  <c r="GC77" i="25"/>
  <c r="GI77" i="25" s="1"/>
  <c r="GP77" i="25" s="1"/>
  <c r="GB77" i="25"/>
  <c r="GC75" i="25"/>
  <c r="GB75" i="25"/>
  <c r="GB73" i="25"/>
  <c r="GC73" i="25"/>
  <c r="GC71" i="25"/>
  <c r="GB71" i="25"/>
  <c r="GC69" i="25"/>
  <c r="GB69" i="25"/>
  <c r="GC67" i="25"/>
  <c r="GB67" i="25"/>
  <c r="GB64" i="25"/>
  <c r="GC64" i="25"/>
  <c r="GC62" i="25"/>
  <c r="GB62" i="25"/>
  <c r="GB60" i="25"/>
  <c r="GC60" i="25"/>
  <c r="GB59" i="25"/>
  <c r="GC59" i="25"/>
  <c r="GC57" i="25"/>
  <c r="GB57" i="25"/>
  <c r="GC55" i="25"/>
  <c r="GI55" i="25" s="1"/>
  <c r="GP55" i="25" s="1"/>
  <c r="GB55" i="25"/>
  <c r="GB52" i="25"/>
  <c r="GC52" i="25"/>
  <c r="GH52" i="25" s="1"/>
  <c r="GB51" i="25"/>
  <c r="GC51" i="25"/>
  <c r="GB48" i="25"/>
  <c r="GC48" i="25" s="1"/>
  <c r="GB46" i="25"/>
  <c r="GC46" i="25" s="1"/>
  <c r="GH46" i="25" s="1"/>
  <c r="GB44" i="25"/>
  <c r="GC44" i="25" s="1"/>
  <c r="GB42" i="25"/>
  <c r="GC42" i="25" s="1"/>
  <c r="GB41" i="25"/>
  <c r="GC41" i="25" s="1"/>
  <c r="GB38" i="25"/>
  <c r="GC38" i="25" s="1"/>
  <c r="GB36" i="25"/>
  <c r="GC36" i="25" s="1"/>
  <c r="GB34" i="25"/>
  <c r="GC34" i="25" s="1"/>
  <c r="GB32" i="25"/>
  <c r="GC32" i="25" s="1"/>
  <c r="GJ32" i="25" s="1"/>
  <c r="GB30" i="25"/>
  <c r="GC30" i="25" s="1"/>
  <c r="GH30" i="25" s="1"/>
  <c r="GB28" i="25"/>
  <c r="GC28" i="25" s="1"/>
  <c r="GB26" i="25"/>
  <c r="GC26" i="25" s="1"/>
  <c r="GB25" i="25"/>
  <c r="GC25" i="25" s="1"/>
  <c r="GB23" i="25"/>
  <c r="GC23" i="25" s="1"/>
  <c r="GB21" i="25"/>
  <c r="GC21" i="25" s="1"/>
  <c r="GB19" i="25"/>
  <c r="GC19" i="25" s="1"/>
  <c r="GB16" i="25"/>
  <c r="GC16" i="25" s="1"/>
  <c r="EL117" i="25"/>
  <c r="EM117" i="25"/>
  <c r="EK117" i="25"/>
  <c r="EL113" i="25"/>
  <c r="EM113" i="25"/>
  <c r="EK113" i="25"/>
  <c r="EL109" i="25"/>
  <c r="EM109" i="25"/>
  <c r="EK109" i="25"/>
  <c r="EL105" i="25"/>
  <c r="EM105" i="25"/>
  <c r="EK105" i="25"/>
  <c r="EM102" i="25"/>
  <c r="EM97" i="25"/>
  <c r="EM94" i="25"/>
  <c r="EK120" i="25"/>
  <c r="EL120" i="25"/>
  <c r="EM120" i="25"/>
  <c r="EK116" i="25"/>
  <c r="EL116" i="25"/>
  <c r="EM116" i="25"/>
  <c r="EK112" i="25"/>
  <c r="EL112" i="25"/>
  <c r="EM112" i="25"/>
  <c r="EK107" i="25"/>
  <c r="EL107" i="25"/>
  <c r="EM107" i="25"/>
  <c r="EM103" i="25"/>
  <c r="EM99" i="25"/>
  <c r="EM96" i="25"/>
  <c r="EM93" i="25"/>
  <c r="EM91" i="25"/>
  <c r="EM90" i="25"/>
  <c r="EM89" i="25"/>
  <c r="EM88" i="25"/>
  <c r="EM87" i="25"/>
  <c r="EM86" i="25"/>
  <c r="EM85" i="25"/>
  <c r="EM84" i="25"/>
  <c r="EM83" i="25"/>
  <c r="EM82" i="25"/>
  <c r="EM81" i="25"/>
  <c r="EM80" i="25"/>
  <c r="EM79" i="25"/>
  <c r="EM78" i="25"/>
  <c r="EM77" i="25"/>
  <c r="EM76" i="25"/>
  <c r="EM75" i="25"/>
  <c r="EM74" i="25"/>
  <c r="EM73" i="25"/>
  <c r="EM72" i="25"/>
  <c r="EM71" i="25"/>
  <c r="EM70" i="25"/>
  <c r="EM69" i="25"/>
  <c r="EM68" i="25"/>
  <c r="EM67" i="25"/>
  <c r="EM66" i="25"/>
  <c r="EM65" i="25"/>
  <c r="EM64" i="25"/>
  <c r="EM63" i="25"/>
  <c r="EM62" i="25"/>
  <c r="EM61" i="25"/>
  <c r="EM60" i="25"/>
  <c r="EM59" i="25"/>
  <c r="EM58" i="25"/>
  <c r="EM57" i="25"/>
  <c r="EM56" i="25"/>
  <c r="EM55" i="25"/>
  <c r="EM54" i="25"/>
  <c r="EM53" i="25"/>
  <c r="EM52" i="25"/>
  <c r="EM51" i="25"/>
  <c r="EM50" i="25"/>
  <c r="EM49" i="25"/>
  <c r="EM48" i="25"/>
  <c r="EM47" i="25"/>
  <c r="EM46" i="25"/>
  <c r="EM45" i="25"/>
  <c r="EM44" i="25"/>
  <c r="EM43" i="25"/>
  <c r="EM42" i="25"/>
  <c r="EM41" i="25"/>
  <c r="EM40" i="25"/>
  <c r="EM39" i="25"/>
  <c r="EM38" i="25"/>
  <c r="EM37" i="25"/>
  <c r="EM36" i="25"/>
  <c r="EM35" i="25"/>
  <c r="EM34" i="25"/>
  <c r="EM33" i="25"/>
  <c r="EM32" i="25"/>
  <c r="EM31" i="25"/>
  <c r="EM30" i="25"/>
  <c r="EM29" i="25"/>
  <c r="EM28" i="25"/>
  <c r="EM27" i="25"/>
  <c r="EM26" i="25"/>
  <c r="EM25" i="25"/>
  <c r="EM24" i="25"/>
  <c r="EM23" i="25"/>
  <c r="EM22" i="25"/>
  <c r="EM21" i="25"/>
  <c r="EM20" i="25"/>
  <c r="EM19" i="25"/>
  <c r="EM18" i="25"/>
  <c r="EM17" i="25"/>
  <c r="EM16" i="25"/>
  <c r="EM118" i="25"/>
  <c r="EK118" i="25"/>
  <c r="EL118" i="25"/>
  <c r="EM114" i="25"/>
  <c r="EL114" i="25"/>
  <c r="EK114" i="25"/>
  <c r="EM110" i="25"/>
  <c r="EK110" i="25"/>
  <c r="EL110" i="25"/>
  <c r="EM106" i="25"/>
  <c r="EK106" i="25"/>
  <c r="EL106" i="25"/>
  <c r="EM101" i="25"/>
  <c r="EM98" i="25"/>
  <c r="EM92" i="25"/>
  <c r="EK119" i="25"/>
  <c r="EM119" i="25"/>
  <c r="EL119" i="25"/>
  <c r="EK115" i="25"/>
  <c r="EL115" i="25"/>
  <c r="EM115" i="25"/>
  <c r="EK111" i="25"/>
  <c r="EL111" i="25"/>
  <c r="EM111" i="25"/>
  <c r="EK108" i="25"/>
  <c r="EL108" i="25"/>
  <c r="EM108" i="25"/>
  <c r="EM104" i="25"/>
  <c r="EM100" i="25"/>
  <c r="EM95" i="25"/>
  <c r="EB15" i="25"/>
  <c r="EC15" i="25" s="1"/>
  <c r="EJ120" i="25"/>
  <c r="EI120" i="25"/>
  <c r="ED120" i="25"/>
  <c r="EC120" i="25"/>
  <c r="EB120" i="25"/>
  <c r="EE120" i="25"/>
  <c r="EH120" i="25"/>
  <c r="EA120" i="25"/>
  <c r="EI117" i="25"/>
  <c r="EJ117" i="25"/>
  <c r="ED117" i="25"/>
  <c r="EH117" i="25"/>
  <c r="EE117" i="25"/>
  <c r="EA117" i="25"/>
  <c r="EC117" i="25"/>
  <c r="EB117" i="25"/>
  <c r="EJ115" i="25"/>
  <c r="EH115" i="25"/>
  <c r="EI115" i="25"/>
  <c r="ED115" i="25"/>
  <c r="EE115" i="25"/>
  <c r="EB115" i="25"/>
  <c r="EA115" i="25"/>
  <c r="EC115" i="25"/>
  <c r="EI113" i="25"/>
  <c r="ED113" i="25"/>
  <c r="EE113" i="25"/>
  <c r="EJ113" i="25"/>
  <c r="EH113" i="25"/>
  <c r="EA113" i="25"/>
  <c r="EC113" i="25"/>
  <c r="EB113" i="25"/>
  <c r="EJ111" i="25"/>
  <c r="EH111" i="25"/>
  <c r="ED111" i="25"/>
  <c r="EE111" i="25"/>
  <c r="EB111" i="25"/>
  <c r="EA111" i="25"/>
  <c r="EC111" i="25"/>
  <c r="EI111" i="25"/>
  <c r="EJ109" i="25"/>
  <c r="EI109" i="25"/>
  <c r="ED109" i="25"/>
  <c r="EH109" i="25"/>
  <c r="EE109" i="25"/>
  <c r="EA109" i="25"/>
  <c r="EC109" i="25"/>
  <c r="EB109" i="25"/>
  <c r="EJ107" i="25"/>
  <c r="EI107" i="25"/>
  <c r="EH107" i="25"/>
  <c r="ED107" i="25"/>
  <c r="EE107" i="25"/>
  <c r="EB107" i="25"/>
  <c r="EA107" i="25"/>
  <c r="EC107" i="25"/>
  <c r="ED105" i="25"/>
  <c r="EI105" i="25"/>
  <c r="EE105" i="25"/>
  <c r="EJ105" i="25"/>
  <c r="EH105" i="25"/>
  <c r="EA105" i="25"/>
  <c r="EC105" i="25"/>
  <c r="EB105" i="25"/>
  <c r="EB103" i="25"/>
  <c r="EC103" i="25"/>
  <c r="CP103" i="25" s="1"/>
  <c r="EA103" i="25"/>
  <c r="HA103" i="25" s="1"/>
  <c r="EA101" i="25"/>
  <c r="HA101" i="25" s="1"/>
  <c r="EC101" i="25"/>
  <c r="EB101" i="25"/>
  <c r="EC100" i="25"/>
  <c r="CP100" i="25" s="1"/>
  <c r="EB100" i="25"/>
  <c r="EA100" i="25"/>
  <c r="EA98" i="25"/>
  <c r="HA98" i="25" s="1"/>
  <c r="EB98" i="25"/>
  <c r="EC98" i="25"/>
  <c r="EA97" i="25"/>
  <c r="EC97" i="25"/>
  <c r="EB97" i="25"/>
  <c r="EC96" i="25"/>
  <c r="EB96" i="25"/>
  <c r="EA96" i="25"/>
  <c r="HA96" i="25" s="1"/>
  <c r="EB95" i="25"/>
  <c r="EC95" i="25"/>
  <c r="CP95" i="25" s="1"/>
  <c r="EA95" i="25"/>
  <c r="EA94" i="25"/>
  <c r="HA94" i="25" s="1"/>
  <c r="EB94" i="25"/>
  <c r="EC94" i="25"/>
  <c r="CP94" i="25" s="1"/>
  <c r="EA93" i="25"/>
  <c r="EC93" i="25"/>
  <c r="EB93" i="25"/>
  <c r="EC92" i="25"/>
  <c r="CP92" i="25" s="1"/>
  <c r="EB92" i="25"/>
  <c r="EA92" i="25"/>
  <c r="HA92" i="25" s="1"/>
  <c r="EB91" i="25"/>
  <c r="EC91" i="25"/>
  <c r="CP91" i="25" s="1"/>
  <c r="EA91" i="25"/>
  <c r="EA90" i="25"/>
  <c r="HA90" i="25" s="1"/>
  <c r="EB90" i="25"/>
  <c r="EC90" i="25"/>
  <c r="CP90" i="25" s="1"/>
  <c r="EC89" i="25"/>
  <c r="EA89" i="25"/>
  <c r="EB89" i="25"/>
  <c r="EC88" i="25"/>
  <c r="EA88" i="25"/>
  <c r="EB88" i="25"/>
  <c r="EB87" i="25"/>
  <c r="EC87" i="25"/>
  <c r="CP87" i="25" s="1"/>
  <c r="EA87" i="25"/>
  <c r="EA86" i="25"/>
  <c r="HA86" i="25" s="1"/>
  <c r="EB86" i="25"/>
  <c r="EC86" i="25"/>
  <c r="EC85" i="25"/>
  <c r="CP85" i="25" s="1"/>
  <c r="AH85" i="25" s="1"/>
  <c r="EA85" i="25"/>
  <c r="HA85" i="25" s="1"/>
  <c r="EB85" i="25"/>
  <c r="EC84" i="25"/>
  <c r="EA84" i="25"/>
  <c r="EB84" i="25"/>
  <c r="EB83" i="25"/>
  <c r="EA83" i="25"/>
  <c r="HA83" i="25" s="1"/>
  <c r="EC83" i="25"/>
  <c r="CP83" i="25" s="1"/>
  <c r="EA82" i="25"/>
  <c r="HA82" i="25" s="1"/>
  <c r="EB82" i="25"/>
  <c r="EC82" i="25"/>
  <c r="EA81" i="25"/>
  <c r="HA81" i="25" s="1"/>
  <c r="EC81" i="25"/>
  <c r="EB81" i="25"/>
  <c r="EC80" i="25"/>
  <c r="EA80" i="25"/>
  <c r="EB80" i="25"/>
  <c r="EB79" i="25"/>
  <c r="EA79" i="25"/>
  <c r="EC79" i="25"/>
  <c r="EA78" i="25"/>
  <c r="HA78" i="25" s="1"/>
  <c r="EB78" i="25"/>
  <c r="EC78" i="25"/>
  <c r="EA77" i="25"/>
  <c r="EC77" i="25"/>
  <c r="EE77" i="25" s="1"/>
  <c r="EB77" i="25"/>
  <c r="EC76" i="25"/>
  <c r="EJ76" i="25" s="1"/>
  <c r="EA76" i="25"/>
  <c r="EB76" i="25"/>
  <c r="EB75" i="25"/>
  <c r="EC75" i="25"/>
  <c r="EJ75" i="25" s="1"/>
  <c r="EA75" i="25"/>
  <c r="EA74" i="25"/>
  <c r="HA74" i="25" s="1"/>
  <c r="EB74" i="25"/>
  <c r="EC74" i="25"/>
  <c r="CP74" i="25" s="1"/>
  <c r="EC73" i="25"/>
  <c r="EA73" i="25"/>
  <c r="HA73" i="25" s="1"/>
  <c r="EB73" i="25"/>
  <c r="EC72" i="25"/>
  <c r="EB72" i="25"/>
  <c r="EA72" i="25"/>
  <c r="HA72" i="25" s="1"/>
  <c r="EB71" i="25"/>
  <c r="EC71" i="25"/>
  <c r="EJ71" i="25" s="1"/>
  <c r="EA71" i="25"/>
  <c r="EA70" i="25"/>
  <c r="HA70" i="25" s="1"/>
  <c r="EB70" i="25"/>
  <c r="EC70" i="25"/>
  <c r="CP70" i="25" s="1"/>
  <c r="EC69" i="25"/>
  <c r="EA69" i="25"/>
  <c r="HA69" i="25" s="1"/>
  <c r="EB69" i="25"/>
  <c r="EC68" i="25"/>
  <c r="EB68" i="25"/>
  <c r="EA68" i="25"/>
  <c r="HA68" i="25" s="1"/>
  <c r="EB67" i="25"/>
  <c r="EA67" i="25"/>
  <c r="HA67" i="25" s="1"/>
  <c r="EC67" i="25"/>
  <c r="CP67" i="25" s="1"/>
  <c r="EA66" i="25"/>
  <c r="HA66" i="25" s="1"/>
  <c r="EB66" i="25"/>
  <c r="EC66" i="25"/>
  <c r="CP66" i="25" s="1"/>
  <c r="EA65" i="25"/>
  <c r="EB65" i="25"/>
  <c r="EC65" i="25"/>
  <c r="CP65" i="25" s="1"/>
  <c r="EC64" i="25"/>
  <c r="EH64" i="25" s="1"/>
  <c r="EB64" i="25"/>
  <c r="EA64" i="25"/>
  <c r="HA64" i="25" s="1"/>
  <c r="EB63" i="25"/>
  <c r="EA63" i="25"/>
  <c r="HA63" i="25" s="1"/>
  <c r="EC63" i="25"/>
  <c r="EA62" i="25"/>
  <c r="HA62" i="25" s="1"/>
  <c r="EB62" i="25"/>
  <c r="EC62" i="25"/>
  <c r="EE62" i="25" s="1"/>
  <c r="EA61" i="25"/>
  <c r="EB61" i="25"/>
  <c r="EC61" i="25"/>
  <c r="EC60" i="25"/>
  <c r="CP60" i="25" s="1"/>
  <c r="EB60" i="25"/>
  <c r="EA60" i="25"/>
  <c r="HA60" i="25" s="1"/>
  <c r="EB59" i="25"/>
  <c r="EC59" i="25"/>
  <c r="EJ59" i="25" s="1"/>
  <c r="EA59" i="25"/>
  <c r="EA58" i="25"/>
  <c r="HA58" i="25" s="1"/>
  <c r="EB58" i="25"/>
  <c r="EC58" i="25"/>
  <c r="EH58" i="25" s="1"/>
  <c r="EC57" i="25"/>
  <c r="CP57" i="25" s="1"/>
  <c r="EA57" i="25"/>
  <c r="HA57" i="25" s="1"/>
  <c r="EB57" i="25"/>
  <c r="EC56" i="25"/>
  <c r="EB56" i="25"/>
  <c r="EA56" i="25"/>
  <c r="GA56" i="25" s="1"/>
  <c r="EB55" i="25"/>
  <c r="EC55" i="25"/>
  <c r="CP55" i="25" s="1"/>
  <c r="EA55" i="25"/>
  <c r="EA54" i="25"/>
  <c r="HA54" i="25" s="1"/>
  <c r="EB54" i="25"/>
  <c r="EC54" i="25"/>
  <c r="EC53" i="25"/>
  <c r="CP53" i="25" s="1"/>
  <c r="EA53" i="25"/>
  <c r="GA53" i="25" s="1"/>
  <c r="EB53" i="25"/>
  <c r="EC52" i="25"/>
  <c r="EJ52" i="25" s="1"/>
  <c r="EB52" i="25"/>
  <c r="EA52" i="25"/>
  <c r="HA52" i="25" s="1"/>
  <c r="EB51" i="25"/>
  <c r="EA51" i="25"/>
  <c r="EC51" i="25"/>
  <c r="EA50" i="25"/>
  <c r="GA50" i="25" s="1"/>
  <c r="EB50" i="25"/>
  <c r="EC50" i="25"/>
  <c r="EA49" i="25"/>
  <c r="EB49" i="25"/>
  <c r="EC49" i="25" s="1"/>
  <c r="CP49" i="25" s="1"/>
  <c r="EB48" i="25"/>
  <c r="EC48" i="25" s="1"/>
  <c r="EA48" i="25"/>
  <c r="HA48" i="25" s="1"/>
  <c r="EB47" i="25"/>
  <c r="EC47" i="25" s="1"/>
  <c r="EA47" i="25"/>
  <c r="GA47" i="25" s="1"/>
  <c r="EA46" i="25"/>
  <c r="GA46" i="25" s="1"/>
  <c r="EB46" i="25"/>
  <c r="EC46" i="25" s="1"/>
  <c r="EI46" i="25" s="1"/>
  <c r="EP46" i="25" s="1"/>
  <c r="AN46" i="25" s="1"/>
  <c r="EA45" i="25"/>
  <c r="EB45" i="25"/>
  <c r="EC45" i="25" s="1"/>
  <c r="EA44" i="25"/>
  <c r="HA44" i="25" s="1"/>
  <c r="EB44" i="25"/>
  <c r="EC44" i="25" s="1"/>
  <c r="EB43" i="25"/>
  <c r="EC43" i="25" s="1"/>
  <c r="EJ43" i="25" s="1"/>
  <c r="EA43" i="25"/>
  <c r="EB42" i="25"/>
  <c r="EC42" i="25" s="1"/>
  <c r="EA42" i="25"/>
  <c r="HA42" i="25" s="1"/>
  <c r="EA41" i="25"/>
  <c r="EB41" i="25"/>
  <c r="EC41" i="25" s="1"/>
  <c r="EA40" i="25"/>
  <c r="HA40" i="25" s="1"/>
  <c r="EB40" i="25"/>
  <c r="EC40" i="25"/>
  <c r="EE40" i="25" s="1"/>
  <c r="EA39" i="25"/>
  <c r="HA39" i="25" s="1"/>
  <c r="EB39" i="25"/>
  <c r="EC39" i="25" s="1"/>
  <c r="EI39" i="25" s="1"/>
  <c r="EP39" i="25" s="1"/>
  <c r="AN39" i="25" s="1"/>
  <c r="EB38" i="25"/>
  <c r="EC38" i="25" s="1"/>
  <c r="EA38" i="25"/>
  <c r="EA37" i="25"/>
  <c r="GA37" i="25" s="1"/>
  <c r="EB37" i="25"/>
  <c r="EC37" i="25" s="1"/>
  <c r="EJ37" i="25" s="1"/>
  <c r="EA36" i="25"/>
  <c r="GA36" i="25" s="1"/>
  <c r="EB36" i="25"/>
  <c r="EC36" i="25" s="1"/>
  <c r="EB35" i="25"/>
  <c r="EC35" i="25" s="1"/>
  <c r="EJ35" i="25" s="1"/>
  <c r="EA35" i="25"/>
  <c r="EB34" i="25"/>
  <c r="EC34" i="25" s="1"/>
  <c r="EA34" i="25"/>
  <c r="EA33" i="25"/>
  <c r="EB33" i="25"/>
  <c r="EC33" i="25" s="1"/>
  <c r="EA32" i="25"/>
  <c r="EB32" i="25"/>
  <c r="EC32" i="25" s="1"/>
  <c r="EI32" i="25" s="1"/>
  <c r="EP32" i="25" s="1"/>
  <c r="AN32" i="25" s="1"/>
  <c r="EA31" i="25"/>
  <c r="GA31" i="25" s="1"/>
  <c r="EB31" i="25"/>
  <c r="EC31" i="25" s="1"/>
  <c r="EB30" i="25"/>
  <c r="EC30" i="25" s="1"/>
  <c r="EE30" i="25" s="1"/>
  <c r="EA30" i="25"/>
  <c r="HA30" i="25" s="1"/>
  <c r="EA29" i="25"/>
  <c r="HA29" i="25" s="1"/>
  <c r="EB29" i="25"/>
  <c r="EC29" i="25" s="1"/>
  <c r="EA28" i="25"/>
  <c r="HA28" i="25" s="1"/>
  <c r="EB28" i="25"/>
  <c r="EC28" i="25" s="1"/>
  <c r="EB27" i="25"/>
  <c r="EC27" i="25" s="1"/>
  <c r="CP27" i="25" s="1"/>
  <c r="EA27" i="25"/>
  <c r="EB26" i="25"/>
  <c r="EC26" i="25" s="1"/>
  <c r="CP26" i="25" s="1"/>
  <c r="EA26" i="25"/>
  <c r="EA25" i="25"/>
  <c r="EB25" i="25"/>
  <c r="EC25" i="25" s="1"/>
  <c r="EA24" i="25"/>
  <c r="HA24" i="25" s="1"/>
  <c r="EB24" i="25"/>
  <c r="EC24" i="25" s="1"/>
  <c r="CP24" i="25" s="1"/>
  <c r="EA23" i="25"/>
  <c r="HA23" i="25" s="1"/>
  <c r="EB23" i="25"/>
  <c r="EC23" i="25" s="1"/>
  <c r="CP23" i="25" s="1"/>
  <c r="EB22" i="25"/>
  <c r="EC22" i="25" s="1"/>
  <c r="ED22" i="25" s="1"/>
  <c r="EA22" i="25"/>
  <c r="HA22" i="25" s="1"/>
  <c r="EA21" i="25"/>
  <c r="HA21" i="25" s="1"/>
  <c r="EB21" i="25"/>
  <c r="EC21" i="25" s="1"/>
  <c r="EA20" i="25"/>
  <c r="GA20" i="25" s="1"/>
  <c r="EB20" i="25"/>
  <c r="EC20" i="25" s="1"/>
  <c r="EB19" i="25"/>
  <c r="EC19" i="25" s="1"/>
  <c r="EA19" i="25"/>
  <c r="HA19" i="25" s="1"/>
  <c r="EB18" i="25"/>
  <c r="EC18" i="25" s="1"/>
  <c r="CP18" i="25" s="1"/>
  <c r="EA18" i="25"/>
  <c r="HA18" i="25" s="1"/>
  <c r="EA17" i="25"/>
  <c r="HA17" i="25" s="1"/>
  <c r="EB17" i="25"/>
  <c r="EC17" i="25" s="1"/>
  <c r="CP17" i="25" s="1"/>
  <c r="EB16" i="25"/>
  <c r="EC16" i="25" s="1"/>
  <c r="EA16" i="25"/>
  <c r="GA16" i="25" s="1"/>
  <c r="EJ119" i="25"/>
  <c r="EI119" i="25"/>
  <c r="EH119" i="25"/>
  <c r="ED119" i="25"/>
  <c r="EE119" i="25"/>
  <c r="EB119" i="25"/>
  <c r="EA119" i="25"/>
  <c r="EC119" i="25"/>
  <c r="EI118" i="25"/>
  <c r="EH118" i="25"/>
  <c r="EJ118" i="25"/>
  <c r="EA118" i="25"/>
  <c r="EB118" i="25"/>
  <c r="ED118" i="25"/>
  <c r="EC118" i="25"/>
  <c r="EE118" i="25"/>
  <c r="EJ116" i="25"/>
  <c r="EH116" i="25"/>
  <c r="ED116" i="25"/>
  <c r="EC116" i="25"/>
  <c r="EE116" i="25"/>
  <c r="EA116" i="25"/>
  <c r="EI116" i="25"/>
  <c r="EB116" i="25"/>
  <c r="EI114" i="25"/>
  <c r="EJ114" i="25"/>
  <c r="EH114" i="25"/>
  <c r="EA114" i="25"/>
  <c r="EB114" i="25"/>
  <c r="EE114" i="25"/>
  <c r="ED114" i="25"/>
  <c r="EC114" i="25"/>
  <c r="EJ112" i="25"/>
  <c r="EI112" i="25"/>
  <c r="EH112" i="25"/>
  <c r="ED112" i="25"/>
  <c r="EC112" i="25"/>
  <c r="EE112" i="25"/>
  <c r="EA112" i="25"/>
  <c r="EB112" i="25"/>
  <c r="EI110" i="25"/>
  <c r="EH110" i="25"/>
  <c r="EJ110" i="25"/>
  <c r="EA110" i="25"/>
  <c r="EB110" i="25"/>
  <c r="ED110" i="25"/>
  <c r="EC110" i="25"/>
  <c r="EE110" i="25"/>
  <c r="EJ108" i="25"/>
  <c r="EI108" i="25"/>
  <c r="EH108" i="25"/>
  <c r="ED108" i="25"/>
  <c r="EC108" i="25"/>
  <c r="EE108" i="25"/>
  <c r="EA108" i="25"/>
  <c r="EB108" i="25"/>
  <c r="EI106" i="25"/>
  <c r="EJ106" i="25"/>
  <c r="EH106" i="25"/>
  <c r="EA106" i="25"/>
  <c r="EE106" i="25"/>
  <c r="EB106" i="25"/>
  <c r="ED106" i="25"/>
  <c r="EC106" i="25"/>
  <c r="EC104" i="25"/>
  <c r="CP104" i="25" s="1"/>
  <c r="EA104" i="25"/>
  <c r="EB104" i="25"/>
  <c r="EA102" i="25"/>
  <c r="EB102" i="25"/>
  <c r="EC102" i="25"/>
  <c r="CP102" i="25" s="1"/>
  <c r="EB99" i="25"/>
  <c r="EC99" i="25"/>
  <c r="EA99" i="25"/>
  <c r="GA99" i="25" s="1"/>
  <c r="NB15" i="25"/>
  <c r="NF120" i="25"/>
  <c r="NB120" i="25"/>
  <c r="ND120" i="25"/>
  <c r="NH120" i="25"/>
  <c r="NC120" i="25"/>
  <c r="NA120" i="25"/>
  <c r="NH119" i="25"/>
  <c r="NF119" i="25"/>
  <c r="ND119" i="25"/>
  <c r="NA119" i="25"/>
  <c r="NC119" i="25"/>
  <c r="NB119" i="25"/>
  <c r="NH118" i="25"/>
  <c r="NF118" i="25"/>
  <c r="NB118" i="25"/>
  <c r="ND118" i="25"/>
  <c r="NA118" i="25"/>
  <c r="NC118" i="25"/>
  <c r="NC117" i="25"/>
  <c r="NH117" i="25"/>
  <c r="ND117" i="25"/>
  <c r="NB117" i="25"/>
  <c r="NF117" i="25"/>
  <c r="NA117" i="25"/>
  <c r="NF116" i="25"/>
  <c r="NB116" i="25"/>
  <c r="NC116" i="25"/>
  <c r="ND116" i="25"/>
  <c r="NA116" i="25"/>
  <c r="NH116" i="25"/>
  <c r="ND115" i="25"/>
  <c r="NA115" i="25"/>
  <c r="NH115" i="25"/>
  <c r="NB115" i="25"/>
  <c r="NF115" i="25"/>
  <c r="NC115" i="25"/>
  <c r="NH114" i="25"/>
  <c r="NF114" i="25"/>
  <c r="ND114" i="25"/>
  <c r="NC114" i="25"/>
  <c r="NA114" i="25"/>
  <c r="NB114" i="25"/>
  <c r="NH113" i="25"/>
  <c r="NC113" i="25"/>
  <c r="NA113" i="25"/>
  <c r="NF113" i="25"/>
  <c r="ND113" i="25"/>
  <c r="NB113" i="25"/>
  <c r="NF112" i="25"/>
  <c r="NB112" i="25"/>
  <c r="NH112" i="25"/>
  <c r="NC112" i="25"/>
  <c r="ND112" i="25"/>
  <c r="NA112" i="25"/>
  <c r="ND111" i="25"/>
  <c r="NA111" i="25"/>
  <c r="NH111" i="25"/>
  <c r="NF111" i="25"/>
  <c r="NB111" i="25"/>
  <c r="NC111" i="25"/>
  <c r="NH110" i="25"/>
  <c r="ND110" i="25"/>
  <c r="NB110" i="25"/>
  <c r="NF110" i="25"/>
  <c r="NC110" i="25"/>
  <c r="NA110" i="25"/>
  <c r="NF109" i="25"/>
  <c r="NC109" i="25"/>
  <c r="ND109" i="25"/>
  <c r="NB109" i="25"/>
  <c r="NA109" i="25"/>
  <c r="NH109" i="25"/>
  <c r="NF108" i="25"/>
  <c r="NH108" i="25"/>
  <c r="NB108" i="25"/>
  <c r="NA108" i="25"/>
  <c r="ND108" i="25"/>
  <c r="NC108" i="25"/>
  <c r="ND107" i="25"/>
  <c r="NA107" i="25"/>
  <c r="NC107" i="25"/>
  <c r="NF107" i="25"/>
  <c r="NH107" i="25"/>
  <c r="NB107" i="25"/>
  <c r="NH106" i="25"/>
  <c r="NA106" i="25"/>
  <c r="NF106" i="25"/>
  <c r="ND106" i="25"/>
  <c r="NC106" i="25"/>
  <c r="NB106" i="25"/>
  <c r="NC105" i="25"/>
  <c r="NF105" i="25"/>
  <c r="NH105" i="25"/>
  <c r="ND105" i="25"/>
  <c r="NB105" i="25"/>
  <c r="NA105" i="25"/>
  <c r="NB104" i="25"/>
  <c r="NA104" i="25"/>
  <c r="NA103" i="25"/>
  <c r="NB103" i="25"/>
  <c r="NB102" i="25"/>
  <c r="NA102" i="25"/>
  <c r="NA101" i="25"/>
  <c r="NB101" i="25"/>
  <c r="NB100" i="25"/>
  <c r="NA100" i="25"/>
  <c r="NA99" i="25"/>
  <c r="NC99" i="25"/>
  <c r="NB99" i="25"/>
  <c r="NB98" i="25"/>
  <c r="NA98" i="25"/>
  <c r="NA97" i="25"/>
  <c r="NB97" i="25"/>
  <c r="NB96" i="25"/>
  <c r="NA96" i="25"/>
  <c r="NA95" i="25"/>
  <c r="NB95" i="25"/>
  <c r="NA94" i="25"/>
  <c r="NB94" i="25"/>
  <c r="NB93" i="25"/>
  <c r="NA93" i="25"/>
  <c r="NB92" i="25"/>
  <c r="NA92" i="25"/>
  <c r="NA91" i="25"/>
  <c r="NC91" i="25"/>
  <c r="NB91" i="25"/>
  <c r="NA90" i="25"/>
  <c r="NB90" i="25"/>
  <c r="NA89" i="25"/>
  <c r="NB89" i="25"/>
  <c r="NB88" i="25"/>
  <c r="NA88" i="25"/>
  <c r="NA87" i="25"/>
  <c r="NB87" i="25"/>
  <c r="NB86" i="25"/>
  <c r="NA86" i="25"/>
  <c r="NA85" i="25"/>
  <c r="NB85" i="25"/>
  <c r="NB84" i="25"/>
  <c r="NA84" i="25"/>
  <c r="NA83" i="25"/>
  <c r="NB83" i="25"/>
  <c r="NA82" i="25"/>
  <c r="NB82" i="25"/>
  <c r="NA81" i="25"/>
  <c r="NB81" i="25"/>
  <c r="NB80" i="25"/>
  <c r="NA80" i="25"/>
  <c r="NA79" i="25"/>
  <c r="NB79" i="25"/>
  <c r="NC79" i="25"/>
  <c r="ND79" i="25" s="1"/>
  <c r="NB78" i="25"/>
  <c r="NA78" i="25"/>
  <c r="NB77" i="25"/>
  <c r="NA77" i="25"/>
  <c r="NB76" i="25"/>
  <c r="NA76" i="25"/>
  <c r="NA75" i="25"/>
  <c r="NB75" i="25"/>
  <c r="NA74" i="25"/>
  <c r="NB74" i="25"/>
  <c r="NA73" i="25"/>
  <c r="NB73" i="25"/>
  <c r="NB72" i="25"/>
  <c r="NA72" i="25"/>
  <c r="NA71" i="25"/>
  <c r="NB71" i="25"/>
  <c r="NB70" i="25"/>
  <c r="NA70" i="25"/>
  <c r="NA69" i="25"/>
  <c r="NB69" i="25"/>
  <c r="NB68" i="25"/>
  <c r="NA68" i="25"/>
  <c r="NA67" i="25"/>
  <c r="NB67" i="25"/>
  <c r="NB66" i="25"/>
  <c r="NA66" i="25"/>
  <c r="NB45" i="25"/>
  <c r="NA45" i="25"/>
  <c r="NA43" i="25"/>
  <c r="NB43" i="25"/>
  <c r="NA41" i="25"/>
  <c r="NB41" i="25"/>
  <c r="NA39" i="25"/>
  <c r="NB39" i="25"/>
  <c r="NA37" i="25"/>
  <c r="NB37" i="25"/>
  <c r="NA35" i="25"/>
  <c r="NB35" i="25"/>
  <c r="NA33" i="25"/>
  <c r="NB33" i="25"/>
  <c r="NA31" i="25"/>
  <c r="NB31" i="25"/>
  <c r="NB29" i="25"/>
  <c r="NA29" i="25"/>
  <c r="NA27" i="25"/>
  <c r="NB27" i="25"/>
  <c r="NA25" i="25"/>
  <c r="NB25" i="25"/>
  <c r="NA23" i="25"/>
  <c r="NB23" i="25"/>
  <c r="NA21" i="25"/>
  <c r="NB21" i="25"/>
  <c r="NA18" i="25"/>
  <c r="NB18" i="25"/>
  <c r="NB16" i="25"/>
  <c r="NA16" i="25"/>
  <c r="NC65" i="25"/>
  <c r="NA65" i="25"/>
  <c r="NB65" i="25"/>
  <c r="NB64" i="25"/>
  <c r="NA64" i="25"/>
  <c r="NA63" i="25"/>
  <c r="NB63" i="25"/>
  <c r="NA62" i="25"/>
  <c r="NB62" i="25"/>
  <c r="NB61" i="25"/>
  <c r="NA61" i="25"/>
  <c r="NB60" i="25"/>
  <c r="NA60" i="25"/>
  <c r="NA59" i="25"/>
  <c r="NB59" i="25"/>
  <c r="NA58" i="25"/>
  <c r="NB58" i="25"/>
  <c r="NA57" i="25"/>
  <c r="NB57" i="25"/>
  <c r="NB56" i="25"/>
  <c r="NA56" i="25"/>
  <c r="NA55" i="25"/>
  <c r="NB55" i="25"/>
  <c r="NB54" i="25"/>
  <c r="NA54" i="25"/>
  <c r="NA53" i="25"/>
  <c r="NB53" i="25"/>
  <c r="NB52" i="25"/>
  <c r="NA52" i="25"/>
  <c r="NA51" i="25"/>
  <c r="NB51" i="25"/>
  <c r="NA50" i="25"/>
  <c r="NB50" i="25"/>
  <c r="NA49" i="25"/>
  <c r="NB49" i="25"/>
  <c r="NB48" i="25"/>
  <c r="NA48" i="25"/>
  <c r="NA47" i="25"/>
  <c r="NB47" i="25"/>
  <c r="NA46" i="25"/>
  <c r="NB46" i="25"/>
  <c r="NB44" i="25"/>
  <c r="NA44" i="25"/>
  <c r="NA42" i="25"/>
  <c r="NB42" i="25"/>
  <c r="NB40" i="25"/>
  <c r="NA40" i="25"/>
  <c r="NB38" i="25"/>
  <c r="NA38" i="25"/>
  <c r="NB36" i="25"/>
  <c r="NA36" i="25"/>
  <c r="NA34" i="25"/>
  <c r="NB34" i="25"/>
  <c r="NB32" i="25"/>
  <c r="NA32" i="25"/>
  <c r="NA30" i="25"/>
  <c r="NB30" i="25"/>
  <c r="NB28" i="25"/>
  <c r="NA28" i="25"/>
  <c r="NA26" i="25"/>
  <c r="NB26" i="25"/>
  <c r="NB24" i="25"/>
  <c r="NA24" i="25"/>
  <c r="NB22" i="25"/>
  <c r="NA22" i="25"/>
  <c r="NB20" i="25"/>
  <c r="NA20" i="25"/>
  <c r="NA19" i="25"/>
  <c r="NB19" i="25"/>
  <c r="NA17" i="25"/>
  <c r="NB17" i="25"/>
  <c r="MF120" i="25"/>
  <c r="MH120" i="25"/>
  <c r="MB120" i="25"/>
  <c r="MC120" i="25"/>
  <c r="LC120" i="25"/>
  <c r="MD120" i="25"/>
  <c r="MD117" i="25"/>
  <c r="MB117" i="25"/>
  <c r="MH117" i="25"/>
  <c r="MC117" i="25"/>
  <c r="MF117" i="25"/>
  <c r="LC117" i="25"/>
  <c r="MH114" i="25"/>
  <c r="MF114" i="25"/>
  <c r="MD114" i="25"/>
  <c r="MB114" i="25"/>
  <c r="LC114" i="25"/>
  <c r="MC114" i="25"/>
  <c r="MH111" i="25"/>
  <c r="MF111" i="25"/>
  <c r="MD111" i="25"/>
  <c r="LC111" i="25"/>
  <c r="MB111" i="25"/>
  <c r="MC111" i="25"/>
  <c r="MF108" i="25"/>
  <c r="MH108" i="25"/>
  <c r="MB108" i="25"/>
  <c r="MD108" i="25"/>
  <c r="MC108" i="25"/>
  <c r="LC108" i="25"/>
  <c r="MF105" i="25"/>
  <c r="MH105" i="25"/>
  <c r="MD105" i="25"/>
  <c r="MB105" i="25"/>
  <c r="MC105" i="25"/>
  <c r="LC105" i="25"/>
  <c r="MB102" i="25"/>
  <c r="MB99" i="25"/>
  <c r="MB96" i="25"/>
  <c r="MB93" i="25"/>
  <c r="LC93" i="25"/>
  <c r="MB89" i="25"/>
  <c r="MB86" i="25"/>
  <c r="MC86" i="25"/>
  <c r="MB84" i="25"/>
  <c r="MB81" i="25"/>
  <c r="MB78" i="25"/>
  <c r="MC78" i="25"/>
  <c r="MB75" i="25"/>
  <c r="MB73" i="25"/>
  <c r="MB68" i="25"/>
  <c r="MB65" i="25"/>
  <c r="MB62" i="25"/>
  <c r="LC62" i="25"/>
  <c r="LD62" i="25" s="1"/>
  <c r="MB59" i="25"/>
  <c r="MB56" i="25"/>
  <c r="MB53" i="25"/>
  <c r="MB51" i="25"/>
  <c r="MB48" i="25"/>
  <c r="MB46" i="25"/>
  <c r="MB45" i="25"/>
  <c r="MB44" i="25"/>
  <c r="MB41" i="25"/>
  <c r="MB40" i="25"/>
  <c r="MB39" i="25"/>
  <c r="MB38" i="25"/>
  <c r="MB37" i="25"/>
  <c r="MB36" i="25"/>
  <c r="MB35" i="25"/>
  <c r="MB34" i="25"/>
  <c r="MB33" i="25"/>
  <c r="MB32" i="25"/>
  <c r="MB31" i="25"/>
  <c r="MB30" i="25"/>
  <c r="MB29" i="25"/>
  <c r="MB28" i="25"/>
  <c r="MB27" i="25"/>
  <c r="MB26" i="25"/>
  <c r="MB25" i="25"/>
  <c r="MB24" i="25"/>
  <c r="MB23" i="25"/>
  <c r="MB22" i="25"/>
  <c r="MB21" i="25"/>
  <c r="MB20" i="25"/>
  <c r="MB19" i="25"/>
  <c r="MB18" i="25"/>
  <c r="MB17" i="25"/>
  <c r="MB16" i="25"/>
  <c r="MB15" i="25"/>
  <c r="MH118" i="25"/>
  <c r="MF118" i="25"/>
  <c r="MD118" i="25"/>
  <c r="MB118" i="25"/>
  <c r="LC118" i="25"/>
  <c r="MC118" i="25"/>
  <c r="MH115" i="25"/>
  <c r="MF115" i="25"/>
  <c r="MD115" i="25"/>
  <c r="MB115" i="25"/>
  <c r="LC115" i="25"/>
  <c r="MC115" i="25"/>
  <c r="MF112" i="25"/>
  <c r="MH112" i="25"/>
  <c r="MB112" i="25"/>
  <c r="MC112" i="25"/>
  <c r="MD112" i="25"/>
  <c r="LC112" i="25"/>
  <c r="MF109" i="25"/>
  <c r="MD109" i="25"/>
  <c r="MH109" i="25"/>
  <c r="MB109" i="25"/>
  <c r="MC109" i="25"/>
  <c r="LC109" i="25"/>
  <c r="MH106" i="25"/>
  <c r="MF106" i="25"/>
  <c r="MD106" i="25"/>
  <c r="MB106" i="25"/>
  <c r="LC106" i="25"/>
  <c r="MC106" i="25"/>
  <c r="MB103" i="25"/>
  <c r="MB100" i="25"/>
  <c r="MB97" i="25"/>
  <c r="MB94" i="25"/>
  <c r="MB91" i="25"/>
  <c r="MB88" i="25"/>
  <c r="MB83" i="25"/>
  <c r="MB80" i="25"/>
  <c r="MB77" i="25"/>
  <c r="MB74" i="25"/>
  <c r="MB71" i="25"/>
  <c r="MB69" i="25"/>
  <c r="MB66" i="25"/>
  <c r="MB63" i="25"/>
  <c r="MB60" i="25"/>
  <c r="MB57" i="25"/>
  <c r="MB54" i="25"/>
  <c r="MB50" i="25"/>
  <c r="MB42" i="25"/>
  <c r="MH119" i="25"/>
  <c r="MF119" i="25"/>
  <c r="MD119" i="25"/>
  <c r="MB119" i="25"/>
  <c r="LC119" i="25"/>
  <c r="MC119" i="25"/>
  <c r="MF116" i="25"/>
  <c r="MH116" i="25"/>
  <c r="MB116" i="25"/>
  <c r="MC116" i="25"/>
  <c r="MD116" i="25"/>
  <c r="LC116" i="25"/>
  <c r="MD113" i="25"/>
  <c r="MF113" i="25"/>
  <c r="MB113" i="25"/>
  <c r="MH113" i="25"/>
  <c r="MC113" i="25"/>
  <c r="LC113" i="25"/>
  <c r="MH110" i="25"/>
  <c r="MF110" i="25"/>
  <c r="MD110" i="25"/>
  <c r="MB110" i="25"/>
  <c r="LC110" i="25"/>
  <c r="MC110" i="25"/>
  <c r="MH107" i="25"/>
  <c r="MD107" i="25"/>
  <c r="LC107" i="25"/>
  <c r="MF107" i="25"/>
  <c r="MB107" i="25"/>
  <c r="MC107" i="25"/>
  <c r="MB104" i="25"/>
  <c r="MC104" i="25"/>
  <c r="MB101" i="25"/>
  <c r="MB98" i="25"/>
  <c r="LC95" i="25"/>
  <c r="MB95" i="25"/>
  <c r="MB92" i="25"/>
  <c r="LC92" i="25"/>
  <c r="MB90" i="25"/>
  <c r="MB87" i="25"/>
  <c r="LC87" i="25"/>
  <c r="MB85" i="25"/>
  <c r="MB82" i="25"/>
  <c r="LC82" i="25"/>
  <c r="MB79" i="25"/>
  <c r="MB76" i="25"/>
  <c r="MB72" i="25"/>
  <c r="MB70" i="25"/>
  <c r="MB67" i="25"/>
  <c r="MB64" i="25"/>
  <c r="MB61" i="25"/>
  <c r="MB58" i="25"/>
  <c r="MB55" i="25"/>
  <c r="MB52" i="25"/>
  <c r="MB49" i="25"/>
  <c r="MB47" i="25"/>
  <c r="MB43" i="25"/>
  <c r="LB15" i="25"/>
  <c r="LH118" i="25"/>
  <c r="LF118" i="25"/>
  <c r="LD118" i="25"/>
  <c r="LA118" i="25"/>
  <c r="LB118" i="25"/>
  <c r="LH115" i="25"/>
  <c r="LF115" i="25"/>
  <c r="LD115" i="25"/>
  <c r="LB115" i="25"/>
  <c r="LA115" i="25"/>
  <c r="LF112" i="25"/>
  <c r="LH112" i="25"/>
  <c r="LA112" i="25"/>
  <c r="LB112" i="25"/>
  <c r="LD112" i="25"/>
  <c r="LF109" i="25"/>
  <c r="LD109" i="25"/>
  <c r="LH109" i="25"/>
  <c r="LB109" i="25"/>
  <c r="LA109" i="25"/>
  <c r="LH106" i="25"/>
  <c r="LF106" i="25"/>
  <c r="LD106" i="25"/>
  <c r="LA106" i="25"/>
  <c r="LB106" i="25"/>
  <c r="LB103" i="25"/>
  <c r="LA103" i="25"/>
  <c r="LA100" i="25"/>
  <c r="LB100" i="25"/>
  <c r="LB97" i="25"/>
  <c r="LA97" i="25"/>
  <c r="LA94" i="25"/>
  <c r="LB94" i="25"/>
  <c r="LA90" i="25"/>
  <c r="LB90" i="25"/>
  <c r="LA86" i="25"/>
  <c r="LB86" i="25"/>
  <c r="LB83" i="25"/>
  <c r="LA83" i="25"/>
  <c r="LB81" i="25"/>
  <c r="LA81" i="25"/>
  <c r="LA78" i="25"/>
  <c r="LB78" i="25"/>
  <c r="LB77" i="25"/>
  <c r="LA77" i="25"/>
  <c r="LA76" i="25"/>
  <c r="LB76" i="25"/>
  <c r="LA74" i="25"/>
  <c r="LB74" i="25"/>
  <c r="LB73" i="25"/>
  <c r="LA73" i="25"/>
  <c r="LA72" i="25"/>
  <c r="LB72" i="25"/>
  <c r="LB71" i="25"/>
  <c r="LA71" i="25"/>
  <c r="LA70" i="25"/>
  <c r="LB70" i="25"/>
  <c r="LB69" i="25"/>
  <c r="LA69" i="25"/>
  <c r="LA68" i="25"/>
  <c r="LB68" i="25"/>
  <c r="LB67" i="25"/>
  <c r="LA67" i="25"/>
  <c r="LA66" i="25"/>
  <c r="LB66" i="25"/>
  <c r="LB65" i="25"/>
  <c r="LA65" i="25"/>
  <c r="LA64" i="25"/>
  <c r="LB64" i="25"/>
  <c r="LB63" i="25"/>
  <c r="LA63" i="25"/>
  <c r="LA62" i="25"/>
  <c r="LB62" i="25"/>
  <c r="LB61" i="25"/>
  <c r="LA61" i="25"/>
  <c r="LA60" i="25"/>
  <c r="LB60" i="25"/>
  <c r="LB59" i="25"/>
  <c r="LA59" i="25"/>
  <c r="LA58" i="25"/>
  <c r="LB58" i="25"/>
  <c r="LB57" i="25"/>
  <c r="LA57" i="25"/>
  <c r="LA56" i="25"/>
  <c r="LB56" i="25"/>
  <c r="LB55" i="25"/>
  <c r="LA55" i="25"/>
  <c r="LA54" i="25"/>
  <c r="LB54" i="25"/>
  <c r="LB53" i="25"/>
  <c r="LA53" i="25"/>
  <c r="LA52" i="25"/>
  <c r="LB52" i="25"/>
  <c r="LB51" i="25"/>
  <c r="LA51" i="25"/>
  <c r="LA50" i="25"/>
  <c r="LB50" i="25"/>
  <c r="LB49" i="25"/>
  <c r="LA49" i="25"/>
  <c r="LA48" i="25"/>
  <c r="LB48" i="25"/>
  <c r="LA47" i="25"/>
  <c r="LB47" i="25"/>
  <c r="LA46" i="25"/>
  <c r="LB46" i="25"/>
  <c r="LA45" i="25"/>
  <c r="LB45" i="25"/>
  <c r="LA44" i="25"/>
  <c r="LB44" i="25"/>
  <c r="LA43" i="25"/>
  <c r="LB43" i="25"/>
  <c r="LA42" i="25"/>
  <c r="LB42" i="25"/>
  <c r="LA41" i="25"/>
  <c r="LB41" i="25"/>
  <c r="LA40" i="25"/>
  <c r="LB40" i="25"/>
  <c r="LA39" i="25"/>
  <c r="LB39" i="25"/>
  <c r="LA38" i="25"/>
  <c r="LB38" i="25"/>
  <c r="LA37" i="25"/>
  <c r="LB37" i="25"/>
  <c r="LA36" i="25"/>
  <c r="LB36" i="25"/>
  <c r="LA35" i="25"/>
  <c r="LB35" i="25"/>
  <c r="LA34" i="25"/>
  <c r="LB34" i="25"/>
  <c r="LA33" i="25"/>
  <c r="LB33" i="25"/>
  <c r="LA32" i="25"/>
  <c r="LB32" i="25"/>
  <c r="LA31" i="25"/>
  <c r="LB31" i="25"/>
  <c r="LA30" i="25"/>
  <c r="LB30" i="25"/>
  <c r="LA29" i="25"/>
  <c r="LB29" i="25"/>
  <c r="LA28" i="25"/>
  <c r="LB28" i="25"/>
  <c r="LA27" i="25"/>
  <c r="LB27" i="25"/>
  <c r="LA26" i="25"/>
  <c r="LB26" i="25"/>
  <c r="LA25" i="25"/>
  <c r="LB25" i="25"/>
  <c r="LA24" i="25"/>
  <c r="LB24" i="25"/>
  <c r="LA23" i="25"/>
  <c r="LB23" i="25"/>
  <c r="LA22" i="25"/>
  <c r="LB22" i="25"/>
  <c r="LA21" i="25"/>
  <c r="LB21" i="25"/>
  <c r="LA20" i="25"/>
  <c r="LB20" i="25"/>
  <c r="LA19" i="25"/>
  <c r="LB19" i="25"/>
  <c r="LA18" i="25"/>
  <c r="LB18" i="25"/>
  <c r="LA17" i="25"/>
  <c r="LB17" i="25"/>
  <c r="LA16" i="25"/>
  <c r="LB16" i="25"/>
  <c r="LH119" i="25"/>
  <c r="LF119" i="25"/>
  <c r="LD119" i="25"/>
  <c r="LB119" i="25"/>
  <c r="LA119" i="25"/>
  <c r="LF116" i="25"/>
  <c r="LH116" i="25"/>
  <c r="LD116" i="25"/>
  <c r="LA116" i="25"/>
  <c r="LB116" i="25"/>
  <c r="LF113" i="25"/>
  <c r="LD113" i="25"/>
  <c r="LH113" i="25"/>
  <c r="LB113" i="25"/>
  <c r="LA113" i="25"/>
  <c r="LH110" i="25"/>
  <c r="LF110" i="25"/>
  <c r="LD110" i="25"/>
  <c r="LA110" i="25"/>
  <c r="LB110" i="25"/>
  <c r="LH107" i="25"/>
  <c r="LD107" i="25"/>
  <c r="LB107" i="25"/>
  <c r="LF107" i="25"/>
  <c r="LA107" i="25"/>
  <c r="LA104" i="25"/>
  <c r="LB104" i="25"/>
  <c r="LB101" i="25"/>
  <c r="LA101" i="25"/>
  <c r="LA98" i="25"/>
  <c r="LB98" i="25"/>
  <c r="LB95" i="25"/>
  <c r="LA95" i="25"/>
  <c r="LA92" i="25"/>
  <c r="LB92" i="25"/>
  <c r="LB91" i="25"/>
  <c r="LA91" i="25"/>
  <c r="LA88" i="25"/>
  <c r="LB88" i="25"/>
  <c r="LB85" i="25"/>
  <c r="LA85" i="25"/>
  <c r="LA82" i="25"/>
  <c r="LB82" i="25"/>
  <c r="LB79" i="25"/>
  <c r="LA79" i="25"/>
  <c r="LB75" i="25"/>
  <c r="LA75" i="25"/>
  <c r="LF120" i="25"/>
  <c r="LH120" i="25"/>
  <c r="LD120" i="25"/>
  <c r="LA120" i="25"/>
  <c r="LB120" i="25"/>
  <c r="LF117" i="25"/>
  <c r="LD117" i="25"/>
  <c r="LH117" i="25"/>
  <c r="LB117" i="25"/>
  <c r="LA117" i="25"/>
  <c r="LH114" i="25"/>
  <c r="LF114" i="25"/>
  <c r="LD114" i="25"/>
  <c r="LA114" i="25"/>
  <c r="LB114" i="25"/>
  <c r="LH111" i="25"/>
  <c r="LF111" i="25"/>
  <c r="LD111" i="25"/>
  <c r="LB111" i="25"/>
  <c r="LA111" i="25"/>
  <c r="LF108" i="25"/>
  <c r="LH108" i="25"/>
  <c r="LA108" i="25"/>
  <c r="LD108" i="25"/>
  <c r="LB108" i="25"/>
  <c r="LF105" i="25"/>
  <c r="LH105" i="25"/>
  <c r="LD105" i="25"/>
  <c r="LB105" i="25"/>
  <c r="LA105" i="25"/>
  <c r="LA102" i="25"/>
  <c r="LB102" i="25"/>
  <c r="LB99" i="25"/>
  <c r="LA99" i="25"/>
  <c r="LA96" i="25"/>
  <c r="LB96" i="25"/>
  <c r="LB93" i="25"/>
  <c r="LA93" i="25"/>
  <c r="LB89" i="25"/>
  <c r="LA89" i="25"/>
  <c r="LB87" i="25"/>
  <c r="LA87" i="25"/>
  <c r="LA84" i="25"/>
  <c r="LB84" i="25"/>
  <c r="LA80" i="25"/>
  <c r="LB80" i="25"/>
  <c r="KH119" i="25"/>
  <c r="KF119" i="25"/>
  <c r="KD119" i="25"/>
  <c r="KB119" i="25"/>
  <c r="KC119" i="25"/>
  <c r="KF116" i="25"/>
  <c r="KH116" i="25"/>
  <c r="KC116" i="25"/>
  <c r="KB116" i="25"/>
  <c r="KD116" i="25"/>
  <c r="KF113" i="25"/>
  <c r="KD113" i="25"/>
  <c r="KH113" i="25"/>
  <c r="KC113" i="25"/>
  <c r="KB113" i="25"/>
  <c r="KH110" i="25"/>
  <c r="KD110" i="25"/>
  <c r="KB110" i="25"/>
  <c r="KF110" i="25"/>
  <c r="KC110" i="25"/>
  <c r="KH107" i="25"/>
  <c r="KF107" i="25"/>
  <c r="KD107" i="25"/>
  <c r="KB107" i="25"/>
  <c r="KC107" i="25"/>
  <c r="KF105" i="25"/>
  <c r="KD105" i="25"/>
  <c r="KH105" i="25"/>
  <c r="KC105" i="25"/>
  <c r="KB105" i="25"/>
  <c r="KB102" i="25"/>
  <c r="KC100" i="25"/>
  <c r="KB100" i="25"/>
  <c r="KB98" i="25"/>
  <c r="KB96" i="25"/>
  <c r="KB94" i="25"/>
  <c r="KC94" i="25"/>
  <c r="KB92" i="25"/>
  <c r="KB90" i="25"/>
  <c r="KC90" i="25"/>
  <c r="KB88" i="25"/>
  <c r="KB86" i="25"/>
  <c r="KB84" i="25"/>
  <c r="KB82" i="25"/>
  <c r="KB80" i="25"/>
  <c r="KB78" i="25"/>
  <c r="KB76" i="25"/>
  <c r="KB75" i="25"/>
  <c r="KB73" i="25"/>
  <c r="KB71" i="25"/>
  <c r="KB69" i="25"/>
  <c r="KB68" i="25"/>
  <c r="KB65" i="25"/>
  <c r="KB62" i="25"/>
  <c r="KC62" i="25"/>
  <c r="KB59" i="25"/>
  <c r="KB57" i="25"/>
  <c r="KB54" i="25"/>
  <c r="KB50" i="25"/>
  <c r="KB48" i="25"/>
  <c r="KB45" i="25"/>
  <c r="KB42" i="25"/>
  <c r="KB38" i="25"/>
  <c r="KB35" i="25"/>
  <c r="KB33" i="25"/>
  <c r="KB30" i="25"/>
  <c r="KB28" i="25"/>
  <c r="KB27" i="25"/>
  <c r="KB26" i="25"/>
  <c r="KB25" i="25"/>
  <c r="KB22" i="25"/>
  <c r="KB21" i="25"/>
  <c r="KB20" i="25"/>
  <c r="KB19" i="25"/>
  <c r="KB18" i="25"/>
  <c r="KB17" i="25"/>
  <c r="KB16" i="25"/>
  <c r="KH120" i="25"/>
  <c r="KD120" i="25"/>
  <c r="KC120" i="25"/>
  <c r="KB120" i="25"/>
  <c r="KF120" i="25"/>
  <c r="KF117" i="25"/>
  <c r="KD117" i="25"/>
  <c r="KH117" i="25"/>
  <c r="KC117" i="25"/>
  <c r="KB117" i="25"/>
  <c r="KH114" i="25"/>
  <c r="KD114" i="25"/>
  <c r="KF114" i="25"/>
  <c r="KB114" i="25"/>
  <c r="KC114" i="25"/>
  <c r="KH111" i="25"/>
  <c r="KF111" i="25"/>
  <c r="KD111" i="25"/>
  <c r="KB111" i="25"/>
  <c r="KC111" i="25"/>
  <c r="KH108" i="25"/>
  <c r="KF108" i="25"/>
  <c r="KC108" i="25"/>
  <c r="KD108" i="25"/>
  <c r="KB108" i="25"/>
  <c r="KB103" i="25"/>
  <c r="KB66" i="25"/>
  <c r="KC66" i="25"/>
  <c r="KB63" i="25"/>
  <c r="KB60" i="25"/>
  <c r="KB56" i="25"/>
  <c r="KB53" i="25"/>
  <c r="KB51" i="25"/>
  <c r="KB47" i="25"/>
  <c r="KB44" i="25"/>
  <c r="KB41" i="25"/>
  <c r="KB39" i="25"/>
  <c r="KB36" i="25"/>
  <c r="KB34" i="25"/>
  <c r="KB31" i="25"/>
  <c r="KB29" i="25"/>
  <c r="KB24" i="25"/>
  <c r="KB15" i="25"/>
  <c r="KH118" i="25"/>
  <c r="KF118" i="25"/>
  <c r="KD118" i="25"/>
  <c r="KB118" i="25"/>
  <c r="KC118" i="25"/>
  <c r="KH115" i="25"/>
  <c r="KD115" i="25"/>
  <c r="KB115" i="25"/>
  <c r="KF115" i="25"/>
  <c r="KC115" i="25"/>
  <c r="KH112" i="25"/>
  <c r="KF112" i="25"/>
  <c r="KC112" i="25"/>
  <c r="KD112" i="25"/>
  <c r="KB112" i="25"/>
  <c r="KF109" i="25"/>
  <c r="KD109" i="25"/>
  <c r="KC109" i="25"/>
  <c r="KB109" i="25"/>
  <c r="KH109" i="25"/>
  <c r="KH106" i="25"/>
  <c r="KF106" i="25"/>
  <c r="KD106" i="25"/>
  <c r="KB106" i="25"/>
  <c r="KC106" i="25"/>
  <c r="KC104" i="25"/>
  <c r="KB104" i="25"/>
  <c r="KB101" i="25"/>
  <c r="KB99" i="25"/>
  <c r="KB97" i="25"/>
  <c r="KB95" i="25"/>
  <c r="KC93" i="25"/>
  <c r="KB93" i="25"/>
  <c r="KB91" i="25"/>
  <c r="KC91" i="25"/>
  <c r="KD91" i="25" s="1"/>
  <c r="KC89" i="25"/>
  <c r="KB89" i="25"/>
  <c r="KB87" i="25"/>
  <c r="KB85" i="25"/>
  <c r="KB83" i="25"/>
  <c r="KB81" i="25"/>
  <c r="KB79" i="25"/>
  <c r="KB77" i="25"/>
  <c r="KB74" i="25"/>
  <c r="KB72" i="25"/>
  <c r="KB70" i="25"/>
  <c r="KC70" i="25"/>
  <c r="KB67" i="25"/>
  <c r="KB64" i="25"/>
  <c r="KB61" i="25"/>
  <c r="KB58" i="25"/>
  <c r="KB55" i="25"/>
  <c r="KB52" i="25"/>
  <c r="KB49" i="25"/>
  <c r="KB46" i="25"/>
  <c r="KB43" i="25"/>
  <c r="KB40" i="25"/>
  <c r="KB37" i="25"/>
  <c r="KB32" i="25"/>
  <c r="KB23" i="25"/>
  <c r="JH118" i="25"/>
  <c r="JF118" i="25"/>
  <c r="JC118" i="25"/>
  <c r="JD118" i="25"/>
  <c r="JA118" i="25"/>
  <c r="JB118" i="25"/>
  <c r="JH115" i="25"/>
  <c r="JF115" i="25"/>
  <c r="JD115" i="25"/>
  <c r="JC115" i="25"/>
  <c r="JB115" i="25"/>
  <c r="JA115" i="25"/>
  <c r="JH111" i="25"/>
  <c r="JD111" i="25"/>
  <c r="JC111" i="25"/>
  <c r="JF111" i="25"/>
  <c r="JB111" i="25"/>
  <c r="JA111" i="25"/>
  <c r="JF108" i="25"/>
  <c r="JH108" i="25"/>
  <c r="JD108" i="25"/>
  <c r="JC108" i="25"/>
  <c r="JA108" i="25"/>
  <c r="JB108" i="25"/>
  <c r="JH106" i="25"/>
  <c r="JF106" i="25"/>
  <c r="JC106" i="25"/>
  <c r="JA106" i="25"/>
  <c r="JD106" i="25"/>
  <c r="JB106" i="25"/>
  <c r="JC104" i="25"/>
  <c r="JA104" i="25"/>
  <c r="JB104" i="25"/>
  <c r="JA102" i="25"/>
  <c r="JB102" i="25"/>
  <c r="JA100" i="25"/>
  <c r="JB100" i="25"/>
  <c r="JB99" i="25"/>
  <c r="JA99" i="25"/>
  <c r="JA98" i="25"/>
  <c r="JB98" i="25"/>
  <c r="JB97" i="25"/>
  <c r="JA97" i="25"/>
  <c r="JA96" i="25"/>
  <c r="JB96" i="25"/>
  <c r="JB95" i="25"/>
  <c r="JA95" i="25"/>
  <c r="JA94" i="25"/>
  <c r="JB94" i="25"/>
  <c r="JB93" i="25"/>
  <c r="JC93" i="25"/>
  <c r="JA93" i="25"/>
  <c r="JC92" i="25"/>
  <c r="JA92" i="25"/>
  <c r="JB92" i="25"/>
  <c r="JC91" i="25"/>
  <c r="JD91" i="25" s="1"/>
  <c r="JB91" i="25"/>
  <c r="JA91" i="25"/>
  <c r="JA90" i="25"/>
  <c r="JB90" i="25"/>
  <c r="JB89" i="25"/>
  <c r="JA89" i="25"/>
  <c r="JA88" i="25"/>
  <c r="JB88" i="25"/>
  <c r="JB87" i="25"/>
  <c r="JA87" i="25"/>
  <c r="JC86" i="25"/>
  <c r="JD86" i="25" s="1"/>
  <c r="JA86" i="25"/>
  <c r="JB86" i="25"/>
  <c r="JB85" i="25"/>
  <c r="JA85" i="25"/>
  <c r="JA84" i="25"/>
  <c r="JB84" i="25"/>
  <c r="JB83" i="25"/>
  <c r="JA83" i="25"/>
  <c r="JC82" i="25"/>
  <c r="JD82" i="25" s="1"/>
  <c r="JA82" i="25"/>
  <c r="JB82" i="25"/>
  <c r="JB81" i="25"/>
  <c r="JA81" i="25"/>
  <c r="JA80" i="25"/>
  <c r="JB80" i="25"/>
  <c r="JA79" i="25"/>
  <c r="JB79" i="25"/>
  <c r="JC78" i="25"/>
  <c r="JA78" i="25"/>
  <c r="JB78" i="25"/>
  <c r="JA77" i="25"/>
  <c r="JB77" i="25"/>
  <c r="JA76" i="25"/>
  <c r="JB76" i="25"/>
  <c r="JA75" i="25"/>
  <c r="JB75" i="25"/>
  <c r="JA74" i="25"/>
  <c r="JB74" i="25"/>
  <c r="JA73" i="25"/>
  <c r="JB73" i="25"/>
  <c r="JA72" i="25"/>
  <c r="JB72" i="25"/>
  <c r="JA71" i="25"/>
  <c r="JB71" i="25"/>
  <c r="JC70" i="25"/>
  <c r="JA70" i="25"/>
  <c r="JB70" i="25"/>
  <c r="JA69" i="25"/>
  <c r="JB69" i="25"/>
  <c r="JA68" i="25"/>
  <c r="JB68" i="25"/>
  <c r="JA67" i="25"/>
  <c r="JB67" i="25"/>
  <c r="JC66" i="25"/>
  <c r="JA66" i="25"/>
  <c r="JB66" i="25"/>
  <c r="JA65" i="25"/>
  <c r="JB65" i="25"/>
  <c r="JA64" i="25"/>
  <c r="JB64" i="25"/>
  <c r="JA63" i="25"/>
  <c r="JB63" i="25"/>
  <c r="JC62" i="25"/>
  <c r="JA62" i="25"/>
  <c r="JB62" i="25"/>
  <c r="JA61" i="25"/>
  <c r="JB61" i="25"/>
  <c r="JA60" i="25"/>
  <c r="JB60" i="25"/>
  <c r="JA59" i="25"/>
  <c r="JB59" i="25"/>
  <c r="JA58" i="25"/>
  <c r="JB58" i="25"/>
  <c r="JA57" i="25"/>
  <c r="JB57" i="25"/>
  <c r="JA56" i="25"/>
  <c r="JB56" i="25"/>
  <c r="JA55" i="25"/>
  <c r="JB55" i="25"/>
  <c r="JC54" i="25"/>
  <c r="JA54" i="25"/>
  <c r="JB54" i="25"/>
  <c r="JA53" i="25"/>
  <c r="JB53" i="25"/>
  <c r="JA52" i="25"/>
  <c r="JB52" i="25"/>
  <c r="JA51" i="25"/>
  <c r="JB51" i="25"/>
  <c r="JC50" i="25"/>
  <c r="JA50" i="25"/>
  <c r="JB50" i="25"/>
  <c r="JA49" i="25"/>
  <c r="JB49" i="25"/>
  <c r="JA48" i="25"/>
  <c r="JB48" i="25"/>
  <c r="JA47" i="25"/>
  <c r="JB47" i="25"/>
  <c r="JA46" i="25"/>
  <c r="JB46" i="25"/>
  <c r="JA45" i="25"/>
  <c r="JB45" i="25"/>
  <c r="JA44" i="25"/>
  <c r="JB44" i="25"/>
  <c r="JA43" i="25"/>
  <c r="JB43" i="25"/>
  <c r="JA42" i="25"/>
  <c r="JB42" i="25"/>
  <c r="JA41" i="25"/>
  <c r="JB41" i="25"/>
  <c r="JA40" i="25"/>
  <c r="JB40" i="25"/>
  <c r="JA39" i="25"/>
  <c r="JB39" i="25"/>
  <c r="JA38" i="25"/>
  <c r="JB38" i="25"/>
  <c r="JA37" i="25"/>
  <c r="JB37" i="25"/>
  <c r="JA36" i="25"/>
  <c r="JB36" i="25"/>
  <c r="JA35" i="25"/>
  <c r="JB35" i="25"/>
  <c r="JA34" i="25"/>
  <c r="JB34" i="25"/>
  <c r="JA33" i="25"/>
  <c r="JB33" i="25"/>
  <c r="JA32" i="25"/>
  <c r="JB32" i="25"/>
  <c r="JA31" i="25"/>
  <c r="JB31" i="25"/>
  <c r="JA30" i="25"/>
  <c r="JB30" i="25"/>
  <c r="JA29" i="25"/>
  <c r="JB29" i="25"/>
  <c r="JA28" i="25"/>
  <c r="JB28" i="25"/>
  <c r="JA27" i="25"/>
  <c r="JB27" i="25"/>
  <c r="JA26" i="25"/>
  <c r="JB26" i="25"/>
  <c r="JA25" i="25"/>
  <c r="JB25" i="25"/>
  <c r="JA24" i="25"/>
  <c r="JB24" i="25"/>
  <c r="JA23" i="25"/>
  <c r="JB23" i="25"/>
  <c r="JA22" i="25"/>
  <c r="JB22" i="25"/>
  <c r="JA21" i="25"/>
  <c r="JB21" i="25"/>
  <c r="JA20" i="25"/>
  <c r="JB20" i="25"/>
  <c r="JA19" i="25"/>
  <c r="JB19" i="25"/>
  <c r="JA18" i="25"/>
  <c r="JB18" i="25"/>
  <c r="JA17" i="25"/>
  <c r="JB17" i="25"/>
  <c r="JA16" i="25"/>
  <c r="JB16" i="25"/>
  <c r="JB15" i="25"/>
  <c r="JH119" i="25"/>
  <c r="JD119" i="25"/>
  <c r="JC119" i="25"/>
  <c r="JF119" i="25"/>
  <c r="JB119" i="25"/>
  <c r="JA119" i="25"/>
  <c r="JF116" i="25"/>
  <c r="JH116" i="25"/>
  <c r="JD116" i="25"/>
  <c r="JC116" i="25"/>
  <c r="JA116" i="25"/>
  <c r="JB116" i="25"/>
  <c r="JH113" i="25"/>
  <c r="JD113" i="25"/>
  <c r="JB113" i="25"/>
  <c r="JF113" i="25"/>
  <c r="JC113" i="25"/>
  <c r="JA113" i="25"/>
  <c r="JH109" i="25"/>
  <c r="JF109" i="25"/>
  <c r="JD109" i="25"/>
  <c r="JB109" i="25"/>
  <c r="JC109" i="25"/>
  <c r="JA109" i="25"/>
  <c r="JH105" i="25"/>
  <c r="JD105" i="25"/>
  <c r="JF105" i="25"/>
  <c r="JC105" i="25"/>
  <c r="JB105" i="25"/>
  <c r="JA105" i="25"/>
  <c r="JB101" i="25"/>
  <c r="JA101" i="25"/>
  <c r="JF120" i="25"/>
  <c r="JH120" i="25"/>
  <c r="JD120" i="25"/>
  <c r="JC120" i="25"/>
  <c r="JA120" i="25"/>
  <c r="JB120" i="25"/>
  <c r="JF117" i="25"/>
  <c r="JD117" i="25"/>
  <c r="JH117" i="25"/>
  <c r="JB117" i="25"/>
  <c r="JA117" i="25"/>
  <c r="JC117" i="25"/>
  <c r="JH114" i="25"/>
  <c r="JF114" i="25"/>
  <c r="JC114" i="25"/>
  <c r="JD114" i="25"/>
  <c r="JA114" i="25"/>
  <c r="JB114" i="25"/>
  <c r="JF112" i="25"/>
  <c r="JH112" i="25"/>
  <c r="JD112" i="25"/>
  <c r="JC112" i="25"/>
  <c r="JA112" i="25"/>
  <c r="JB112" i="25"/>
  <c r="JH110" i="25"/>
  <c r="JF110" i="25"/>
  <c r="JC110" i="25"/>
  <c r="JD110" i="25"/>
  <c r="JA110" i="25"/>
  <c r="JB110" i="25"/>
  <c r="JH107" i="25"/>
  <c r="JF107" i="25"/>
  <c r="JD107" i="25"/>
  <c r="JC107" i="25"/>
  <c r="JB107" i="25"/>
  <c r="JA107" i="25"/>
  <c r="JB103" i="25"/>
  <c r="JA103" i="25"/>
  <c r="IB15" i="25"/>
  <c r="DP120" i="25"/>
  <c r="DP119" i="25"/>
  <c r="DP118" i="25"/>
  <c r="DP117" i="25"/>
  <c r="DP116" i="25"/>
  <c r="DP115" i="25"/>
  <c r="DP114" i="25"/>
  <c r="DP113" i="25"/>
  <c r="DP112" i="25"/>
  <c r="DP111" i="25"/>
  <c r="DP110" i="25"/>
  <c r="DP109" i="25"/>
  <c r="DP108" i="25"/>
  <c r="DP107" i="25"/>
  <c r="DP106" i="25"/>
  <c r="DP105" i="25"/>
  <c r="IC50" i="25"/>
  <c r="IE50" i="25" s="1"/>
  <c r="IB50" i="25"/>
  <c r="IB49" i="25"/>
  <c r="IB48" i="25"/>
  <c r="IB47" i="25"/>
  <c r="IB46" i="25"/>
  <c r="IB45" i="25"/>
  <c r="IB44" i="25"/>
  <c r="IB43" i="25"/>
  <c r="IB42" i="25"/>
  <c r="IB41" i="25"/>
  <c r="IB40" i="25"/>
  <c r="IB39" i="25"/>
  <c r="IB38" i="25"/>
  <c r="IB37" i="25"/>
  <c r="IB36" i="25"/>
  <c r="IB35" i="25"/>
  <c r="IB34" i="25"/>
  <c r="IB33" i="25"/>
  <c r="IB32" i="25"/>
  <c r="IB31" i="25"/>
  <c r="IB30" i="25"/>
  <c r="IB29" i="25"/>
  <c r="IB28" i="25"/>
  <c r="IB27" i="25"/>
  <c r="IB26" i="25"/>
  <c r="IB25" i="25"/>
  <c r="IB24" i="25"/>
  <c r="IB23" i="25"/>
  <c r="IB22" i="25"/>
  <c r="IB21" i="25"/>
  <c r="IB20" i="25"/>
  <c r="IB19" i="25"/>
  <c r="IB18" i="25"/>
  <c r="IB17" i="25"/>
  <c r="IB16" i="25"/>
  <c r="FB15" i="25"/>
  <c r="FC15" i="25" s="1"/>
  <c r="FD120" i="25"/>
  <c r="FH120" i="25"/>
  <c r="FB120" i="25"/>
  <c r="FH119" i="25"/>
  <c r="FB119" i="25"/>
  <c r="FD119" i="25"/>
  <c r="FH118" i="25"/>
  <c r="FD118" i="25"/>
  <c r="FB118" i="25"/>
  <c r="FD117" i="25"/>
  <c r="FB117" i="25"/>
  <c r="FH117" i="25"/>
  <c r="FD116" i="25"/>
  <c r="FB116" i="25"/>
  <c r="FH116" i="25"/>
  <c r="FH115" i="25"/>
  <c r="FB115" i="25"/>
  <c r="FD115" i="25"/>
  <c r="FH114" i="25"/>
  <c r="FD114" i="25"/>
  <c r="FB114" i="25"/>
  <c r="FD113" i="25"/>
  <c r="FH113" i="25"/>
  <c r="FB113" i="25"/>
  <c r="FD112" i="25"/>
  <c r="FH112" i="25"/>
  <c r="FB112" i="25"/>
  <c r="FC112" i="25"/>
  <c r="FH111" i="25"/>
  <c r="FB111" i="25"/>
  <c r="FC111" i="25"/>
  <c r="FD111" i="25"/>
  <c r="FH110" i="25"/>
  <c r="FD110" i="25"/>
  <c r="FC110" i="25"/>
  <c r="FB110" i="25"/>
  <c r="FD109" i="25"/>
  <c r="FC109" i="25"/>
  <c r="FB109" i="25"/>
  <c r="FH109" i="25"/>
  <c r="FD108" i="25"/>
  <c r="FH108" i="25"/>
  <c r="FC108" i="25"/>
  <c r="FB108" i="25"/>
  <c r="FH107" i="25"/>
  <c r="FB107" i="25"/>
  <c r="FD107" i="25"/>
  <c r="FC107" i="25"/>
  <c r="FH106" i="25"/>
  <c r="FD106" i="25"/>
  <c r="FC106" i="25"/>
  <c r="FB106" i="25"/>
  <c r="FD105" i="25"/>
  <c r="FC105" i="25"/>
  <c r="FH105" i="25"/>
  <c r="FB105" i="25"/>
  <c r="FB104" i="25"/>
  <c r="FC104" i="25"/>
  <c r="FD104" i="25" s="1"/>
  <c r="FB103" i="25"/>
  <c r="FC103" i="25"/>
  <c r="FD103" i="25" s="1"/>
  <c r="FC102" i="25"/>
  <c r="FH102" i="25" s="1"/>
  <c r="FB102" i="25"/>
  <c r="FC101" i="25"/>
  <c r="FB101" i="25"/>
  <c r="FC100" i="25"/>
  <c r="FH100" i="25" s="1"/>
  <c r="FB100" i="25"/>
  <c r="FC98" i="25"/>
  <c r="FB98" i="25"/>
  <c r="FB95" i="25"/>
  <c r="FC95" i="25"/>
  <c r="FD95" i="25" s="1"/>
  <c r="FC89" i="25"/>
  <c r="FB89" i="25"/>
  <c r="FB88" i="25"/>
  <c r="FC88" i="25"/>
  <c r="FH88" i="25" s="1"/>
  <c r="FC86" i="25"/>
  <c r="FD86" i="25" s="1"/>
  <c r="FB86" i="25"/>
  <c r="FC84" i="25"/>
  <c r="FH84" i="25" s="1"/>
  <c r="FB84" i="25"/>
  <c r="FC82" i="25"/>
  <c r="FH82" i="25" s="1"/>
  <c r="FB82" i="25"/>
  <c r="FB80" i="25"/>
  <c r="FC80" i="25"/>
  <c r="FD80" i="25" s="1"/>
  <c r="FC78" i="25"/>
  <c r="FH78" i="25" s="1"/>
  <c r="FB78" i="25"/>
  <c r="FC76" i="25"/>
  <c r="FB76" i="25"/>
  <c r="FB75" i="25"/>
  <c r="FC75" i="25"/>
  <c r="FD75" i="25" s="1"/>
  <c r="FC74" i="25"/>
  <c r="FB74" i="25"/>
  <c r="FB72" i="25"/>
  <c r="FC72" i="25"/>
  <c r="FH72" i="25" s="1"/>
  <c r="FB71" i="25"/>
  <c r="FC71" i="25"/>
  <c r="FD71" i="25" s="1"/>
  <c r="FB70" i="25"/>
  <c r="FC70" i="25"/>
  <c r="FD70" i="25" s="1"/>
  <c r="FC69" i="25"/>
  <c r="FH69" i="25" s="1"/>
  <c r="FB69" i="25"/>
  <c r="FC68" i="25"/>
  <c r="FD68" i="25" s="1"/>
  <c r="FB68" i="25"/>
  <c r="FB67" i="25"/>
  <c r="FC67" i="25"/>
  <c r="FD67" i="25" s="1"/>
  <c r="FC66" i="25"/>
  <c r="FD66" i="25" s="1"/>
  <c r="FB66" i="25"/>
  <c r="FC65" i="25"/>
  <c r="FH65" i="25" s="1"/>
  <c r="FB65" i="25"/>
  <c r="FB64" i="25"/>
  <c r="FC64" i="25"/>
  <c r="FD64" i="25" s="1"/>
  <c r="FB63" i="25"/>
  <c r="FC63" i="25"/>
  <c r="FB62" i="25"/>
  <c r="FC62" i="25"/>
  <c r="FH62" i="25" s="1"/>
  <c r="FC61" i="25"/>
  <c r="FB61" i="25"/>
  <c r="FB60" i="25"/>
  <c r="FC60" i="25"/>
  <c r="FD60" i="25" s="1"/>
  <c r="FB59" i="25"/>
  <c r="FC59" i="25"/>
  <c r="FH59" i="25" s="1"/>
  <c r="FC58" i="25"/>
  <c r="FD58" i="25" s="1"/>
  <c r="FB58" i="25"/>
  <c r="FC57" i="25"/>
  <c r="FH57" i="25" s="1"/>
  <c r="FB57" i="25"/>
  <c r="FC56" i="25"/>
  <c r="FH56" i="25" s="1"/>
  <c r="FB56" i="25"/>
  <c r="FB55" i="25"/>
  <c r="FC55" i="25"/>
  <c r="FD55" i="25" s="1"/>
  <c r="FB54" i="25"/>
  <c r="FC54" i="25"/>
  <c r="FH54" i="25" s="1"/>
  <c r="FC53" i="25"/>
  <c r="FB53" i="25"/>
  <c r="FB52" i="25"/>
  <c r="FC52" i="25"/>
  <c r="FH52" i="25" s="1"/>
  <c r="FB51" i="25"/>
  <c r="FC51" i="25"/>
  <c r="FD51" i="25" s="1"/>
  <c r="FC50" i="25"/>
  <c r="FD50" i="25" s="1"/>
  <c r="FB50" i="25"/>
  <c r="FB49" i="25"/>
  <c r="FC49" i="25" s="1"/>
  <c r="FH49" i="25" s="1"/>
  <c r="FB48" i="25"/>
  <c r="FC48" i="25" s="1"/>
  <c r="FD48" i="25" s="1"/>
  <c r="FB47" i="25"/>
  <c r="FC47" i="25" s="1"/>
  <c r="FB46" i="25"/>
  <c r="FC46" i="25" s="1"/>
  <c r="FH46" i="25" s="1"/>
  <c r="FB45" i="25"/>
  <c r="FC45" i="25" s="1"/>
  <c r="FH45" i="25" s="1"/>
  <c r="FB44" i="25"/>
  <c r="FC44" i="25" s="1"/>
  <c r="FD44" i="25" s="1"/>
  <c r="FB43" i="25"/>
  <c r="FC43" i="25" s="1"/>
  <c r="FH43" i="25" s="1"/>
  <c r="FB42" i="25"/>
  <c r="FC42" i="25" s="1"/>
  <c r="FH42" i="25" s="1"/>
  <c r="FB41" i="25"/>
  <c r="FC41" i="25" s="1"/>
  <c r="FH41" i="25" s="1"/>
  <c r="FB40" i="25"/>
  <c r="FC40" i="25" s="1"/>
  <c r="FH40" i="25" s="1"/>
  <c r="FB39" i="25"/>
  <c r="FC39" i="25" s="1"/>
  <c r="FD39" i="25" s="1"/>
  <c r="FB38" i="25"/>
  <c r="FC38" i="25" s="1"/>
  <c r="FH38" i="25" s="1"/>
  <c r="FB37" i="25"/>
  <c r="FC37" i="25" s="1"/>
  <c r="FH37" i="25" s="1"/>
  <c r="FC36" i="25"/>
  <c r="FH36" i="25" s="1"/>
  <c r="FB36" i="25"/>
  <c r="FB35" i="25"/>
  <c r="FC35" i="25" s="1"/>
  <c r="FH35" i="25" s="1"/>
  <c r="FR35" i="25" s="1"/>
  <c r="FB34" i="25"/>
  <c r="FC34" i="25" s="1"/>
  <c r="FH34" i="25" s="1"/>
  <c r="FB33" i="25"/>
  <c r="FC33" i="25" s="1"/>
  <c r="FD33" i="25" s="1"/>
  <c r="FB32" i="25"/>
  <c r="FC32" i="25" s="1"/>
  <c r="FH32" i="25" s="1"/>
  <c r="FB31" i="25"/>
  <c r="FC31" i="25" s="1"/>
  <c r="FH31" i="25" s="1"/>
  <c r="FB30" i="25"/>
  <c r="FC30" i="25" s="1"/>
  <c r="FD30" i="25" s="1"/>
  <c r="FB29" i="25"/>
  <c r="FC29" i="25" s="1"/>
  <c r="FH29" i="25" s="1"/>
  <c r="FC28" i="25"/>
  <c r="FH28" i="25" s="1"/>
  <c r="FB28" i="25"/>
  <c r="FB27" i="25"/>
  <c r="FC27" i="25" s="1"/>
  <c r="FH27" i="25" s="1"/>
  <c r="FB26" i="25"/>
  <c r="FC26" i="25" s="1"/>
  <c r="FD26" i="25" s="1"/>
  <c r="FB25" i="25"/>
  <c r="FC25" i="25" s="1"/>
  <c r="FH25" i="25" s="1"/>
  <c r="FB24" i="25"/>
  <c r="FC24" i="25" s="1"/>
  <c r="FH24" i="25" s="1"/>
  <c r="FB23" i="25"/>
  <c r="FC23" i="25" s="1"/>
  <c r="FH23" i="25" s="1"/>
  <c r="FB22" i="25"/>
  <c r="FC22" i="25" s="1"/>
  <c r="FH22" i="25" s="1"/>
  <c r="FB21" i="25"/>
  <c r="FC21" i="25" s="1"/>
  <c r="FD21" i="25" s="1"/>
  <c r="FB20" i="25"/>
  <c r="FC20" i="25" s="1"/>
  <c r="FD20" i="25" s="1"/>
  <c r="FB19" i="25"/>
  <c r="FC19" i="25" s="1"/>
  <c r="FH19" i="25" s="1"/>
  <c r="FB18" i="25"/>
  <c r="FC18" i="25" s="1"/>
  <c r="FB17" i="25"/>
  <c r="FC17" i="25" s="1"/>
  <c r="FH17" i="25" s="1"/>
  <c r="FB16" i="25"/>
  <c r="FC16" i="25" s="1"/>
  <c r="FH16" i="25" s="1"/>
  <c r="FB99" i="25"/>
  <c r="FC99" i="25"/>
  <c r="FD99" i="25" s="1"/>
  <c r="BR99" i="25" s="1"/>
  <c r="FC97" i="25"/>
  <c r="FD97" i="25" s="1"/>
  <c r="BR97" i="25" s="1"/>
  <c r="FB97" i="25"/>
  <c r="FB96" i="25"/>
  <c r="FC96" i="25"/>
  <c r="FD96" i="25" s="1"/>
  <c r="FC94" i="25"/>
  <c r="FH94" i="25" s="1"/>
  <c r="FB94" i="25"/>
  <c r="FC93" i="25"/>
  <c r="FD93" i="25" s="1"/>
  <c r="BR93" i="25" s="1"/>
  <c r="FB93" i="25"/>
  <c r="FC92" i="25"/>
  <c r="FD92" i="25" s="1"/>
  <c r="BR92" i="25" s="1"/>
  <c r="FB92" i="25"/>
  <c r="FB91" i="25"/>
  <c r="FC91" i="25"/>
  <c r="FH91" i="25" s="1"/>
  <c r="FR91" i="25" s="1"/>
  <c r="FC90" i="25"/>
  <c r="FD90" i="25" s="1"/>
  <c r="FB90" i="25"/>
  <c r="FB87" i="25"/>
  <c r="FC87" i="25"/>
  <c r="FD87" i="25" s="1"/>
  <c r="FC85" i="25"/>
  <c r="FH85" i="25" s="1"/>
  <c r="FR85" i="25" s="1"/>
  <c r="FB85" i="25"/>
  <c r="FB83" i="25"/>
  <c r="FC83" i="25"/>
  <c r="FD83" i="25" s="1"/>
  <c r="FC81" i="25"/>
  <c r="FH81" i="25" s="1"/>
  <c r="FB81" i="25"/>
  <c r="FB79" i="25"/>
  <c r="FC79" i="25"/>
  <c r="FD79" i="25" s="1"/>
  <c r="FC77" i="25"/>
  <c r="FH77" i="25" s="1"/>
  <c r="FB77" i="25"/>
  <c r="FC73" i="25"/>
  <c r="FH73" i="25" s="1"/>
  <c r="FB73" i="25"/>
  <c r="EP119" i="25"/>
  <c r="EP116" i="25"/>
  <c r="EP111" i="25"/>
  <c r="EP109" i="25"/>
  <c r="EP106" i="25"/>
  <c r="EP118" i="25"/>
  <c r="EP114" i="25"/>
  <c r="EP112" i="25"/>
  <c r="EP108" i="25"/>
  <c r="EP105" i="25"/>
  <c r="EP120" i="25"/>
  <c r="EP117" i="25"/>
  <c r="EP115" i="25"/>
  <c r="EP113" i="25"/>
  <c r="EP110" i="25"/>
  <c r="EP107" i="25"/>
  <c r="W119" i="25"/>
  <c r="U119" i="25"/>
  <c r="W115" i="25"/>
  <c r="U115" i="25"/>
  <c r="W111" i="25"/>
  <c r="U111" i="25"/>
  <c r="W107" i="25"/>
  <c r="U107" i="25"/>
  <c r="W116" i="25"/>
  <c r="U116" i="25"/>
  <c r="W112" i="25"/>
  <c r="U112" i="25"/>
  <c r="W108" i="25"/>
  <c r="U108" i="25"/>
  <c r="W120" i="25"/>
  <c r="U120" i="25"/>
  <c r="W117" i="25"/>
  <c r="U117" i="25"/>
  <c r="W113" i="25"/>
  <c r="U113" i="25"/>
  <c r="W109" i="25"/>
  <c r="U109" i="25"/>
  <c r="W105" i="25"/>
  <c r="U105" i="25"/>
  <c r="W118" i="25"/>
  <c r="U118" i="25"/>
  <c r="W114" i="25"/>
  <c r="U114" i="25"/>
  <c r="W110" i="25"/>
  <c r="U110" i="25"/>
  <c r="W106" i="25"/>
  <c r="U106" i="25"/>
  <c r="AH119" i="25"/>
  <c r="AH115" i="25"/>
  <c r="X115" i="19"/>
  <c r="AH111" i="25"/>
  <c r="X111" i="19"/>
  <c r="AH108" i="25"/>
  <c r="AH120" i="25"/>
  <c r="X120" i="19"/>
  <c r="AH117" i="25"/>
  <c r="X117" i="19"/>
  <c r="AH112" i="25"/>
  <c r="AH106" i="25"/>
  <c r="X106" i="19"/>
  <c r="AH118" i="25"/>
  <c r="AH114" i="25"/>
  <c r="X114" i="19"/>
  <c r="AH110" i="25"/>
  <c r="X110" i="19"/>
  <c r="AH109" i="25"/>
  <c r="AH105" i="25"/>
  <c r="X105" i="19"/>
  <c r="AH90" i="25"/>
  <c r="AH116" i="25"/>
  <c r="X116" i="19"/>
  <c r="AH113" i="25"/>
  <c r="AH107" i="25"/>
  <c r="X107" i="19"/>
  <c r="ER117" i="25"/>
  <c r="ER113" i="25"/>
  <c r="ER109" i="25"/>
  <c r="ER107" i="25"/>
  <c r="ER119" i="25"/>
  <c r="ER115" i="25"/>
  <c r="ER111" i="25"/>
  <c r="ER106" i="25"/>
  <c r="ER120" i="25"/>
  <c r="ER116" i="25"/>
  <c r="ER112" i="25"/>
  <c r="ER108" i="25"/>
  <c r="ER118" i="25"/>
  <c r="ER114" i="25"/>
  <c r="ER110" i="25"/>
  <c r="ER105" i="25"/>
  <c r="EQ120" i="25"/>
  <c r="EO120" i="25"/>
  <c r="EQ116" i="25"/>
  <c r="EO116" i="25"/>
  <c r="EO113" i="25"/>
  <c r="EQ113" i="25"/>
  <c r="EQ111" i="25"/>
  <c r="EO111" i="25"/>
  <c r="EO106" i="25"/>
  <c r="EQ106" i="25"/>
  <c r="EO118" i="25"/>
  <c r="EQ118" i="25"/>
  <c r="EO114" i="25"/>
  <c r="EQ114" i="25"/>
  <c r="EO110" i="25"/>
  <c r="EQ110" i="25"/>
  <c r="EO117" i="25"/>
  <c r="EQ117" i="25"/>
  <c r="EQ112" i="25"/>
  <c r="EO112" i="25"/>
  <c r="EQ108" i="25"/>
  <c r="EO108" i="25"/>
  <c r="EQ107" i="25"/>
  <c r="EO107" i="25"/>
  <c r="EO105" i="25"/>
  <c r="EQ105" i="25"/>
  <c r="EQ119" i="25"/>
  <c r="EO119" i="25"/>
  <c r="EQ115" i="25"/>
  <c r="EO115" i="25"/>
  <c r="EO109" i="25"/>
  <c r="EQ109" i="25"/>
  <c r="AD179" i="37"/>
  <c r="AD181" i="37"/>
  <c r="AD172" i="37"/>
  <c r="AD167" i="37"/>
  <c r="AD166" i="37"/>
  <c r="AD160" i="37"/>
  <c r="AD150" i="37"/>
  <c r="AD153" i="37"/>
  <c r="AD134" i="37"/>
  <c r="AD127" i="37"/>
  <c r="AD128" i="37"/>
  <c r="AD81" i="37"/>
  <c r="AD82" i="37"/>
  <c r="AD74" i="37"/>
  <c r="AD94" i="37"/>
  <c r="AD101" i="37"/>
  <c r="AD180" i="37"/>
  <c r="AD174" i="37"/>
  <c r="AD175" i="37"/>
  <c r="AD168" i="37"/>
  <c r="AD170" i="37"/>
  <c r="AD161" i="37"/>
  <c r="AD156" i="37"/>
  <c r="AD155" i="37"/>
  <c r="AD136" i="37"/>
  <c r="AD126" i="37"/>
  <c r="AD129" i="37"/>
  <c r="AD90" i="37"/>
  <c r="AD78" i="37"/>
  <c r="AD93" i="37"/>
  <c r="AD104" i="37"/>
  <c r="AD92" i="37"/>
  <c r="AD182" i="37"/>
  <c r="AD173" i="37"/>
  <c r="AD176" i="37"/>
  <c r="AD169" i="37"/>
  <c r="AD163" i="37"/>
  <c r="AD164" i="37"/>
  <c r="AD157" i="37"/>
  <c r="AD159" i="37"/>
  <c r="AD149" i="37"/>
  <c r="AD132" i="37"/>
  <c r="AD131" i="37"/>
  <c r="AD112" i="37"/>
  <c r="AD73" i="37"/>
  <c r="AD80" i="37"/>
  <c r="AD102" i="37"/>
  <c r="AD103" i="37"/>
  <c r="AD95" i="37"/>
  <c r="B61" i="18"/>
  <c r="D61" i="18" s="1"/>
  <c r="AD178" i="37"/>
  <c r="AD177" i="37"/>
  <c r="AD171" i="37"/>
  <c r="AD162" i="37"/>
  <c r="AD165" i="37"/>
  <c r="AD158" i="37"/>
  <c r="AD151" i="37"/>
  <c r="AD152" i="37"/>
  <c r="AD133" i="37"/>
  <c r="AF135" i="37"/>
  <c r="AD125" i="37"/>
  <c r="AD72" i="37"/>
  <c r="AD83" i="37"/>
  <c r="AD111" i="37"/>
  <c r="AD99" i="37"/>
  <c r="W11" i="3"/>
  <c r="B115" i="12"/>
  <c r="B111" i="12"/>
  <c r="D51" i="18"/>
  <c r="E18" i="22" s="1"/>
  <c r="JG119" i="25"/>
  <c r="JG115" i="25"/>
  <c r="JG111" i="25"/>
  <c r="JG107" i="25"/>
  <c r="JG118" i="25"/>
  <c r="JG113" i="25"/>
  <c r="JG109" i="25"/>
  <c r="JG105" i="25"/>
  <c r="JG117" i="25"/>
  <c r="JG114" i="25"/>
  <c r="JG110" i="25"/>
  <c r="JG106" i="25"/>
  <c r="JG120" i="25"/>
  <c r="JG116" i="25"/>
  <c r="JG112" i="25"/>
  <c r="JG108" i="25"/>
  <c r="B59" i="12"/>
  <c r="B63" i="12"/>
  <c r="B89" i="12"/>
  <c r="B85" i="12"/>
  <c r="NN120" i="25"/>
  <c r="MN120" i="25"/>
  <c r="LN120" i="25"/>
  <c r="NM120" i="25"/>
  <c r="MM120" i="25"/>
  <c r="LM120" i="25"/>
  <c r="KN120" i="25"/>
  <c r="JN120" i="25"/>
  <c r="KM120" i="25"/>
  <c r="JM120" i="25"/>
  <c r="NN116" i="25"/>
  <c r="MN116" i="25"/>
  <c r="LN116" i="25"/>
  <c r="NM116" i="25"/>
  <c r="MM116" i="25"/>
  <c r="LM116" i="25"/>
  <c r="KN116" i="25"/>
  <c r="JN116" i="25"/>
  <c r="KM116" i="25"/>
  <c r="JM116" i="25"/>
  <c r="NM111" i="25"/>
  <c r="MM111" i="25"/>
  <c r="LM111" i="25"/>
  <c r="NN111" i="25"/>
  <c r="MN111" i="25"/>
  <c r="LN111" i="25"/>
  <c r="KN111" i="25"/>
  <c r="JN111" i="25"/>
  <c r="KM111" i="25"/>
  <c r="JM111" i="25"/>
  <c r="NM107" i="25"/>
  <c r="MM107" i="25"/>
  <c r="LM107" i="25"/>
  <c r="NN107" i="25"/>
  <c r="MN107" i="25"/>
  <c r="LN107" i="25"/>
  <c r="KN107" i="25"/>
  <c r="JN107" i="25"/>
  <c r="KM107" i="25"/>
  <c r="JM107" i="25"/>
  <c r="NM119" i="25"/>
  <c r="MM119" i="25"/>
  <c r="LM119" i="25"/>
  <c r="NN119" i="25"/>
  <c r="MN119" i="25"/>
  <c r="LN119" i="25"/>
  <c r="KN119" i="25"/>
  <c r="JN119" i="25"/>
  <c r="KM119" i="25"/>
  <c r="JM119" i="25"/>
  <c r="NM115" i="25"/>
  <c r="MM115" i="25"/>
  <c r="LM115" i="25"/>
  <c r="NN115" i="25"/>
  <c r="MN115" i="25"/>
  <c r="LN115" i="25"/>
  <c r="KN115" i="25"/>
  <c r="JN115" i="25"/>
  <c r="KM115" i="25"/>
  <c r="JM115" i="25"/>
  <c r="NN112" i="25"/>
  <c r="MN112" i="25"/>
  <c r="LN112" i="25"/>
  <c r="NM112" i="25"/>
  <c r="MM112" i="25"/>
  <c r="LM112" i="25"/>
  <c r="KN112" i="25"/>
  <c r="JN112" i="25"/>
  <c r="KM112" i="25"/>
  <c r="JM112" i="25"/>
  <c r="NN108" i="25"/>
  <c r="MN108" i="25"/>
  <c r="LN108" i="25"/>
  <c r="NM108" i="25"/>
  <c r="MM108" i="25"/>
  <c r="LM108" i="25"/>
  <c r="KN108" i="25"/>
  <c r="JN108" i="25"/>
  <c r="KM108" i="25"/>
  <c r="JM108" i="25"/>
  <c r="AB19" i="25"/>
  <c r="NN117" i="25"/>
  <c r="MN117" i="25"/>
  <c r="LN117" i="25"/>
  <c r="NM117" i="25"/>
  <c r="MM117" i="25"/>
  <c r="LM117" i="25"/>
  <c r="KM117" i="25"/>
  <c r="JM117" i="25"/>
  <c r="KN117" i="25"/>
  <c r="JN117" i="25"/>
  <c r="NN113" i="25"/>
  <c r="MN113" i="25"/>
  <c r="LN113" i="25"/>
  <c r="NM113" i="25"/>
  <c r="MM113" i="25"/>
  <c r="LM113" i="25"/>
  <c r="KM113" i="25"/>
  <c r="JM113" i="25"/>
  <c r="KN113" i="25"/>
  <c r="JN113" i="25"/>
  <c r="NN109" i="25"/>
  <c r="MN109" i="25"/>
  <c r="LN109" i="25"/>
  <c r="NM109" i="25"/>
  <c r="MM109" i="25"/>
  <c r="LM109" i="25"/>
  <c r="KM109" i="25"/>
  <c r="JM109" i="25"/>
  <c r="KN109" i="25"/>
  <c r="JN109" i="25"/>
  <c r="NN105" i="25"/>
  <c r="MN105" i="25"/>
  <c r="LN105" i="25"/>
  <c r="NM105" i="25"/>
  <c r="MM105" i="25"/>
  <c r="LM105" i="25"/>
  <c r="KM105" i="25"/>
  <c r="JM105" i="25"/>
  <c r="KN105" i="25"/>
  <c r="JN105" i="25"/>
  <c r="NN118" i="25"/>
  <c r="MN118" i="25"/>
  <c r="LN118" i="25"/>
  <c r="NM118" i="25"/>
  <c r="MM118" i="25"/>
  <c r="LM118" i="25"/>
  <c r="KN118" i="25"/>
  <c r="JN118" i="25"/>
  <c r="KM118" i="25"/>
  <c r="JM118" i="25"/>
  <c r="NN114" i="25"/>
  <c r="MN114" i="25"/>
  <c r="LN114" i="25"/>
  <c r="NM114" i="25"/>
  <c r="MM114" i="25"/>
  <c r="LM114" i="25"/>
  <c r="KN114" i="25"/>
  <c r="JN114" i="25"/>
  <c r="KM114" i="25"/>
  <c r="JM114" i="25"/>
  <c r="NN110" i="25"/>
  <c r="MN110" i="25"/>
  <c r="LN110" i="25"/>
  <c r="NM110" i="25"/>
  <c r="MM110" i="25"/>
  <c r="LM110" i="25"/>
  <c r="KN110" i="25"/>
  <c r="JN110" i="25"/>
  <c r="KM110" i="25"/>
  <c r="JM110" i="25"/>
  <c r="NN106" i="25"/>
  <c r="MN106" i="25"/>
  <c r="LN106" i="25"/>
  <c r="NM106" i="25"/>
  <c r="MM106" i="25"/>
  <c r="LM106" i="25"/>
  <c r="KN106" i="25"/>
  <c r="JN106" i="25"/>
  <c r="KM106" i="25"/>
  <c r="JM106" i="25"/>
  <c r="V120" i="25"/>
  <c r="Z120" i="25"/>
  <c r="Y120" i="25"/>
  <c r="R120" i="19" s="1"/>
  <c r="AG120" i="25"/>
  <c r="S120" i="19" s="1"/>
  <c r="T120" i="25"/>
  <c r="X120" i="25"/>
  <c r="Q120" i="19" s="1"/>
  <c r="AB120" i="25"/>
  <c r="AA120" i="25"/>
  <c r="V116" i="25"/>
  <c r="Z116" i="25"/>
  <c r="Y116" i="25"/>
  <c r="R116" i="19" s="1"/>
  <c r="AG116" i="25"/>
  <c r="S116" i="19" s="1"/>
  <c r="T116" i="25"/>
  <c r="X116" i="25"/>
  <c r="Q116" i="19" s="1"/>
  <c r="AB116" i="25"/>
  <c r="AA116" i="25"/>
  <c r="V112" i="25"/>
  <c r="Z112" i="25"/>
  <c r="Y112" i="25"/>
  <c r="R112" i="19" s="1"/>
  <c r="AG112" i="25"/>
  <c r="S112" i="19" s="1"/>
  <c r="T112" i="25"/>
  <c r="X112" i="25"/>
  <c r="Q112" i="19" s="1"/>
  <c r="AB112" i="25"/>
  <c r="AA112" i="25"/>
  <c r="V108" i="25"/>
  <c r="Z108" i="25"/>
  <c r="Y108" i="25"/>
  <c r="R108" i="19" s="1"/>
  <c r="AG108" i="25"/>
  <c r="S108" i="19" s="1"/>
  <c r="T108" i="25"/>
  <c r="X108" i="25"/>
  <c r="Q108" i="19" s="1"/>
  <c r="AB108" i="25"/>
  <c r="AA108" i="25"/>
  <c r="AB103" i="25"/>
  <c r="AB99" i="25"/>
  <c r="AB96" i="25"/>
  <c r="AB92" i="25"/>
  <c r="AB87" i="25"/>
  <c r="AB84" i="25"/>
  <c r="AB80" i="25"/>
  <c r="AB76" i="25"/>
  <c r="AB71" i="25"/>
  <c r="AB67" i="25"/>
  <c r="AB63" i="25"/>
  <c r="AB56" i="25"/>
  <c r="T118" i="25"/>
  <c r="X118" i="25"/>
  <c r="Q118" i="19" s="1"/>
  <c r="AB118" i="25"/>
  <c r="AA118" i="25"/>
  <c r="V118" i="25"/>
  <c r="Z118" i="25"/>
  <c r="Y118" i="25"/>
  <c r="R118" i="19" s="1"/>
  <c r="AG118" i="25"/>
  <c r="S118" i="19" s="1"/>
  <c r="T114" i="25"/>
  <c r="X114" i="25"/>
  <c r="Q114" i="19" s="1"/>
  <c r="AB114" i="25"/>
  <c r="AA114" i="25"/>
  <c r="V114" i="25"/>
  <c r="Z114" i="25"/>
  <c r="Y114" i="25"/>
  <c r="R114" i="19" s="1"/>
  <c r="AG114" i="25"/>
  <c r="S114" i="19" s="1"/>
  <c r="T110" i="25"/>
  <c r="X110" i="25"/>
  <c r="Q110" i="19" s="1"/>
  <c r="AB110" i="25"/>
  <c r="AA110" i="25"/>
  <c r="V110" i="25"/>
  <c r="Z110" i="25"/>
  <c r="Y110" i="25"/>
  <c r="R110" i="19" s="1"/>
  <c r="AG110" i="25"/>
  <c r="S110" i="19" s="1"/>
  <c r="T106" i="25"/>
  <c r="X106" i="25"/>
  <c r="Q106" i="19" s="1"/>
  <c r="AB106" i="25"/>
  <c r="AA106" i="25"/>
  <c r="V106" i="25"/>
  <c r="Z106" i="25"/>
  <c r="Y106" i="25"/>
  <c r="R106" i="19" s="1"/>
  <c r="AG106" i="25"/>
  <c r="S106" i="19" s="1"/>
  <c r="AB102" i="25"/>
  <c r="AB98" i="25"/>
  <c r="AB94" i="25"/>
  <c r="AB90" i="25"/>
  <c r="AB86" i="25"/>
  <c r="AB82" i="25"/>
  <c r="AB78" i="25"/>
  <c r="AB74" i="25"/>
  <c r="AB70" i="25"/>
  <c r="AB66" i="25"/>
  <c r="AB65" i="25"/>
  <c r="AB61" i="25"/>
  <c r="AB60" i="25"/>
  <c r="AB59" i="25"/>
  <c r="AB58" i="25"/>
  <c r="AB54" i="25"/>
  <c r="AB53" i="25"/>
  <c r="Y119" i="25"/>
  <c r="R119" i="19" s="1"/>
  <c r="AG119" i="25"/>
  <c r="S119" i="19" s="1"/>
  <c r="T119" i="25"/>
  <c r="X119" i="25"/>
  <c r="Q119" i="19" s="1"/>
  <c r="AB119" i="25"/>
  <c r="AA119" i="25"/>
  <c r="V119" i="25"/>
  <c r="Z119" i="25"/>
  <c r="Y115" i="25"/>
  <c r="R115" i="19" s="1"/>
  <c r="AG115" i="25"/>
  <c r="S115" i="19" s="1"/>
  <c r="T115" i="25"/>
  <c r="X115" i="25"/>
  <c r="Q115" i="19" s="1"/>
  <c r="AB115" i="25"/>
  <c r="AA115" i="25"/>
  <c r="V115" i="25"/>
  <c r="Z115" i="25"/>
  <c r="Y111" i="25"/>
  <c r="R111" i="19" s="1"/>
  <c r="AG111" i="25"/>
  <c r="S111" i="19" s="1"/>
  <c r="T111" i="25"/>
  <c r="X111" i="25"/>
  <c r="Q111" i="19" s="1"/>
  <c r="AB111" i="25"/>
  <c r="AA111" i="25"/>
  <c r="V111" i="25"/>
  <c r="Z111" i="25"/>
  <c r="Y107" i="25"/>
  <c r="R107" i="19" s="1"/>
  <c r="AG107" i="25"/>
  <c r="S107" i="19" s="1"/>
  <c r="T107" i="25"/>
  <c r="X107" i="25"/>
  <c r="Q107" i="19" s="1"/>
  <c r="AB107" i="25"/>
  <c r="AA107" i="25"/>
  <c r="V107" i="25"/>
  <c r="Z107" i="25"/>
  <c r="AB104" i="25"/>
  <c r="AB101" i="25"/>
  <c r="AB97" i="25"/>
  <c r="AB93" i="25"/>
  <c r="AB89" i="25"/>
  <c r="AB85" i="25"/>
  <c r="AB81" i="25"/>
  <c r="AB77" i="25"/>
  <c r="AB73" i="25"/>
  <c r="AB69" i="25"/>
  <c r="AB62" i="25"/>
  <c r="AB55" i="25"/>
  <c r="AA117" i="25"/>
  <c r="V117" i="25"/>
  <c r="Z117" i="25"/>
  <c r="Y117" i="25"/>
  <c r="R117" i="19" s="1"/>
  <c r="AG117" i="25"/>
  <c r="S117" i="19" s="1"/>
  <c r="T117" i="25"/>
  <c r="X117" i="25"/>
  <c r="Q117" i="19" s="1"/>
  <c r="AB117" i="25"/>
  <c r="AA113" i="25"/>
  <c r="V113" i="25"/>
  <c r="Z113" i="25"/>
  <c r="Y113" i="25"/>
  <c r="R113" i="19" s="1"/>
  <c r="AG113" i="25"/>
  <c r="S113" i="19" s="1"/>
  <c r="T113" i="25"/>
  <c r="X113" i="25"/>
  <c r="Q113" i="19" s="1"/>
  <c r="AB113" i="25"/>
  <c r="AA109" i="25"/>
  <c r="V109" i="25"/>
  <c r="Z109" i="25"/>
  <c r="Y109" i="25"/>
  <c r="R109" i="19" s="1"/>
  <c r="AG109" i="25"/>
  <c r="S109" i="19" s="1"/>
  <c r="T109" i="25"/>
  <c r="X109" i="25"/>
  <c r="Q109" i="19" s="1"/>
  <c r="AB109" i="25"/>
  <c r="AA105" i="25"/>
  <c r="V105" i="25"/>
  <c r="Z105" i="25"/>
  <c r="Y105" i="25"/>
  <c r="R105" i="19" s="1"/>
  <c r="AG105" i="25"/>
  <c r="S105" i="19" s="1"/>
  <c r="T105" i="25"/>
  <c r="X105" i="25"/>
  <c r="Q105" i="19" s="1"/>
  <c r="P105" i="20" s="1"/>
  <c r="AB105" i="25"/>
  <c r="AB100" i="25"/>
  <c r="AB95" i="25"/>
  <c r="AB91" i="25"/>
  <c r="AB88" i="25"/>
  <c r="AB83" i="25"/>
  <c r="AB79" i="25"/>
  <c r="AB75" i="25"/>
  <c r="AB72" i="25"/>
  <c r="AB68" i="25"/>
  <c r="AB64" i="25"/>
  <c r="AB57" i="25"/>
  <c r="AB52" i="25"/>
  <c r="AB51" i="25"/>
  <c r="AB50" i="25"/>
  <c r="AB49" i="25"/>
  <c r="AB48" i="25"/>
  <c r="AB47" i="25"/>
  <c r="AB46" i="25"/>
  <c r="AB45" i="25"/>
  <c r="AB39" i="25"/>
  <c r="AB44" i="25"/>
  <c r="AB43" i="25"/>
  <c r="AB42" i="25"/>
  <c r="AB41" i="25"/>
  <c r="AB37" i="25"/>
  <c r="AB36" i="25"/>
  <c r="AB35" i="25"/>
  <c r="AB34" i="25"/>
  <c r="AB33" i="25"/>
  <c r="AB32" i="25"/>
  <c r="AB31" i="25"/>
  <c r="AB30" i="25"/>
  <c r="AB38" i="25"/>
  <c r="AB40" i="25"/>
  <c r="AB29" i="25"/>
  <c r="AB28" i="25"/>
  <c r="AB27" i="25"/>
  <c r="AB26" i="25"/>
  <c r="AB25" i="25"/>
  <c r="AB24" i="25"/>
  <c r="AB23" i="25"/>
  <c r="AB22" i="25"/>
  <c r="AB21" i="25"/>
  <c r="AB20" i="25"/>
  <c r="AB18" i="25"/>
  <c r="AB17" i="25"/>
  <c r="AB16" i="25"/>
  <c r="AB15" i="25"/>
  <c r="S119" i="25"/>
  <c r="S113" i="25"/>
  <c r="S120" i="25"/>
  <c r="S116" i="25"/>
  <c r="S115" i="25"/>
  <c r="S111" i="25"/>
  <c r="S110" i="25"/>
  <c r="S109" i="25"/>
  <c r="S108" i="25"/>
  <c r="S107" i="25"/>
  <c r="S106" i="25"/>
  <c r="S105" i="25"/>
  <c r="S118" i="25"/>
  <c r="S112" i="25"/>
  <c r="S117" i="25"/>
  <c r="S114" i="25"/>
  <c r="A15" i="19"/>
  <c r="A26" i="19"/>
  <c r="AG26" i="19" s="1"/>
  <c r="CA26" i="25" s="1"/>
  <c r="AP26" i="25" s="1"/>
  <c r="A25" i="19"/>
  <c r="AG25" i="19" s="1"/>
  <c r="CA25" i="25" s="1"/>
  <c r="AP25" i="25" s="1"/>
  <c r="A24" i="19"/>
  <c r="AG24" i="19" s="1"/>
  <c r="CA24" i="25" s="1"/>
  <c r="AP24" i="25" s="1"/>
  <c r="A23" i="19"/>
  <c r="AG23" i="19" s="1"/>
  <c r="CA23" i="25" s="1"/>
  <c r="AP23" i="25" s="1"/>
  <c r="A22" i="19"/>
  <c r="AG22" i="19" s="1"/>
  <c r="CA22" i="25" s="1"/>
  <c r="AP22" i="25" s="1"/>
  <c r="A21" i="19"/>
  <c r="AG21" i="19" s="1"/>
  <c r="CA21" i="25" s="1"/>
  <c r="AP21" i="25" s="1"/>
  <c r="A20" i="19"/>
  <c r="AG20" i="19" s="1"/>
  <c r="CA20" i="25" s="1"/>
  <c r="AP20" i="25" s="1"/>
  <c r="A19" i="19"/>
  <c r="AG19" i="19" s="1"/>
  <c r="CA19" i="25" s="1"/>
  <c r="AP19" i="25" s="1"/>
  <c r="A18" i="19"/>
  <c r="AG18" i="19" s="1"/>
  <c r="CA18" i="25" s="1"/>
  <c r="AP18" i="25" s="1"/>
  <c r="A17" i="19"/>
  <c r="AG17" i="19" s="1"/>
  <c r="CA17" i="25" s="1"/>
  <c r="AP17" i="25" s="1"/>
  <c r="A16" i="19"/>
  <c r="AG16" i="19" s="1"/>
  <c r="CA16" i="25" s="1"/>
  <c r="AP16" i="25" s="1"/>
  <c r="A116" i="19"/>
  <c r="A111" i="19"/>
  <c r="A106" i="19"/>
  <c r="A119" i="19"/>
  <c r="A115" i="19"/>
  <c r="A113" i="19"/>
  <c r="A109" i="19"/>
  <c r="A108" i="19"/>
  <c r="A104" i="19"/>
  <c r="A103" i="19"/>
  <c r="M103" i="19" s="1"/>
  <c r="A102" i="19"/>
  <c r="A101" i="19"/>
  <c r="M101" i="19" s="1"/>
  <c r="A100" i="19"/>
  <c r="M100" i="19" s="1"/>
  <c r="A99" i="19"/>
  <c r="M99" i="19" s="1"/>
  <c r="A98" i="19"/>
  <c r="M98" i="19" s="1"/>
  <c r="A97" i="19"/>
  <c r="A96" i="19"/>
  <c r="A95" i="19"/>
  <c r="A94" i="19"/>
  <c r="M94" i="19" s="1"/>
  <c r="A93" i="19"/>
  <c r="A92" i="19"/>
  <c r="A91" i="19"/>
  <c r="A90" i="19"/>
  <c r="M90" i="19" s="1"/>
  <c r="A89" i="19"/>
  <c r="A88" i="19"/>
  <c r="A87" i="19"/>
  <c r="A86" i="19"/>
  <c r="M86" i="19" s="1"/>
  <c r="A85" i="19"/>
  <c r="M85" i="19" s="1"/>
  <c r="A84" i="19"/>
  <c r="M84" i="19" s="1"/>
  <c r="A83" i="19"/>
  <c r="M83" i="19" s="1"/>
  <c r="A82" i="19"/>
  <c r="A81" i="19"/>
  <c r="M81" i="19" s="1"/>
  <c r="A80" i="19"/>
  <c r="A79" i="19"/>
  <c r="A78" i="19"/>
  <c r="M78" i="19" s="1"/>
  <c r="A77" i="19"/>
  <c r="M77" i="19" s="1"/>
  <c r="A76" i="19"/>
  <c r="M76" i="19" s="1"/>
  <c r="A75" i="19"/>
  <c r="M75" i="19" s="1"/>
  <c r="A74" i="19"/>
  <c r="M74" i="19" s="1"/>
  <c r="A73" i="19"/>
  <c r="A72" i="19"/>
  <c r="M72" i="19" s="1"/>
  <c r="A71" i="19"/>
  <c r="A70" i="19"/>
  <c r="A69" i="19"/>
  <c r="M69" i="19" s="1"/>
  <c r="A68" i="19"/>
  <c r="M68" i="19" s="1"/>
  <c r="A67" i="19"/>
  <c r="A66" i="19"/>
  <c r="M66" i="19" s="1"/>
  <c r="A65" i="19"/>
  <c r="M65" i="19" s="1"/>
  <c r="A64" i="19"/>
  <c r="A63" i="19"/>
  <c r="M63" i="19" s="1"/>
  <c r="A62" i="19"/>
  <c r="A61" i="19"/>
  <c r="M61" i="19" s="1"/>
  <c r="A60" i="19"/>
  <c r="A59" i="19"/>
  <c r="A58" i="19"/>
  <c r="A57" i="19"/>
  <c r="M57" i="19" s="1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G31" i="19" s="1"/>
  <c r="CA31" i="25" s="1"/>
  <c r="AP31" i="25" s="1"/>
  <c r="A30" i="19"/>
  <c r="AG30" i="19" s="1"/>
  <c r="CA30" i="25" s="1"/>
  <c r="AP30" i="25" s="1"/>
  <c r="A29" i="19"/>
  <c r="AG29" i="19" s="1"/>
  <c r="CA29" i="25" s="1"/>
  <c r="AP29" i="25" s="1"/>
  <c r="A28" i="19"/>
  <c r="AG28" i="19" s="1"/>
  <c r="CA28" i="25" s="1"/>
  <c r="AP28" i="25" s="1"/>
  <c r="A27" i="19"/>
  <c r="AG27" i="19" s="1"/>
  <c r="CA27" i="25" s="1"/>
  <c r="AP27" i="25" s="1"/>
  <c r="A120" i="19"/>
  <c r="A117" i="19"/>
  <c r="A112" i="19"/>
  <c r="A105" i="19"/>
  <c r="A118" i="19"/>
  <c r="A114" i="19"/>
  <c r="A110" i="19"/>
  <c r="A107" i="19"/>
  <c r="V11" i="3"/>
  <c r="V10" i="3"/>
  <c r="D9" i="18"/>
  <c r="C92" i="37"/>
  <c r="D92" i="37" s="1"/>
  <c r="C95" i="37"/>
  <c r="D95" i="37" s="1"/>
  <c r="C99" i="37"/>
  <c r="D99" i="37" s="1"/>
  <c r="C101" i="37"/>
  <c r="D101" i="37" s="1"/>
  <c r="C104" i="37"/>
  <c r="D104" i="37" s="1"/>
  <c r="C103" i="37"/>
  <c r="D103" i="37" s="1"/>
  <c r="C111" i="37"/>
  <c r="D111" i="37" s="1"/>
  <c r="C94" i="37"/>
  <c r="D94" i="37" s="1"/>
  <c r="C93" i="37"/>
  <c r="D93" i="37" s="1"/>
  <c r="C102" i="37"/>
  <c r="D102" i="37" s="1"/>
  <c r="C91" i="37"/>
  <c r="D91" i="37" s="1"/>
  <c r="C71" i="37"/>
  <c r="D71" i="37" s="1"/>
  <c r="C74" i="37"/>
  <c r="D74" i="37" s="1"/>
  <c r="C78" i="37"/>
  <c r="D78" i="37" s="1"/>
  <c r="C80" i="37"/>
  <c r="C83" i="37"/>
  <c r="D83" i="37" s="1"/>
  <c r="C82" i="37"/>
  <c r="D82" i="37" s="1"/>
  <c r="C90" i="37"/>
  <c r="D90" i="37" s="1"/>
  <c r="C73" i="37"/>
  <c r="D73" i="37" s="1"/>
  <c r="C72" i="37"/>
  <c r="D72" i="37" s="1"/>
  <c r="C81" i="37"/>
  <c r="C112" i="37"/>
  <c r="D112" i="37" s="1"/>
  <c r="C125" i="37"/>
  <c r="D125" i="37" s="1"/>
  <c r="C128" i="37"/>
  <c r="D128" i="37" s="1"/>
  <c r="C129" i="37"/>
  <c r="D129" i="37" s="1"/>
  <c r="C131" i="37"/>
  <c r="D131" i="37" s="1"/>
  <c r="C135" i="37"/>
  <c r="D135" i="37" s="1"/>
  <c r="C127" i="37"/>
  <c r="D127" i="37" s="1"/>
  <c r="C126" i="37"/>
  <c r="D126" i="37" s="1"/>
  <c r="C132" i="37"/>
  <c r="D132" i="37" s="1"/>
  <c r="C133" i="37"/>
  <c r="D133" i="37" s="1"/>
  <c r="C134" i="37"/>
  <c r="D134" i="37" s="1"/>
  <c r="C136" i="37"/>
  <c r="D136" i="37" s="1"/>
  <c r="C149" i="37"/>
  <c r="D149" i="37" s="1"/>
  <c r="C152" i="37"/>
  <c r="D152" i="37" s="1"/>
  <c r="C153" i="37"/>
  <c r="D153" i="37" s="1"/>
  <c r="C155" i="37"/>
  <c r="D155" i="37" s="1"/>
  <c r="C159" i="37"/>
  <c r="D159" i="37" s="1"/>
  <c r="C151" i="37"/>
  <c r="D151" i="37" s="1"/>
  <c r="C150" i="37"/>
  <c r="D150" i="37" s="1"/>
  <c r="C156" i="37"/>
  <c r="D156" i="37" s="1"/>
  <c r="C157" i="37"/>
  <c r="D157" i="37" s="1"/>
  <c r="C158" i="37"/>
  <c r="D158" i="37" s="1"/>
  <c r="C160" i="37"/>
  <c r="D160" i="37" s="1"/>
  <c r="C161" i="37"/>
  <c r="D161" i="37" s="1"/>
  <c r="C164" i="37"/>
  <c r="D164" i="37" s="1"/>
  <c r="C165" i="37"/>
  <c r="D165" i="37" s="1"/>
  <c r="C166" i="37"/>
  <c r="D166" i="37" s="1"/>
  <c r="C170" i="37"/>
  <c r="D170" i="37" s="1"/>
  <c r="C163" i="37"/>
  <c r="D163" i="37" s="1"/>
  <c r="C162" i="37"/>
  <c r="D162" i="37" s="1"/>
  <c r="C167" i="37"/>
  <c r="D167" i="37" s="1"/>
  <c r="C168" i="37"/>
  <c r="D168" i="37" s="1"/>
  <c r="C169" i="37"/>
  <c r="D169" i="37" s="1"/>
  <c r="C171" i="37"/>
  <c r="D171" i="37" s="1"/>
  <c r="C172" i="37"/>
  <c r="D172" i="37" s="1"/>
  <c r="C175" i="37"/>
  <c r="D175" i="37" s="1"/>
  <c r="C176" i="37"/>
  <c r="D176" i="37" s="1"/>
  <c r="C177" i="37"/>
  <c r="D177" i="37" s="1"/>
  <c r="C181" i="37"/>
  <c r="D181" i="37" s="1"/>
  <c r="C174" i="37"/>
  <c r="D174" i="37" s="1"/>
  <c r="C173" i="37"/>
  <c r="D173" i="37" s="1"/>
  <c r="C178" i="37"/>
  <c r="D178" i="37" s="1"/>
  <c r="C179" i="37"/>
  <c r="D179" i="37" s="1"/>
  <c r="C180" i="37"/>
  <c r="D180" i="37" s="1"/>
  <c r="C182" i="37"/>
  <c r="D182" i="37" s="1"/>
  <c r="C70" i="37"/>
  <c r="D70" i="37" s="1"/>
  <c r="D8" i="18"/>
  <c r="AF149" i="37"/>
  <c r="AF152" i="37"/>
  <c r="AF150" i="37"/>
  <c r="AF156" i="37"/>
  <c r="AF157" i="37"/>
  <c r="AF158" i="37"/>
  <c r="AF128" i="37"/>
  <c r="AF131" i="37"/>
  <c r="AF127" i="37"/>
  <c r="AF126" i="37"/>
  <c r="AF134" i="37"/>
  <c r="PH39" i="25" l="1"/>
  <c r="PF39" i="25"/>
  <c r="CD53" i="19"/>
  <c r="CD89" i="19"/>
  <c r="M89" i="19"/>
  <c r="CD97" i="19"/>
  <c r="M97" i="19"/>
  <c r="CD118" i="19"/>
  <c r="M118" i="19"/>
  <c r="CD120" i="19"/>
  <c r="M120" i="19"/>
  <c r="CD58" i="19"/>
  <c r="M58" i="19"/>
  <c r="CD62" i="19"/>
  <c r="M62" i="19"/>
  <c r="CD70" i="19"/>
  <c r="M70" i="19"/>
  <c r="CD82" i="19"/>
  <c r="M82" i="19"/>
  <c r="CD102" i="19"/>
  <c r="M102" i="19"/>
  <c r="CD109" i="19"/>
  <c r="M109" i="19"/>
  <c r="CD106" i="19"/>
  <c r="M106" i="19"/>
  <c r="CD114" i="19"/>
  <c r="M114" i="19"/>
  <c r="CD117" i="19"/>
  <c r="M117" i="19"/>
  <c r="CD73" i="19"/>
  <c r="M73" i="19"/>
  <c r="CD93" i="19"/>
  <c r="M93" i="19"/>
  <c r="CD108" i="19"/>
  <c r="M108" i="19"/>
  <c r="CD119" i="19"/>
  <c r="M119" i="19"/>
  <c r="CD105" i="19"/>
  <c r="M105" i="19"/>
  <c r="CD67" i="19"/>
  <c r="M67" i="19"/>
  <c r="CD71" i="19"/>
  <c r="M71" i="19"/>
  <c r="CD79" i="19"/>
  <c r="M79" i="19"/>
  <c r="CD87" i="19"/>
  <c r="M87" i="19"/>
  <c r="CD113" i="19"/>
  <c r="M113" i="19"/>
  <c r="CD107" i="19"/>
  <c r="M107" i="19"/>
  <c r="CD55" i="19"/>
  <c r="CD59" i="19"/>
  <c r="M59" i="19"/>
  <c r="CD91" i="19"/>
  <c r="M91" i="19"/>
  <c r="CD95" i="19"/>
  <c r="M95" i="19"/>
  <c r="CD111" i="19"/>
  <c r="M111" i="19"/>
  <c r="CD110" i="19"/>
  <c r="M110" i="19"/>
  <c r="CD112" i="19"/>
  <c r="M112" i="19"/>
  <c r="CD56" i="19"/>
  <c r="M56" i="19"/>
  <c r="CD60" i="19"/>
  <c r="M60" i="19"/>
  <c r="CD64" i="19"/>
  <c r="M64" i="19"/>
  <c r="CD80" i="19"/>
  <c r="M80" i="19"/>
  <c r="CD88" i="19"/>
  <c r="M88" i="19"/>
  <c r="CD92" i="19"/>
  <c r="M92" i="19"/>
  <c r="CD96" i="19"/>
  <c r="M96" i="19"/>
  <c r="CD104" i="19"/>
  <c r="M104" i="19"/>
  <c r="CD115" i="19"/>
  <c r="M115" i="19"/>
  <c r="CD116" i="19"/>
  <c r="M116" i="19"/>
  <c r="CD49" i="19"/>
  <c r="CD46" i="19"/>
  <c r="CD43" i="19"/>
  <c r="CD47" i="19"/>
  <c r="CD44" i="19"/>
  <c r="CD48" i="19"/>
  <c r="AG38" i="19"/>
  <c r="CA38" i="25" s="1"/>
  <c r="AP38" i="25" s="1"/>
  <c r="CD40" i="19"/>
  <c r="AG40" i="19"/>
  <c r="CA40" i="25" s="1"/>
  <c r="AP40" i="25" s="1"/>
  <c r="CD42" i="19"/>
  <c r="AG42" i="19"/>
  <c r="CA42" i="25" s="1"/>
  <c r="AP42" i="25" s="1"/>
  <c r="CD39" i="19"/>
  <c r="AG39" i="19"/>
  <c r="CA39" i="25" s="1"/>
  <c r="AP39" i="25" s="1"/>
  <c r="CD37" i="19"/>
  <c r="AG37" i="19"/>
  <c r="CA37" i="25" s="1"/>
  <c r="AP37" i="25" s="1"/>
  <c r="AG41" i="19"/>
  <c r="CA41" i="25" s="1"/>
  <c r="AP41" i="25" s="1"/>
  <c r="H112" i="22"/>
  <c r="J112" i="22" s="1"/>
  <c r="C29" i="11"/>
  <c r="CD35" i="19"/>
  <c r="AG35" i="19"/>
  <c r="CA35" i="25" s="1"/>
  <c r="AP35" i="25" s="1"/>
  <c r="CD34" i="19"/>
  <c r="AG34" i="19"/>
  <c r="CA34" i="25" s="1"/>
  <c r="AP34" i="25" s="1"/>
  <c r="CD36" i="19"/>
  <c r="AG36" i="19"/>
  <c r="CA36" i="25" s="1"/>
  <c r="AP36" i="25" s="1"/>
  <c r="AG33" i="19"/>
  <c r="CA33" i="25" s="1"/>
  <c r="AP33" i="25" s="1"/>
  <c r="CD32" i="19"/>
  <c r="AG32" i="19"/>
  <c r="CA32" i="25" s="1"/>
  <c r="AP32" i="25" s="1"/>
  <c r="CD20" i="19"/>
  <c r="CD28" i="19"/>
  <c r="CD30" i="19"/>
  <c r="NC58" i="25"/>
  <c r="NC70" i="25"/>
  <c r="NC92" i="25"/>
  <c r="ND92" i="25" s="1"/>
  <c r="OD78" i="25"/>
  <c r="PF77" i="25"/>
  <c r="JC58" i="25"/>
  <c r="JC74" i="25"/>
  <c r="KC58" i="25"/>
  <c r="KC74" i="25"/>
  <c r="KD74" i="25" s="1"/>
  <c r="KC86" i="25"/>
  <c r="MC92" i="25"/>
  <c r="MC91" i="25"/>
  <c r="LC86" i="25"/>
  <c r="MC93" i="25"/>
  <c r="MD93" i="25" s="1"/>
  <c r="NC93" i="25"/>
  <c r="OF82" i="25"/>
  <c r="OF87" i="25"/>
  <c r="PD77" i="25"/>
  <c r="PD93" i="25"/>
  <c r="KC92" i="25"/>
  <c r="LC104" i="25"/>
  <c r="LC66" i="25"/>
  <c r="MC74" i="25"/>
  <c r="LC91" i="25"/>
  <c r="LD91" i="25" s="1"/>
  <c r="NC86" i="25"/>
  <c r="NC104" i="25"/>
  <c r="OF100" i="25"/>
  <c r="OD71" i="25"/>
  <c r="OF74" i="25"/>
  <c r="OF84" i="25"/>
  <c r="OD87" i="25"/>
  <c r="OD99" i="25"/>
  <c r="CD27" i="19"/>
  <c r="CD31" i="19"/>
  <c r="CD83" i="19"/>
  <c r="FR102" i="25"/>
  <c r="JC103" i="25"/>
  <c r="JD103" i="25" s="1"/>
  <c r="JC99" i="25"/>
  <c r="JD99" i="25" s="1"/>
  <c r="KC76" i="25"/>
  <c r="CD29" i="19"/>
  <c r="JC88" i="25"/>
  <c r="JC96" i="25"/>
  <c r="KC72" i="25"/>
  <c r="KC56" i="25"/>
  <c r="OF33" i="25"/>
  <c r="CD69" i="19"/>
  <c r="JC52" i="25"/>
  <c r="JC60" i="25"/>
  <c r="JC68" i="25"/>
  <c r="JF68" i="25" s="1"/>
  <c r="JC76" i="25"/>
  <c r="JC98" i="25"/>
  <c r="JD98" i="25" s="1"/>
  <c r="KC52" i="25"/>
  <c r="MC64" i="25"/>
  <c r="LC72" i="25"/>
  <c r="LD72" i="25" s="1"/>
  <c r="MC98" i="25"/>
  <c r="LC84" i="25"/>
  <c r="OF29" i="25"/>
  <c r="OD33" i="25"/>
  <c r="OF43" i="25"/>
  <c r="OD83" i="25"/>
  <c r="OF86" i="25"/>
  <c r="OD92" i="25"/>
  <c r="OD104" i="25"/>
  <c r="CD86" i="19"/>
  <c r="JC84" i="25"/>
  <c r="KC60" i="25"/>
  <c r="KD60" i="25" s="1"/>
  <c r="KC103" i="25"/>
  <c r="KD103" i="25" s="1"/>
  <c r="KC68" i="25"/>
  <c r="KD68" i="25" s="1"/>
  <c r="KC84" i="25"/>
  <c r="KC88" i="25"/>
  <c r="KD88" i="25" s="1"/>
  <c r="KC96" i="25"/>
  <c r="MC88" i="25"/>
  <c r="MC103" i="25"/>
  <c r="LC68" i="25"/>
  <c r="NC64" i="25"/>
  <c r="ND64" i="25" s="1"/>
  <c r="BN64" i="25" s="1"/>
  <c r="OD29" i="25"/>
  <c r="OD48" i="25"/>
  <c r="OF57" i="25"/>
  <c r="OF79" i="25"/>
  <c r="OD86" i="25"/>
  <c r="OF95" i="25"/>
  <c r="JC56" i="25"/>
  <c r="JC64" i="25"/>
  <c r="JC72" i="25"/>
  <c r="JF72" i="25" s="1"/>
  <c r="JC80" i="25"/>
  <c r="KC80" i="25"/>
  <c r="KC98" i="25"/>
  <c r="KD98" i="25" s="1"/>
  <c r="LC76" i="25"/>
  <c r="LD76" i="25" s="1"/>
  <c r="MC80" i="25"/>
  <c r="OF26" i="25"/>
  <c r="OF41" i="25"/>
  <c r="OD43" i="25"/>
  <c r="OF48" i="25"/>
  <c r="OD79" i="25"/>
  <c r="OD95" i="25"/>
  <c r="HH88" i="25"/>
  <c r="CD72" i="19"/>
  <c r="CD84" i="19"/>
  <c r="CD100" i="19"/>
  <c r="CD19" i="19"/>
  <c r="CD23" i="19"/>
  <c r="JC53" i="25"/>
  <c r="JD53" i="25" s="1"/>
  <c r="BJ53" i="25" s="1"/>
  <c r="JC102" i="25"/>
  <c r="JF102" i="25" s="1"/>
  <c r="KC53" i="25"/>
  <c r="KC65" i="25"/>
  <c r="KD65" i="25" s="1"/>
  <c r="KC69" i="25"/>
  <c r="KD69" i="25" s="1"/>
  <c r="LC89" i="25"/>
  <c r="NC57" i="25"/>
  <c r="ND57" i="25" s="1"/>
  <c r="BN57" i="25" s="1"/>
  <c r="OF37" i="25"/>
  <c r="PD87" i="25"/>
  <c r="FR94" i="25"/>
  <c r="JC85" i="25"/>
  <c r="JD85" i="25" s="1"/>
  <c r="JC89" i="25"/>
  <c r="MC69" i="25"/>
  <c r="MC100" i="25"/>
  <c r="MD100" i="25" s="1"/>
  <c r="LC81" i="25"/>
  <c r="NC100" i="25"/>
  <c r="ND100" i="25" s="1"/>
  <c r="BN100" i="25" s="1"/>
  <c r="CD38" i="19"/>
  <c r="CD50" i="19"/>
  <c r="CD54" i="19"/>
  <c r="CD21" i="19"/>
  <c r="CD25" i="19"/>
  <c r="KC61" i="25"/>
  <c r="LC85" i="25"/>
  <c r="LD85" i="25" s="1"/>
  <c r="BL85" i="25" s="1"/>
  <c r="NC85" i="25"/>
  <c r="PF94" i="25"/>
  <c r="OD21" i="25"/>
  <c r="NC101" i="25"/>
  <c r="PD56" i="25"/>
  <c r="PF61" i="25"/>
  <c r="BR86" i="25"/>
  <c r="JC65" i="25"/>
  <c r="JD65" i="25" s="1"/>
  <c r="JC81" i="25"/>
  <c r="JC100" i="25"/>
  <c r="KC85" i="25"/>
  <c r="KC102" i="25"/>
  <c r="MC85" i="25"/>
  <c r="LC101" i="25"/>
  <c r="LD101" i="25" s="1"/>
  <c r="LC57" i="25"/>
  <c r="LD57" i="25" s="1"/>
  <c r="BL57" i="25" s="1"/>
  <c r="LC69" i="25"/>
  <c r="LF69" i="25" s="1"/>
  <c r="LC65" i="25"/>
  <c r="MC81" i="25"/>
  <c r="MC89" i="25"/>
  <c r="LC102" i="25"/>
  <c r="LD102" i="25" s="1"/>
  <c r="NC73" i="25"/>
  <c r="NC102" i="25"/>
  <c r="OF21" i="25"/>
  <c r="OF89" i="25"/>
  <c r="PD59" i="25"/>
  <c r="PD62" i="25"/>
  <c r="PD64" i="25"/>
  <c r="PF99" i="25"/>
  <c r="PF56" i="25"/>
  <c r="PF59" i="25"/>
  <c r="CD33" i="19"/>
  <c r="CD41" i="19"/>
  <c r="CD24" i="19"/>
  <c r="CD74" i="19"/>
  <c r="CD90" i="19"/>
  <c r="CD98" i="19"/>
  <c r="CD17" i="19"/>
  <c r="JC101" i="25"/>
  <c r="JC61" i="25"/>
  <c r="JD61" i="25" s="1"/>
  <c r="BJ61" i="25" s="1"/>
  <c r="JC77" i="25"/>
  <c r="KC81" i="25"/>
  <c r="KC101" i="25"/>
  <c r="LC61" i="25"/>
  <c r="MC101" i="25"/>
  <c r="MD101" i="25" s="1"/>
  <c r="BM101" i="25" s="1"/>
  <c r="MC57" i="25"/>
  <c r="LC77" i="25"/>
  <c r="LD77" i="25" s="1"/>
  <c r="LC53" i="25"/>
  <c r="LD53" i="25" s="1"/>
  <c r="BL53" i="25" s="1"/>
  <c r="MC65" i="25"/>
  <c r="MD65" i="25" s="1"/>
  <c r="LC73" i="25"/>
  <c r="LD73" i="25" s="1"/>
  <c r="NC61" i="25"/>
  <c r="NC77" i="25"/>
  <c r="NC89" i="25"/>
  <c r="ND89" i="25" s="1"/>
  <c r="OD88" i="25"/>
  <c r="PD102" i="25"/>
  <c r="PD58" i="25"/>
  <c r="PD99" i="25"/>
  <c r="PF87" i="25"/>
  <c r="CD61" i="19"/>
  <c r="CD94" i="19"/>
  <c r="CD63" i="19"/>
  <c r="CD75" i="19"/>
  <c r="CD99" i="19"/>
  <c r="CD103" i="19"/>
  <c r="CD22" i="19"/>
  <c r="CD26" i="19"/>
  <c r="JC57" i="25"/>
  <c r="JD57" i="25" s="1"/>
  <c r="BJ57" i="25" s="1"/>
  <c r="JC69" i="25"/>
  <c r="JC73" i="25"/>
  <c r="KC77" i="25"/>
  <c r="KC57" i="25"/>
  <c r="KD57" i="25" s="1"/>
  <c r="KC73" i="25"/>
  <c r="KD73" i="25" s="1"/>
  <c r="MC61" i="25"/>
  <c r="MD61" i="25" s="1"/>
  <c r="MC77" i="25"/>
  <c r="LC100" i="25"/>
  <c r="MC53" i="25"/>
  <c r="MC73" i="25"/>
  <c r="MD73" i="25" s="1"/>
  <c r="NC53" i="25"/>
  <c r="NC69" i="25"/>
  <c r="NF69" i="25" s="1"/>
  <c r="OD37" i="25"/>
  <c r="OF88" i="25"/>
  <c r="PD46" i="25"/>
  <c r="PD61" i="25"/>
  <c r="PF71" i="25"/>
  <c r="PF74" i="25"/>
  <c r="IE53" i="25"/>
  <c r="ID53" i="25"/>
  <c r="IE57" i="25"/>
  <c r="ID57" i="25"/>
  <c r="ID54" i="25"/>
  <c r="IE54" i="25"/>
  <c r="IF53" i="25"/>
  <c r="IF56" i="25"/>
  <c r="ID56" i="25"/>
  <c r="IE56" i="25"/>
  <c r="PF46" i="25"/>
  <c r="IF57" i="25"/>
  <c r="IC52" i="25"/>
  <c r="IC51" i="25"/>
  <c r="IF54" i="25"/>
  <c r="IC55" i="25"/>
  <c r="MC102" i="25"/>
  <c r="NC81" i="25"/>
  <c r="NF100" i="25"/>
  <c r="LC90" i="25"/>
  <c r="IC90" i="25"/>
  <c r="MC95" i="25"/>
  <c r="IC95" i="25"/>
  <c r="DP95" i="25" s="1"/>
  <c r="LC75" i="25"/>
  <c r="LF75" i="25" s="1"/>
  <c r="IC75" i="25"/>
  <c r="MC79" i="25"/>
  <c r="IC79" i="25"/>
  <c r="DP79" i="25" s="1"/>
  <c r="LC83" i="25"/>
  <c r="LD83" i="25" s="1"/>
  <c r="BL83" i="25" s="1"/>
  <c r="IC83" i="25"/>
  <c r="MC87" i="25"/>
  <c r="IC87" i="25"/>
  <c r="LC94" i="25"/>
  <c r="IC94" i="25"/>
  <c r="DP94" i="25" s="1"/>
  <c r="MC97" i="25"/>
  <c r="MD97" i="25" s="1"/>
  <c r="IC97" i="25"/>
  <c r="DP97" i="25" s="1"/>
  <c r="NC96" i="25"/>
  <c r="IC96" i="25"/>
  <c r="LC99" i="25"/>
  <c r="LD99" i="25" s="1"/>
  <c r="IC99" i="25"/>
  <c r="ID72" i="25"/>
  <c r="IF72" i="25"/>
  <c r="IE72" i="25"/>
  <c r="IF76" i="25"/>
  <c r="IE76" i="25"/>
  <c r="ID76" i="25"/>
  <c r="ID80" i="25"/>
  <c r="IF80" i="25"/>
  <c r="IE80" i="25"/>
  <c r="ID84" i="25"/>
  <c r="IE84" i="25"/>
  <c r="IF84" i="25"/>
  <c r="ID88" i="25"/>
  <c r="IF88" i="25"/>
  <c r="IE88" i="25"/>
  <c r="IE98" i="25"/>
  <c r="ID98" i="25"/>
  <c r="IF98" i="25"/>
  <c r="NC103" i="25"/>
  <c r="IC103" i="25"/>
  <c r="IE102" i="25"/>
  <c r="IF102" i="25"/>
  <c r="ID102" i="25"/>
  <c r="IE101" i="25"/>
  <c r="ID101" i="25"/>
  <c r="IF101" i="25"/>
  <c r="IE73" i="25"/>
  <c r="ID73" i="25"/>
  <c r="IF73" i="25"/>
  <c r="IE77" i="25"/>
  <c r="ID77" i="25"/>
  <c r="IF77" i="25"/>
  <c r="IE81" i="25"/>
  <c r="ID81" i="25"/>
  <c r="IF81" i="25"/>
  <c r="ID85" i="25"/>
  <c r="IE85" i="25"/>
  <c r="IF85" i="25"/>
  <c r="ID89" i="25"/>
  <c r="IE89" i="25"/>
  <c r="IF89" i="25"/>
  <c r="IE100" i="25"/>
  <c r="ID100" i="25"/>
  <c r="IF100" i="25"/>
  <c r="ID92" i="25"/>
  <c r="IE92" i="25"/>
  <c r="IF92" i="25"/>
  <c r="IE74" i="25"/>
  <c r="ID74" i="25"/>
  <c r="IF74" i="25"/>
  <c r="IE78" i="25"/>
  <c r="IF78" i="25"/>
  <c r="ID78" i="25"/>
  <c r="IE82" i="25"/>
  <c r="IF82" i="25"/>
  <c r="ID82" i="25"/>
  <c r="IF86" i="25"/>
  <c r="IE86" i="25"/>
  <c r="ID86" i="25"/>
  <c r="ID93" i="25"/>
  <c r="IE93" i="25"/>
  <c r="IF93" i="25"/>
  <c r="IE104" i="25"/>
  <c r="ID104" i="25"/>
  <c r="IF104" i="25"/>
  <c r="ID91" i="25"/>
  <c r="IE91" i="25"/>
  <c r="IF91" i="25"/>
  <c r="MC59" i="25"/>
  <c r="IC59" i="25"/>
  <c r="JC63" i="25"/>
  <c r="IC63" i="25"/>
  <c r="DP63" i="25" s="1"/>
  <c r="KC67" i="25"/>
  <c r="KD67" i="25" s="1"/>
  <c r="IC67" i="25"/>
  <c r="NC71" i="25"/>
  <c r="IC71" i="25"/>
  <c r="ID60" i="25"/>
  <c r="IF60" i="25"/>
  <c r="IE60" i="25"/>
  <c r="LC64" i="25"/>
  <c r="IC64" i="25"/>
  <c r="IE68" i="25"/>
  <c r="IF68" i="25"/>
  <c r="ID68" i="25"/>
  <c r="IE61" i="25"/>
  <c r="ID61" i="25"/>
  <c r="IF61" i="25"/>
  <c r="IE65" i="25"/>
  <c r="IF65" i="25"/>
  <c r="ID65" i="25"/>
  <c r="IE69" i="25"/>
  <c r="IF69" i="25"/>
  <c r="ID69" i="25"/>
  <c r="IE62" i="25"/>
  <c r="IF62" i="25"/>
  <c r="ID62" i="25"/>
  <c r="IE66" i="25"/>
  <c r="IF66" i="25"/>
  <c r="ID66" i="25"/>
  <c r="IE70" i="25"/>
  <c r="ID70" i="25"/>
  <c r="IF70" i="25"/>
  <c r="IE58" i="25"/>
  <c r="IF58" i="25"/>
  <c r="ID58" i="25"/>
  <c r="CD52" i="19"/>
  <c r="CD68" i="19"/>
  <c r="JC83" i="25"/>
  <c r="JD83" i="25" s="1"/>
  <c r="BJ83" i="25" s="1"/>
  <c r="JC87" i="25"/>
  <c r="JD87" i="25" s="1"/>
  <c r="BJ87" i="25" s="1"/>
  <c r="JC95" i="25"/>
  <c r="JD95" i="25" s="1"/>
  <c r="JC97" i="25"/>
  <c r="KC97" i="25"/>
  <c r="LC79" i="25"/>
  <c r="LF79" i="25" s="1"/>
  <c r="LC71" i="25"/>
  <c r="LF71" i="25" s="1"/>
  <c r="LC97" i="25"/>
  <c r="NC51" i="25"/>
  <c r="ND51" i="25" s="1"/>
  <c r="BN51" i="25" s="1"/>
  <c r="NC94" i="25"/>
  <c r="ND94" i="25" s="1"/>
  <c r="BN94" i="25" s="1"/>
  <c r="OF97" i="25"/>
  <c r="PD40" i="25"/>
  <c r="PF26" i="25"/>
  <c r="CD76" i="19"/>
  <c r="CD45" i="19"/>
  <c r="CD57" i="19"/>
  <c r="CD85" i="19"/>
  <c r="CD101" i="19"/>
  <c r="JC67" i="25"/>
  <c r="JD67" i="25" s="1"/>
  <c r="BJ67" i="25" s="1"/>
  <c r="JC71" i="25"/>
  <c r="JD71" i="25" s="1"/>
  <c r="BJ71" i="25" s="1"/>
  <c r="JC75" i="25"/>
  <c r="JD75" i="25" s="1"/>
  <c r="BJ75" i="25" s="1"/>
  <c r="JC90" i="25"/>
  <c r="JD90" i="25" s="1"/>
  <c r="BJ90" i="25" s="1"/>
  <c r="JC94" i="25"/>
  <c r="JF94" i="25" s="1"/>
  <c r="KC83" i="25"/>
  <c r="KD83" i="25" s="1"/>
  <c r="KC87" i="25"/>
  <c r="KC95" i="25"/>
  <c r="KD95" i="25" s="1"/>
  <c r="KC75" i="25"/>
  <c r="KD75" i="25" s="1"/>
  <c r="LD86" i="25"/>
  <c r="BL86" i="25" s="1"/>
  <c r="MC67" i="25"/>
  <c r="MD67" i="25" s="1"/>
  <c r="BM67" i="25" s="1"/>
  <c r="MC83" i="25"/>
  <c r="MD83" i="25" s="1"/>
  <c r="MC94" i="25"/>
  <c r="MD94" i="25" s="1"/>
  <c r="NC59" i="25"/>
  <c r="NF59" i="25" s="1"/>
  <c r="NC83" i="25"/>
  <c r="ND83" i="25" s="1"/>
  <c r="BN83" i="25" s="1"/>
  <c r="NC87" i="25"/>
  <c r="NF87" i="25" s="1"/>
  <c r="NC97" i="25"/>
  <c r="OD90" i="25"/>
  <c r="OD94" i="25"/>
  <c r="PD27" i="25"/>
  <c r="PD54" i="25"/>
  <c r="PF47" i="25"/>
  <c r="PF63" i="25"/>
  <c r="KC55" i="25"/>
  <c r="KD55" i="25" s="1"/>
  <c r="LF102" i="25"/>
  <c r="NC95" i="25"/>
  <c r="ND95" i="25" s="1"/>
  <c r="BN95" i="25" s="1"/>
  <c r="PD26" i="25"/>
  <c r="PD49" i="25"/>
  <c r="PD51" i="25"/>
  <c r="PF31" i="25"/>
  <c r="PF24" i="25"/>
  <c r="HI85" i="25"/>
  <c r="HP85" i="25" s="1"/>
  <c r="OD41" i="25"/>
  <c r="OF83" i="25"/>
  <c r="OF92" i="25"/>
  <c r="OF104" i="25"/>
  <c r="PD60" i="25"/>
  <c r="PD37" i="25"/>
  <c r="PF37" i="25"/>
  <c r="LD87" i="25"/>
  <c r="PF62" i="25"/>
  <c r="HE20" i="25"/>
  <c r="HE37" i="25"/>
  <c r="HI83" i="25"/>
  <c r="HP83" i="25" s="1"/>
  <c r="HE88" i="25"/>
  <c r="JF103" i="25"/>
  <c r="JD88" i="25"/>
  <c r="BJ88" i="25" s="1"/>
  <c r="LF87" i="25"/>
  <c r="LD92" i="25"/>
  <c r="BL92" i="25" s="1"/>
  <c r="LF65" i="25"/>
  <c r="HH52" i="25"/>
  <c r="HH20" i="25"/>
  <c r="HR20" i="25" s="1"/>
  <c r="HD59" i="25"/>
  <c r="BH59" i="25" s="1"/>
  <c r="PF80" i="25"/>
  <c r="HE97" i="25"/>
  <c r="LD103" i="25"/>
  <c r="BL103" i="25" s="1"/>
  <c r="OF71" i="25"/>
  <c r="OF78" i="25"/>
  <c r="OD82" i="25"/>
  <c r="OD84" i="25"/>
  <c r="PD23" i="25"/>
  <c r="HH57" i="25"/>
  <c r="HJ60" i="25"/>
  <c r="HJ16" i="25"/>
  <c r="HI17" i="25"/>
  <c r="HP17" i="25" s="1"/>
  <c r="HJ24" i="25"/>
  <c r="HJ34" i="25"/>
  <c r="LF103" i="25"/>
  <c r="PD94" i="25"/>
  <c r="PD81" i="25"/>
  <c r="PD97" i="25"/>
  <c r="HJ64" i="25"/>
  <c r="HJ65" i="25"/>
  <c r="HD91" i="25"/>
  <c r="BH91" i="25" s="1"/>
  <c r="HE91" i="25"/>
  <c r="HI97" i="25"/>
  <c r="HP97" i="25" s="1"/>
  <c r="HE99" i="25"/>
  <c r="HJ78" i="25"/>
  <c r="HH83" i="25"/>
  <c r="HJ80" i="25"/>
  <c r="HE29" i="25"/>
  <c r="HH85" i="25"/>
  <c r="HR88" i="25"/>
  <c r="HJ92" i="25"/>
  <c r="MC99" i="25"/>
  <c r="MD99" i="25" s="1"/>
  <c r="BM99" i="25" s="1"/>
  <c r="OF93" i="25"/>
  <c r="OF98" i="25"/>
  <c r="OD26" i="25"/>
  <c r="OD69" i="25"/>
  <c r="OF94" i="25"/>
  <c r="OD97" i="25"/>
  <c r="PD31" i="25"/>
  <c r="PD39" i="25"/>
  <c r="PD44" i="25"/>
  <c r="PD63" i="25"/>
  <c r="PD66" i="25"/>
  <c r="PF38" i="25"/>
  <c r="PF40" i="25"/>
  <c r="PF51" i="25"/>
  <c r="PF54" i="25"/>
  <c r="PF66" i="25"/>
  <c r="HE35" i="25"/>
  <c r="HJ35" i="25"/>
  <c r="HD70" i="25"/>
  <c r="BH70" i="25" s="1"/>
  <c r="HH70" i="25"/>
  <c r="HD74" i="25"/>
  <c r="BH74" i="25" s="1"/>
  <c r="HI47" i="25"/>
  <c r="HP47" i="25" s="1"/>
  <c r="HJ63" i="25"/>
  <c r="HD95" i="25"/>
  <c r="BH95" i="25" s="1"/>
  <c r="HJ102" i="25"/>
  <c r="DP69" i="25"/>
  <c r="JF92" i="25"/>
  <c r="LC96" i="25"/>
  <c r="OD93" i="25"/>
  <c r="OD98" i="25"/>
  <c r="OF69" i="25"/>
  <c r="OD85" i="25"/>
  <c r="OD89" i="25"/>
  <c r="PD24" i="25"/>
  <c r="PD30" i="25"/>
  <c r="PD38" i="25"/>
  <c r="PD47" i="25"/>
  <c r="PD101" i="25"/>
  <c r="PF23" i="25"/>
  <c r="PF27" i="25"/>
  <c r="PF30" i="25"/>
  <c r="PF44" i="25"/>
  <c r="PF49" i="25"/>
  <c r="PF101" i="25"/>
  <c r="HH102" i="25"/>
  <c r="HJ93" i="25"/>
  <c r="HD85" i="25"/>
  <c r="BH85" i="25" s="1"/>
  <c r="OF85" i="25"/>
  <c r="DP102" i="25"/>
  <c r="HI32" i="25"/>
  <c r="HP32" i="25" s="1"/>
  <c r="HD46" i="25"/>
  <c r="BH46" i="25" s="1"/>
  <c r="HJ96" i="25"/>
  <c r="HI101" i="25"/>
  <c r="HP101" i="25" s="1"/>
  <c r="ND101" i="25"/>
  <c r="BN101" i="25" s="1"/>
  <c r="ND104" i="25"/>
  <c r="PD80" i="25"/>
  <c r="PF64" i="25"/>
  <c r="PF81" i="25"/>
  <c r="HI37" i="25"/>
  <c r="HP37" i="25" s="1"/>
  <c r="HI52" i="25"/>
  <c r="HP52" i="25" s="1"/>
  <c r="HI71" i="25"/>
  <c r="HP71" i="25" s="1"/>
  <c r="HI42" i="25"/>
  <c r="HP42" i="25" s="1"/>
  <c r="HE60" i="25"/>
  <c r="HE16" i="25"/>
  <c r="HI16" i="25"/>
  <c r="HP16" i="25" s="1"/>
  <c r="HJ20" i="25"/>
  <c r="HH28" i="25"/>
  <c r="HI34" i="25"/>
  <c r="HP34" i="25" s="1"/>
  <c r="HD63" i="25"/>
  <c r="BH63" i="25" s="1"/>
  <c r="HE95" i="25"/>
  <c r="HI93" i="25"/>
  <c r="HP93" i="25" s="1"/>
  <c r="HJ85" i="25"/>
  <c r="HJ86" i="25"/>
  <c r="HE87" i="25"/>
  <c r="HD88" i="25"/>
  <c r="BH88" i="25" s="1"/>
  <c r="HD94" i="25"/>
  <c r="BH94" i="25" s="1"/>
  <c r="HE101" i="25"/>
  <c r="JF89" i="25"/>
  <c r="LD94" i="25"/>
  <c r="LF100" i="25"/>
  <c r="PF93" i="25"/>
  <c r="PF97" i="25"/>
  <c r="ON26" i="25"/>
  <c r="HH78" i="25"/>
  <c r="HD81" i="25"/>
  <c r="BH81" i="25" s="1"/>
  <c r="HD20" i="25"/>
  <c r="BH20" i="25" s="1"/>
  <c r="HJ21" i="25"/>
  <c r="HI50" i="25"/>
  <c r="HP50" i="25" s="1"/>
  <c r="HJ95" i="25"/>
  <c r="HE93" i="25"/>
  <c r="HJ98" i="25"/>
  <c r="HJ104" i="25"/>
  <c r="HH90" i="25"/>
  <c r="HI92" i="25"/>
  <c r="HP92" i="25" s="1"/>
  <c r="HH94" i="25"/>
  <c r="JF82" i="25"/>
  <c r="JF88" i="25"/>
  <c r="MD87" i="25"/>
  <c r="HI30" i="25"/>
  <c r="HP30" i="25" s="1"/>
  <c r="HJ42" i="25"/>
  <c r="HI95" i="25"/>
  <c r="HP95" i="25" s="1"/>
  <c r="HH98" i="25"/>
  <c r="HD87" i="25"/>
  <c r="BH87" i="25" s="1"/>
  <c r="HJ88" i="25"/>
  <c r="HD90" i="25"/>
  <c r="BH90" i="25" s="1"/>
  <c r="HI90" i="25"/>
  <c r="HP90" i="25" s="1"/>
  <c r="HD92" i="25"/>
  <c r="BH92" i="25" s="1"/>
  <c r="HE92" i="25"/>
  <c r="HJ94" i="25"/>
  <c r="HJ97" i="25"/>
  <c r="HD99" i="25"/>
  <c r="BH99" i="25" s="1"/>
  <c r="HD103" i="25"/>
  <c r="BH103" i="25" s="1"/>
  <c r="HJ103" i="25"/>
  <c r="BJ103" i="25"/>
  <c r="BR104" i="25"/>
  <c r="BR95" i="25"/>
  <c r="FD73" i="25"/>
  <c r="BR73" i="25" s="1"/>
  <c r="FD77" i="25"/>
  <c r="BR90" i="25"/>
  <c r="FR100" i="25"/>
  <c r="DP89" i="25"/>
  <c r="U89" i="25" s="1"/>
  <c r="DP98" i="25"/>
  <c r="BJ85" i="25"/>
  <c r="BJ86" i="25"/>
  <c r="BJ91" i="25"/>
  <c r="JD92" i="25"/>
  <c r="KD100" i="25"/>
  <c r="BL91" i="25"/>
  <c r="GA85" i="25"/>
  <c r="GH92" i="25"/>
  <c r="GI92" i="25"/>
  <c r="GP92" i="25" s="1"/>
  <c r="GJ92" i="25"/>
  <c r="GH87" i="25"/>
  <c r="GI87" i="25"/>
  <c r="GP87" i="25" s="1"/>
  <c r="GJ87" i="25"/>
  <c r="GI101" i="25"/>
  <c r="GP101" i="25" s="1"/>
  <c r="GH101" i="25"/>
  <c r="GJ101" i="25"/>
  <c r="GJ30" i="25"/>
  <c r="HE39" i="25"/>
  <c r="BR87" i="25"/>
  <c r="BR96" i="25"/>
  <c r="BR103" i="25"/>
  <c r="FH104" i="25"/>
  <c r="BJ95" i="25"/>
  <c r="JF98" i="25"/>
  <c r="BL102" i="25"/>
  <c r="LF94" i="25"/>
  <c r="MD98" i="25"/>
  <c r="BN92" i="25"/>
  <c r="EJ93" i="25"/>
  <c r="CP93" i="25"/>
  <c r="AH93" i="25" s="1"/>
  <c r="CP97" i="25"/>
  <c r="AH97" i="25" s="1"/>
  <c r="GH86" i="25"/>
  <c r="GJ86" i="25"/>
  <c r="GI86" i="25"/>
  <c r="GP86" i="25" s="1"/>
  <c r="GH104" i="25"/>
  <c r="GJ104" i="25"/>
  <c r="GI104" i="25"/>
  <c r="GP104" i="25" s="1"/>
  <c r="GJ88" i="25"/>
  <c r="GI88" i="25"/>
  <c r="GP88" i="25" s="1"/>
  <c r="GH88" i="25"/>
  <c r="GD96" i="25"/>
  <c r="BG96" i="25" s="1"/>
  <c r="GH96" i="25"/>
  <c r="GJ96" i="25"/>
  <c r="GI96" i="25"/>
  <c r="GP96" i="25" s="1"/>
  <c r="OH90" i="25"/>
  <c r="ON90" i="25" s="1"/>
  <c r="HD35" i="25"/>
  <c r="BH35" i="25" s="1"/>
  <c r="HI35" i="25"/>
  <c r="HP35" i="25" s="1"/>
  <c r="CP43" i="25"/>
  <c r="HI43" i="25"/>
  <c r="HP43" i="25" s="1"/>
  <c r="HD52" i="25"/>
  <c r="BH52" i="25" s="1"/>
  <c r="HD64" i="25"/>
  <c r="BH64" i="25" s="1"/>
  <c r="HI64" i="25"/>
  <c r="HP64" i="25" s="1"/>
  <c r="HJ71" i="25"/>
  <c r="BJ98" i="25"/>
  <c r="BJ99" i="25"/>
  <c r="BL101" i="25"/>
  <c r="EI99" i="25"/>
  <c r="EP99" i="25" s="1"/>
  <c r="AN99" i="25" s="1"/>
  <c r="X99" i="19" s="1"/>
  <c r="CP99" i="25"/>
  <c r="EE89" i="25"/>
  <c r="CP89" i="25"/>
  <c r="EJ101" i="25"/>
  <c r="CP101" i="25"/>
  <c r="GE91" i="25"/>
  <c r="GH91" i="25"/>
  <c r="GJ91" i="25"/>
  <c r="GI91" i="25"/>
  <c r="GP91" i="25" s="1"/>
  <c r="GE95" i="25"/>
  <c r="GJ95" i="25"/>
  <c r="GH95" i="25"/>
  <c r="GI95" i="25"/>
  <c r="GP95" i="25" s="1"/>
  <c r="GE99" i="25"/>
  <c r="GI99" i="25"/>
  <c r="GP99" i="25" s="1"/>
  <c r="GH99" i="25"/>
  <c r="GJ99" i="25"/>
  <c r="GI93" i="25"/>
  <c r="GP93" i="25" s="1"/>
  <c r="GJ93" i="25"/>
  <c r="GH93" i="25"/>
  <c r="GI100" i="25"/>
  <c r="GP100" i="25" s="1"/>
  <c r="GH100" i="25"/>
  <c r="GJ100" i="25"/>
  <c r="GJ103" i="25"/>
  <c r="GI103" i="25"/>
  <c r="GP103" i="25" s="1"/>
  <c r="GH103" i="25"/>
  <c r="HH40" i="25"/>
  <c r="HD43" i="25"/>
  <c r="BH43" i="25" s="1"/>
  <c r="HE43" i="25"/>
  <c r="HH64" i="25"/>
  <c r="FR88" i="25"/>
  <c r="KD93" i="25"/>
  <c r="LF92" i="25"/>
  <c r="LD95" i="25"/>
  <c r="BM100" i="25"/>
  <c r="BM93" i="25"/>
  <c r="EJ86" i="25"/>
  <c r="CP86" i="25"/>
  <c r="EE88" i="25"/>
  <c r="CP88" i="25"/>
  <c r="EJ96" i="25"/>
  <c r="CP96" i="25"/>
  <c r="EH98" i="25"/>
  <c r="CP98" i="25"/>
  <c r="GA78" i="25"/>
  <c r="GE85" i="25"/>
  <c r="GH85" i="25"/>
  <c r="GJ85" i="25"/>
  <c r="GI85" i="25"/>
  <c r="GP85" i="25" s="1"/>
  <c r="GH89" i="25"/>
  <c r="GJ89" i="25"/>
  <c r="GI89" i="25"/>
  <c r="GP89" i="25" s="1"/>
  <c r="GE97" i="25"/>
  <c r="GJ97" i="25"/>
  <c r="GH97" i="25"/>
  <c r="GI97" i="25"/>
  <c r="GP97" i="25" s="1"/>
  <c r="GI102" i="25"/>
  <c r="GP102" i="25" s="1"/>
  <c r="GH102" i="25"/>
  <c r="GJ102" i="25"/>
  <c r="GI90" i="25"/>
  <c r="GP90" i="25" s="1"/>
  <c r="GH90" i="25"/>
  <c r="GJ90" i="25"/>
  <c r="GE94" i="25"/>
  <c r="GI94" i="25"/>
  <c r="GP94" i="25" s="1"/>
  <c r="GH94" i="25"/>
  <c r="GJ94" i="25"/>
  <c r="GI98" i="25"/>
  <c r="GP98" i="25" s="1"/>
  <c r="GH98" i="25"/>
  <c r="GJ98" i="25"/>
  <c r="BM97" i="25"/>
  <c r="HE26" i="25"/>
  <c r="CP35" i="25"/>
  <c r="GI35" i="25"/>
  <c r="GP35" i="25" s="1"/>
  <c r="HJ43" i="25"/>
  <c r="HJ25" i="25"/>
  <c r="HE25" i="25"/>
  <c r="HH39" i="25"/>
  <c r="HR39" i="25" s="1"/>
  <c r="HJ39" i="25"/>
  <c r="HP20" i="25"/>
  <c r="HD47" i="25"/>
  <c r="BH47" i="25" s="1"/>
  <c r="HH54" i="25"/>
  <c r="HD98" i="25"/>
  <c r="BH98" i="25" s="1"/>
  <c r="HI98" i="25"/>
  <c r="HP98" i="25" s="1"/>
  <c r="HJ100" i="25"/>
  <c r="HI104" i="25"/>
  <c r="HP104" i="25" s="1"/>
  <c r="HH104" i="25"/>
  <c r="HI86" i="25"/>
  <c r="HP86" i="25" s="1"/>
  <c r="HE89" i="25"/>
  <c r="HI89" i="25"/>
  <c r="HE42" i="25"/>
  <c r="HH42" i="25"/>
  <c r="HE45" i="25"/>
  <c r="HE67" i="25"/>
  <c r="HD72" i="25"/>
  <c r="BH72" i="25" s="1"/>
  <c r="HI74" i="25"/>
  <c r="HP74" i="25" s="1"/>
  <c r="HE74" i="25"/>
  <c r="HH80" i="25"/>
  <c r="HH16" i="25"/>
  <c r="HH18" i="25"/>
  <c r="HH24" i="25"/>
  <c r="HE47" i="25"/>
  <c r="HJ50" i="25"/>
  <c r="HJ82" i="25"/>
  <c r="HJ89" i="25"/>
  <c r="HD45" i="25"/>
  <c r="BH45" i="25" s="1"/>
  <c r="HI18" i="25"/>
  <c r="HP18" i="25" s="1"/>
  <c r="HE21" i="25"/>
  <c r="HH22" i="25"/>
  <c r="HI23" i="25"/>
  <c r="HP23" i="25" s="1"/>
  <c r="HD23" i="25"/>
  <c r="BH23" i="25" s="1"/>
  <c r="HD38" i="25"/>
  <c r="BH38" i="25" s="1"/>
  <c r="HJ54" i="25"/>
  <c r="HD93" i="25"/>
  <c r="BH93" i="25" s="1"/>
  <c r="HI100" i="25"/>
  <c r="HP100" i="25" s="1"/>
  <c r="HH86" i="25"/>
  <c r="HI45" i="25"/>
  <c r="HP45" i="25" s="1"/>
  <c r="HI51" i="25"/>
  <c r="HP51" i="25" s="1"/>
  <c r="HE57" i="25"/>
  <c r="HH77" i="25"/>
  <c r="HI77" i="25"/>
  <c r="HP77" i="25" s="1"/>
  <c r="HI21" i="25"/>
  <c r="HP21" i="25" s="1"/>
  <c r="HD21" i="25"/>
  <c r="BH21" i="25" s="1"/>
  <c r="HJ28" i="25"/>
  <c r="HJ47" i="25"/>
  <c r="HE50" i="25"/>
  <c r="HD56" i="25"/>
  <c r="BH56" i="25" s="1"/>
  <c r="HD102" i="25"/>
  <c r="BH102" i="25" s="1"/>
  <c r="HI102" i="25"/>
  <c r="HP102" i="25" s="1"/>
  <c r="HD100" i="25"/>
  <c r="BH100" i="25" s="1"/>
  <c r="HE100" i="25"/>
  <c r="HE104" i="25"/>
  <c r="HE86" i="25"/>
  <c r="HJ87" i="25"/>
  <c r="HI87" i="25"/>
  <c r="HD89" i="25"/>
  <c r="BH89" i="25" s="1"/>
  <c r="HI91" i="25"/>
  <c r="HJ91" i="25"/>
  <c r="HI94" i="25"/>
  <c r="HP94" i="25" s="1"/>
  <c r="HI99" i="25"/>
  <c r="HP99" i="25" s="1"/>
  <c r="HJ99" i="25"/>
  <c r="HE103" i="25"/>
  <c r="HD96" i="25"/>
  <c r="BH96" i="25" s="1"/>
  <c r="HE96" i="25"/>
  <c r="HH101" i="25"/>
  <c r="HD101" i="25"/>
  <c r="BH101" i="25" s="1"/>
  <c r="HD97" i="25"/>
  <c r="BH97" i="25" s="1"/>
  <c r="HI103" i="25"/>
  <c r="HH96" i="25"/>
  <c r="HH58" i="25"/>
  <c r="CD65" i="19"/>
  <c r="CD77" i="19"/>
  <c r="CD81" i="19"/>
  <c r="FD49" i="25"/>
  <c r="DP81" i="25"/>
  <c r="JC79" i="25"/>
  <c r="JF79" i="25" s="1"/>
  <c r="JD80" i="25"/>
  <c r="BJ80" i="25" s="1"/>
  <c r="KD77" i="25"/>
  <c r="KC51" i="25"/>
  <c r="KD51" i="25" s="1"/>
  <c r="KC59" i="25"/>
  <c r="KD59" i="25" s="1"/>
  <c r="KC71" i="25"/>
  <c r="LF53" i="25"/>
  <c r="LC55" i="25"/>
  <c r="LD55" i="25" s="1"/>
  <c r="BL55" i="25" s="1"/>
  <c r="LC63" i="25"/>
  <c r="LF63" i="25" s="1"/>
  <c r="LC51" i="25"/>
  <c r="LD51" i="25" s="1"/>
  <c r="BL51" i="25" s="1"/>
  <c r="LC59" i="25"/>
  <c r="LF59" i="25" s="1"/>
  <c r="MC75" i="25"/>
  <c r="MD75" i="25" s="1"/>
  <c r="NC55" i="25"/>
  <c r="ND55" i="25" s="1"/>
  <c r="BN55" i="25" s="1"/>
  <c r="NC63" i="25"/>
  <c r="NC67" i="25"/>
  <c r="ND67" i="25" s="1"/>
  <c r="BN67" i="25" s="1"/>
  <c r="OF49" i="25"/>
  <c r="OD51" i="25"/>
  <c r="OD62" i="25"/>
  <c r="OD76" i="25"/>
  <c r="PF52" i="25"/>
  <c r="PH52" i="25"/>
  <c r="PN52" i="25" s="1"/>
  <c r="OH62" i="25"/>
  <c r="HE49" i="25"/>
  <c r="HE52" i="25"/>
  <c r="HE55" i="25"/>
  <c r="HD58" i="25"/>
  <c r="BH58" i="25" s="1"/>
  <c r="HI68" i="25"/>
  <c r="HP68" i="25" s="1"/>
  <c r="HJ68" i="25"/>
  <c r="HJ75" i="25"/>
  <c r="HI53" i="25"/>
  <c r="HP53" i="25" s="1"/>
  <c r="HI66" i="25"/>
  <c r="HP66" i="25" s="1"/>
  <c r="HE68" i="25"/>
  <c r="CD66" i="19"/>
  <c r="JC51" i="25"/>
  <c r="JF51" i="25" s="1"/>
  <c r="JC55" i="25"/>
  <c r="JD55" i="25" s="1"/>
  <c r="BJ55" i="25" s="1"/>
  <c r="JC59" i="25"/>
  <c r="KC63" i="25"/>
  <c r="LC67" i="25"/>
  <c r="MC63" i="25"/>
  <c r="MD63" i="25" s="1"/>
  <c r="BM63" i="25" s="1"/>
  <c r="MC71" i="25"/>
  <c r="MD71" i="25" s="1"/>
  <c r="NC75" i="25"/>
  <c r="NF75" i="25" s="1"/>
  <c r="OD49" i="25"/>
  <c r="OF63" i="25"/>
  <c r="OF66" i="25"/>
  <c r="OF76" i="25"/>
  <c r="PD74" i="25"/>
  <c r="PF60" i="25"/>
  <c r="HJ55" i="25"/>
  <c r="HI58" i="25"/>
  <c r="HP58" i="25" s="1"/>
  <c r="CP58" i="25"/>
  <c r="HD68" i="25"/>
  <c r="BH68" i="25" s="1"/>
  <c r="HD60" i="25"/>
  <c r="BH60" i="25" s="1"/>
  <c r="CP62" i="25"/>
  <c r="HJ72" i="25"/>
  <c r="HH72" i="25"/>
  <c r="HD50" i="25"/>
  <c r="BH50" i="25" s="1"/>
  <c r="HJ59" i="25"/>
  <c r="HE69" i="25"/>
  <c r="CP52" i="25"/>
  <c r="CD78" i="19"/>
  <c r="CD51" i="19"/>
  <c r="JD76" i="25"/>
  <c r="JF77" i="25"/>
  <c r="KC79" i="25"/>
  <c r="ND65" i="25"/>
  <c r="BN65" i="25" s="1"/>
  <c r="OF51" i="25"/>
  <c r="OD57" i="25"/>
  <c r="OD63" i="25"/>
  <c r="OD66" i="25"/>
  <c r="PD71" i="25"/>
  <c r="HJ58" i="25"/>
  <c r="CP71" i="25"/>
  <c r="CP75" i="25"/>
  <c r="AH75" i="25" s="1"/>
  <c r="HH81" i="25"/>
  <c r="HI81" i="25"/>
  <c r="HP81" i="25" s="1"/>
  <c r="HJ81" i="25"/>
  <c r="HJ51" i="25"/>
  <c r="HJ70" i="25"/>
  <c r="HI72" i="25"/>
  <c r="HP72" i="25" s="1"/>
  <c r="HI80" i="25"/>
  <c r="HI59" i="25"/>
  <c r="HP59" i="25" s="1"/>
  <c r="HD69" i="25"/>
  <c r="BH69" i="25" s="1"/>
  <c r="FR77" i="25"/>
  <c r="BR44" i="25"/>
  <c r="FR56" i="25"/>
  <c r="BR70" i="25"/>
  <c r="BR20" i="25"/>
  <c r="FR24" i="25"/>
  <c r="BR30" i="25"/>
  <c r="FR36" i="25"/>
  <c r="FR42" i="25"/>
  <c r="FD56" i="25"/>
  <c r="BR68" i="25"/>
  <c r="FR82" i="25"/>
  <c r="FR81" i="25"/>
  <c r="FR17" i="25"/>
  <c r="FR19" i="25"/>
  <c r="BR21" i="25"/>
  <c r="FR23" i="25"/>
  <c r="FR25" i="25"/>
  <c r="FR27" i="25"/>
  <c r="FR31" i="25"/>
  <c r="FR41" i="25"/>
  <c r="FR45" i="25"/>
  <c r="FR49" i="25"/>
  <c r="BR51" i="25"/>
  <c r="FD52" i="25"/>
  <c r="FR57" i="25"/>
  <c r="FR65" i="25"/>
  <c r="FR84" i="25"/>
  <c r="DP77" i="25"/>
  <c r="W77" i="25" s="1"/>
  <c r="JF60" i="25"/>
  <c r="JF74" i="25"/>
  <c r="BJ82" i="25"/>
  <c r="LF82" i="25"/>
  <c r="BL72" i="25"/>
  <c r="BM65" i="25"/>
  <c r="LD81" i="25"/>
  <c r="ND61" i="25"/>
  <c r="ND73" i="25"/>
  <c r="NF73" i="25"/>
  <c r="CP68" i="25"/>
  <c r="EI68" i="25"/>
  <c r="EP68" i="25" s="1"/>
  <c r="AN68" i="25" s="1"/>
  <c r="EJ68" i="25"/>
  <c r="OH23" i="25"/>
  <c r="OD23" i="25"/>
  <c r="FR34" i="25"/>
  <c r="BR60" i="25"/>
  <c r="BR75" i="25"/>
  <c r="LD66" i="25"/>
  <c r="MD74" i="25"/>
  <c r="BL62" i="25"/>
  <c r="EJ51" i="25"/>
  <c r="CP51" i="25"/>
  <c r="PH78" i="25"/>
  <c r="PN78" i="25" s="1"/>
  <c r="PF78" i="25"/>
  <c r="PD78" i="25"/>
  <c r="OH19" i="25"/>
  <c r="ON19" i="25" s="1"/>
  <c r="OD19" i="25"/>
  <c r="OH20" i="25"/>
  <c r="OF20" i="25"/>
  <c r="OD20" i="25"/>
  <c r="PH21" i="25"/>
  <c r="PN21" i="25" s="1"/>
  <c r="PF21" i="25"/>
  <c r="OH22" i="25"/>
  <c r="OD22" i="25"/>
  <c r="OF22" i="25"/>
  <c r="PH34" i="25"/>
  <c r="PN34" i="25" s="1"/>
  <c r="PF34" i="25"/>
  <c r="OH73" i="25"/>
  <c r="ON73" i="25" s="1"/>
  <c r="OF73" i="25"/>
  <c r="OD73" i="25"/>
  <c r="CP32" i="25"/>
  <c r="BR79" i="25"/>
  <c r="FR46" i="25"/>
  <c r="FR62" i="25"/>
  <c r="FR72" i="25"/>
  <c r="BR26" i="25"/>
  <c r="FR32" i="25"/>
  <c r="FR40" i="25"/>
  <c r="FR52" i="25"/>
  <c r="BR66" i="25"/>
  <c r="MD80" i="25"/>
  <c r="MD78" i="25"/>
  <c r="BN79" i="25"/>
  <c r="CP78" i="25"/>
  <c r="AH78" i="25" s="1"/>
  <c r="EH78" i="25"/>
  <c r="EE78" i="25"/>
  <c r="EJ78" i="25"/>
  <c r="ED78" i="25"/>
  <c r="EH80" i="25"/>
  <c r="CP80" i="25"/>
  <c r="AH80" i="25" s="1"/>
  <c r="EE82" i="25"/>
  <c r="CP82" i="25"/>
  <c r="EI84" i="25"/>
  <c r="EP84" i="25" s="1"/>
  <c r="CP84" i="25"/>
  <c r="AH84" i="25" s="1"/>
  <c r="GI26" i="25"/>
  <c r="GP26" i="25" s="1"/>
  <c r="GH26" i="25"/>
  <c r="GJ26" i="25"/>
  <c r="GD34" i="25"/>
  <c r="BG34" i="25" s="1"/>
  <c r="GH34" i="25"/>
  <c r="GI34" i="25"/>
  <c r="GP34" i="25" s="1"/>
  <c r="GJ34" i="25"/>
  <c r="GH38" i="25"/>
  <c r="GJ38" i="25"/>
  <c r="GI38" i="25"/>
  <c r="GP38" i="25" s="1"/>
  <c r="GJ51" i="25"/>
  <c r="GH51" i="25"/>
  <c r="GI51" i="25"/>
  <c r="GP51" i="25" s="1"/>
  <c r="GJ59" i="25"/>
  <c r="GI59" i="25"/>
  <c r="GP59" i="25" s="1"/>
  <c r="GH59" i="25"/>
  <c r="GJ17" i="25"/>
  <c r="GH17" i="25"/>
  <c r="GI17" i="25"/>
  <c r="GP17" i="25" s="1"/>
  <c r="GD27" i="25"/>
  <c r="BG27" i="25" s="1"/>
  <c r="GI27" i="25"/>
  <c r="GP27" i="25" s="1"/>
  <c r="GH27" i="25"/>
  <c r="GJ27" i="25"/>
  <c r="GI31" i="25"/>
  <c r="GP31" i="25" s="1"/>
  <c r="GH31" i="25"/>
  <c r="GJ31" i="25"/>
  <c r="GD43" i="25"/>
  <c r="BG43" i="25" s="1"/>
  <c r="GH43" i="25"/>
  <c r="GJ43" i="25"/>
  <c r="GI43" i="25"/>
  <c r="GP43" i="25" s="1"/>
  <c r="GD50" i="25"/>
  <c r="BG50" i="25" s="1"/>
  <c r="GI50" i="25"/>
  <c r="GP50" i="25" s="1"/>
  <c r="GH50" i="25"/>
  <c r="GJ50" i="25"/>
  <c r="GJ58" i="25"/>
  <c r="GH58" i="25"/>
  <c r="GI58" i="25"/>
  <c r="GP58" i="25" s="1"/>
  <c r="GI66" i="25"/>
  <c r="GP66" i="25" s="1"/>
  <c r="GH66" i="25"/>
  <c r="GJ66" i="25"/>
  <c r="GD70" i="25"/>
  <c r="BG70" i="25" s="1"/>
  <c r="GI70" i="25"/>
  <c r="GP70" i="25" s="1"/>
  <c r="GH70" i="25"/>
  <c r="GJ70" i="25"/>
  <c r="GI74" i="25"/>
  <c r="GP74" i="25" s="1"/>
  <c r="GH74" i="25"/>
  <c r="GJ74" i="25"/>
  <c r="OF19" i="25"/>
  <c r="LC50" i="25"/>
  <c r="LD50" i="25" s="1"/>
  <c r="BL50" i="25" s="1"/>
  <c r="NC50" i="25"/>
  <c r="ND50" i="25" s="1"/>
  <c r="BN50" i="25" s="1"/>
  <c r="MC50" i="25"/>
  <c r="MD50" i="25" s="1"/>
  <c r="BM50" i="25" s="1"/>
  <c r="MC54" i="25"/>
  <c r="MD54" i="25" s="1"/>
  <c r="BM54" i="25" s="1"/>
  <c r="KC54" i="25"/>
  <c r="KD54" i="25" s="1"/>
  <c r="NC54" i="25"/>
  <c r="ND54" i="25" s="1"/>
  <c r="BN54" i="25" s="1"/>
  <c r="LC54" i="25"/>
  <c r="LD54" i="25" s="1"/>
  <c r="BL54" i="25" s="1"/>
  <c r="LC58" i="25"/>
  <c r="LD58" i="25" s="1"/>
  <c r="MC58" i="25"/>
  <c r="MD58" i="25" s="1"/>
  <c r="NC62" i="25"/>
  <c r="NF62" i="25" s="1"/>
  <c r="MC62" i="25"/>
  <c r="NC66" i="25"/>
  <c r="MC66" i="25"/>
  <c r="MC70" i="25"/>
  <c r="MD70" i="25" s="1"/>
  <c r="LC70" i="25"/>
  <c r="LF70" i="25" s="1"/>
  <c r="NC74" i="25"/>
  <c r="ND74" i="25" s="1"/>
  <c r="LC74" i="25"/>
  <c r="LD74" i="25" s="1"/>
  <c r="KC78" i="25"/>
  <c r="KD78" i="25" s="1"/>
  <c r="NC78" i="25"/>
  <c r="ND78" i="25" s="1"/>
  <c r="LC78" i="25"/>
  <c r="MC82" i="25"/>
  <c r="MD82" i="25" s="1"/>
  <c r="KC82" i="25"/>
  <c r="KD82" i="25" s="1"/>
  <c r="NC82" i="25"/>
  <c r="ND82" i="25" s="1"/>
  <c r="OH50" i="25"/>
  <c r="ON50" i="25" s="1"/>
  <c r="OF50" i="25"/>
  <c r="OH55" i="25"/>
  <c r="ON55" i="25" s="1"/>
  <c r="OF55" i="25"/>
  <c r="OD55" i="25"/>
  <c r="OH72" i="25"/>
  <c r="ON72" i="25" s="1"/>
  <c r="OD72" i="25"/>
  <c r="OF72" i="25"/>
  <c r="OH75" i="25"/>
  <c r="OF75" i="25"/>
  <c r="OH30" i="25"/>
  <c r="ON30" i="25" s="1"/>
  <c r="OF30" i="25"/>
  <c r="OD30" i="25"/>
  <c r="OH31" i="25"/>
  <c r="ON31" i="25" s="1"/>
  <c r="OF31" i="25"/>
  <c r="BR83" i="25"/>
  <c r="BR55" i="25"/>
  <c r="BR64" i="25"/>
  <c r="FR22" i="25"/>
  <c r="FR28" i="25"/>
  <c r="FR38" i="25"/>
  <c r="BR48" i="25"/>
  <c r="BR58" i="25"/>
  <c r="FR78" i="25"/>
  <c r="FR73" i="25"/>
  <c r="FR16" i="25"/>
  <c r="BR33" i="25"/>
  <c r="BR39" i="25"/>
  <c r="FR43" i="25"/>
  <c r="BR50" i="25"/>
  <c r="FR54" i="25"/>
  <c r="FH55" i="25"/>
  <c r="FR59" i="25"/>
  <c r="BR67" i="25"/>
  <c r="BR71" i="25"/>
  <c r="BR80" i="25"/>
  <c r="JF61" i="25"/>
  <c r="BJ65" i="25"/>
  <c r="JF76" i="25"/>
  <c r="JD77" i="25"/>
  <c r="LD82" i="25"/>
  <c r="BL77" i="25"/>
  <c r="EJ69" i="25"/>
  <c r="CP69" i="25"/>
  <c r="EH69" i="25"/>
  <c r="KD76" i="25"/>
  <c r="NF61" i="25"/>
  <c r="EJ47" i="25"/>
  <c r="CP47" i="25"/>
  <c r="EJ48" i="25"/>
  <c r="CP48" i="25"/>
  <c r="EH50" i="25"/>
  <c r="CP50" i="25"/>
  <c r="EJ54" i="25"/>
  <c r="CP54" i="25"/>
  <c r="EH56" i="25"/>
  <c r="CP56" i="25"/>
  <c r="EH59" i="25"/>
  <c r="CP59" i="25"/>
  <c r="EE73" i="25"/>
  <c r="CP73" i="25"/>
  <c r="CP77" i="25"/>
  <c r="AH77" i="25" s="1"/>
  <c r="GE19" i="25"/>
  <c r="GI19" i="25"/>
  <c r="GP19" i="25" s="1"/>
  <c r="GJ19" i="25"/>
  <c r="GH19" i="25"/>
  <c r="GJ23" i="25"/>
  <c r="GH23" i="25"/>
  <c r="GI23" i="25"/>
  <c r="GP23" i="25" s="1"/>
  <c r="GJ42" i="25"/>
  <c r="GH42" i="25"/>
  <c r="GE55" i="25"/>
  <c r="GJ55" i="25"/>
  <c r="GI62" i="25"/>
  <c r="GP62" i="25" s="1"/>
  <c r="GH62" i="25"/>
  <c r="GJ62" i="25"/>
  <c r="GE67" i="25"/>
  <c r="GI67" i="25"/>
  <c r="GP67" i="25" s="1"/>
  <c r="GJ67" i="25"/>
  <c r="GH67" i="25"/>
  <c r="GE71" i="25"/>
  <c r="GH71" i="25"/>
  <c r="GJ71" i="25"/>
  <c r="GI71" i="25"/>
  <c r="GP71" i="25" s="1"/>
  <c r="GE75" i="25"/>
  <c r="GI75" i="25"/>
  <c r="GP75" i="25" s="1"/>
  <c r="GH75" i="25"/>
  <c r="GJ75" i="25"/>
  <c r="GI78" i="25"/>
  <c r="GP78" i="25" s="1"/>
  <c r="GH78" i="25"/>
  <c r="GJ78" i="25"/>
  <c r="GE82" i="25"/>
  <c r="GJ82" i="25"/>
  <c r="GH82" i="25"/>
  <c r="GI82" i="25"/>
  <c r="GP82" i="25" s="1"/>
  <c r="GI18" i="25"/>
  <c r="GP18" i="25" s="1"/>
  <c r="GJ18" i="25"/>
  <c r="GH18" i="25"/>
  <c r="GE22" i="25"/>
  <c r="GH22" i="25"/>
  <c r="GI22" i="25"/>
  <c r="GP22" i="25" s="1"/>
  <c r="GJ22" i="25"/>
  <c r="GD47" i="25"/>
  <c r="BG47" i="25" s="1"/>
  <c r="GJ47" i="25"/>
  <c r="GH47" i="25"/>
  <c r="GI47" i="25"/>
  <c r="GP47" i="25" s="1"/>
  <c r="GD54" i="25"/>
  <c r="BG54" i="25" s="1"/>
  <c r="GJ54" i="25"/>
  <c r="GH54" i="25"/>
  <c r="GI54" i="25"/>
  <c r="GP54" i="25" s="1"/>
  <c r="GH63" i="25"/>
  <c r="GJ63" i="25"/>
  <c r="GI63" i="25"/>
  <c r="GP63" i="25" s="1"/>
  <c r="GJ79" i="25"/>
  <c r="GI79" i="25"/>
  <c r="GP79" i="25" s="1"/>
  <c r="GH79" i="25"/>
  <c r="GI83" i="25"/>
  <c r="GP83" i="25" s="1"/>
  <c r="GJ83" i="25"/>
  <c r="GH83" i="25"/>
  <c r="PF58" i="25"/>
  <c r="ON82" i="25"/>
  <c r="GI30" i="25"/>
  <c r="GP30" i="25" s="1"/>
  <c r="GI32" i="25"/>
  <c r="GP32" i="25" s="1"/>
  <c r="GJ35" i="25"/>
  <c r="CP37" i="25"/>
  <c r="GJ37" i="25"/>
  <c r="HD37" i="25"/>
  <c r="BH37" i="25" s="1"/>
  <c r="CP40" i="25"/>
  <c r="HD40" i="25"/>
  <c r="BH40" i="25" s="1"/>
  <c r="HI40" i="25"/>
  <c r="HP40" i="25" s="1"/>
  <c r="HE40" i="25"/>
  <c r="GJ46" i="25"/>
  <c r="HE46" i="25"/>
  <c r="HI46" i="25"/>
  <c r="HJ49" i="25"/>
  <c r="HI49" i="25"/>
  <c r="HP49" i="25" s="1"/>
  <c r="HH49" i="25"/>
  <c r="GI52" i="25"/>
  <c r="GP52" i="25" s="1"/>
  <c r="HI55" i="25"/>
  <c r="HD55" i="25"/>
  <c r="BH55" i="25" s="1"/>
  <c r="CP64" i="25"/>
  <c r="HE65" i="25"/>
  <c r="HH65" i="25"/>
  <c r="HD65" i="25"/>
  <c r="BH65" i="25" s="1"/>
  <c r="HI36" i="25"/>
  <c r="HP36" i="25" s="1"/>
  <c r="HE36" i="25"/>
  <c r="HJ36" i="25"/>
  <c r="GH39" i="25"/>
  <c r="GI42" i="25"/>
  <c r="GP42" i="25" s="1"/>
  <c r="CP22" i="25"/>
  <c r="LF62" i="25"/>
  <c r="LF77" i="25"/>
  <c r="BM61" i="25"/>
  <c r="BL76" i="25"/>
  <c r="EI19" i="25"/>
  <c r="EP19" i="25" s="1"/>
  <c r="AN19" i="25" s="1"/>
  <c r="CP19" i="25"/>
  <c r="EJ21" i="25"/>
  <c r="CP21" i="25"/>
  <c r="BQ22" i="25"/>
  <c r="ED25" i="25"/>
  <c r="CP25" i="25"/>
  <c r="EH29" i="25"/>
  <c r="CP29" i="25"/>
  <c r="EI31" i="25"/>
  <c r="EP31" i="25" s="1"/>
  <c r="AN31" i="25" s="1"/>
  <c r="CP31" i="25"/>
  <c r="EE33" i="25"/>
  <c r="CP33" i="25"/>
  <c r="ED34" i="25"/>
  <c r="CP34" i="25"/>
  <c r="ED38" i="25"/>
  <c r="CP38" i="25"/>
  <c r="EH41" i="25"/>
  <c r="CP41" i="25"/>
  <c r="EE42" i="25"/>
  <c r="CP42" i="25"/>
  <c r="EH45" i="25"/>
  <c r="CP45" i="25"/>
  <c r="EJ63" i="25"/>
  <c r="CP63" i="25"/>
  <c r="EE72" i="25"/>
  <c r="CP72" i="25"/>
  <c r="EH76" i="25"/>
  <c r="CP76" i="25"/>
  <c r="AH76" i="25" s="1"/>
  <c r="EH81" i="25"/>
  <c r="CP81" i="25"/>
  <c r="GJ28" i="25"/>
  <c r="GH28" i="25"/>
  <c r="GI28" i="25"/>
  <c r="GP28" i="25" s="1"/>
  <c r="GJ36" i="25"/>
  <c r="GI36" i="25"/>
  <c r="GP36" i="25" s="1"/>
  <c r="GH36" i="25"/>
  <c r="GI44" i="25"/>
  <c r="GP44" i="25" s="1"/>
  <c r="GH44" i="25"/>
  <c r="GJ44" i="25"/>
  <c r="GI48" i="25"/>
  <c r="GP48" i="25" s="1"/>
  <c r="GH48" i="25"/>
  <c r="GJ60" i="25"/>
  <c r="GI60" i="25"/>
  <c r="GP60" i="25" s="1"/>
  <c r="GH64" i="25"/>
  <c r="GJ64" i="25"/>
  <c r="GI64" i="25"/>
  <c r="GP64" i="25" s="1"/>
  <c r="GE73" i="25"/>
  <c r="GH73" i="25"/>
  <c r="GI73" i="25"/>
  <c r="GP73" i="25" s="1"/>
  <c r="GJ73" i="25"/>
  <c r="GI20" i="25"/>
  <c r="GP20" i="25" s="1"/>
  <c r="GJ20" i="25"/>
  <c r="GH20" i="25"/>
  <c r="GJ24" i="25"/>
  <c r="GH24" i="25"/>
  <c r="GI24" i="25"/>
  <c r="GP24" i="25" s="1"/>
  <c r="GD56" i="25"/>
  <c r="BG56" i="25" s="1"/>
  <c r="GI56" i="25"/>
  <c r="GP56" i="25" s="1"/>
  <c r="GJ56" i="25"/>
  <c r="GH56" i="25"/>
  <c r="GH72" i="25"/>
  <c r="GJ72" i="25"/>
  <c r="GI72" i="25"/>
  <c r="GP72" i="25" s="1"/>
  <c r="GD81" i="25"/>
  <c r="BG81" i="25" s="1"/>
  <c r="GI81" i="25"/>
  <c r="GP81" i="25" s="1"/>
  <c r="GJ81" i="25"/>
  <c r="HI26" i="25"/>
  <c r="HP26" i="25" s="1"/>
  <c r="HJ30" i="25"/>
  <c r="HD30" i="25"/>
  <c r="BH30" i="25" s="1"/>
  <c r="HH30" i="25"/>
  <c r="CP30" i="25"/>
  <c r="HJ32" i="25"/>
  <c r="GH32" i="25"/>
  <c r="HH32" i="25"/>
  <c r="GH37" i="25"/>
  <c r="HJ37" i="25"/>
  <c r="GJ40" i="25"/>
  <c r="HJ46" i="25"/>
  <c r="CP46" i="25"/>
  <c r="GI46" i="25"/>
  <c r="GP46" i="25" s="1"/>
  <c r="GH55" i="25"/>
  <c r="HD36" i="25"/>
  <c r="BH36" i="25" s="1"/>
  <c r="CP39" i="25"/>
  <c r="GJ39" i="25"/>
  <c r="LF72" i="25"/>
  <c r="LF81" i="25"/>
  <c r="EI16" i="25"/>
  <c r="CP16" i="25"/>
  <c r="ED20" i="25"/>
  <c r="CP20" i="25"/>
  <c r="EH28" i="25"/>
  <c r="CP28" i="25"/>
  <c r="EH36" i="25"/>
  <c r="CP36" i="25"/>
  <c r="ED44" i="25"/>
  <c r="CP44" i="25"/>
  <c r="EE61" i="25"/>
  <c r="CP61" i="25"/>
  <c r="EJ79" i="25"/>
  <c r="CP79" i="25"/>
  <c r="GJ16" i="25"/>
  <c r="GH16" i="25"/>
  <c r="GI16" i="25"/>
  <c r="GP16" i="25" s="1"/>
  <c r="GE21" i="25"/>
  <c r="GJ21" i="25"/>
  <c r="GI21" i="25"/>
  <c r="GP21" i="25" s="1"/>
  <c r="GH21" i="25"/>
  <c r="GE25" i="25"/>
  <c r="GI25" i="25"/>
  <c r="GP25" i="25" s="1"/>
  <c r="GJ25" i="25"/>
  <c r="GH25" i="25"/>
  <c r="GE41" i="25"/>
  <c r="GI41" i="25"/>
  <c r="GP41" i="25" s="1"/>
  <c r="GJ41" i="25"/>
  <c r="GH41" i="25"/>
  <c r="GE57" i="25"/>
  <c r="GI57" i="25"/>
  <c r="GP57" i="25" s="1"/>
  <c r="GJ57" i="25"/>
  <c r="GH57" i="25"/>
  <c r="GE69" i="25"/>
  <c r="GI69" i="25"/>
  <c r="GP69" i="25" s="1"/>
  <c r="GH69" i="25"/>
  <c r="GE77" i="25"/>
  <c r="GJ77" i="25"/>
  <c r="GH77" i="25"/>
  <c r="GJ80" i="25"/>
  <c r="GI80" i="25"/>
  <c r="GP80" i="25" s="1"/>
  <c r="GH80" i="25"/>
  <c r="GI29" i="25"/>
  <c r="GP29" i="25" s="1"/>
  <c r="GH29" i="25"/>
  <c r="GJ29" i="25"/>
  <c r="GJ33" i="25"/>
  <c r="GH33" i="25"/>
  <c r="GI45" i="25"/>
  <c r="GP45" i="25" s="1"/>
  <c r="GJ45" i="25"/>
  <c r="GH49" i="25"/>
  <c r="GJ49" i="25"/>
  <c r="GD53" i="25"/>
  <c r="BG53" i="25" s="1"/>
  <c r="GJ53" i="25"/>
  <c r="GH53" i="25"/>
  <c r="GI53" i="25"/>
  <c r="GP53" i="25" s="1"/>
  <c r="GI61" i="25"/>
  <c r="GP61" i="25" s="1"/>
  <c r="GH61" i="25"/>
  <c r="GJ61" i="25"/>
  <c r="GD65" i="25"/>
  <c r="BG65" i="25" s="1"/>
  <c r="GH65" i="25"/>
  <c r="GI65" i="25"/>
  <c r="GP65" i="25" s="1"/>
  <c r="GD68" i="25"/>
  <c r="BG68" i="25" s="1"/>
  <c r="GI68" i="25"/>
  <c r="GP68" i="25" s="1"/>
  <c r="GH68" i="25"/>
  <c r="GJ68" i="25"/>
  <c r="GH76" i="25"/>
  <c r="GJ76" i="25"/>
  <c r="GI76" i="25"/>
  <c r="GP76" i="25" s="1"/>
  <c r="GI84" i="25"/>
  <c r="GP84" i="25" s="1"/>
  <c r="GH84" i="25"/>
  <c r="GJ84" i="25"/>
  <c r="HD26" i="25"/>
  <c r="BH26" i="25" s="1"/>
  <c r="HH26" i="25"/>
  <c r="HD32" i="25"/>
  <c r="BH32" i="25" s="1"/>
  <c r="FR37" i="25"/>
  <c r="GH40" i="25"/>
  <c r="GJ52" i="25"/>
  <c r="HH61" i="25"/>
  <c r="HE61" i="25"/>
  <c r="HJ61" i="25"/>
  <c r="HD61" i="25"/>
  <c r="BH61" i="25" s="1"/>
  <c r="HI61" i="25"/>
  <c r="HP61" i="25" s="1"/>
  <c r="GJ65" i="25"/>
  <c r="HD25" i="25"/>
  <c r="BH25" i="25" s="1"/>
  <c r="HH25" i="25"/>
  <c r="GJ48" i="25"/>
  <c r="GH60" i="25"/>
  <c r="GJ69" i="25"/>
  <c r="HE79" i="25"/>
  <c r="HI79" i="25"/>
  <c r="HP79" i="25" s="1"/>
  <c r="HJ79" i="25"/>
  <c r="HD79" i="25"/>
  <c r="BH79" i="25" s="1"/>
  <c r="HH79" i="25"/>
  <c r="HE71" i="25"/>
  <c r="HD71" i="25"/>
  <c r="BH71" i="25" s="1"/>
  <c r="HD75" i="25"/>
  <c r="BH75" i="25" s="1"/>
  <c r="HI75" i="25"/>
  <c r="HP75" i="25" s="1"/>
  <c r="HE78" i="25"/>
  <c r="HJ83" i="25"/>
  <c r="HE33" i="25"/>
  <c r="HD33" i="25"/>
  <c r="BH33" i="25" s="1"/>
  <c r="HH53" i="25"/>
  <c r="HJ53" i="25"/>
  <c r="HE53" i="25"/>
  <c r="HH44" i="25"/>
  <c r="HI44" i="25"/>
  <c r="HP44" i="25" s="1"/>
  <c r="HD44" i="25"/>
  <c r="BH44" i="25" s="1"/>
  <c r="HJ44" i="25"/>
  <c r="HI78" i="25"/>
  <c r="HP78" i="25" s="1"/>
  <c r="HD83" i="25"/>
  <c r="BH83" i="25" s="1"/>
  <c r="HE62" i="25"/>
  <c r="HH62" i="25"/>
  <c r="HI62" i="25"/>
  <c r="HP62" i="25" s="1"/>
  <c r="HJ62" i="25"/>
  <c r="HD62" i="25"/>
  <c r="BH62" i="25" s="1"/>
  <c r="HD84" i="25"/>
  <c r="BH84" i="25" s="1"/>
  <c r="HI84" i="25"/>
  <c r="HP84" i="25" s="1"/>
  <c r="HJ84" i="25"/>
  <c r="HE84" i="25"/>
  <c r="HE75" i="25"/>
  <c r="HH33" i="25"/>
  <c r="HI33" i="25"/>
  <c r="HP33" i="25" s="1"/>
  <c r="HI48" i="25"/>
  <c r="HP48" i="25" s="1"/>
  <c r="HD48" i="25"/>
  <c r="BH48" i="25" s="1"/>
  <c r="HE48" i="25"/>
  <c r="HJ48" i="25"/>
  <c r="HH41" i="25"/>
  <c r="HJ41" i="25"/>
  <c r="HI41" i="25"/>
  <c r="HP41" i="25" s="1"/>
  <c r="HD41" i="25"/>
  <c r="BH41" i="25" s="1"/>
  <c r="HE41" i="25"/>
  <c r="HI57" i="25"/>
  <c r="HD67" i="25"/>
  <c r="BH67" i="25" s="1"/>
  <c r="HD77" i="25"/>
  <c r="BH77" i="25" s="1"/>
  <c r="HJ22" i="25"/>
  <c r="HH31" i="25"/>
  <c r="HE31" i="25"/>
  <c r="HD31" i="25"/>
  <c r="BH31" i="25" s="1"/>
  <c r="HJ31" i="25"/>
  <c r="HI31" i="25"/>
  <c r="HP31" i="25" s="1"/>
  <c r="HE66" i="25"/>
  <c r="HH66" i="25"/>
  <c r="HD66" i="25"/>
  <c r="BH66" i="25" s="1"/>
  <c r="HJ76" i="25"/>
  <c r="HH19" i="25"/>
  <c r="HI19" i="25"/>
  <c r="HP19" i="25" s="1"/>
  <c r="HD19" i="25"/>
  <c r="BH19" i="25" s="1"/>
  <c r="HE22" i="25"/>
  <c r="HI22" i="25"/>
  <c r="HP22" i="25" s="1"/>
  <c r="HH27" i="25"/>
  <c r="HI27" i="25"/>
  <c r="HP27" i="25" s="1"/>
  <c r="HJ27" i="25"/>
  <c r="HE27" i="25"/>
  <c r="HJ73" i="25"/>
  <c r="HD73" i="25"/>
  <c r="BH73" i="25" s="1"/>
  <c r="HE73" i="25"/>
  <c r="HI73" i="25"/>
  <c r="HP73" i="25" s="1"/>
  <c r="HH73" i="25"/>
  <c r="HD39" i="25"/>
  <c r="BH39" i="25" s="1"/>
  <c r="HJ45" i="25"/>
  <c r="HD51" i="25"/>
  <c r="BH51" i="25" s="1"/>
  <c r="HE51" i="25"/>
  <c r="HD57" i="25"/>
  <c r="BH57" i="25" s="1"/>
  <c r="HI60" i="25"/>
  <c r="HP60" i="25" s="1"/>
  <c r="HI67" i="25"/>
  <c r="HJ67" i="25"/>
  <c r="HI70" i="25"/>
  <c r="HP70" i="25" s="1"/>
  <c r="HH74" i="25"/>
  <c r="HJ77" i="25"/>
  <c r="HE80" i="25"/>
  <c r="HH17" i="25"/>
  <c r="HD17" i="25"/>
  <c r="BH17" i="25" s="1"/>
  <c r="HE17" i="25"/>
  <c r="HJ18" i="25"/>
  <c r="HE18" i="25"/>
  <c r="HE19" i="25"/>
  <c r="HJ19" i="25"/>
  <c r="HD76" i="25"/>
  <c r="BH76" i="25" s="1"/>
  <c r="HE76" i="25"/>
  <c r="HI76" i="25"/>
  <c r="HP76" i="25" s="1"/>
  <c r="HJ29" i="25"/>
  <c r="HJ38" i="25"/>
  <c r="HH38" i="25"/>
  <c r="HE59" i="25"/>
  <c r="HJ23" i="25"/>
  <c r="HI24" i="25"/>
  <c r="HP24" i="25" s="1"/>
  <c r="HI28" i="25"/>
  <c r="FR29" i="25"/>
  <c r="HI29" i="25"/>
  <c r="HP29" i="25" s="1"/>
  <c r="HD29" i="25"/>
  <c r="BH29" i="25" s="1"/>
  <c r="HE34" i="25"/>
  <c r="HI38" i="25"/>
  <c r="HP38" i="25" s="1"/>
  <c r="HD54" i="25"/>
  <c r="BH54" i="25" s="1"/>
  <c r="HJ56" i="25"/>
  <c r="HE56" i="25"/>
  <c r="HI56" i="25"/>
  <c r="HP56" i="25" s="1"/>
  <c r="HI63" i="25"/>
  <c r="HE63" i="25"/>
  <c r="FR69" i="25"/>
  <c r="HI69" i="25"/>
  <c r="HP69" i="25" s="1"/>
  <c r="HJ69" i="25"/>
  <c r="HI82" i="25"/>
  <c r="HP82" i="25" s="1"/>
  <c r="HE23" i="25"/>
  <c r="HD24" i="25"/>
  <c r="BH24" i="25" s="1"/>
  <c r="HE28" i="25"/>
  <c r="HD34" i="25"/>
  <c r="BH34" i="25" s="1"/>
  <c r="HI54" i="25"/>
  <c r="HP54" i="25" s="1"/>
  <c r="HE82" i="25"/>
  <c r="HH82" i="25"/>
  <c r="MD85" i="25"/>
  <c r="MD77" i="25"/>
  <c r="GE42" i="25"/>
  <c r="PH73" i="25"/>
  <c r="PN73" i="25" s="1"/>
  <c r="PD73" i="25"/>
  <c r="PF73" i="25"/>
  <c r="FD91" i="25"/>
  <c r="FH93" i="25"/>
  <c r="FR93" i="25" s="1"/>
  <c r="FH97" i="25"/>
  <c r="FR97" i="25" s="1"/>
  <c r="FD36" i="25"/>
  <c r="FH51" i="25"/>
  <c r="FD54" i="25"/>
  <c r="FD82" i="25"/>
  <c r="FD84" i="25"/>
  <c r="DP65" i="25"/>
  <c r="JF62" i="25"/>
  <c r="JD68" i="25"/>
  <c r="JF80" i="25"/>
  <c r="JD81" i="25"/>
  <c r="JD84" i="25"/>
  <c r="KD85" i="25"/>
  <c r="KD99" i="25"/>
  <c r="KD101" i="25"/>
  <c r="LF84" i="25"/>
  <c r="LF91" i="25"/>
  <c r="LD61" i="25"/>
  <c r="LD69" i="25"/>
  <c r="ND91" i="25"/>
  <c r="OH58" i="25"/>
  <c r="ON58" i="25" s="1"/>
  <c r="OF58" i="25"/>
  <c r="OH61" i="25"/>
  <c r="ON61" i="25" s="1"/>
  <c r="OD61" i="25"/>
  <c r="OF61" i="25"/>
  <c r="OD70" i="25"/>
  <c r="OH70" i="25"/>
  <c r="ON70" i="25" s="1"/>
  <c r="OF70" i="25"/>
  <c r="PH103" i="25"/>
  <c r="PN103" i="25" s="1"/>
  <c r="PD103" i="25"/>
  <c r="PF103" i="25"/>
  <c r="PH45" i="25"/>
  <c r="PF45" i="25"/>
  <c r="PD45" i="25"/>
  <c r="PH68" i="25"/>
  <c r="PN68" i="25" s="1"/>
  <c r="PD68" i="25"/>
  <c r="OH77" i="25"/>
  <c r="ON77" i="25" s="1"/>
  <c r="OD77" i="25"/>
  <c r="OF77" i="25"/>
  <c r="OH81" i="25"/>
  <c r="OD81" i="25"/>
  <c r="PH35" i="25"/>
  <c r="PN35" i="25" s="1"/>
  <c r="PF35" i="25"/>
  <c r="PH69" i="25"/>
  <c r="PN69" i="25" s="1"/>
  <c r="PF69" i="25"/>
  <c r="FH80" i="25"/>
  <c r="FD88" i="25"/>
  <c r="JF101" i="25"/>
  <c r="JF81" i="25"/>
  <c r="JD93" i="25"/>
  <c r="JF96" i="25"/>
  <c r="KD84" i="25"/>
  <c r="LD84" i="25"/>
  <c r="LF95" i="25"/>
  <c r="ND86" i="25"/>
  <c r="EE65" i="25"/>
  <c r="EI87" i="25"/>
  <c r="EP87" i="25" s="1"/>
  <c r="EJ87" i="25"/>
  <c r="NC90" i="25"/>
  <c r="ND90" i="25" s="1"/>
  <c r="MC90" i="25"/>
  <c r="MC52" i="25"/>
  <c r="MD52" i="25" s="1"/>
  <c r="BM52" i="25" s="1"/>
  <c r="LC52" i="25"/>
  <c r="LD52" i="25" s="1"/>
  <c r="BL52" i="25" s="1"/>
  <c r="NC56" i="25"/>
  <c r="NF56" i="25" s="1"/>
  <c r="MC56" i="25"/>
  <c r="MD56" i="25" s="1"/>
  <c r="BM56" i="25" s="1"/>
  <c r="LC56" i="25"/>
  <c r="LD56" i="25" s="1"/>
  <c r="BL56" i="25" s="1"/>
  <c r="NC60" i="25"/>
  <c r="NF60" i="25" s="1"/>
  <c r="MC60" i="25"/>
  <c r="MD60" i="25" s="1"/>
  <c r="LC60" i="25"/>
  <c r="NC68" i="25"/>
  <c r="ND68" i="25" s="1"/>
  <c r="MC68" i="25"/>
  <c r="NC72" i="25"/>
  <c r="ND72" i="25" s="1"/>
  <c r="MC72" i="25"/>
  <c r="NC76" i="25"/>
  <c r="NF76" i="25" s="1"/>
  <c r="MC76" i="25"/>
  <c r="MD76" i="25" s="1"/>
  <c r="NC80" i="25"/>
  <c r="ND80" i="25" s="1"/>
  <c r="LC80" i="25"/>
  <c r="NC84" i="25"/>
  <c r="NF84" i="25" s="1"/>
  <c r="MC84" i="25"/>
  <c r="MD84" i="25" s="1"/>
  <c r="NC88" i="25"/>
  <c r="ND88" i="25" s="1"/>
  <c r="LC88" i="25"/>
  <c r="LF88" i="25" s="1"/>
  <c r="NC98" i="25"/>
  <c r="NF98" i="25" s="1"/>
  <c r="LC98" i="25"/>
  <c r="OH53" i="25"/>
  <c r="ON53" i="25" s="1"/>
  <c r="OF53" i="25"/>
  <c r="OD53" i="25"/>
  <c r="ON78" i="25"/>
  <c r="PF88" i="25"/>
  <c r="PD88" i="25"/>
  <c r="PH88" i="25"/>
  <c r="PN88" i="25" s="1"/>
  <c r="OH34" i="25"/>
  <c r="ON34" i="25" s="1"/>
  <c r="OF34" i="25"/>
  <c r="PH43" i="25"/>
  <c r="PN43" i="25" s="1"/>
  <c r="PF43" i="25"/>
  <c r="PD43" i="25"/>
  <c r="OF101" i="25"/>
  <c r="OD101" i="25"/>
  <c r="OH101" i="25"/>
  <c r="ON101" i="25" s="1"/>
  <c r="KD71" i="25"/>
  <c r="LF61" i="25"/>
  <c r="LF66" i="25"/>
  <c r="MD103" i="25"/>
  <c r="MD59" i="25"/>
  <c r="EJ55" i="25"/>
  <c r="EI55" i="25"/>
  <c r="EP55" i="25" s="1"/>
  <c r="AN55" i="25" s="1"/>
  <c r="GE26" i="25"/>
  <c r="GD26" i="25"/>
  <c r="BG26" i="25" s="1"/>
  <c r="OH42" i="25"/>
  <c r="ON42" i="25" s="1"/>
  <c r="OD42" i="25"/>
  <c r="PH83" i="25"/>
  <c r="PN83" i="25" s="1"/>
  <c r="PD83" i="25"/>
  <c r="PH86" i="25"/>
  <c r="PN86" i="25" s="1"/>
  <c r="PF86" i="25"/>
  <c r="PD86" i="25"/>
  <c r="PD92" i="25"/>
  <c r="PH92" i="25"/>
  <c r="PN92" i="25" s="1"/>
  <c r="NF65" i="25"/>
  <c r="NF70" i="25"/>
  <c r="NF71" i="25"/>
  <c r="NF102" i="25"/>
  <c r="NF103" i="25"/>
  <c r="EI77" i="25"/>
  <c r="EP77" i="25" s="1"/>
  <c r="EI78" i="25"/>
  <c r="EP78" i="25" s="1"/>
  <c r="EE79" i="25"/>
  <c r="GD32" i="25"/>
  <c r="BG32" i="25" s="1"/>
  <c r="GE50" i="25"/>
  <c r="GD94" i="25"/>
  <c r="BG94" i="25" s="1"/>
  <c r="GD98" i="25"/>
  <c r="BG98" i="25" s="1"/>
  <c r="ON92" i="25"/>
  <c r="LF86" i="25"/>
  <c r="MD102" i="25"/>
  <c r="NF86" i="25"/>
  <c r="NF94" i="25"/>
  <c r="NF101" i="25"/>
  <c r="EJ46" i="25"/>
  <c r="GD103" i="25"/>
  <c r="BG103" i="25" s="1"/>
  <c r="PN46" i="25"/>
  <c r="ON57" i="25"/>
  <c r="NF81" i="25"/>
  <c r="NF97" i="25"/>
  <c r="PN80" i="25"/>
  <c r="PN99" i="25"/>
  <c r="PN31" i="25"/>
  <c r="PN66" i="25"/>
  <c r="JF57" i="25"/>
  <c r="JF54" i="25"/>
  <c r="DP57" i="25"/>
  <c r="JF53" i="25"/>
  <c r="NF57" i="25"/>
  <c r="JD50" i="25"/>
  <c r="BJ50" i="25" s="1"/>
  <c r="FD78" i="25"/>
  <c r="EH89" i="25"/>
  <c r="EI89" i="25"/>
  <c r="EP89" i="25" s="1"/>
  <c r="ED90" i="25"/>
  <c r="EH90" i="25"/>
  <c r="GE92" i="25"/>
  <c r="FD85" i="25"/>
  <c r="FD100" i="25"/>
  <c r="EJ80" i="25"/>
  <c r="ED89" i="25"/>
  <c r="EE90" i="25"/>
  <c r="EJ90" i="25"/>
  <c r="EH97" i="25"/>
  <c r="GD92" i="25"/>
  <c r="BG92" i="25" s="1"/>
  <c r="GE104" i="25"/>
  <c r="GD104" i="25"/>
  <c r="BG104" i="25" s="1"/>
  <c r="FD102" i="25"/>
  <c r="EJ81" i="25"/>
  <c r="EI90" i="25"/>
  <c r="EP90" i="25" s="1"/>
  <c r="ED97" i="25"/>
  <c r="EE101" i="25"/>
  <c r="GD73" i="25"/>
  <c r="BG73" i="25" s="1"/>
  <c r="FD72" i="25"/>
  <c r="FH30" i="25"/>
  <c r="FH39" i="25"/>
  <c r="EI25" i="25"/>
  <c r="EP25" i="25" s="1"/>
  <c r="AN25" i="25" s="1"/>
  <c r="ED26" i="25"/>
  <c r="EE28" i="25"/>
  <c r="EE54" i="25"/>
  <c r="GE32" i="25"/>
  <c r="EH26" i="25"/>
  <c r="EI26" i="25"/>
  <c r="EP26" i="25" s="1"/>
  <c r="AN26" i="25" s="1"/>
  <c r="GD48" i="25"/>
  <c r="BG48" i="25" s="1"/>
  <c r="GD38" i="25"/>
  <c r="BG38" i="25" s="1"/>
  <c r="GE48" i="25"/>
  <c r="FD40" i="25"/>
  <c r="EH54" i="25"/>
  <c r="PN51" i="25"/>
  <c r="FH70" i="25"/>
  <c r="FH71" i="25"/>
  <c r="EJ64" i="25"/>
  <c r="GE68" i="25"/>
  <c r="FH60" i="25"/>
  <c r="FD59" i="25"/>
  <c r="FD65" i="25"/>
  <c r="FH68" i="25"/>
  <c r="FD69" i="25"/>
  <c r="FH64" i="25"/>
  <c r="FH67" i="25"/>
  <c r="GE64" i="25"/>
  <c r="GD64" i="25"/>
  <c r="BG64" i="25" s="1"/>
  <c r="PN60" i="25"/>
  <c r="FH58" i="25"/>
  <c r="FD38" i="25"/>
  <c r="FH48" i="25"/>
  <c r="EJ28" i="25"/>
  <c r="ED31" i="25"/>
  <c r="EI35" i="25"/>
  <c r="EP35" i="25" s="1"/>
  <c r="AN35" i="25" s="1"/>
  <c r="GE31" i="25"/>
  <c r="FD29" i="25"/>
  <c r="FH26" i="25"/>
  <c r="FD42" i="25"/>
  <c r="FD45" i="25"/>
  <c r="EI36" i="25"/>
  <c r="EP36" i="25" s="1"/>
  <c r="AN36" i="25" s="1"/>
  <c r="EH43" i="25"/>
  <c r="ED47" i="25"/>
  <c r="GD55" i="25"/>
  <c r="BG55" i="25" s="1"/>
  <c r="GD29" i="25"/>
  <c r="BG29" i="25" s="1"/>
  <c r="GD49" i="25"/>
  <c r="BG49" i="25" s="1"/>
  <c r="FD24" i="25"/>
  <c r="FH33" i="25"/>
  <c r="FD34" i="25"/>
  <c r="FD41" i="25"/>
  <c r="FD57" i="25"/>
  <c r="EH44" i="25"/>
  <c r="EH49" i="25"/>
  <c r="ED54" i="25"/>
  <c r="GD31" i="25"/>
  <c r="BG31" i="25" s="1"/>
  <c r="EJ44" i="25"/>
  <c r="FH76" i="25"/>
  <c r="FD76" i="25"/>
  <c r="DP90" i="25"/>
  <c r="FD81" i="25"/>
  <c r="FH90" i="25"/>
  <c r="FD19" i="25"/>
  <c r="FD25" i="25"/>
  <c r="FD28" i="25"/>
  <c r="FD32" i="25"/>
  <c r="FD37" i="25"/>
  <c r="FD43" i="25"/>
  <c r="FH44" i="25"/>
  <c r="FD46" i="25"/>
  <c r="FH50" i="25"/>
  <c r="FH53" i="25"/>
  <c r="FR53" i="25" s="1"/>
  <c r="FD53" i="25"/>
  <c r="FH66" i="25"/>
  <c r="FH86" i="25"/>
  <c r="FR86" i="25" s="1"/>
  <c r="FH95" i="25"/>
  <c r="DP61" i="25"/>
  <c r="JD66" i="25"/>
  <c r="JF66" i="25"/>
  <c r="JD104" i="25"/>
  <c r="KD61" i="25"/>
  <c r="EH103" i="25"/>
  <c r="ED103" i="25"/>
  <c r="EJ103" i="25"/>
  <c r="EE103" i="25"/>
  <c r="AH103" i="25"/>
  <c r="EI103" i="25"/>
  <c r="EP103" i="25" s="1"/>
  <c r="GD102" i="25"/>
  <c r="BG102" i="25" s="1"/>
  <c r="GD24" i="25"/>
  <c r="BG24" i="25" s="1"/>
  <c r="DP101" i="25"/>
  <c r="MD66" i="25"/>
  <c r="FD62" i="25"/>
  <c r="FH75" i="25"/>
  <c r="FH89" i="25"/>
  <c r="FR89" i="25" s="1"/>
  <c r="FD89" i="25"/>
  <c r="FH103" i="25"/>
  <c r="DP53" i="25"/>
  <c r="DP73" i="25"/>
  <c r="U73" i="25" s="1"/>
  <c r="DP93" i="25"/>
  <c r="U93" i="25" s="1"/>
  <c r="JD52" i="25"/>
  <c r="BJ52" i="25" s="1"/>
  <c r="JF70" i="25"/>
  <c r="JD70" i="25"/>
  <c r="JD73" i="25"/>
  <c r="JD78" i="25"/>
  <c r="JD97" i="25"/>
  <c r="JF97" i="25"/>
  <c r="KD58" i="25"/>
  <c r="KD94" i="25"/>
  <c r="EI104" i="25"/>
  <c r="EP104" i="25" s="1"/>
  <c r="EE104" i="25"/>
  <c r="AH104" i="25"/>
  <c r="ED104" i="25"/>
  <c r="EH95" i="25"/>
  <c r="EE95" i="25"/>
  <c r="EJ95" i="25"/>
  <c r="EI95" i="25"/>
  <c r="EP95" i="25" s="1"/>
  <c r="AH95" i="25"/>
  <c r="FH101" i="25"/>
  <c r="FD101" i="25"/>
  <c r="FD47" i="25"/>
  <c r="FH47" i="25"/>
  <c r="FH61" i="25"/>
  <c r="FR61" i="25" s="1"/>
  <c r="FD61" i="25"/>
  <c r="FD63" i="25"/>
  <c r="FH63" i="25"/>
  <c r="FD74" i="25"/>
  <c r="FH74" i="25"/>
  <c r="FD98" i="25"/>
  <c r="FH98" i="25"/>
  <c r="JF52" i="25"/>
  <c r="JD54" i="25"/>
  <c r="BJ54" i="25" s="1"/>
  <c r="JD63" i="25"/>
  <c r="MD91" i="25"/>
  <c r="MD53" i="25"/>
  <c r="BM53" i="25" s="1"/>
  <c r="LD68" i="25"/>
  <c r="JF50" i="25"/>
  <c r="JF59" i="25"/>
  <c r="JD62" i="25"/>
  <c r="JF86" i="25"/>
  <c r="JF93" i="25"/>
  <c r="JF95" i="25"/>
  <c r="KD70" i="25"/>
  <c r="KD53" i="25"/>
  <c r="LF104" i="25"/>
  <c r="LD100" i="25"/>
  <c r="LD65" i="25"/>
  <c r="LD93" i="25"/>
  <c r="NF63" i="25"/>
  <c r="NF85" i="25"/>
  <c r="EJ23" i="25"/>
  <c r="EI23" i="25"/>
  <c r="EP23" i="25" s="1"/>
  <c r="AN23" i="25" s="1"/>
  <c r="EE23" i="25"/>
  <c r="HA26" i="25"/>
  <c r="GA26" i="25"/>
  <c r="EJ27" i="25"/>
  <c r="EH27" i="25"/>
  <c r="ED40" i="25"/>
  <c r="EH40" i="25"/>
  <c r="EJ40" i="25"/>
  <c r="ED67" i="25"/>
  <c r="EJ67" i="25"/>
  <c r="ED93" i="25"/>
  <c r="EE93" i="25"/>
  <c r="EI93" i="25"/>
  <c r="EP93" i="25" s="1"/>
  <c r="EH93" i="25"/>
  <c r="GD78" i="25"/>
  <c r="BG78" i="25" s="1"/>
  <c r="GE78" i="25"/>
  <c r="GE89" i="25"/>
  <c r="GD89" i="25"/>
  <c r="BG89" i="25" s="1"/>
  <c r="GD90" i="25"/>
  <c r="BG90" i="25" s="1"/>
  <c r="OH65" i="25"/>
  <c r="ON65" i="25" s="1"/>
  <c r="OF65" i="25"/>
  <c r="OH102" i="25"/>
  <c r="ON102" i="25" s="1"/>
  <c r="OD102" i="25"/>
  <c r="OF102" i="25"/>
  <c r="OH24" i="25"/>
  <c r="ON24" i="25" s="1"/>
  <c r="OF24" i="25"/>
  <c r="OH25" i="25"/>
  <c r="ON25" i="25" s="1"/>
  <c r="OD25" i="25"/>
  <c r="OF25" i="25"/>
  <c r="LD90" i="25"/>
  <c r="MD92" i="25"/>
  <c r="LD104" i="25"/>
  <c r="LD97" i="25"/>
  <c r="LD89" i="25"/>
  <c r="ND66" i="25"/>
  <c r="NF66" i="25"/>
  <c r="ND85" i="25"/>
  <c r="ND99" i="25"/>
  <c r="NF99" i="25"/>
  <c r="ED83" i="25"/>
  <c r="EJ83" i="25"/>
  <c r="EJ100" i="25"/>
  <c r="EH100" i="25"/>
  <c r="ED100" i="25"/>
  <c r="AH100" i="25"/>
  <c r="EE100" i="25"/>
  <c r="EI100" i="25"/>
  <c r="EP100" i="25" s="1"/>
  <c r="GE51" i="25"/>
  <c r="GD51" i="25"/>
  <c r="BG51" i="25" s="1"/>
  <c r="GD33" i="25"/>
  <c r="BG33" i="25" s="1"/>
  <c r="DP85" i="25"/>
  <c r="W85" i="25" s="1"/>
  <c r="JF56" i="25"/>
  <c r="JD60" i="25"/>
  <c r="JF63" i="25"/>
  <c r="JD64" i="25"/>
  <c r="JF65" i="25"/>
  <c r="JD74" i="25"/>
  <c r="JF78" i="25"/>
  <c r="JF104" i="25"/>
  <c r="KD72" i="25"/>
  <c r="KD87" i="25"/>
  <c r="KD56" i="25"/>
  <c r="LF90" i="25"/>
  <c r="LD67" i="25"/>
  <c r="LD71" i="25"/>
  <c r="MD86" i="25"/>
  <c r="NF58" i="25"/>
  <c r="ND58" i="25"/>
  <c r="ND63" i="25"/>
  <c r="ND77" i="25"/>
  <c r="ED24" i="25"/>
  <c r="EI24" i="25"/>
  <c r="EP24" i="25" s="1"/>
  <c r="AN24" i="25" s="1"/>
  <c r="HA38" i="25"/>
  <c r="GA38" i="25"/>
  <c r="EJ60" i="25"/>
  <c r="EH60" i="25"/>
  <c r="EI91" i="25"/>
  <c r="EP91" i="25" s="1"/>
  <c r="EH91" i="25"/>
  <c r="EJ91" i="25"/>
  <c r="ED91" i="25"/>
  <c r="KD92" i="25"/>
  <c r="LF67" i="25"/>
  <c r="LF68" i="25"/>
  <c r="NF77" i="25"/>
  <c r="NF92" i="25"/>
  <c r="EJ25" i="25"/>
  <c r="EI48" i="25"/>
  <c r="EP48" i="25" s="1"/>
  <c r="AN48" i="25" s="1"/>
  <c r="EE48" i="25"/>
  <c r="EI66" i="25"/>
  <c r="EP66" i="25" s="1"/>
  <c r="AN66" i="25" s="1"/>
  <c r="EI71" i="25"/>
  <c r="EP71" i="25" s="1"/>
  <c r="AN71" i="25" s="1"/>
  <c r="EI72" i="25"/>
  <c r="EP72" i="25" s="1"/>
  <c r="EJ72" i="25"/>
  <c r="EI75" i="25"/>
  <c r="EP75" i="25" s="1"/>
  <c r="ED75" i="25"/>
  <c r="EI94" i="25"/>
  <c r="EP94" i="25" s="1"/>
  <c r="EE94" i="25"/>
  <c r="EJ94" i="25"/>
  <c r="GE23" i="25"/>
  <c r="GD23" i="25"/>
  <c r="BG23" i="25" s="1"/>
  <c r="GE34" i="25"/>
  <c r="GD35" i="25"/>
  <c r="BG35" i="25" s="1"/>
  <c r="GE39" i="25"/>
  <c r="GD88" i="25"/>
  <c r="BG88" i="25" s="1"/>
  <c r="PH91" i="25"/>
  <c r="PN91" i="25" s="1"/>
  <c r="PD91" i="25"/>
  <c r="PF91" i="25"/>
  <c r="OH103" i="25"/>
  <c r="ON103" i="25" s="1"/>
  <c r="OD103" i="25"/>
  <c r="OF103" i="25"/>
  <c r="OH45" i="25"/>
  <c r="ON45" i="25" s="1"/>
  <c r="OD45" i="25"/>
  <c r="OF45" i="25"/>
  <c r="ND69" i="25"/>
  <c r="EH25" i="25"/>
  <c r="HA32" i="25"/>
  <c r="GA32" i="25"/>
  <c r="HA34" i="25"/>
  <c r="GA34" i="25"/>
  <c r="ED36" i="25"/>
  <c r="EH48" i="25"/>
  <c r="EE50" i="25"/>
  <c r="EJ50" i="25"/>
  <c r="ED53" i="25"/>
  <c r="EI59" i="25"/>
  <c r="EP59" i="25" s="1"/>
  <c r="AN59" i="25" s="1"/>
  <c r="ED59" i="25"/>
  <c r="EJ62" i="25"/>
  <c r="ED62" i="25"/>
  <c r="EH62" i="25"/>
  <c r="ED66" i="25"/>
  <c r="EH66" i="25"/>
  <c r="EH68" i="25"/>
  <c r="EE68" i="25"/>
  <c r="EH72" i="25"/>
  <c r="ED72" i="25"/>
  <c r="AH74" i="25"/>
  <c r="EI74" i="25"/>
  <c r="EP74" i="25" s="1"/>
  <c r="EE74" i="25"/>
  <c r="EH74" i="25"/>
  <c r="AH82" i="25"/>
  <c r="EH82" i="25"/>
  <c r="ED82" i="25"/>
  <c r="EJ82" i="25"/>
  <c r="EI88" i="25"/>
  <c r="EP88" i="25" s="1"/>
  <c r="EJ88" i="25"/>
  <c r="ED94" i="25"/>
  <c r="EH94" i="25"/>
  <c r="GE36" i="25"/>
  <c r="GA69" i="25"/>
  <c r="GD63" i="25"/>
  <c r="BG63" i="25" s="1"/>
  <c r="GD72" i="25"/>
  <c r="BG72" i="25" s="1"/>
  <c r="GD76" i="25"/>
  <c r="BG76" i="25" s="1"/>
  <c r="OH35" i="25"/>
  <c r="ON35" i="25" s="1"/>
  <c r="OD35" i="25"/>
  <c r="PH36" i="25"/>
  <c r="PN36" i="25" s="1"/>
  <c r="PF36" i="25"/>
  <c r="PD36" i="25"/>
  <c r="PD48" i="25"/>
  <c r="PF48" i="25"/>
  <c r="PH48" i="25"/>
  <c r="PN48" i="25" s="1"/>
  <c r="JF64" i="25"/>
  <c r="JF73" i="25"/>
  <c r="JF84" i="25"/>
  <c r="KD90" i="25"/>
  <c r="LF89" i="25"/>
  <c r="LF93" i="25"/>
  <c r="LF101" i="25"/>
  <c r="LF55" i="25"/>
  <c r="LF97" i="25"/>
  <c r="MD88" i="25"/>
  <c r="MD89" i="25"/>
  <c r="NF52" i="25"/>
  <c r="ND53" i="25"/>
  <c r="BN53" i="25" s="1"/>
  <c r="NF64" i="25"/>
  <c r="ND70" i="25"/>
  <c r="NF79" i="25"/>
  <c r="NF91" i="25"/>
  <c r="NF93" i="25"/>
  <c r="NF96" i="25"/>
  <c r="NF104" i="25"/>
  <c r="EE25" i="25"/>
  <c r="ED28" i="25"/>
  <c r="EJ36" i="25"/>
  <c r="EE39" i="25"/>
  <c r="EH46" i="25"/>
  <c r="ED46" i="25"/>
  <c r="ED48" i="25"/>
  <c r="EI50" i="25"/>
  <c r="EP50" i="25" s="1"/>
  <c r="AN50" i="25" s="1"/>
  <c r="EE52" i="25"/>
  <c r="EI54" i="25"/>
  <c r="EP54" i="25" s="1"/>
  <c r="AN54" i="25" s="1"/>
  <c r="ED55" i="25"/>
  <c r="EI62" i="25"/>
  <c r="EP62" i="25" s="1"/>
  <c r="AN62" i="25" s="1"/>
  <c r="EE66" i="25"/>
  <c r="EJ66" i="25"/>
  <c r="ED68" i="25"/>
  <c r="ED71" i="25"/>
  <c r="ED74" i="25"/>
  <c r="EJ74" i="25"/>
  <c r="EH75" i="25"/>
  <c r="ED77" i="25"/>
  <c r="EH77" i="25"/>
  <c r="EJ77" i="25"/>
  <c r="EI82" i="25"/>
  <c r="EP82" i="25" s="1"/>
  <c r="AH87" i="25"/>
  <c r="ED87" i="25"/>
  <c r="ED88" i="25"/>
  <c r="EJ97" i="25"/>
  <c r="EE97" i="25"/>
  <c r="EI97" i="25"/>
  <c r="EP97" i="25" s="1"/>
  <c r="GD39" i="25"/>
  <c r="BG39" i="25" s="1"/>
  <c r="GD74" i="25"/>
  <c r="BG74" i="25" s="1"/>
  <c r="GE76" i="25"/>
  <c r="GD84" i="25"/>
  <c r="BG84" i="25" s="1"/>
  <c r="GE84" i="25"/>
  <c r="GD100" i="25"/>
  <c r="BG100" i="25" s="1"/>
  <c r="GE100" i="25"/>
  <c r="PH50" i="25"/>
  <c r="PN50" i="25" s="1"/>
  <c r="PF50" i="25"/>
  <c r="PH55" i="25"/>
  <c r="PN55" i="25" s="1"/>
  <c r="PF55" i="25"/>
  <c r="OH80" i="25"/>
  <c r="ON80" i="25" s="1"/>
  <c r="OF80" i="25"/>
  <c r="PH82" i="25"/>
  <c r="PN82" i="25" s="1"/>
  <c r="PF82" i="25"/>
  <c r="PH90" i="25"/>
  <c r="PN90" i="25" s="1"/>
  <c r="PF90" i="25"/>
  <c r="PH19" i="25"/>
  <c r="PN19" i="25" s="1"/>
  <c r="PF19" i="25"/>
  <c r="PH20" i="25"/>
  <c r="PN20" i="25" s="1"/>
  <c r="PD20" i="25"/>
  <c r="PH32" i="25"/>
  <c r="PN32" i="25" s="1"/>
  <c r="PF32" i="25"/>
  <c r="PD32" i="25"/>
  <c r="PH33" i="25"/>
  <c r="PN33" i="25" s="1"/>
  <c r="PD33" i="25"/>
  <c r="PF33" i="25"/>
  <c r="OH36" i="25"/>
  <c r="ON36" i="25" s="1"/>
  <c r="OF36" i="25"/>
  <c r="PH41" i="25"/>
  <c r="PN41" i="25" s="1"/>
  <c r="PD41" i="25"/>
  <c r="OH44" i="25"/>
  <c r="ON44" i="25" s="1"/>
  <c r="OF44" i="25"/>
  <c r="OH47" i="25"/>
  <c r="ON47" i="25" s="1"/>
  <c r="OD47" i="25"/>
  <c r="PH76" i="25"/>
  <c r="PN76" i="25" s="1"/>
  <c r="PF76" i="25"/>
  <c r="PD76" i="25"/>
  <c r="PH79" i="25"/>
  <c r="PN79" i="25" s="1"/>
  <c r="PF79" i="25"/>
  <c r="EI44" i="25"/>
  <c r="EP44" i="25" s="1"/>
  <c r="AN44" i="25" s="1"/>
  <c r="EI101" i="25"/>
  <c r="EP101" i="25" s="1"/>
  <c r="GA57" i="25"/>
  <c r="GD97" i="25"/>
  <c r="BG97" i="25" s="1"/>
  <c r="GE58" i="25"/>
  <c r="GD66" i="25"/>
  <c r="BG66" i="25" s="1"/>
  <c r="OD46" i="25"/>
  <c r="PD82" i="25"/>
  <c r="PF20" i="25"/>
  <c r="PF22" i="25"/>
  <c r="PF83" i="25"/>
  <c r="PH53" i="25"/>
  <c r="PN53" i="25" s="1"/>
  <c r="PD53" i="25"/>
  <c r="PH67" i="25"/>
  <c r="PN67" i="25" s="1"/>
  <c r="PF67" i="25"/>
  <c r="PF96" i="25"/>
  <c r="PD96" i="25"/>
  <c r="PH96" i="25"/>
  <c r="PN96" i="25" s="1"/>
  <c r="OH27" i="25"/>
  <c r="ON27" i="25" s="1"/>
  <c r="OD27" i="25"/>
  <c r="PH28" i="25"/>
  <c r="PN28" i="25" s="1"/>
  <c r="PD28" i="25"/>
  <c r="PH29" i="25"/>
  <c r="PN29" i="25" s="1"/>
  <c r="PD29" i="25"/>
  <c r="OH32" i="25"/>
  <c r="ON32" i="25" s="1"/>
  <c r="OF32" i="25"/>
  <c r="OH38" i="25"/>
  <c r="ON38" i="25" s="1"/>
  <c r="OD38" i="25"/>
  <c r="OH39" i="25"/>
  <c r="ON39" i="25" s="1"/>
  <c r="OD39" i="25"/>
  <c r="OH40" i="25"/>
  <c r="ON40" i="25" s="1"/>
  <c r="OF40" i="25"/>
  <c r="PH42" i="25"/>
  <c r="PN42" i="25" s="1"/>
  <c r="PF42" i="25"/>
  <c r="OH60" i="25"/>
  <c r="ON60" i="25" s="1"/>
  <c r="OF60" i="25"/>
  <c r="ON76" i="25"/>
  <c r="PH89" i="25"/>
  <c r="PN89" i="25" s="1"/>
  <c r="PD89" i="25"/>
  <c r="PH95" i="25"/>
  <c r="PN95" i="25" s="1"/>
  <c r="PD95" i="25"/>
  <c r="GA86" i="25"/>
  <c r="GD58" i="25"/>
  <c r="BG58" i="25" s="1"/>
  <c r="OF46" i="25"/>
  <c r="OF47" i="25"/>
  <c r="PD19" i="25"/>
  <c r="PD22" i="25"/>
  <c r="PD50" i="25"/>
  <c r="PD90" i="25"/>
  <c r="PF41" i="25"/>
  <c r="OH64" i="25"/>
  <c r="ON64" i="25" s="1"/>
  <c r="OF64" i="25"/>
  <c r="OH67" i="25"/>
  <c r="ON67" i="25" s="1"/>
  <c r="OD67" i="25"/>
  <c r="PH72" i="25"/>
  <c r="PN72" i="25" s="1"/>
  <c r="PF72" i="25"/>
  <c r="PD72" i="25"/>
  <c r="PH75" i="25"/>
  <c r="PN75" i="25" s="1"/>
  <c r="PF75" i="25"/>
  <c r="PH100" i="25"/>
  <c r="PN100" i="25" s="1"/>
  <c r="PD100" i="25"/>
  <c r="OH52" i="25"/>
  <c r="ON52" i="25" s="1"/>
  <c r="OF52" i="25"/>
  <c r="OH56" i="25"/>
  <c r="ON56" i="25" s="1"/>
  <c r="OF56" i="25"/>
  <c r="OH59" i="25"/>
  <c r="ON59" i="25" s="1"/>
  <c r="OD59" i="25"/>
  <c r="PH65" i="25"/>
  <c r="PN65" i="25" s="1"/>
  <c r="PD65" i="25"/>
  <c r="OH68" i="25"/>
  <c r="ON68" i="25" s="1"/>
  <c r="OF68" i="25"/>
  <c r="PH84" i="25"/>
  <c r="PN84" i="25" s="1"/>
  <c r="PF84" i="25"/>
  <c r="PD84" i="25"/>
  <c r="ON93" i="25"/>
  <c r="OH96" i="25"/>
  <c r="ON96" i="25" s="1"/>
  <c r="OF96" i="25"/>
  <c r="PH25" i="25"/>
  <c r="PN25" i="25" s="1"/>
  <c r="PD25" i="25"/>
  <c r="OH28" i="25"/>
  <c r="ON28" i="25" s="1"/>
  <c r="OF28" i="25"/>
  <c r="OH54" i="25"/>
  <c r="ON54" i="25" s="1"/>
  <c r="OD54" i="25"/>
  <c r="PH57" i="25"/>
  <c r="PN57" i="25" s="1"/>
  <c r="PD57" i="25"/>
  <c r="PH98" i="25"/>
  <c r="PN98" i="25" s="1"/>
  <c r="PD98" i="25"/>
  <c r="PH104" i="25"/>
  <c r="PN104" i="25" s="1"/>
  <c r="PD104" i="25"/>
  <c r="PN58" i="25"/>
  <c r="ON75" i="25"/>
  <c r="PN81" i="25"/>
  <c r="ON48" i="25"/>
  <c r="PN49" i="25"/>
  <c r="PN101" i="25"/>
  <c r="PN64" i="25"/>
  <c r="ON94" i="25"/>
  <c r="PN56" i="25"/>
  <c r="ON63" i="25"/>
  <c r="JD101" i="25"/>
  <c r="JD56" i="25"/>
  <c r="BJ56" i="25" s="1"/>
  <c r="JF67" i="25"/>
  <c r="JD69" i="25"/>
  <c r="JD96" i="25"/>
  <c r="JF99" i="25"/>
  <c r="JD100" i="25"/>
  <c r="JD102" i="25"/>
  <c r="KD52" i="25"/>
  <c r="KD89" i="25"/>
  <c r="FH92" i="25"/>
  <c r="FR92" i="25" s="1"/>
  <c r="FD94" i="25"/>
  <c r="FH96" i="25"/>
  <c r="FD23" i="25"/>
  <c r="FD27" i="25"/>
  <c r="FD31" i="25"/>
  <c r="FD35" i="25"/>
  <c r="DP50" i="25"/>
  <c r="DP54" i="25"/>
  <c r="DP58" i="25"/>
  <c r="DP62" i="25"/>
  <c r="DP66" i="25"/>
  <c r="DP70" i="25"/>
  <c r="DP74" i="25"/>
  <c r="DP78" i="25"/>
  <c r="DP82" i="25"/>
  <c r="DP86" i="25"/>
  <c r="JF91" i="25"/>
  <c r="FH79" i="25"/>
  <c r="FH83" i="25"/>
  <c r="FH87" i="25"/>
  <c r="FH99" i="25"/>
  <c r="FR99" i="25" s="1"/>
  <c r="ID50" i="25"/>
  <c r="DP51" i="25"/>
  <c r="DP55" i="25"/>
  <c r="DP59" i="25"/>
  <c r="DP67" i="25"/>
  <c r="DP71" i="25"/>
  <c r="DP75" i="25"/>
  <c r="DP83" i="25"/>
  <c r="DP87" i="25"/>
  <c r="DP91" i="25"/>
  <c r="DP99" i="25"/>
  <c r="DP103" i="25"/>
  <c r="JD51" i="25"/>
  <c r="BJ51" i="25" s="1"/>
  <c r="JD58" i="25"/>
  <c r="JF58" i="25"/>
  <c r="JF75" i="25"/>
  <c r="JD89" i="25"/>
  <c r="JF100" i="25"/>
  <c r="KD81" i="25"/>
  <c r="KD97" i="25"/>
  <c r="KD104" i="25"/>
  <c r="DP52" i="25"/>
  <c r="DP56" i="25"/>
  <c r="DP60" i="25"/>
  <c r="DP64" i="25"/>
  <c r="DP68" i="25"/>
  <c r="DP72" i="25"/>
  <c r="DP76" i="25"/>
  <c r="DP80" i="25"/>
  <c r="DP84" i="25"/>
  <c r="DP88" i="25"/>
  <c r="DP92" i="25"/>
  <c r="DP96" i="25"/>
  <c r="DP100" i="25"/>
  <c r="DP104" i="25"/>
  <c r="JF69" i="25"/>
  <c r="JF83" i="25"/>
  <c r="KD66" i="25"/>
  <c r="KD80" i="25"/>
  <c r="KD86" i="25"/>
  <c r="KD96" i="25"/>
  <c r="KD102" i="25"/>
  <c r="MD64" i="25"/>
  <c r="MD79" i="25"/>
  <c r="MD95" i="25"/>
  <c r="MD57" i="25"/>
  <c r="BM57" i="25" s="1"/>
  <c r="MD62" i="25"/>
  <c r="MD96" i="25"/>
  <c r="ND52" i="25"/>
  <c r="BN52" i="25" s="1"/>
  <c r="NF53" i="25"/>
  <c r="NF90" i="25"/>
  <c r="ND93" i="25"/>
  <c r="NF95" i="25"/>
  <c r="GA25" i="25"/>
  <c r="HA25" i="25"/>
  <c r="EI27" i="25"/>
  <c r="EP27" i="25" s="1"/>
  <c r="AN27" i="25" s="1"/>
  <c r="ED27" i="25"/>
  <c r="EE27" i="25"/>
  <c r="ED35" i="25"/>
  <c r="EH35" i="25"/>
  <c r="EE35" i="25"/>
  <c r="ED42" i="25"/>
  <c r="EJ42" i="25"/>
  <c r="EI42" i="25"/>
  <c r="EP42" i="25" s="1"/>
  <c r="AN42" i="25" s="1"/>
  <c r="ED45" i="25"/>
  <c r="EJ45" i="25"/>
  <c r="EE45" i="25"/>
  <c r="EI45" i="25"/>
  <c r="EP45" i="25" s="1"/>
  <c r="AN45" i="25" s="1"/>
  <c r="EI51" i="25"/>
  <c r="EP51" i="25" s="1"/>
  <c r="AN51" i="25" s="1"/>
  <c r="EE51" i="25"/>
  <c r="EH51" i="25"/>
  <c r="ED52" i="25"/>
  <c r="EI52" i="25"/>
  <c r="EP52" i="25" s="1"/>
  <c r="AN52" i="25" s="1"/>
  <c r="EH52" i="25"/>
  <c r="EI57" i="25"/>
  <c r="EP57" i="25" s="1"/>
  <c r="AN57" i="25" s="1"/>
  <c r="HA61" i="25"/>
  <c r="GA61" i="25"/>
  <c r="EH63" i="25"/>
  <c r="EI63" i="25"/>
  <c r="EP63" i="25" s="1"/>
  <c r="AN63" i="25" s="1"/>
  <c r="ED63" i="25"/>
  <c r="EI64" i="25"/>
  <c r="EP64" i="25" s="1"/>
  <c r="AN64" i="25" s="1"/>
  <c r="EE64" i="25"/>
  <c r="ED64" i="25"/>
  <c r="ED69" i="25"/>
  <c r="EI69" i="25"/>
  <c r="EP69" i="25" s="1"/>
  <c r="AN69" i="25" s="1"/>
  <c r="EE69" i="25"/>
  <c r="EE70" i="25"/>
  <c r="EH70" i="25"/>
  <c r="ED70" i="25"/>
  <c r="EI70" i="25"/>
  <c r="EP70" i="25" s="1"/>
  <c r="AN70" i="25" s="1"/>
  <c r="HA75" i="25"/>
  <c r="GA75" i="25"/>
  <c r="EI76" i="25"/>
  <c r="EE76" i="25"/>
  <c r="ED76" i="25"/>
  <c r="HA79" i="25"/>
  <c r="GA79" i="25"/>
  <c r="EE81" i="25"/>
  <c r="EI81" i="25"/>
  <c r="AH81" i="25"/>
  <c r="HA84" i="25"/>
  <c r="GA84" i="25"/>
  <c r="EJ85" i="25"/>
  <c r="HA95" i="25"/>
  <c r="GA95" i="25"/>
  <c r="KD50" i="25"/>
  <c r="KD62" i="25"/>
  <c r="MD69" i="25"/>
  <c r="MD81" i="25"/>
  <c r="NF74" i="25"/>
  <c r="EJ99" i="25"/>
  <c r="ED99" i="25"/>
  <c r="EH99" i="25"/>
  <c r="AH99" i="25"/>
  <c r="HA102" i="25"/>
  <c r="GA102" i="25"/>
  <c r="HA104" i="25"/>
  <c r="GA104" i="25"/>
  <c r="EI29" i="25"/>
  <c r="EP29" i="25" s="1"/>
  <c r="AN29" i="25" s="1"/>
  <c r="EJ29" i="25"/>
  <c r="ED29" i="25"/>
  <c r="EJ30" i="25"/>
  <c r="ED30" i="25"/>
  <c r="EI30" i="25"/>
  <c r="EP30" i="25" s="1"/>
  <c r="AN30" i="25" s="1"/>
  <c r="EH32" i="25"/>
  <c r="ED32" i="25"/>
  <c r="EJ32" i="25"/>
  <c r="HA33" i="25"/>
  <c r="GA33" i="25"/>
  <c r="EH34" i="25"/>
  <c r="EJ34" i="25"/>
  <c r="EI34" i="25"/>
  <c r="EP34" i="25" s="1"/>
  <c r="AN34" i="25" s="1"/>
  <c r="EH37" i="25"/>
  <c r="EI37" i="25"/>
  <c r="EP37" i="25" s="1"/>
  <c r="AN37" i="25" s="1"/>
  <c r="ED37" i="25"/>
  <c r="EE38" i="25"/>
  <c r="EH38" i="25"/>
  <c r="EI38" i="25"/>
  <c r="EP38" i="25" s="1"/>
  <c r="AN38" i="25" s="1"/>
  <c r="EH39" i="25"/>
  <c r="ED39" i="25"/>
  <c r="GA41" i="25"/>
  <c r="HA41" i="25"/>
  <c r="HA43" i="25"/>
  <c r="GA43" i="25"/>
  <c r="HA49" i="25"/>
  <c r="GA49" i="25"/>
  <c r="HA51" i="25"/>
  <c r="GA51" i="25"/>
  <c r="EH53" i="25"/>
  <c r="EI53" i="25"/>
  <c r="EP53" i="25" s="1"/>
  <c r="AN53" i="25" s="1"/>
  <c r="EE53" i="25"/>
  <c r="HA55" i="25"/>
  <c r="GA55" i="25"/>
  <c r="EI56" i="25"/>
  <c r="EP56" i="25" s="1"/>
  <c r="AN56" i="25" s="1"/>
  <c r="EE56" i="25"/>
  <c r="ED56" i="25"/>
  <c r="HA65" i="25"/>
  <c r="GA65" i="25"/>
  <c r="EE67" i="25"/>
  <c r="EI67" i="25"/>
  <c r="EP67" i="25" s="1"/>
  <c r="AN67" i="25" s="1"/>
  <c r="EH67" i="25"/>
  <c r="HA71" i="25"/>
  <c r="GA71" i="25"/>
  <c r="EI73" i="25"/>
  <c r="EP73" i="25" s="1"/>
  <c r="EJ73" i="25"/>
  <c r="ED73" i="25"/>
  <c r="HA77" i="25"/>
  <c r="GA77" i="25"/>
  <c r="AH83" i="25"/>
  <c r="EE83" i="25"/>
  <c r="EI83" i="25"/>
  <c r="EP83" i="25" s="1"/>
  <c r="EH83" i="25"/>
  <c r="EH84" i="25"/>
  <c r="EE84" i="25"/>
  <c r="ED84" i="25"/>
  <c r="HA89" i="25"/>
  <c r="GA89" i="25"/>
  <c r="EI96" i="25"/>
  <c r="EP96" i="25" s="1"/>
  <c r="EH96" i="25"/>
  <c r="EE96" i="25"/>
  <c r="AH96" i="25"/>
  <c r="ED96" i="25"/>
  <c r="GA97" i="25"/>
  <c r="HA97" i="25"/>
  <c r="EI102" i="25"/>
  <c r="EP102" i="25" s="1"/>
  <c r="EJ102" i="25"/>
  <c r="ED102" i="25"/>
  <c r="EH102" i="25"/>
  <c r="GA27" i="25"/>
  <c r="HA27" i="25"/>
  <c r="EH31" i="25"/>
  <c r="EE31" i="25"/>
  <c r="ED33" i="25"/>
  <c r="EH33" i="25"/>
  <c r="EJ33" i="25"/>
  <c r="EI33" i="25"/>
  <c r="EP33" i="25" s="1"/>
  <c r="AN33" i="25" s="1"/>
  <c r="GA35" i="25"/>
  <c r="HA35" i="25"/>
  <c r="EI41" i="25"/>
  <c r="EP41" i="25" s="1"/>
  <c r="AN41" i="25" s="1"/>
  <c r="EJ41" i="25"/>
  <c r="ED41" i="25"/>
  <c r="EE41" i="25"/>
  <c r="ED57" i="25"/>
  <c r="EJ57" i="25"/>
  <c r="EE57" i="25"/>
  <c r="EE58" i="25"/>
  <c r="EJ58" i="25"/>
  <c r="ED58" i="25"/>
  <c r="EI58" i="25"/>
  <c r="EP58" i="25" s="1"/>
  <c r="AN58" i="25" s="1"/>
  <c r="ED61" i="25"/>
  <c r="EJ61" i="25"/>
  <c r="EH61" i="25"/>
  <c r="EI61" i="25"/>
  <c r="EP61" i="25" s="1"/>
  <c r="AN61" i="25" s="1"/>
  <c r="HA80" i="25"/>
  <c r="GA80" i="25"/>
  <c r="ED85" i="25"/>
  <c r="EI85" i="25"/>
  <c r="EP85" i="25" s="1"/>
  <c r="EE85" i="25"/>
  <c r="AH86" i="25"/>
  <c r="EE86" i="25"/>
  <c r="EH86" i="25"/>
  <c r="ED86" i="25"/>
  <c r="EI86" i="25"/>
  <c r="EP86" i="25" s="1"/>
  <c r="HA88" i="25"/>
  <c r="GA88" i="25"/>
  <c r="HA91" i="25"/>
  <c r="GA91" i="25"/>
  <c r="EI92" i="25"/>
  <c r="EP92" i="25" s="1"/>
  <c r="EH92" i="25"/>
  <c r="EE92" i="25"/>
  <c r="AH92" i="25"/>
  <c r="ED92" i="25"/>
  <c r="HA93" i="25"/>
  <c r="GA93" i="25"/>
  <c r="MD104" i="25"/>
  <c r="ND71" i="25"/>
  <c r="ND81" i="25"/>
  <c r="ND96" i="25"/>
  <c r="ND97" i="25"/>
  <c r="ND102" i="25"/>
  <c r="ND103" i="25"/>
  <c r="EE99" i="25"/>
  <c r="EE102" i="25"/>
  <c r="EH23" i="25"/>
  <c r="ED23" i="25"/>
  <c r="EH24" i="25"/>
  <c r="EE24" i="25"/>
  <c r="EJ24" i="25"/>
  <c r="EE29" i="25"/>
  <c r="EH30" i="25"/>
  <c r="EJ31" i="25"/>
  <c r="EE32" i="25"/>
  <c r="EE34" i="25"/>
  <c r="EE37" i="25"/>
  <c r="EJ38" i="25"/>
  <c r="EJ39" i="25"/>
  <c r="EH42" i="25"/>
  <c r="EI43" i="25"/>
  <c r="EP43" i="25" s="1"/>
  <c r="AN43" i="25" s="1"/>
  <c r="ED43" i="25"/>
  <c r="EE43" i="25"/>
  <c r="HA45" i="25"/>
  <c r="GA45" i="25"/>
  <c r="EH47" i="25"/>
  <c r="EE47" i="25"/>
  <c r="EI47" i="25"/>
  <c r="EP47" i="25" s="1"/>
  <c r="AN47" i="25" s="1"/>
  <c r="EE49" i="25"/>
  <c r="EI49" i="25"/>
  <c r="EP49" i="25" s="1"/>
  <c r="AN49" i="25" s="1"/>
  <c r="EJ49" i="25"/>
  <c r="ED49" i="25"/>
  <c r="ED51" i="25"/>
  <c r="EJ53" i="25"/>
  <c r="EJ56" i="25"/>
  <c r="EH57" i="25"/>
  <c r="HA59" i="25"/>
  <c r="GA59" i="25"/>
  <c r="EI60" i="25"/>
  <c r="EP60" i="25" s="1"/>
  <c r="AN60" i="25" s="1"/>
  <c r="EE60" i="25"/>
  <c r="ED60" i="25"/>
  <c r="EE63" i="25"/>
  <c r="EJ65" i="25"/>
  <c r="EI65" i="25"/>
  <c r="EP65" i="25" s="1"/>
  <c r="AN65" i="25" s="1"/>
  <c r="EH65" i="25"/>
  <c r="ED65" i="25"/>
  <c r="EJ70" i="25"/>
  <c r="EH73" i="25"/>
  <c r="HA76" i="25"/>
  <c r="GA76" i="25"/>
  <c r="EH79" i="25"/>
  <c r="ED79" i="25"/>
  <c r="AH79" i="25"/>
  <c r="EI79" i="25"/>
  <c r="EP79" i="25" s="1"/>
  <c r="EI80" i="25"/>
  <c r="EE80" i="25"/>
  <c r="ED80" i="25"/>
  <c r="ED81" i="25"/>
  <c r="EJ84" i="25"/>
  <c r="EH85" i="25"/>
  <c r="HA87" i="25"/>
  <c r="GA87" i="25"/>
  <c r="EJ92" i="25"/>
  <c r="EE98" i="25"/>
  <c r="EI98" i="25"/>
  <c r="EJ98" i="25"/>
  <c r="ED98" i="25"/>
  <c r="GA100" i="25"/>
  <c r="HA100" i="25"/>
  <c r="EJ104" i="25"/>
  <c r="EJ26" i="25"/>
  <c r="EI28" i="25"/>
  <c r="EP28" i="25" s="1"/>
  <c r="AN28" i="25" s="1"/>
  <c r="EE36" i="25"/>
  <c r="EI40" i="25"/>
  <c r="EP40" i="25" s="1"/>
  <c r="AN40" i="25" s="1"/>
  <c r="EE44" i="25"/>
  <c r="EH55" i="25"/>
  <c r="EH71" i="25"/>
  <c r="AH72" i="25"/>
  <c r="EH87" i="25"/>
  <c r="AH88" i="25"/>
  <c r="EJ89" i="25"/>
  <c r="AH91" i="25"/>
  <c r="ED95" i="25"/>
  <c r="EH101" i="25"/>
  <c r="AH101" i="25"/>
  <c r="GA23" i="25"/>
  <c r="GA28" i="25"/>
  <c r="GD28" i="25"/>
  <c r="BG28" i="25" s="1"/>
  <c r="GE30" i="25"/>
  <c r="GD36" i="25"/>
  <c r="BG36" i="25" s="1"/>
  <c r="GE38" i="25"/>
  <c r="GA42" i="25"/>
  <c r="GE44" i="25"/>
  <c r="GD44" i="25"/>
  <c r="BG44" i="25" s="1"/>
  <c r="GE46" i="25"/>
  <c r="GA48" i="25"/>
  <c r="GD52" i="25"/>
  <c r="BG52" i="25" s="1"/>
  <c r="GD57" i="25"/>
  <c r="BG57" i="25" s="1"/>
  <c r="GD59" i="25"/>
  <c r="BG59" i="25" s="1"/>
  <c r="GA60" i="25"/>
  <c r="GD60" i="25"/>
  <c r="BG60" i="25" s="1"/>
  <c r="GA62" i="25"/>
  <c r="GE62" i="25"/>
  <c r="GD67" i="25"/>
  <c r="BG67" i="25" s="1"/>
  <c r="GD69" i="25"/>
  <c r="BG69" i="25" s="1"/>
  <c r="GD71" i="25"/>
  <c r="BG71" i="25" s="1"/>
  <c r="GD75" i="25"/>
  <c r="BG75" i="25" s="1"/>
  <c r="GD77" i="25"/>
  <c r="BG77" i="25" s="1"/>
  <c r="GE80" i="25"/>
  <c r="GD80" i="25"/>
  <c r="BG80" i="25" s="1"/>
  <c r="GA82" i="25"/>
  <c r="GD85" i="25"/>
  <c r="BG85" i="25" s="1"/>
  <c r="GE86" i="25"/>
  <c r="GD91" i="25"/>
  <c r="BG91" i="25" s="1"/>
  <c r="GA92" i="25"/>
  <c r="GD95" i="25"/>
  <c r="BG95" i="25" s="1"/>
  <c r="GD99" i="25"/>
  <c r="BG99" i="25" s="1"/>
  <c r="GE102" i="25"/>
  <c r="GE24" i="25"/>
  <c r="GE27" i="25"/>
  <c r="GA29" i="25"/>
  <c r="GE29" i="25"/>
  <c r="GE33" i="25"/>
  <c r="GE35" i="25"/>
  <c r="GE37" i="25"/>
  <c r="GE40" i="25"/>
  <c r="GE43" i="25"/>
  <c r="GE45" i="25"/>
  <c r="GE47" i="25"/>
  <c r="GE49" i="25"/>
  <c r="GE53" i="25"/>
  <c r="GE61" i="25"/>
  <c r="GE63" i="25"/>
  <c r="GE65" i="25"/>
  <c r="GE79" i="25"/>
  <c r="GE81" i="25"/>
  <c r="GA83" i="25"/>
  <c r="GE83" i="25"/>
  <c r="GE87" i="25"/>
  <c r="GE93" i="25"/>
  <c r="GE101" i="25"/>
  <c r="GE103" i="25"/>
  <c r="HA99" i="25"/>
  <c r="HA31" i="25"/>
  <c r="HA36" i="25"/>
  <c r="HA37" i="25"/>
  <c r="HA46" i="25"/>
  <c r="HA50" i="25"/>
  <c r="HA53" i="25"/>
  <c r="HA56" i="25"/>
  <c r="ED101" i="25"/>
  <c r="GD25" i="25"/>
  <c r="BG25" i="25" s="1"/>
  <c r="GE28" i="25"/>
  <c r="GA30" i="25"/>
  <c r="GD30" i="25"/>
  <c r="BG30" i="25" s="1"/>
  <c r="GD41" i="25"/>
  <c r="BG41" i="25" s="1"/>
  <c r="GD42" i="25"/>
  <c r="BG42" i="25" s="1"/>
  <c r="GD46" i="25"/>
  <c r="BG46" i="25" s="1"/>
  <c r="GE52" i="25"/>
  <c r="GD62" i="25"/>
  <c r="BG62" i="25" s="1"/>
  <c r="GD82" i="25"/>
  <c r="BG82" i="25" s="1"/>
  <c r="GD86" i="25"/>
  <c r="BG86" i="25" s="1"/>
  <c r="GA40" i="25"/>
  <c r="GA54" i="25"/>
  <c r="GA58" i="25"/>
  <c r="GE66" i="25"/>
  <c r="GA70" i="25"/>
  <c r="GE74" i="25"/>
  <c r="GA81" i="25"/>
  <c r="GE90" i="25"/>
  <c r="GA94" i="25"/>
  <c r="GE98" i="25"/>
  <c r="GA101" i="25"/>
  <c r="HA47" i="25"/>
  <c r="EH104" i="25"/>
  <c r="EE26" i="25"/>
  <c r="EE46" i="25"/>
  <c r="ED50" i="25"/>
  <c r="EE55" i="25"/>
  <c r="EE59" i="25"/>
  <c r="EE71" i="25"/>
  <c r="EE75" i="25"/>
  <c r="EE87" i="25"/>
  <c r="EH88" i="25"/>
  <c r="EE91" i="25"/>
  <c r="GA44" i="25"/>
  <c r="GA52" i="25"/>
  <c r="GE59" i="25"/>
  <c r="GE60" i="25"/>
  <c r="GA67" i="25"/>
  <c r="GA24" i="25"/>
  <c r="GD37" i="25"/>
  <c r="BG37" i="25" s="1"/>
  <c r="GA39" i="25"/>
  <c r="GD40" i="25"/>
  <c r="BG40" i="25" s="1"/>
  <c r="GD45" i="25"/>
  <c r="BG45" i="25" s="1"/>
  <c r="GE54" i="25"/>
  <c r="GE56" i="25"/>
  <c r="GD61" i="25"/>
  <c r="BG61" i="25" s="1"/>
  <c r="GA63" i="25"/>
  <c r="GA66" i="25"/>
  <c r="GA68" i="25"/>
  <c r="GE70" i="25"/>
  <c r="GE72" i="25"/>
  <c r="GA74" i="25"/>
  <c r="GD79" i="25"/>
  <c r="BG79" i="25" s="1"/>
  <c r="GD83" i="25"/>
  <c r="BG83" i="25" s="1"/>
  <c r="GD87" i="25"/>
  <c r="BG87" i="25" s="1"/>
  <c r="GE88" i="25"/>
  <c r="GA90" i="25"/>
  <c r="GD93" i="25"/>
  <c r="BG93" i="25" s="1"/>
  <c r="GE96" i="25"/>
  <c r="GA98" i="25"/>
  <c r="GD101" i="25"/>
  <c r="BG101" i="25" s="1"/>
  <c r="GA103" i="25"/>
  <c r="GA64" i="25"/>
  <c r="GA73" i="25"/>
  <c r="GA72" i="25"/>
  <c r="GA96" i="25"/>
  <c r="PH85" i="25"/>
  <c r="PF85" i="25"/>
  <c r="PD85" i="25"/>
  <c r="PN97" i="25"/>
  <c r="PH70" i="25"/>
  <c r="PF70" i="25"/>
  <c r="OH91" i="25"/>
  <c r="OF91" i="25"/>
  <c r="ON81" i="25"/>
  <c r="ON88" i="25"/>
  <c r="PN59" i="25"/>
  <c r="PN94" i="25"/>
  <c r="ON74" i="25"/>
  <c r="ON85" i="25"/>
  <c r="ON97" i="25"/>
  <c r="ON62" i="25"/>
  <c r="PN87" i="25"/>
  <c r="PN23" i="25"/>
  <c r="PN24" i="25"/>
  <c r="ON29" i="25"/>
  <c r="PN47" i="25"/>
  <c r="PN61" i="25"/>
  <c r="PN71" i="25"/>
  <c r="PN93" i="25"/>
  <c r="ON37" i="25"/>
  <c r="ON89" i="25"/>
  <c r="ON95" i="25"/>
  <c r="ON46" i="25"/>
  <c r="ON100" i="25"/>
  <c r="PN45" i="25"/>
  <c r="PN62" i="25"/>
  <c r="ON71" i="25"/>
  <c r="PN74" i="25"/>
  <c r="PN77" i="25"/>
  <c r="ON84" i="25"/>
  <c r="PN102" i="25"/>
  <c r="ON23" i="25"/>
  <c r="ON104" i="25"/>
  <c r="PN26" i="25"/>
  <c r="PN38" i="25"/>
  <c r="PN39" i="25"/>
  <c r="ON41" i="25"/>
  <c r="PN44" i="25"/>
  <c r="ON51" i="25"/>
  <c r="ON66" i="25"/>
  <c r="ON86" i="25"/>
  <c r="ON87" i="25"/>
  <c r="ON99" i="25"/>
  <c r="ON33" i="25"/>
  <c r="PN27" i="25"/>
  <c r="PN30" i="25"/>
  <c r="PN40" i="25"/>
  <c r="ON43" i="25"/>
  <c r="ON49" i="25"/>
  <c r="PN54" i="25"/>
  <c r="PN63" i="25"/>
  <c r="ON83" i="25"/>
  <c r="PN37" i="25"/>
  <c r="ON69" i="25"/>
  <c r="ON79" i="25"/>
  <c r="ON22" i="25"/>
  <c r="ON98" i="25"/>
  <c r="CD18" i="19"/>
  <c r="CD16" i="19"/>
  <c r="CD15" i="19"/>
  <c r="F122" i="22"/>
  <c r="F121" i="22"/>
  <c r="ON21" i="25"/>
  <c r="PN22" i="25"/>
  <c r="FH21" i="25"/>
  <c r="EH21" i="25"/>
  <c r="EI21" i="25"/>
  <c r="EP21" i="25" s="1"/>
  <c r="AN21" i="25" s="1"/>
  <c r="EH22" i="25"/>
  <c r="GD21" i="25"/>
  <c r="BG21" i="25" s="1"/>
  <c r="GD22" i="25"/>
  <c r="BG22" i="25" s="1"/>
  <c r="EJ22" i="25"/>
  <c r="EI22" i="25"/>
  <c r="EP22" i="25" s="1"/>
  <c r="AN22" i="25" s="1"/>
  <c r="GA21" i="25"/>
  <c r="FD22" i="25"/>
  <c r="ED21" i="25"/>
  <c r="EE22" i="25"/>
  <c r="GA22" i="25"/>
  <c r="EE21" i="25"/>
  <c r="FH20" i="25"/>
  <c r="EH19" i="25"/>
  <c r="ON20" i="25"/>
  <c r="ED19" i="25"/>
  <c r="EH20" i="25"/>
  <c r="GE20" i="25"/>
  <c r="EJ19" i="25"/>
  <c r="EI20" i="25"/>
  <c r="EP20" i="25" s="1"/>
  <c r="AN20" i="25" s="1"/>
  <c r="EJ20" i="25"/>
  <c r="GD19" i="25"/>
  <c r="BG19" i="25" s="1"/>
  <c r="GA19" i="25"/>
  <c r="GD20" i="25"/>
  <c r="BG20" i="25" s="1"/>
  <c r="EE20" i="25"/>
  <c r="HA20" i="25"/>
  <c r="EE19" i="25"/>
  <c r="ED18" i="25"/>
  <c r="EH18" i="25"/>
  <c r="EI18" i="25"/>
  <c r="EP18" i="25" s="1"/>
  <c r="AN18" i="25" s="1"/>
  <c r="EE18" i="25"/>
  <c r="EJ18" i="25"/>
  <c r="GE17" i="25"/>
  <c r="GD17" i="25"/>
  <c r="BG17" i="25" s="1"/>
  <c r="OD18" i="25"/>
  <c r="OH18" i="25"/>
  <c r="OF18" i="25"/>
  <c r="PH18" i="25"/>
  <c r="PF18" i="25"/>
  <c r="PD18" i="25"/>
  <c r="EI17" i="25"/>
  <c r="EP17" i="25" s="1"/>
  <c r="AN17" i="25" s="1"/>
  <c r="ED17" i="25"/>
  <c r="EJ17" i="25"/>
  <c r="EH17" i="25"/>
  <c r="EE17" i="25"/>
  <c r="GD18" i="25"/>
  <c r="BG18" i="25" s="1"/>
  <c r="GE18" i="25"/>
  <c r="OD17" i="25"/>
  <c r="OH17" i="25"/>
  <c r="OF17" i="25"/>
  <c r="FH18" i="25"/>
  <c r="FD18" i="25"/>
  <c r="PD17" i="25"/>
  <c r="PH17" i="25"/>
  <c r="PF17" i="25"/>
  <c r="GA18" i="25"/>
  <c r="FD17" i="25"/>
  <c r="GA17" i="25"/>
  <c r="PH16" i="25"/>
  <c r="PN16" i="25" s="1"/>
  <c r="OC15" i="25"/>
  <c r="OF15" i="25" s="1"/>
  <c r="OC16" i="25"/>
  <c r="OH16" i="25" s="1"/>
  <c r="ON16" i="25" s="1"/>
  <c r="PJ11" i="25"/>
  <c r="PJ13" i="25" s="1"/>
  <c r="PJ12" i="25" s="1"/>
  <c r="PF16" i="25"/>
  <c r="GM11" i="25"/>
  <c r="GM13" i="25" s="1"/>
  <c r="GM12" i="25" s="1"/>
  <c r="HM11" i="25"/>
  <c r="HM13" i="25" s="1"/>
  <c r="HM12" i="25" s="1"/>
  <c r="BC32" i="19"/>
  <c r="AY32" i="19"/>
  <c r="BC36" i="19"/>
  <c r="AY36" i="19"/>
  <c r="BC52" i="19"/>
  <c r="AY52" i="19"/>
  <c r="BC64" i="19"/>
  <c r="AY64" i="19"/>
  <c r="BC72" i="19"/>
  <c r="AY72" i="19"/>
  <c r="AY84" i="19"/>
  <c r="BC84" i="19"/>
  <c r="AY96" i="19"/>
  <c r="BC96" i="19"/>
  <c r="AY104" i="19"/>
  <c r="BC104" i="19"/>
  <c r="AY107" i="19"/>
  <c r="BC107" i="19"/>
  <c r="AY105" i="19"/>
  <c r="BC105" i="19"/>
  <c r="BC27" i="19"/>
  <c r="AY27" i="19"/>
  <c r="BC31" i="19"/>
  <c r="AY31" i="19"/>
  <c r="BC35" i="19"/>
  <c r="AY35" i="19"/>
  <c r="BC39" i="19"/>
  <c r="AY39" i="19"/>
  <c r="BC43" i="19"/>
  <c r="AY43" i="19"/>
  <c r="BC47" i="19"/>
  <c r="AY47" i="19"/>
  <c r="BC51" i="19"/>
  <c r="AY51" i="19"/>
  <c r="BC55" i="19"/>
  <c r="AY55" i="19"/>
  <c r="BC59" i="19"/>
  <c r="AY59" i="19"/>
  <c r="BC63" i="19"/>
  <c r="AY63" i="19"/>
  <c r="BC67" i="19"/>
  <c r="AY67" i="19"/>
  <c r="BC71" i="19"/>
  <c r="AY71" i="19"/>
  <c r="AY75" i="19"/>
  <c r="BC75" i="19"/>
  <c r="AY79" i="19"/>
  <c r="BC79" i="19"/>
  <c r="AY83" i="19"/>
  <c r="BC83" i="19"/>
  <c r="AY87" i="19"/>
  <c r="BC87" i="19"/>
  <c r="AY91" i="19"/>
  <c r="BC91" i="19"/>
  <c r="AY95" i="19"/>
  <c r="BC95" i="19"/>
  <c r="AY99" i="19"/>
  <c r="BC99" i="19"/>
  <c r="AY103" i="19"/>
  <c r="BC103" i="19"/>
  <c r="AY113" i="19"/>
  <c r="BC113" i="19"/>
  <c r="AY111" i="19"/>
  <c r="BC111" i="19"/>
  <c r="BC18" i="19"/>
  <c r="AY18" i="19"/>
  <c r="BC22" i="19"/>
  <c r="AY22" i="19"/>
  <c r="BC26" i="19"/>
  <c r="AY26" i="19"/>
  <c r="AY112" i="19"/>
  <c r="BC112" i="19"/>
  <c r="BC40" i="19"/>
  <c r="AY40" i="19"/>
  <c r="BC60" i="19"/>
  <c r="AY60" i="19"/>
  <c r="AY76" i="19"/>
  <c r="BC76" i="19"/>
  <c r="AY88" i="19"/>
  <c r="BC88" i="19"/>
  <c r="AY100" i="19"/>
  <c r="BC100" i="19"/>
  <c r="BC19" i="19"/>
  <c r="AY19" i="19"/>
  <c r="BC23" i="19"/>
  <c r="AY23" i="19"/>
  <c r="AY110" i="19"/>
  <c r="BC110" i="19"/>
  <c r="BC48" i="19"/>
  <c r="AY48" i="19"/>
  <c r="AY116" i="19"/>
  <c r="BC116" i="19"/>
  <c r="AY114" i="19"/>
  <c r="BC114" i="19"/>
  <c r="AY117" i="19"/>
  <c r="BC117" i="19"/>
  <c r="AY29" i="19"/>
  <c r="BC29" i="19"/>
  <c r="AY33" i="19"/>
  <c r="BC33" i="19"/>
  <c r="AY37" i="19"/>
  <c r="BC37" i="19"/>
  <c r="AY41" i="19"/>
  <c r="BC41" i="19"/>
  <c r="AY45" i="19"/>
  <c r="BC45" i="19"/>
  <c r="AY49" i="19"/>
  <c r="BC49" i="19"/>
  <c r="AY53" i="19"/>
  <c r="BC53" i="19"/>
  <c r="AY57" i="19"/>
  <c r="BC57" i="19"/>
  <c r="AY61" i="19"/>
  <c r="BC61" i="19"/>
  <c r="AY65" i="19"/>
  <c r="BC65" i="19"/>
  <c r="AY69" i="19"/>
  <c r="BC69" i="19"/>
  <c r="AY73" i="19"/>
  <c r="BC73" i="19"/>
  <c r="AY77" i="19"/>
  <c r="BC77" i="19"/>
  <c r="AY81" i="19"/>
  <c r="BC81" i="19"/>
  <c r="AY85" i="19"/>
  <c r="BC85" i="19"/>
  <c r="AY89" i="19"/>
  <c r="BC89" i="19"/>
  <c r="AY93" i="19"/>
  <c r="BC93" i="19"/>
  <c r="AY97" i="19"/>
  <c r="BC97" i="19"/>
  <c r="AY101" i="19"/>
  <c r="BC101" i="19"/>
  <c r="AY108" i="19"/>
  <c r="BC108" i="19"/>
  <c r="AY119" i="19"/>
  <c r="BC119" i="19"/>
  <c r="BC16" i="19"/>
  <c r="AY16" i="19"/>
  <c r="BC20" i="19"/>
  <c r="AY20" i="19"/>
  <c r="BC24" i="19"/>
  <c r="AY24" i="19"/>
  <c r="BC28" i="19"/>
  <c r="AY28" i="19"/>
  <c r="BC44" i="19"/>
  <c r="AY44" i="19"/>
  <c r="BC56" i="19"/>
  <c r="AY56" i="19"/>
  <c r="BC68" i="19"/>
  <c r="AY68" i="19"/>
  <c r="AY80" i="19"/>
  <c r="BC80" i="19"/>
  <c r="AY92" i="19"/>
  <c r="BC92" i="19"/>
  <c r="AY115" i="19"/>
  <c r="BC115" i="19"/>
  <c r="AY118" i="19"/>
  <c r="BC118" i="19"/>
  <c r="AY120" i="19"/>
  <c r="BC120" i="19"/>
  <c r="BC30" i="19"/>
  <c r="AY30" i="19"/>
  <c r="BC34" i="19"/>
  <c r="AY34" i="19"/>
  <c r="BC38" i="19"/>
  <c r="AY38" i="19"/>
  <c r="BC42" i="19"/>
  <c r="AY42" i="19"/>
  <c r="BC46" i="19"/>
  <c r="AY46" i="19"/>
  <c r="BC50" i="19"/>
  <c r="AY50" i="19"/>
  <c r="BC54" i="19"/>
  <c r="AY54" i="19"/>
  <c r="BC58" i="19"/>
  <c r="AY58" i="19"/>
  <c r="BC62" i="19"/>
  <c r="AY62" i="19"/>
  <c r="BC66" i="19"/>
  <c r="AY66" i="19"/>
  <c r="BC70" i="19"/>
  <c r="AY70" i="19"/>
  <c r="BC74" i="19"/>
  <c r="AY74" i="19"/>
  <c r="AY78" i="19"/>
  <c r="BC78" i="19"/>
  <c r="AY82" i="19"/>
  <c r="BC82" i="19"/>
  <c r="AY86" i="19"/>
  <c r="BC86" i="19"/>
  <c r="AY90" i="19"/>
  <c r="BC90" i="19"/>
  <c r="AY94" i="19"/>
  <c r="BC94" i="19"/>
  <c r="AY98" i="19"/>
  <c r="BC98" i="19"/>
  <c r="AY102" i="19"/>
  <c r="BC102" i="19"/>
  <c r="AY109" i="19"/>
  <c r="BC109" i="19"/>
  <c r="AY106" i="19"/>
  <c r="BC106" i="19"/>
  <c r="AY17" i="19"/>
  <c r="BC17" i="19"/>
  <c r="AY21" i="19"/>
  <c r="BC21" i="19"/>
  <c r="AY25" i="19"/>
  <c r="BC25" i="19"/>
  <c r="PF15" i="25"/>
  <c r="PD15" i="25"/>
  <c r="HE15" i="25"/>
  <c r="HD15" i="25"/>
  <c r="BH15" i="25" s="1"/>
  <c r="HJ15" i="25"/>
  <c r="HI15" i="25"/>
  <c r="HP15" i="25" s="1"/>
  <c r="HA16" i="25"/>
  <c r="GE16" i="25"/>
  <c r="GD16" i="25"/>
  <c r="BG16" i="25" s="1"/>
  <c r="GJ15" i="25"/>
  <c r="GE15" i="25"/>
  <c r="GI15" i="25"/>
  <c r="GP15" i="25" s="1"/>
  <c r="GD15" i="25"/>
  <c r="BG15" i="25" s="1"/>
  <c r="GH15" i="25"/>
  <c r="AG15" i="19"/>
  <c r="CA15" i="25" s="1"/>
  <c r="AP15" i="25" s="1"/>
  <c r="EI15" i="25"/>
  <c r="EJ15" i="25"/>
  <c r="EE15" i="25"/>
  <c r="CP15" i="25"/>
  <c r="ED15" i="25"/>
  <c r="EH15" i="25"/>
  <c r="EH16" i="25"/>
  <c r="EE16" i="25"/>
  <c r="EJ16" i="25"/>
  <c r="ED16" i="25"/>
  <c r="AV15" i="19"/>
  <c r="DA15" i="25" s="1"/>
  <c r="IC15" i="25" s="1"/>
  <c r="ID15" i="25" s="1"/>
  <c r="FD16" i="25"/>
  <c r="FH15" i="25"/>
  <c r="AY15" i="19"/>
  <c r="FD15" i="25"/>
  <c r="AV120" i="19"/>
  <c r="AV112" i="19"/>
  <c r="AV36" i="19"/>
  <c r="DA36" i="25" s="1"/>
  <c r="KC36" i="25" s="1"/>
  <c r="KD36" i="25" s="1"/>
  <c r="AV114" i="19"/>
  <c r="AV117" i="19"/>
  <c r="AV29" i="19"/>
  <c r="DA29" i="25" s="1"/>
  <c r="LC29" i="25" s="1"/>
  <c r="LF29" i="25" s="1"/>
  <c r="AV33" i="19"/>
  <c r="DA33" i="25" s="1"/>
  <c r="MC33" i="25" s="1"/>
  <c r="MD33" i="25" s="1"/>
  <c r="BM33" i="25" s="1"/>
  <c r="AV37" i="19"/>
  <c r="DA37" i="25" s="1"/>
  <c r="IC37" i="25" s="1"/>
  <c r="IE37" i="25" s="1"/>
  <c r="AV41" i="19"/>
  <c r="DA41" i="25" s="1"/>
  <c r="JC41" i="25" s="1"/>
  <c r="JD41" i="25" s="1"/>
  <c r="BJ41" i="25" s="1"/>
  <c r="AV45" i="19"/>
  <c r="DA45" i="25" s="1"/>
  <c r="NC45" i="25" s="1"/>
  <c r="ND45" i="25" s="1"/>
  <c r="BN45" i="25" s="1"/>
  <c r="AV49" i="19"/>
  <c r="DA49" i="25" s="1"/>
  <c r="IC49" i="25" s="1"/>
  <c r="DP49" i="25" s="1"/>
  <c r="AV53" i="19"/>
  <c r="AV57" i="19"/>
  <c r="AV61" i="19"/>
  <c r="AV65" i="19"/>
  <c r="AV69" i="19"/>
  <c r="AV73" i="19"/>
  <c r="AV77" i="19"/>
  <c r="AV81" i="19"/>
  <c r="AV85" i="19"/>
  <c r="AV89" i="19"/>
  <c r="AV93" i="19"/>
  <c r="AV97" i="19"/>
  <c r="AV101" i="19"/>
  <c r="AV108" i="19"/>
  <c r="AV119" i="19"/>
  <c r="AV16" i="19"/>
  <c r="DA16" i="25" s="1"/>
  <c r="MC16" i="25" s="1"/>
  <c r="MD16" i="25" s="1"/>
  <c r="BM16" i="25" s="1"/>
  <c r="AV20" i="19"/>
  <c r="DA20" i="25" s="1"/>
  <c r="KC20" i="25" s="1"/>
  <c r="KD20" i="25" s="1"/>
  <c r="AV24" i="19"/>
  <c r="DA24" i="25" s="1"/>
  <c r="KC24" i="25" s="1"/>
  <c r="KD24" i="25" s="1"/>
  <c r="AV30" i="19"/>
  <c r="DA30" i="25" s="1"/>
  <c r="LC30" i="25" s="1"/>
  <c r="LD30" i="25" s="1"/>
  <c r="BL30" i="25" s="1"/>
  <c r="AV38" i="19"/>
  <c r="DA38" i="25" s="1"/>
  <c r="MC38" i="25" s="1"/>
  <c r="MD38" i="25" s="1"/>
  <c r="BM38" i="25" s="1"/>
  <c r="AV46" i="19"/>
  <c r="DA46" i="25" s="1"/>
  <c r="IC46" i="25" s="1"/>
  <c r="IE46" i="25" s="1"/>
  <c r="AV54" i="19"/>
  <c r="AV62" i="19"/>
  <c r="AV66" i="19"/>
  <c r="AV70" i="19"/>
  <c r="AV78" i="19"/>
  <c r="AV82" i="19"/>
  <c r="AV86" i="19"/>
  <c r="AV90" i="19"/>
  <c r="AV94" i="19"/>
  <c r="AV98" i="19"/>
  <c r="AV102" i="19"/>
  <c r="AV109" i="19"/>
  <c r="AV106" i="19"/>
  <c r="AV17" i="19"/>
  <c r="DA17" i="25" s="1"/>
  <c r="MC17" i="25" s="1"/>
  <c r="AV21" i="19"/>
  <c r="DA21" i="25" s="1"/>
  <c r="NC21" i="25" s="1"/>
  <c r="ND21" i="25" s="1"/>
  <c r="BN21" i="25" s="1"/>
  <c r="AV25" i="19"/>
  <c r="DA25" i="25" s="1"/>
  <c r="KC25" i="25" s="1"/>
  <c r="KD25" i="25" s="1"/>
  <c r="AV118" i="19"/>
  <c r="AV34" i="19"/>
  <c r="DA34" i="25" s="1"/>
  <c r="JC34" i="25" s="1"/>
  <c r="AV42" i="19"/>
  <c r="DA42" i="25" s="1"/>
  <c r="NC42" i="25" s="1"/>
  <c r="ND42" i="25" s="1"/>
  <c r="BN42" i="25" s="1"/>
  <c r="AV50" i="19"/>
  <c r="AV58" i="19"/>
  <c r="AV74" i="19"/>
  <c r="AV107" i="19"/>
  <c r="AV105" i="19"/>
  <c r="AV27" i="19"/>
  <c r="DA27" i="25" s="1"/>
  <c r="MC27" i="25" s="1"/>
  <c r="MD27" i="25" s="1"/>
  <c r="BM27" i="25" s="1"/>
  <c r="AV31" i="19"/>
  <c r="DA31" i="25" s="1"/>
  <c r="MC31" i="25" s="1"/>
  <c r="MD31" i="25" s="1"/>
  <c r="BM31" i="25" s="1"/>
  <c r="AV35" i="19"/>
  <c r="DA35" i="25" s="1"/>
  <c r="MC35" i="25" s="1"/>
  <c r="MD35" i="25" s="1"/>
  <c r="BM35" i="25" s="1"/>
  <c r="AV39" i="19"/>
  <c r="DA39" i="25" s="1"/>
  <c r="NC39" i="25" s="1"/>
  <c r="ND39" i="25" s="1"/>
  <c r="BN39" i="25" s="1"/>
  <c r="AV43" i="19"/>
  <c r="DA43" i="25" s="1"/>
  <c r="MC43" i="25" s="1"/>
  <c r="MD43" i="25" s="1"/>
  <c r="BM43" i="25" s="1"/>
  <c r="AV47" i="19"/>
  <c r="DA47" i="25" s="1"/>
  <c r="NC47" i="25" s="1"/>
  <c r="ND47" i="25" s="1"/>
  <c r="BN47" i="25" s="1"/>
  <c r="AV51" i="19"/>
  <c r="AV55" i="19"/>
  <c r="AV59" i="19"/>
  <c r="AV63" i="19"/>
  <c r="AV67" i="19"/>
  <c r="AV71" i="19"/>
  <c r="AV75" i="19"/>
  <c r="AV79" i="19"/>
  <c r="AV83" i="19"/>
  <c r="AV87" i="19"/>
  <c r="AV91" i="19"/>
  <c r="AV95" i="19"/>
  <c r="AV99" i="19"/>
  <c r="AV103" i="19"/>
  <c r="AV113" i="19"/>
  <c r="AV111" i="19"/>
  <c r="AV18" i="19"/>
  <c r="DA18" i="25" s="1"/>
  <c r="KC18" i="25" s="1"/>
  <c r="KD18" i="25" s="1"/>
  <c r="AV22" i="19"/>
  <c r="DA22" i="25" s="1"/>
  <c r="LC22" i="25" s="1"/>
  <c r="LD22" i="25" s="1"/>
  <c r="BL22" i="25" s="1"/>
  <c r="AV26" i="19"/>
  <c r="DA26" i="25" s="1"/>
  <c r="JC26" i="25" s="1"/>
  <c r="JD26" i="25" s="1"/>
  <c r="BJ26" i="25" s="1"/>
  <c r="AV110" i="19"/>
  <c r="AV28" i="19"/>
  <c r="DA28" i="25" s="1"/>
  <c r="NC28" i="25" s="1"/>
  <c r="ND28" i="25" s="1"/>
  <c r="BN28" i="25" s="1"/>
  <c r="AV32" i="19"/>
  <c r="DA32" i="25" s="1"/>
  <c r="KC32" i="25" s="1"/>
  <c r="KD32" i="25" s="1"/>
  <c r="AV40" i="19"/>
  <c r="DA40" i="25" s="1"/>
  <c r="KC40" i="25" s="1"/>
  <c r="KD40" i="25" s="1"/>
  <c r="AV44" i="19"/>
  <c r="DA44" i="25" s="1"/>
  <c r="KC44" i="25" s="1"/>
  <c r="KD44" i="25" s="1"/>
  <c r="AV48" i="19"/>
  <c r="DA48" i="25" s="1"/>
  <c r="JC48" i="25" s="1"/>
  <c r="JF48" i="25" s="1"/>
  <c r="AV52" i="19"/>
  <c r="AV56" i="19"/>
  <c r="AV60" i="19"/>
  <c r="AV64" i="19"/>
  <c r="AV68" i="19"/>
  <c r="AV72" i="19"/>
  <c r="AV76" i="19"/>
  <c r="AV80" i="19"/>
  <c r="AV84" i="19"/>
  <c r="AV88" i="19"/>
  <c r="AV92" i="19"/>
  <c r="AV96" i="19"/>
  <c r="AV100" i="19"/>
  <c r="AV104" i="19"/>
  <c r="AV115" i="19"/>
  <c r="AV116" i="19"/>
  <c r="AV19" i="19"/>
  <c r="DA19" i="25" s="1"/>
  <c r="LC19" i="25" s="1"/>
  <c r="LD19" i="25" s="1"/>
  <c r="BL19" i="25" s="1"/>
  <c r="AV23" i="19"/>
  <c r="DA23" i="25" s="1"/>
  <c r="KC23" i="25" s="1"/>
  <c r="KD23" i="25" s="1"/>
  <c r="AG114" i="19"/>
  <c r="AG61" i="19"/>
  <c r="AG73" i="19"/>
  <c r="AG89" i="19"/>
  <c r="AG101" i="19"/>
  <c r="AG112" i="19"/>
  <c r="AG44" i="19"/>
  <c r="CA44" i="25" s="1"/>
  <c r="AP44" i="25" s="1"/>
  <c r="AG49" i="19"/>
  <c r="CA49" i="25" s="1"/>
  <c r="AP49" i="25" s="1"/>
  <c r="AG57" i="19"/>
  <c r="AG69" i="19"/>
  <c r="AG77" i="19"/>
  <c r="AG85" i="19"/>
  <c r="AG97" i="19"/>
  <c r="AG119" i="19"/>
  <c r="AG118" i="19"/>
  <c r="AG120" i="19"/>
  <c r="AG46" i="19"/>
  <c r="CA46" i="25" s="1"/>
  <c r="AP46" i="25" s="1"/>
  <c r="AG50" i="19"/>
  <c r="AG54" i="19"/>
  <c r="AG58" i="19"/>
  <c r="AG62" i="19"/>
  <c r="AG66" i="19"/>
  <c r="AG70" i="19"/>
  <c r="AG74" i="19"/>
  <c r="AG78" i="19"/>
  <c r="AG82" i="19"/>
  <c r="AG86" i="19"/>
  <c r="AG90" i="19"/>
  <c r="AG94" i="19"/>
  <c r="AG98" i="19"/>
  <c r="AG102" i="19"/>
  <c r="AG109" i="19"/>
  <c r="AG106" i="19"/>
  <c r="AG110" i="19"/>
  <c r="AG117" i="19"/>
  <c r="AG45" i="19"/>
  <c r="CA45" i="25" s="1"/>
  <c r="AP45" i="25" s="1"/>
  <c r="AG53" i="19"/>
  <c r="AG65" i="19"/>
  <c r="AG81" i="19"/>
  <c r="AG93" i="19"/>
  <c r="AG108" i="19"/>
  <c r="AG107" i="19"/>
  <c r="H120" i="3"/>
  <c r="AG105" i="19"/>
  <c r="AG43" i="19"/>
  <c r="CA43" i="25" s="1"/>
  <c r="AP43" i="25" s="1"/>
  <c r="AG47" i="19"/>
  <c r="CA47" i="25" s="1"/>
  <c r="AP47" i="25" s="1"/>
  <c r="AG51" i="19"/>
  <c r="AG55" i="19"/>
  <c r="AG59" i="19"/>
  <c r="AG63" i="19"/>
  <c r="AG67" i="19"/>
  <c r="AG71" i="19"/>
  <c r="AG75" i="19"/>
  <c r="AG79" i="19"/>
  <c r="AG83" i="19"/>
  <c r="AG87" i="19"/>
  <c r="AG91" i="19"/>
  <c r="AG95" i="19"/>
  <c r="AG99" i="19"/>
  <c r="AG103" i="19"/>
  <c r="AG113" i="19"/>
  <c r="AG111" i="19"/>
  <c r="AG48" i="19"/>
  <c r="CA48" i="25" s="1"/>
  <c r="AP48" i="25" s="1"/>
  <c r="AG52" i="19"/>
  <c r="AG56" i="19"/>
  <c r="AG60" i="19"/>
  <c r="AG64" i="19"/>
  <c r="AG68" i="19"/>
  <c r="AG72" i="19"/>
  <c r="AG76" i="19"/>
  <c r="AG80" i="19"/>
  <c r="AG84" i="19"/>
  <c r="AG88" i="19"/>
  <c r="AG92" i="19"/>
  <c r="AG96" i="19"/>
  <c r="AG100" i="19"/>
  <c r="AG104" i="19"/>
  <c r="AG115" i="19"/>
  <c r="AG116" i="19"/>
  <c r="AF133" i="37"/>
  <c r="AF132" i="37"/>
  <c r="AF125" i="37"/>
  <c r="AF71" i="37"/>
  <c r="AF159" i="37"/>
  <c r="AF155" i="37"/>
  <c r="AF129" i="37"/>
  <c r="AF153" i="37"/>
  <c r="AD135" i="37"/>
  <c r="AF151" i="37"/>
  <c r="G34" i="19"/>
  <c r="F34" i="19"/>
  <c r="H34" i="19"/>
  <c r="G46" i="19"/>
  <c r="F46" i="19"/>
  <c r="H46" i="19"/>
  <c r="G58" i="19"/>
  <c r="F58" i="19"/>
  <c r="H58" i="19"/>
  <c r="G66" i="19"/>
  <c r="F66" i="19"/>
  <c r="H66" i="19"/>
  <c r="G74" i="19"/>
  <c r="F74" i="19"/>
  <c r="B74" i="19" s="1"/>
  <c r="BK74" i="19"/>
  <c r="BG74" i="19"/>
  <c r="H74" i="19"/>
  <c r="G82" i="19"/>
  <c r="F82" i="19"/>
  <c r="BK82" i="19"/>
  <c r="BG82" i="19"/>
  <c r="H82" i="19"/>
  <c r="G90" i="19"/>
  <c r="F90" i="19"/>
  <c r="BK90" i="19"/>
  <c r="BG90" i="19"/>
  <c r="H90" i="19"/>
  <c r="G102" i="19"/>
  <c r="F102" i="19"/>
  <c r="BK102" i="19"/>
  <c r="BG102" i="19"/>
  <c r="H102" i="19"/>
  <c r="G106" i="19"/>
  <c r="F106" i="19"/>
  <c r="BK106" i="19"/>
  <c r="BG106" i="19"/>
  <c r="H106" i="19"/>
  <c r="F25" i="19"/>
  <c r="H25" i="19"/>
  <c r="G25" i="19"/>
  <c r="G118" i="19"/>
  <c r="F118" i="19"/>
  <c r="BK118" i="19"/>
  <c r="BG118" i="19"/>
  <c r="H118" i="19"/>
  <c r="G30" i="19"/>
  <c r="F30" i="19"/>
  <c r="H30" i="19"/>
  <c r="G42" i="19"/>
  <c r="F42" i="19"/>
  <c r="H42" i="19"/>
  <c r="G54" i="19"/>
  <c r="F54" i="19"/>
  <c r="H54" i="19"/>
  <c r="G62" i="19"/>
  <c r="F62" i="19"/>
  <c r="H62" i="19"/>
  <c r="G70" i="19"/>
  <c r="F70" i="19"/>
  <c r="H70" i="19"/>
  <c r="G78" i="19"/>
  <c r="F78" i="19"/>
  <c r="BK78" i="19"/>
  <c r="BG78" i="19"/>
  <c r="H78" i="19"/>
  <c r="G86" i="19"/>
  <c r="F86" i="19"/>
  <c r="BK86" i="19"/>
  <c r="BG86" i="19"/>
  <c r="H86" i="19"/>
  <c r="G94" i="19"/>
  <c r="F94" i="19"/>
  <c r="BK94" i="19"/>
  <c r="BG94" i="19"/>
  <c r="H94" i="19"/>
  <c r="G98" i="19"/>
  <c r="F98" i="19"/>
  <c r="BK98" i="19"/>
  <c r="BG98" i="19"/>
  <c r="H98" i="19"/>
  <c r="F109" i="19"/>
  <c r="H109" i="19"/>
  <c r="G109" i="19"/>
  <c r="BK109" i="19"/>
  <c r="BG109" i="19"/>
  <c r="F17" i="19"/>
  <c r="H17" i="19"/>
  <c r="G17" i="19"/>
  <c r="F21" i="19"/>
  <c r="H21" i="19"/>
  <c r="G21" i="19"/>
  <c r="G114" i="19"/>
  <c r="F114" i="19"/>
  <c r="BK114" i="19"/>
  <c r="BG114" i="19"/>
  <c r="H114" i="19"/>
  <c r="F117" i="19"/>
  <c r="H117" i="19"/>
  <c r="G117" i="19"/>
  <c r="BK117" i="19"/>
  <c r="BG117" i="19"/>
  <c r="F29" i="19"/>
  <c r="H29" i="19"/>
  <c r="G29" i="19"/>
  <c r="F33" i="19"/>
  <c r="H33" i="19"/>
  <c r="G33" i="19"/>
  <c r="F37" i="19"/>
  <c r="H37" i="19"/>
  <c r="G37" i="19"/>
  <c r="F41" i="19"/>
  <c r="H41" i="19"/>
  <c r="G41" i="19"/>
  <c r="F45" i="19"/>
  <c r="H45" i="19"/>
  <c r="G45" i="19"/>
  <c r="F49" i="19"/>
  <c r="H49" i="19"/>
  <c r="G49" i="19"/>
  <c r="F53" i="19"/>
  <c r="H53" i="19"/>
  <c r="G53" i="19"/>
  <c r="F57" i="19"/>
  <c r="H57" i="19"/>
  <c r="G57" i="19"/>
  <c r="F61" i="19"/>
  <c r="H61" i="19"/>
  <c r="G61" i="19"/>
  <c r="F65" i="19"/>
  <c r="H65" i="19"/>
  <c r="G65" i="19"/>
  <c r="F69" i="19"/>
  <c r="H69" i="19"/>
  <c r="G69" i="19"/>
  <c r="F73" i="19"/>
  <c r="B73" i="19" s="1"/>
  <c r="H73" i="19"/>
  <c r="G73" i="19"/>
  <c r="BK73" i="19"/>
  <c r="BG73" i="19"/>
  <c r="F77" i="19"/>
  <c r="B77" i="19" s="1"/>
  <c r="H77" i="19"/>
  <c r="G77" i="19"/>
  <c r="BK77" i="19"/>
  <c r="BG77" i="19"/>
  <c r="F81" i="19"/>
  <c r="H81" i="19"/>
  <c r="G81" i="19"/>
  <c r="BK81" i="19"/>
  <c r="BG81" i="19"/>
  <c r="F85" i="19"/>
  <c r="H85" i="19"/>
  <c r="G85" i="19"/>
  <c r="BK85" i="19"/>
  <c r="BG85" i="19"/>
  <c r="F89" i="19"/>
  <c r="H89" i="19"/>
  <c r="G89" i="19"/>
  <c r="BK89" i="19"/>
  <c r="BG89" i="19"/>
  <c r="F93" i="19"/>
  <c r="H93" i="19"/>
  <c r="G93" i="19"/>
  <c r="BK93" i="19"/>
  <c r="BG93" i="19"/>
  <c r="F97" i="19"/>
  <c r="H97" i="19"/>
  <c r="G97" i="19"/>
  <c r="BK97" i="19"/>
  <c r="BG97" i="19"/>
  <c r="F101" i="19"/>
  <c r="H101" i="19"/>
  <c r="G101" i="19"/>
  <c r="BK101" i="19"/>
  <c r="BG101" i="19"/>
  <c r="BK108" i="19"/>
  <c r="BG108" i="19"/>
  <c r="H108" i="19"/>
  <c r="G108" i="19"/>
  <c r="F108" i="19"/>
  <c r="H119" i="19"/>
  <c r="G119" i="19"/>
  <c r="BK119" i="19"/>
  <c r="BG119" i="19"/>
  <c r="F119" i="19"/>
  <c r="H16" i="19"/>
  <c r="G16" i="19"/>
  <c r="F16" i="19"/>
  <c r="H20" i="19"/>
  <c r="G20" i="19"/>
  <c r="F20" i="19"/>
  <c r="H24" i="19"/>
  <c r="G24" i="19"/>
  <c r="F24" i="19"/>
  <c r="G38" i="19"/>
  <c r="F38" i="19"/>
  <c r="H38" i="19"/>
  <c r="G110" i="19"/>
  <c r="F110" i="19"/>
  <c r="BK110" i="19"/>
  <c r="BG110" i="19"/>
  <c r="H110" i="19"/>
  <c r="H28" i="19"/>
  <c r="G28" i="19"/>
  <c r="F28" i="19"/>
  <c r="H40" i="19"/>
  <c r="G40" i="19"/>
  <c r="F40" i="19"/>
  <c r="H48" i="19"/>
  <c r="G48" i="19"/>
  <c r="F48" i="19"/>
  <c r="H60" i="19"/>
  <c r="G60" i="19"/>
  <c r="F60" i="19"/>
  <c r="H72" i="19"/>
  <c r="G72" i="19"/>
  <c r="F72" i="19"/>
  <c r="BK80" i="19"/>
  <c r="BG80" i="19"/>
  <c r="H80" i="19"/>
  <c r="G80" i="19"/>
  <c r="F80" i="19"/>
  <c r="BK92" i="19"/>
  <c r="BG92" i="19"/>
  <c r="H92" i="19"/>
  <c r="G92" i="19"/>
  <c r="F92" i="19"/>
  <c r="BK104" i="19"/>
  <c r="BG104" i="19"/>
  <c r="H104" i="19"/>
  <c r="G104" i="19"/>
  <c r="F104" i="19"/>
  <c r="BK116" i="19"/>
  <c r="BG116" i="19"/>
  <c r="H116" i="19"/>
  <c r="G116" i="19"/>
  <c r="F116" i="19"/>
  <c r="H19" i="19"/>
  <c r="G19" i="19"/>
  <c r="F19" i="19"/>
  <c r="BK120" i="19"/>
  <c r="BG120" i="19"/>
  <c r="H120" i="19"/>
  <c r="G120" i="19"/>
  <c r="F120" i="19"/>
  <c r="G50" i="19"/>
  <c r="F50" i="19"/>
  <c r="H50" i="19"/>
  <c r="BK112" i="19"/>
  <c r="BG112" i="19"/>
  <c r="H112" i="19"/>
  <c r="G112" i="19"/>
  <c r="F112" i="19"/>
  <c r="H32" i="19"/>
  <c r="G32" i="19"/>
  <c r="F32" i="19"/>
  <c r="H36" i="19"/>
  <c r="G36" i="19"/>
  <c r="F36" i="19"/>
  <c r="H44" i="19"/>
  <c r="G44" i="19"/>
  <c r="F44" i="19"/>
  <c r="H52" i="19"/>
  <c r="G52" i="19"/>
  <c r="F52" i="19"/>
  <c r="H56" i="19"/>
  <c r="G56" i="19"/>
  <c r="F56" i="19"/>
  <c r="H64" i="19"/>
  <c r="G64" i="19"/>
  <c r="F64" i="19"/>
  <c r="H68" i="19"/>
  <c r="G68" i="19"/>
  <c r="F68" i="19"/>
  <c r="BK76" i="19"/>
  <c r="BG76" i="19"/>
  <c r="H76" i="19"/>
  <c r="G76" i="19"/>
  <c r="F76" i="19"/>
  <c r="B76" i="19" s="1"/>
  <c r="BK84" i="19"/>
  <c r="BG84" i="19"/>
  <c r="H84" i="19"/>
  <c r="G84" i="19"/>
  <c r="F84" i="19"/>
  <c r="BK88" i="19"/>
  <c r="BG88" i="19"/>
  <c r="H88" i="19"/>
  <c r="G88" i="19"/>
  <c r="F88" i="19"/>
  <c r="BK96" i="19"/>
  <c r="BG96" i="19"/>
  <c r="H96" i="19"/>
  <c r="G96" i="19"/>
  <c r="F96" i="19"/>
  <c r="BK100" i="19"/>
  <c r="BG100" i="19"/>
  <c r="H100" i="19"/>
  <c r="G100" i="19"/>
  <c r="F100" i="19"/>
  <c r="H115" i="19"/>
  <c r="G115" i="19"/>
  <c r="BK115" i="19"/>
  <c r="BG115" i="19"/>
  <c r="F115" i="19"/>
  <c r="H23" i="19"/>
  <c r="G23" i="19"/>
  <c r="F23" i="19"/>
  <c r="H107" i="19"/>
  <c r="G107" i="19"/>
  <c r="BK107" i="19"/>
  <c r="BG107" i="19"/>
  <c r="F107" i="19"/>
  <c r="F105" i="19"/>
  <c r="B120" i="3" s="1"/>
  <c r="S120" i="3" s="1"/>
  <c r="H105" i="19"/>
  <c r="G105" i="19"/>
  <c r="BK105" i="19"/>
  <c r="BG105" i="19"/>
  <c r="H27" i="19"/>
  <c r="G27" i="19"/>
  <c r="F27" i="19"/>
  <c r="H31" i="19"/>
  <c r="G31" i="19"/>
  <c r="F31" i="19"/>
  <c r="H35" i="19"/>
  <c r="G35" i="19"/>
  <c r="F35" i="19"/>
  <c r="H39" i="19"/>
  <c r="G39" i="19"/>
  <c r="F39" i="19"/>
  <c r="H43" i="19"/>
  <c r="G43" i="19"/>
  <c r="F43" i="19"/>
  <c r="H47" i="19"/>
  <c r="G47" i="19"/>
  <c r="F47" i="19"/>
  <c r="H51" i="19"/>
  <c r="G51" i="19"/>
  <c r="F51" i="19"/>
  <c r="H55" i="19"/>
  <c r="G55" i="19"/>
  <c r="F55" i="19"/>
  <c r="H59" i="19"/>
  <c r="G59" i="19"/>
  <c r="F59" i="19"/>
  <c r="H63" i="19"/>
  <c r="G63" i="19"/>
  <c r="F63" i="19"/>
  <c r="H67" i="19"/>
  <c r="G67" i="19"/>
  <c r="F67" i="19"/>
  <c r="H71" i="19"/>
  <c r="G71" i="19"/>
  <c r="F71" i="19"/>
  <c r="H75" i="19"/>
  <c r="G75" i="19"/>
  <c r="BK75" i="19"/>
  <c r="BG75" i="19"/>
  <c r="F75" i="19"/>
  <c r="B75" i="19" s="1"/>
  <c r="H79" i="19"/>
  <c r="G79" i="19"/>
  <c r="BK79" i="19"/>
  <c r="BG79" i="19"/>
  <c r="F79" i="19"/>
  <c r="H83" i="19"/>
  <c r="G83" i="19"/>
  <c r="BK83" i="19"/>
  <c r="BG83" i="19"/>
  <c r="F83" i="19"/>
  <c r="H87" i="19"/>
  <c r="G87" i="19"/>
  <c r="BK87" i="19"/>
  <c r="BG87" i="19"/>
  <c r="F87" i="19"/>
  <c r="H91" i="19"/>
  <c r="G91" i="19"/>
  <c r="BK91" i="19"/>
  <c r="BG91" i="19"/>
  <c r="F91" i="19"/>
  <c r="H95" i="19"/>
  <c r="G95" i="19"/>
  <c r="BK95" i="19"/>
  <c r="BG95" i="19"/>
  <c r="F95" i="19"/>
  <c r="H99" i="19"/>
  <c r="G99" i="19"/>
  <c r="BK99" i="19"/>
  <c r="BG99" i="19"/>
  <c r="F99" i="19"/>
  <c r="H103" i="19"/>
  <c r="G103" i="19"/>
  <c r="BK103" i="19"/>
  <c r="BG103" i="19"/>
  <c r="F103" i="19"/>
  <c r="F113" i="19"/>
  <c r="H113" i="19"/>
  <c r="G113" i="19"/>
  <c r="BK113" i="19"/>
  <c r="BG113" i="19"/>
  <c r="H111" i="19"/>
  <c r="G111" i="19"/>
  <c r="BK111" i="19"/>
  <c r="BG111" i="19"/>
  <c r="F111" i="19"/>
  <c r="G18" i="19"/>
  <c r="F18" i="19"/>
  <c r="H18" i="19"/>
  <c r="G22" i="19"/>
  <c r="F22" i="19"/>
  <c r="H22" i="19"/>
  <c r="G26" i="19"/>
  <c r="F26" i="19"/>
  <c r="H26" i="19"/>
  <c r="BG72" i="19"/>
  <c r="BK72" i="19"/>
  <c r="C29" i="10"/>
  <c r="J15" i="3"/>
  <c r="J16" i="3"/>
  <c r="BK28" i="19"/>
  <c r="BG28" i="19"/>
  <c r="BK32" i="19"/>
  <c r="BG32" i="19"/>
  <c r="BK36" i="19"/>
  <c r="BG36" i="19"/>
  <c r="BK40" i="19"/>
  <c r="BG40" i="19"/>
  <c r="BK44" i="19"/>
  <c r="BG44" i="19"/>
  <c r="BK48" i="19"/>
  <c r="BG48" i="19"/>
  <c r="BK52" i="19"/>
  <c r="BG52" i="19"/>
  <c r="BK56" i="19"/>
  <c r="BG56" i="19"/>
  <c r="BG60" i="19"/>
  <c r="BK60" i="19"/>
  <c r="BK64" i="19"/>
  <c r="BG64" i="19"/>
  <c r="BK68" i="19"/>
  <c r="BG68" i="19"/>
  <c r="BK19" i="19"/>
  <c r="BG19" i="19"/>
  <c r="BK23" i="19"/>
  <c r="BG23" i="19"/>
  <c r="BK27" i="19"/>
  <c r="BG27" i="19"/>
  <c r="BK31" i="19"/>
  <c r="BG31" i="19"/>
  <c r="BK35" i="19"/>
  <c r="BG35" i="19"/>
  <c r="BK39" i="19"/>
  <c r="BG39" i="19"/>
  <c r="BK43" i="19"/>
  <c r="BG43" i="19"/>
  <c r="BK47" i="19"/>
  <c r="BG47" i="19"/>
  <c r="BK51" i="19"/>
  <c r="BG51" i="19"/>
  <c r="BK55" i="19"/>
  <c r="BG55" i="19"/>
  <c r="BK59" i="19"/>
  <c r="BG59" i="19"/>
  <c r="BK63" i="19"/>
  <c r="BG63" i="19"/>
  <c r="BK67" i="19"/>
  <c r="BG67" i="19"/>
  <c r="BK71" i="19"/>
  <c r="BG71" i="19"/>
  <c r="BK22" i="19"/>
  <c r="BG22" i="19"/>
  <c r="BK26" i="19"/>
  <c r="BG26" i="19"/>
  <c r="BK30" i="19"/>
  <c r="BG30" i="19"/>
  <c r="BK34" i="19"/>
  <c r="BG34" i="19"/>
  <c r="BK38" i="19"/>
  <c r="BG38" i="19"/>
  <c r="BK42" i="19"/>
  <c r="BG42" i="19"/>
  <c r="BK46" i="19"/>
  <c r="BG46" i="19"/>
  <c r="BK50" i="19"/>
  <c r="BG50" i="19"/>
  <c r="BK54" i="19"/>
  <c r="BG54" i="19"/>
  <c r="BK58" i="19"/>
  <c r="BG58" i="19"/>
  <c r="BK62" i="19"/>
  <c r="BG62" i="19"/>
  <c r="BK66" i="19"/>
  <c r="BG66" i="19"/>
  <c r="BK70" i="19"/>
  <c r="BG70" i="19"/>
  <c r="BK17" i="19"/>
  <c r="BG17" i="19"/>
  <c r="BK21" i="19"/>
  <c r="BG21" i="19"/>
  <c r="BK25" i="19"/>
  <c r="BG25" i="19"/>
  <c r="BK29" i="19"/>
  <c r="BG29" i="19"/>
  <c r="BK33" i="19"/>
  <c r="BG33" i="19"/>
  <c r="BK37" i="19"/>
  <c r="BG37" i="19"/>
  <c r="BK41" i="19"/>
  <c r="BG41" i="19"/>
  <c r="BK45" i="19"/>
  <c r="BG45" i="19"/>
  <c r="BK49" i="19"/>
  <c r="BG49" i="19"/>
  <c r="BK53" i="19"/>
  <c r="BG53" i="19"/>
  <c r="BK57" i="19"/>
  <c r="BG57" i="19"/>
  <c r="BK61" i="19"/>
  <c r="BG61" i="19"/>
  <c r="BK65" i="19"/>
  <c r="BG65" i="19"/>
  <c r="BK69" i="19"/>
  <c r="BG69" i="19"/>
  <c r="BK16" i="19"/>
  <c r="BG16" i="19"/>
  <c r="BK20" i="19"/>
  <c r="BG20" i="19"/>
  <c r="BK24" i="19"/>
  <c r="BG24" i="19"/>
  <c r="BG18" i="19"/>
  <c r="BK18" i="19"/>
  <c r="AD71" i="37"/>
  <c r="C31" i="10"/>
  <c r="E77" i="22"/>
  <c r="H8" i="45" s="1"/>
  <c r="Q89" i="12"/>
  <c r="Q85" i="12"/>
  <c r="I63" i="12"/>
  <c r="I59" i="12"/>
  <c r="Q8" i="45"/>
  <c r="Q71" i="45" s="1"/>
  <c r="E60" i="22"/>
  <c r="E20" i="42"/>
  <c r="G20" i="42" s="1"/>
  <c r="E24" i="42"/>
  <c r="E19" i="42"/>
  <c r="G19" i="42" s="1"/>
  <c r="E23" i="42"/>
  <c r="E21" i="42"/>
  <c r="G21" i="42" s="1"/>
  <c r="E22" i="42"/>
  <c r="G22" i="42" s="1"/>
  <c r="Q11" i="45"/>
  <c r="Q84" i="45" s="1"/>
  <c r="E6" i="22"/>
  <c r="H93" i="22" s="1"/>
  <c r="J93" i="22" s="1"/>
  <c r="E15" i="42"/>
  <c r="G15" i="42" s="1"/>
  <c r="E23" i="22"/>
  <c r="H6" i="45" s="1"/>
  <c r="Q12" i="45"/>
  <c r="F35" i="22"/>
  <c r="H94" i="22" s="1"/>
  <c r="J94" i="22" s="1"/>
  <c r="Q13" i="45"/>
  <c r="F60" i="22"/>
  <c r="F6" i="22"/>
  <c r="F14" i="22" s="1"/>
  <c r="BC15" i="19"/>
  <c r="E18" i="42"/>
  <c r="G18" i="42" s="1"/>
  <c r="E17" i="42"/>
  <c r="G17" i="42" s="1"/>
  <c r="Q6" i="45"/>
  <c r="E16" i="42"/>
  <c r="T103" i="19"/>
  <c r="T118" i="19"/>
  <c r="T120" i="19"/>
  <c r="T86" i="19"/>
  <c r="T90" i="19"/>
  <c r="T94" i="19"/>
  <c r="T98" i="19"/>
  <c r="T102" i="19"/>
  <c r="T109" i="19"/>
  <c r="T106" i="19"/>
  <c r="T107" i="19"/>
  <c r="T105" i="19"/>
  <c r="T91" i="19"/>
  <c r="T99" i="19"/>
  <c r="T113" i="19"/>
  <c r="T111" i="19"/>
  <c r="T114" i="19"/>
  <c r="T117" i="19"/>
  <c r="T85" i="19"/>
  <c r="T89" i="19"/>
  <c r="T93" i="19"/>
  <c r="T97" i="19"/>
  <c r="T101" i="19"/>
  <c r="T108" i="19"/>
  <c r="T119" i="19"/>
  <c r="T87" i="19"/>
  <c r="T110" i="19"/>
  <c r="T112" i="19"/>
  <c r="T88" i="19"/>
  <c r="T92" i="19"/>
  <c r="T96" i="19"/>
  <c r="T100" i="19"/>
  <c r="T104" i="19"/>
  <c r="T115" i="19"/>
  <c r="T116" i="19"/>
  <c r="T95" i="19"/>
  <c r="T56" i="19"/>
  <c r="T80" i="19"/>
  <c r="T54" i="19"/>
  <c r="T58" i="19"/>
  <c r="T62" i="19"/>
  <c r="T66" i="19"/>
  <c r="T70" i="19"/>
  <c r="T74" i="19"/>
  <c r="T78" i="19"/>
  <c r="T82" i="19"/>
  <c r="T72" i="19"/>
  <c r="T53" i="19"/>
  <c r="T57" i="19"/>
  <c r="T61" i="19"/>
  <c r="T65" i="19"/>
  <c r="T69" i="19"/>
  <c r="T73" i="19"/>
  <c r="T77" i="19"/>
  <c r="T81" i="19"/>
  <c r="T64" i="19"/>
  <c r="T68" i="19"/>
  <c r="T76" i="19"/>
  <c r="T60" i="19"/>
  <c r="T84" i="19"/>
  <c r="T55" i="19"/>
  <c r="T59" i="19"/>
  <c r="T63" i="19"/>
  <c r="T67" i="19"/>
  <c r="T71" i="19"/>
  <c r="T75" i="19"/>
  <c r="T79" i="19"/>
  <c r="T83" i="19"/>
  <c r="T45" i="19"/>
  <c r="T49" i="19"/>
  <c r="T48" i="19"/>
  <c r="T52" i="19"/>
  <c r="T47" i="19"/>
  <c r="T51" i="19"/>
  <c r="T46" i="19"/>
  <c r="T50" i="19"/>
  <c r="T30" i="19"/>
  <c r="T33" i="19"/>
  <c r="T32" i="19"/>
  <c r="T36" i="19"/>
  <c r="T40" i="19"/>
  <c r="T44" i="19"/>
  <c r="T38" i="19"/>
  <c r="T37" i="19"/>
  <c r="T41" i="19"/>
  <c r="T31" i="19"/>
  <c r="T35" i="19"/>
  <c r="T39" i="19"/>
  <c r="T43" i="19"/>
  <c r="T42" i="19"/>
  <c r="T34" i="19"/>
  <c r="T28" i="19"/>
  <c r="T23" i="19"/>
  <c r="T27" i="19"/>
  <c r="T22" i="19"/>
  <c r="T26" i="19"/>
  <c r="T21" i="19"/>
  <c r="T25" i="19"/>
  <c r="T29" i="19"/>
  <c r="T20" i="19"/>
  <c r="T24" i="19"/>
  <c r="B110" i="19"/>
  <c r="B118" i="19"/>
  <c r="B112" i="19"/>
  <c r="B120" i="19"/>
  <c r="B72" i="19"/>
  <c r="B109" i="19"/>
  <c r="B115" i="19"/>
  <c r="B106" i="19"/>
  <c r="B116" i="19"/>
  <c r="B107" i="19"/>
  <c r="B114" i="19"/>
  <c r="B105" i="19"/>
  <c r="B117" i="19"/>
  <c r="B108" i="19"/>
  <c r="B113" i="19"/>
  <c r="B119" i="19"/>
  <c r="B111" i="19"/>
  <c r="AF73" i="37"/>
  <c r="AF80" i="37"/>
  <c r="AF99" i="37"/>
  <c r="AF81" i="37"/>
  <c r="AF82" i="37"/>
  <c r="AF74" i="37"/>
  <c r="AF93" i="37"/>
  <c r="AF92" i="37"/>
  <c r="AF90" i="37"/>
  <c r="AF78" i="37"/>
  <c r="AF102" i="37"/>
  <c r="AF103" i="37"/>
  <c r="AF95" i="37"/>
  <c r="AF94" i="37"/>
  <c r="AF72" i="37"/>
  <c r="B20" i="35"/>
  <c r="B19" i="35"/>
  <c r="AD8" i="35"/>
  <c r="AD7" i="35"/>
  <c r="AE6" i="35"/>
  <c r="Y8" i="35"/>
  <c r="Y7" i="35"/>
  <c r="Z6" i="35"/>
  <c r="AH8" i="35"/>
  <c r="B3" i="35"/>
  <c r="HR50" i="25" l="1"/>
  <c r="JD34" i="25"/>
  <c r="BJ34" i="25" s="1"/>
  <c r="JF34" i="25"/>
  <c r="MC48" i="25"/>
  <c r="MD48" i="25" s="1"/>
  <c r="BM48" i="25" s="1"/>
  <c r="LC44" i="25"/>
  <c r="LF44" i="25" s="1"/>
  <c r="LC36" i="25"/>
  <c r="LD36" i="25" s="1"/>
  <c r="BL36" i="25" s="1"/>
  <c r="MC32" i="25"/>
  <c r="MD32" i="25" s="1"/>
  <c r="BM32" i="25" s="1"/>
  <c r="LC24" i="25"/>
  <c r="LD24" i="25" s="1"/>
  <c r="BL24" i="25" s="1"/>
  <c r="NC20" i="25"/>
  <c r="NF20" i="25" s="1"/>
  <c r="KC42" i="25"/>
  <c r="KD42" i="25" s="1"/>
  <c r="MC30" i="25"/>
  <c r="MD30" i="25" s="1"/>
  <c r="BM30" i="25" s="1"/>
  <c r="NC26" i="25"/>
  <c r="KC43" i="25"/>
  <c r="KD43" i="25" s="1"/>
  <c r="JC39" i="25"/>
  <c r="JD39" i="25" s="1"/>
  <c r="BJ39" i="25" s="1"/>
  <c r="JC23" i="25"/>
  <c r="JF23" i="25" s="1"/>
  <c r="NC27" i="25"/>
  <c r="MC19" i="25"/>
  <c r="MD19" i="25" s="1"/>
  <c r="BM19" i="25" s="1"/>
  <c r="MC47" i="25"/>
  <c r="MD47" i="25" s="1"/>
  <c r="BM47" i="25" s="1"/>
  <c r="IC35" i="25"/>
  <c r="IE35" i="25" s="1"/>
  <c r="IC19" i="25"/>
  <c r="IC33" i="25"/>
  <c r="IE33" i="25" s="1"/>
  <c r="MC25" i="25"/>
  <c r="MD25" i="25" s="1"/>
  <c r="BM25" i="25" s="1"/>
  <c r="NC41" i="25"/>
  <c r="ND41" i="25" s="1"/>
  <c r="BN41" i="25" s="1"/>
  <c r="LC37" i="25"/>
  <c r="JC29" i="25"/>
  <c r="MC29" i="25"/>
  <c r="MD29" i="25" s="1"/>
  <c r="BM29" i="25" s="1"/>
  <c r="NC35" i="25"/>
  <c r="JC36" i="25"/>
  <c r="IC44" i="25"/>
  <c r="ID44" i="25" s="1"/>
  <c r="KC28" i="25"/>
  <c r="KD28" i="25" s="1"/>
  <c r="IC48" i="25"/>
  <c r="IE48" i="25" s="1"/>
  <c r="IC24" i="25"/>
  <c r="NC38" i="25"/>
  <c r="KC30" i="25"/>
  <c r="KD30" i="25" s="1"/>
  <c r="IC38" i="25"/>
  <c r="JC32" i="25"/>
  <c r="JF32" i="25" s="1"/>
  <c r="NC19" i="25"/>
  <c r="JC46" i="25"/>
  <c r="LC47" i="25"/>
  <c r="JC33" i="25"/>
  <c r="KC38" i="25"/>
  <c r="KD38" i="25" s="1"/>
  <c r="IE49" i="25"/>
  <c r="NC48" i="25"/>
  <c r="ND48" i="25" s="1"/>
  <c r="BN48" i="25" s="1"/>
  <c r="LC40" i="25"/>
  <c r="LD40" i="25" s="1"/>
  <c r="BL40" i="25" s="1"/>
  <c r="MC36" i="25"/>
  <c r="MD36" i="25" s="1"/>
  <c r="BM36" i="25" s="1"/>
  <c r="NC32" i="25"/>
  <c r="NF32" i="25" s="1"/>
  <c r="MC24" i="25"/>
  <c r="MD24" i="25" s="1"/>
  <c r="BM24" i="25" s="1"/>
  <c r="MC20" i="25"/>
  <c r="MD20" i="25" s="1"/>
  <c r="BM20" i="25" s="1"/>
  <c r="NC46" i="25"/>
  <c r="MC42" i="25"/>
  <c r="MD42" i="25" s="1"/>
  <c r="BM42" i="25" s="1"/>
  <c r="NC30" i="25"/>
  <c r="MC22" i="25"/>
  <c r="MD22" i="25" s="1"/>
  <c r="BM22" i="25" s="1"/>
  <c r="LC39" i="25"/>
  <c r="LD39" i="25" s="1"/>
  <c r="BL39" i="25" s="1"/>
  <c r="JC35" i="25"/>
  <c r="JD35" i="25" s="1"/>
  <c r="BJ35" i="25" s="1"/>
  <c r="JC19" i="25"/>
  <c r="JD19" i="25" s="1"/>
  <c r="BJ19" i="25" s="1"/>
  <c r="LC43" i="25"/>
  <c r="LD43" i="25" s="1"/>
  <c r="BL43" i="25" s="1"/>
  <c r="IC47" i="25"/>
  <c r="IC31" i="25"/>
  <c r="NC33" i="25"/>
  <c r="MC21" i="25"/>
  <c r="MD21" i="25" s="1"/>
  <c r="BM21" i="25" s="1"/>
  <c r="JC45" i="25"/>
  <c r="NC29" i="25"/>
  <c r="LC25" i="25"/>
  <c r="KC33" i="25"/>
  <c r="KD33" i="25" s="1"/>
  <c r="IC41" i="25"/>
  <c r="LC49" i="25"/>
  <c r="LD49" i="25" s="1"/>
  <c r="BL49" i="25" s="1"/>
  <c r="JC21" i="25"/>
  <c r="JD21" i="25" s="1"/>
  <c r="BJ21" i="25" s="1"/>
  <c r="IC36" i="25"/>
  <c r="KC22" i="25"/>
  <c r="KD22" i="25" s="1"/>
  <c r="IC22" i="25"/>
  <c r="IC40" i="25"/>
  <c r="IC26" i="25"/>
  <c r="KC35" i="25"/>
  <c r="KD35" i="25" s="1"/>
  <c r="JC38" i="25"/>
  <c r="KC26" i="25"/>
  <c r="KD26" i="25" s="1"/>
  <c r="IC42" i="25"/>
  <c r="KC46" i="25"/>
  <c r="KD46" i="25" s="1"/>
  <c r="IE15" i="25"/>
  <c r="MC44" i="25"/>
  <c r="MD44" i="25" s="1"/>
  <c r="BM44" i="25" s="1"/>
  <c r="MC40" i="25"/>
  <c r="MD40" i="25" s="1"/>
  <c r="BM40" i="25" s="1"/>
  <c r="NC36" i="25"/>
  <c r="ND36" i="25" s="1"/>
  <c r="BN36" i="25" s="1"/>
  <c r="LC28" i="25"/>
  <c r="LD28" i="25" s="1"/>
  <c r="BL28" i="25" s="1"/>
  <c r="NC24" i="25"/>
  <c r="ND24" i="25" s="1"/>
  <c r="BN24" i="25" s="1"/>
  <c r="LC46" i="25"/>
  <c r="LD46" i="25" s="1"/>
  <c r="BL46" i="25" s="1"/>
  <c r="MC34" i="25"/>
  <c r="MD34" i="25" s="1"/>
  <c r="BM34" i="25" s="1"/>
  <c r="MC26" i="25"/>
  <c r="MD26" i="25" s="1"/>
  <c r="BM26" i="25" s="1"/>
  <c r="NC22" i="25"/>
  <c r="KC47" i="25"/>
  <c r="KD47" i="25" s="1"/>
  <c r="NC31" i="25"/>
  <c r="NF31" i="25" s="1"/>
  <c r="LC31" i="25"/>
  <c r="JC47" i="25"/>
  <c r="JC31" i="25"/>
  <c r="JD31" i="25" s="1"/>
  <c r="BJ31" i="25" s="1"/>
  <c r="LC35" i="25"/>
  <c r="LD35" i="25" s="1"/>
  <c r="BL35" i="25" s="1"/>
  <c r="IC43" i="25"/>
  <c r="IC27" i="25"/>
  <c r="KC21" i="25"/>
  <c r="KD21" i="25" s="1"/>
  <c r="KC41" i="25"/>
  <c r="KD41" i="25" s="1"/>
  <c r="KC37" i="25"/>
  <c r="KD37" i="25" s="1"/>
  <c r="MC45" i="25"/>
  <c r="MD45" i="25" s="1"/>
  <c r="BM45" i="25" s="1"/>
  <c r="LC21" i="25"/>
  <c r="IC25" i="25"/>
  <c r="IC29" i="25"/>
  <c r="LC41" i="25"/>
  <c r="KC45" i="25"/>
  <c r="KD45" i="25" s="1"/>
  <c r="JC28" i="25"/>
  <c r="JF28" i="25" s="1"/>
  <c r="IC28" i="25"/>
  <c r="JC24" i="25"/>
  <c r="JC42" i="25"/>
  <c r="KC27" i="25"/>
  <c r="KD27" i="25" s="1"/>
  <c r="KC19" i="25"/>
  <c r="KD19" i="25" s="1"/>
  <c r="MC39" i="25"/>
  <c r="MD39" i="25" s="1"/>
  <c r="BM39" i="25" s="1"/>
  <c r="IC45" i="25"/>
  <c r="NC34" i="25"/>
  <c r="NF34" i="25" s="1"/>
  <c r="IC34" i="25"/>
  <c r="NC15" i="25"/>
  <c r="ND15" i="25" s="1"/>
  <c r="BN15" i="25" s="1"/>
  <c r="LC48" i="25"/>
  <c r="LF48" i="25" s="1"/>
  <c r="NC44" i="25"/>
  <c r="ND44" i="25" s="1"/>
  <c r="BN44" i="25" s="1"/>
  <c r="NC40" i="25"/>
  <c r="ND40" i="25" s="1"/>
  <c r="BN40" i="25" s="1"/>
  <c r="LC32" i="25"/>
  <c r="LD32" i="25" s="1"/>
  <c r="BL32" i="25" s="1"/>
  <c r="MC28" i="25"/>
  <c r="MD28" i="25" s="1"/>
  <c r="BM28" i="25" s="1"/>
  <c r="LC20" i="25"/>
  <c r="MC46" i="25"/>
  <c r="MD46" i="25" s="1"/>
  <c r="BM46" i="25" s="1"/>
  <c r="LC34" i="25"/>
  <c r="LD34" i="25" s="1"/>
  <c r="BL34" i="25" s="1"/>
  <c r="LC26" i="25"/>
  <c r="LD26" i="25" s="1"/>
  <c r="BL26" i="25" s="1"/>
  <c r="KC31" i="25"/>
  <c r="KD31" i="25" s="1"/>
  <c r="NC23" i="25"/>
  <c r="MC23" i="25"/>
  <c r="MD23" i="25" s="1"/>
  <c r="BM23" i="25" s="1"/>
  <c r="JC43" i="25"/>
  <c r="JC27" i="25"/>
  <c r="NC43" i="25"/>
  <c r="LC27" i="25"/>
  <c r="LD27" i="25" s="1"/>
  <c r="BL27" i="25" s="1"/>
  <c r="KC39" i="25"/>
  <c r="KD39" i="25" s="1"/>
  <c r="IC39" i="25"/>
  <c r="IC23" i="25"/>
  <c r="JC25" i="25"/>
  <c r="IC21" i="25"/>
  <c r="NC49" i="25"/>
  <c r="LC33" i="25"/>
  <c r="LD33" i="25" s="1"/>
  <c r="BL33" i="25" s="1"/>
  <c r="KC29" i="25"/>
  <c r="KD29" i="25" s="1"/>
  <c r="MC41" i="25"/>
  <c r="MD41" i="25" s="1"/>
  <c r="BM41" i="25" s="1"/>
  <c r="MC49" i="25"/>
  <c r="MD49" i="25" s="1"/>
  <c r="BM49" i="25" s="1"/>
  <c r="KC49" i="25"/>
  <c r="KD49" i="25" s="1"/>
  <c r="JC49" i="25"/>
  <c r="NC25" i="25"/>
  <c r="MC37" i="25"/>
  <c r="MD37" i="25" s="1"/>
  <c r="BM37" i="25" s="1"/>
  <c r="LC45" i="25"/>
  <c r="JC40" i="25"/>
  <c r="JC20" i="25"/>
  <c r="IC20" i="25"/>
  <c r="JC44" i="25"/>
  <c r="KC48" i="25"/>
  <c r="KD48" i="25" s="1"/>
  <c r="IC32" i="25"/>
  <c r="NC37" i="25"/>
  <c r="JC22" i="25"/>
  <c r="LC38" i="25"/>
  <c r="LC23" i="25"/>
  <c r="KC34" i="25"/>
  <c r="KD34" i="25" s="1"/>
  <c r="JC30" i="25"/>
  <c r="JC37" i="25"/>
  <c r="LC42" i="25"/>
  <c r="IC30" i="25"/>
  <c r="ID46" i="25"/>
  <c r="NF47" i="25"/>
  <c r="JF41" i="25"/>
  <c r="JD48" i="25"/>
  <c r="BJ48" i="25" s="1"/>
  <c r="ID48" i="25"/>
  <c r="NF45" i="25"/>
  <c r="DP46" i="25"/>
  <c r="NF42" i="25"/>
  <c r="ID49" i="25"/>
  <c r="NF39" i="25"/>
  <c r="DP48" i="25"/>
  <c r="DP38" i="25"/>
  <c r="JD28" i="25"/>
  <c r="BJ28" i="25" s="1"/>
  <c r="ID37" i="25"/>
  <c r="ND34" i="25"/>
  <c r="BN34" i="25" s="1"/>
  <c r="NF28" i="25"/>
  <c r="ND31" i="25"/>
  <c r="BN31" i="25" s="1"/>
  <c r="ID25" i="25"/>
  <c r="DP37" i="25"/>
  <c r="LF30" i="25"/>
  <c r="JF26" i="25"/>
  <c r="DP29" i="25"/>
  <c r="DP28" i="25"/>
  <c r="JF31" i="25"/>
  <c r="LD29" i="25"/>
  <c r="BL29" i="25" s="1"/>
  <c r="LF19" i="25"/>
  <c r="NF21" i="25"/>
  <c r="S106" i="3"/>
  <c r="LF22" i="25"/>
  <c r="S107" i="3"/>
  <c r="JF19" i="25"/>
  <c r="JF21" i="25"/>
  <c r="JD32" i="25"/>
  <c r="BJ32" i="25" s="1"/>
  <c r="DP35" i="25"/>
  <c r="ID33" i="25"/>
  <c r="C120" i="3"/>
  <c r="J120" i="3"/>
  <c r="N120" i="3"/>
  <c r="R120" i="3"/>
  <c r="F120" i="3"/>
  <c r="E120" i="3"/>
  <c r="O120" i="3"/>
  <c r="D120" i="3"/>
  <c r="Q120" i="3"/>
  <c r="P120" i="3"/>
  <c r="K120" i="3"/>
  <c r="M120" i="3"/>
  <c r="L120" i="3"/>
  <c r="I120" i="3"/>
  <c r="B99" i="19"/>
  <c r="B114" i="3"/>
  <c r="H114" i="3" s="1"/>
  <c r="B114" i="42"/>
  <c r="B83" i="19"/>
  <c r="B98" i="3"/>
  <c r="B104" i="19"/>
  <c r="B119" i="3"/>
  <c r="S119" i="3" s="1"/>
  <c r="B119" i="42"/>
  <c r="B95" i="19"/>
  <c r="B110" i="3"/>
  <c r="B110" i="42"/>
  <c r="B79" i="19"/>
  <c r="B94" i="3"/>
  <c r="H94" i="3" s="1"/>
  <c r="B100" i="19"/>
  <c r="B115" i="3"/>
  <c r="S115" i="3" s="1"/>
  <c r="B115" i="42"/>
  <c r="M115" i="42" s="1"/>
  <c r="B92" i="19"/>
  <c r="B107" i="3"/>
  <c r="H107" i="3" s="1"/>
  <c r="B107" i="42"/>
  <c r="B101" i="19"/>
  <c r="B116" i="3"/>
  <c r="S116" i="3" s="1"/>
  <c r="B116" i="42"/>
  <c r="M116" i="42" s="1"/>
  <c r="B85" i="19"/>
  <c r="B100" i="3"/>
  <c r="H100" i="3" s="1"/>
  <c r="B78" i="19"/>
  <c r="B93" i="3"/>
  <c r="H93" i="3" s="1"/>
  <c r="B84" i="19"/>
  <c r="B99" i="3"/>
  <c r="H99" i="3" s="1"/>
  <c r="B91" i="19"/>
  <c r="B106" i="3"/>
  <c r="H106" i="3" s="1"/>
  <c r="B106" i="42"/>
  <c r="B96" i="19"/>
  <c r="B111" i="3"/>
  <c r="B111" i="42"/>
  <c r="B80" i="19"/>
  <c r="B95" i="3"/>
  <c r="S95" i="3" s="1"/>
  <c r="B97" i="19"/>
  <c r="B112" i="3"/>
  <c r="H112" i="3" s="1"/>
  <c r="B112" i="42"/>
  <c r="B81" i="19"/>
  <c r="B96" i="3"/>
  <c r="S96" i="3" s="1"/>
  <c r="B98" i="19"/>
  <c r="B113" i="3"/>
  <c r="S113" i="3" s="1"/>
  <c r="B113" i="42"/>
  <c r="B102" i="19"/>
  <c r="B117" i="3"/>
  <c r="H117" i="3" s="1"/>
  <c r="B117" i="42"/>
  <c r="M117" i="42" s="1"/>
  <c r="J119" i="3"/>
  <c r="B89" i="19"/>
  <c r="B104" i="3"/>
  <c r="H104" i="3" s="1"/>
  <c r="B104" i="42"/>
  <c r="B86" i="19"/>
  <c r="B101" i="3"/>
  <c r="H101" i="3" s="1"/>
  <c r="B82" i="19"/>
  <c r="B97" i="3"/>
  <c r="S97" i="3" s="1"/>
  <c r="B103" i="19"/>
  <c r="B118" i="3"/>
  <c r="J118" i="3" s="1"/>
  <c r="B118" i="42"/>
  <c r="B87" i="19"/>
  <c r="B102" i="3"/>
  <c r="H102" i="3" s="1"/>
  <c r="B102" i="42"/>
  <c r="B88" i="19"/>
  <c r="B103" i="3"/>
  <c r="S103" i="3" s="1"/>
  <c r="B103" i="42"/>
  <c r="B93" i="19"/>
  <c r="B108" i="3"/>
  <c r="S108" i="3" s="1"/>
  <c r="B108" i="42"/>
  <c r="B94" i="19"/>
  <c r="B109" i="3"/>
  <c r="H109" i="3" s="1"/>
  <c r="B109" i="42"/>
  <c r="B90" i="19"/>
  <c r="B105" i="3"/>
  <c r="B105" i="42"/>
  <c r="U77" i="25"/>
  <c r="HR47" i="25"/>
  <c r="JD23" i="25"/>
  <c r="BJ23" i="25" s="1"/>
  <c r="NF55" i="25"/>
  <c r="ID35" i="25"/>
  <c r="ND98" i="25"/>
  <c r="JF85" i="25"/>
  <c r="JD72" i="25"/>
  <c r="NF41" i="25"/>
  <c r="NF50" i="25"/>
  <c r="LF76" i="25"/>
  <c r="LF57" i="25"/>
  <c r="LF73" i="25"/>
  <c r="NF67" i="25"/>
  <c r="NF54" i="25"/>
  <c r="JD94" i="25"/>
  <c r="DP33" i="25"/>
  <c r="LF85" i="25"/>
  <c r="ID43" i="25"/>
  <c r="HR45" i="25"/>
  <c r="HR59" i="25"/>
  <c r="NF51" i="25"/>
  <c r="LF43" i="25"/>
  <c r="LF56" i="25"/>
  <c r="NF24" i="25"/>
  <c r="NF48" i="25"/>
  <c r="ND87" i="25"/>
  <c r="ND62" i="25"/>
  <c r="JF39" i="25"/>
  <c r="ND59" i="25"/>
  <c r="BN59" i="25" s="1"/>
  <c r="LF83" i="25"/>
  <c r="LD75" i="25"/>
  <c r="LF33" i="25"/>
  <c r="NF89" i="25"/>
  <c r="LF52" i="25"/>
  <c r="HR37" i="25"/>
  <c r="HR77" i="25"/>
  <c r="LD79" i="25"/>
  <c r="BL79" i="25" s="1"/>
  <c r="JF71" i="25"/>
  <c r="NF83" i="25"/>
  <c r="JF35" i="25"/>
  <c r="JF55" i="25"/>
  <c r="JF90" i="25"/>
  <c r="HR16" i="25"/>
  <c r="ND76" i="25"/>
  <c r="BN76" i="25" s="1"/>
  <c r="HR34" i="25"/>
  <c r="LF99" i="25"/>
  <c r="HR35" i="25"/>
  <c r="HR92" i="25"/>
  <c r="LF27" i="25"/>
  <c r="BQ91" i="25"/>
  <c r="BR100" i="25"/>
  <c r="BR15" i="25"/>
  <c r="BQ92" i="25"/>
  <c r="BQ85" i="25"/>
  <c r="BR89" i="25"/>
  <c r="BR85" i="25"/>
  <c r="BR91" i="25"/>
  <c r="BR77" i="25"/>
  <c r="BQ102" i="25"/>
  <c r="I117" i="3" s="1"/>
  <c r="BQ89" i="25"/>
  <c r="BQ15" i="25"/>
  <c r="BQ86" i="25"/>
  <c r="BQ99" i="25"/>
  <c r="BR94" i="25"/>
  <c r="BQ94" i="25"/>
  <c r="BQ93" i="25"/>
  <c r="BQ97" i="25"/>
  <c r="BR102" i="25"/>
  <c r="BR49" i="25"/>
  <c r="HR58" i="25"/>
  <c r="JF87" i="25"/>
  <c r="LF46" i="25"/>
  <c r="HR71" i="25"/>
  <c r="ID51" i="25"/>
  <c r="IE51" i="25"/>
  <c r="IE52" i="25"/>
  <c r="ID52" i="25"/>
  <c r="IF52" i="25"/>
  <c r="NF40" i="25"/>
  <c r="LF50" i="25"/>
  <c r="GR35" i="25"/>
  <c r="IE55" i="25"/>
  <c r="ID55" i="25"/>
  <c r="IF55" i="25"/>
  <c r="IF51" i="25"/>
  <c r="HR80" i="25"/>
  <c r="IF94" i="25"/>
  <c r="IE94" i="25"/>
  <c r="S109" i="3" s="1"/>
  <c r="ID94" i="25"/>
  <c r="IE83" i="25"/>
  <c r="S98" i="3" s="1"/>
  <c r="ID83" i="25"/>
  <c r="IF83" i="25"/>
  <c r="IF75" i="25"/>
  <c r="IE75" i="25"/>
  <c r="ID75" i="25"/>
  <c r="IF90" i="25"/>
  <c r="ID90" i="25"/>
  <c r="IE90" i="25"/>
  <c r="ID99" i="25"/>
  <c r="IE99" i="25"/>
  <c r="S114" i="3" s="1"/>
  <c r="IF99" i="25"/>
  <c r="ID97" i="25"/>
  <c r="IE97" i="25"/>
  <c r="S112" i="3" s="1"/>
  <c r="IF97" i="25"/>
  <c r="ID87" i="25"/>
  <c r="IE87" i="25"/>
  <c r="IF87" i="25"/>
  <c r="IE79" i="25"/>
  <c r="S94" i="3" s="1"/>
  <c r="IF79" i="25"/>
  <c r="ID79" i="25"/>
  <c r="ID95" i="25"/>
  <c r="IE95" i="25"/>
  <c r="S110" i="3" s="1"/>
  <c r="IF95" i="25"/>
  <c r="BL94" i="25"/>
  <c r="BL87" i="25"/>
  <c r="IE103" i="25"/>
  <c r="S118" i="3" s="1"/>
  <c r="ID103" i="25"/>
  <c r="IF103" i="25"/>
  <c r="ID96" i="25"/>
  <c r="IF96" i="25"/>
  <c r="IE96" i="25"/>
  <c r="S111" i="3" s="1"/>
  <c r="LD64" i="25"/>
  <c r="ID67" i="25"/>
  <c r="IF67" i="25"/>
  <c r="IE67" i="25"/>
  <c r="IE59" i="25"/>
  <c r="IF59" i="25"/>
  <c r="ID59" i="25"/>
  <c r="LF64" i="25"/>
  <c r="IE71" i="25"/>
  <c r="ID71" i="25"/>
  <c r="IF71" i="25"/>
  <c r="IE63" i="25"/>
  <c r="IF63" i="25"/>
  <c r="ID63" i="25"/>
  <c r="ID64" i="25"/>
  <c r="IE64" i="25"/>
  <c r="IF64" i="25"/>
  <c r="HR43" i="25"/>
  <c r="HR85" i="25"/>
  <c r="LF39" i="25"/>
  <c r="BN89" i="25"/>
  <c r="BM87" i="25"/>
  <c r="BL99" i="25"/>
  <c r="HR52" i="25"/>
  <c r="U85" i="25"/>
  <c r="HR97" i="25"/>
  <c r="ND20" i="25"/>
  <c r="BN20" i="25" s="1"/>
  <c r="ND56" i="25"/>
  <c r="BN56" i="25" s="1"/>
  <c r="KD79" i="25"/>
  <c r="LF36" i="25"/>
  <c r="KD63" i="25"/>
  <c r="NF82" i="25"/>
  <c r="HP80" i="25"/>
  <c r="HR64" i="25"/>
  <c r="LF26" i="25"/>
  <c r="HR81" i="25"/>
  <c r="BN104" i="25"/>
  <c r="NF72" i="25"/>
  <c r="NF78" i="25"/>
  <c r="LD70" i="25"/>
  <c r="BL70" i="25" s="1"/>
  <c r="ND32" i="25"/>
  <c r="BN32" i="25" s="1"/>
  <c r="GR22" i="25"/>
  <c r="NF88" i="25"/>
  <c r="GR95" i="25"/>
  <c r="HR83" i="25"/>
  <c r="GR98" i="25"/>
  <c r="HR23" i="25"/>
  <c r="BL75" i="25"/>
  <c r="LF34" i="25"/>
  <c r="BJ76" i="25"/>
  <c r="HR42" i="25"/>
  <c r="GR94" i="25"/>
  <c r="GR91" i="25"/>
  <c r="HR21" i="25"/>
  <c r="GR86" i="25"/>
  <c r="GR99" i="25"/>
  <c r="GR90" i="25"/>
  <c r="LD96" i="25"/>
  <c r="LF96" i="25"/>
  <c r="HR86" i="25"/>
  <c r="GR93" i="25"/>
  <c r="LD88" i="25"/>
  <c r="BL88" i="25" s="1"/>
  <c r="HR36" i="25"/>
  <c r="HR93" i="25"/>
  <c r="HR90" i="25"/>
  <c r="GR52" i="25"/>
  <c r="HR95" i="25"/>
  <c r="LD48" i="25"/>
  <c r="BL48" i="25" s="1"/>
  <c r="HR24" i="25"/>
  <c r="BM95" i="25"/>
  <c r="BJ89" i="25"/>
  <c r="BJ100" i="25"/>
  <c r="BQ87" i="25"/>
  <c r="BM94" i="25"/>
  <c r="BN99" i="25"/>
  <c r="BL97" i="25"/>
  <c r="BL93" i="25"/>
  <c r="BR101" i="25"/>
  <c r="BJ97" i="25"/>
  <c r="FR103" i="25"/>
  <c r="BM85" i="25"/>
  <c r="LF54" i="25"/>
  <c r="HR99" i="25"/>
  <c r="HR18" i="25"/>
  <c r="HR98" i="25"/>
  <c r="GR97" i="25"/>
  <c r="GR85" i="25"/>
  <c r="GR103" i="25"/>
  <c r="GR100" i="25"/>
  <c r="GR88" i="25"/>
  <c r="FR104" i="25"/>
  <c r="HR100" i="25"/>
  <c r="GR101" i="25"/>
  <c r="GR87" i="25"/>
  <c r="BQ101" i="25"/>
  <c r="BQ95" i="25"/>
  <c r="BN102" i="25"/>
  <c r="BN96" i="25"/>
  <c r="BQ96" i="25"/>
  <c r="BN93" i="25"/>
  <c r="BQ100" i="25"/>
  <c r="BN85" i="25"/>
  <c r="BL104" i="25"/>
  <c r="BM91" i="25"/>
  <c r="FR101" i="25"/>
  <c r="FR90" i="25"/>
  <c r="BQ90" i="25"/>
  <c r="BN91" i="25"/>
  <c r="HR96" i="25"/>
  <c r="HR101" i="25"/>
  <c r="HP91" i="25"/>
  <c r="HR91" i="25"/>
  <c r="HR94" i="25"/>
  <c r="HP89" i="25"/>
  <c r="HR89" i="25"/>
  <c r="HR51" i="25"/>
  <c r="GR102" i="25"/>
  <c r="GR89" i="25"/>
  <c r="GR104" i="25"/>
  <c r="BM98" i="25"/>
  <c r="HR102" i="25"/>
  <c r="BJ92" i="25"/>
  <c r="BQ98" i="25"/>
  <c r="BM104" i="25"/>
  <c r="BN98" i="25"/>
  <c r="FR87" i="25"/>
  <c r="FR96" i="25"/>
  <c r="BJ102" i="25"/>
  <c r="BJ96" i="25"/>
  <c r="BM89" i="25"/>
  <c r="BM88" i="25"/>
  <c r="BM86" i="25"/>
  <c r="BL90" i="25"/>
  <c r="FR98" i="25"/>
  <c r="BM103" i="25"/>
  <c r="BN88" i="25"/>
  <c r="BN86" i="25"/>
  <c r="BN87" i="25"/>
  <c r="HR48" i="25"/>
  <c r="HP103" i="25"/>
  <c r="HR103" i="25"/>
  <c r="HP87" i="25"/>
  <c r="HR87" i="25"/>
  <c r="HR104" i="25"/>
  <c r="BL95" i="25"/>
  <c r="GR96" i="25"/>
  <c r="BN103" i="25"/>
  <c r="BN97" i="25"/>
  <c r="BM96" i="25"/>
  <c r="BJ101" i="25"/>
  <c r="BQ88" i="25"/>
  <c r="BL89" i="25"/>
  <c r="BM92" i="25"/>
  <c r="BL100" i="25"/>
  <c r="BJ94" i="25"/>
  <c r="BR98" i="25"/>
  <c r="BQ104" i="25"/>
  <c r="I119" i="3" s="1"/>
  <c r="BN90" i="25"/>
  <c r="BQ103" i="25"/>
  <c r="I118" i="3" s="1"/>
  <c r="BJ104" i="25"/>
  <c r="FR95" i="25"/>
  <c r="BM102" i="25"/>
  <c r="BJ93" i="25"/>
  <c r="BR88" i="25"/>
  <c r="GR92" i="25"/>
  <c r="AN85" i="25"/>
  <c r="X85" i="19" s="1"/>
  <c r="AN102" i="25"/>
  <c r="X102" i="19" s="1"/>
  <c r="AN97" i="25"/>
  <c r="X97" i="19" s="1"/>
  <c r="AN94" i="25"/>
  <c r="X94" i="19" s="1"/>
  <c r="AN93" i="25"/>
  <c r="X93" i="19" s="1"/>
  <c r="AN92" i="25"/>
  <c r="X92" i="19" s="1"/>
  <c r="AN96" i="25"/>
  <c r="X96" i="19" s="1"/>
  <c r="AN91" i="25"/>
  <c r="X91" i="19" s="1"/>
  <c r="AN90" i="25"/>
  <c r="X90" i="19" s="1"/>
  <c r="AN86" i="25"/>
  <c r="X86" i="19" s="1"/>
  <c r="AN101" i="25"/>
  <c r="X101" i="19" s="1"/>
  <c r="AN88" i="25"/>
  <c r="X88" i="19" s="1"/>
  <c r="AN100" i="25"/>
  <c r="X100" i="19" s="1"/>
  <c r="AN104" i="25"/>
  <c r="X104" i="19" s="1"/>
  <c r="AN89" i="25"/>
  <c r="X89" i="19" s="1"/>
  <c r="AN95" i="25"/>
  <c r="X95" i="19" s="1"/>
  <c r="AN103" i="25"/>
  <c r="X103" i="19" s="1"/>
  <c r="AN87" i="25"/>
  <c r="X87" i="19" s="1"/>
  <c r="HR70" i="25"/>
  <c r="HR78" i="25"/>
  <c r="ND75" i="25"/>
  <c r="JD59" i="25"/>
  <c r="LD59" i="25"/>
  <c r="HR68" i="25"/>
  <c r="HR61" i="25"/>
  <c r="HR72" i="25"/>
  <c r="LD63" i="25"/>
  <c r="JD79" i="25"/>
  <c r="HR60" i="25"/>
  <c r="LF51" i="25"/>
  <c r="BR18" i="25"/>
  <c r="BQ18" i="25"/>
  <c r="FR21" i="25"/>
  <c r="BQ80" i="25"/>
  <c r="AN79" i="25"/>
  <c r="X79" i="19" s="1"/>
  <c r="BN71" i="25"/>
  <c r="BQ41" i="25"/>
  <c r="BQ33" i="25"/>
  <c r="BQ84" i="25"/>
  <c r="AN73" i="25"/>
  <c r="X73" i="19" s="1"/>
  <c r="BQ56" i="25"/>
  <c r="BQ39" i="25"/>
  <c r="BQ70" i="25"/>
  <c r="BQ45" i="25"/>
  <c r="BQ27" i="25"/>
  <c r="FR79" i="25"/>
  <c r="BR27" i="25"/>
  <c r="BQ74" i="25"/>
  <c r="BQ82" i="25"/>
  <c r="BQ66" i="25"/>
  <c r="BQ59" i="25"/>
  <c r="BN69" i="25"/>
  <c r="BN62" i="25"/>
  <c r="AN72" i="25"/>
  <c r="X72" i="19" s="1"/>
  <c r="BN77" i="25"/>
  <c r="BN58" i="25"/>
  <c r="BJ60" i="25"/>
  <c r="BN66" i="25"/>
  <c r="BQ40" i="25"/>
  <c r="BL68" i="25"/>
  <c r="FR74" i="25"/>
  <c r="BR61" i="25"/>
  <c r="BJ73" i="25"/>
  <c r="BR62" i="25"/>
  <c r="FR50" i="25"/>
  <c r="BR37" i="25"/>
  <c r="BR19" i="25"/>
  <c r="FR33" i="25"/>
  <c r="BR45" i="25"/>
  <c r="FR48" i="25"/>
  <c r="BR69" i="25"/>
  <c r="FR60" i="25"/>
  <c r="FR70" i="25"/>
  <c r="BQ26" i="25"/>
  <c r="BR72" i="25"/>
  <c r="BR78" i="25"/>
  <c r="BL74" i="25"/>
  <c r="FR80" i="25"/>
  <c r="BM83" i="25"/>
  <c r="BL61" i="25"/>
  <c r="BR54" i="25"/>
  <c r="BM77" i="25"/>
  <c r="HR82" i="25"/>
  <c r="HP28" i="25"/>
  <c r="HR28" i="25"/>
  <c r="HR17" i="25"/>
  <c r="GR60" i="25"/>
  <c r="HR25" i="25"/>
  <c r="HR75" i="25"/>
  <c r="GR33" i="25"/>
  <c r="GR77" i="25"/>
  <c r="BQ20" i="25"/>
  <c r="GR55" i="25"/>
  <c r="GR56" i="25"/>
  <c r="GR73" i="25"/>
  <c r="GR64" i="25"/>
  <c r="GR48" i="25"/>
  <c r="BQ34" i="25"/>
  <c r="BQ25" i="25"/>
  <c r="HR65" i="25"/>
  <c r="HR49" i="25"/>
  <c r="GR54" i="25"/>
  <c r="GR47" i="25"/>
  <c r="GR19" i="25"/>
  <c r="BL82" i="25"/>
  <c r="LF78" i="25"/>
  <c r="LD78" i="25"/>
  <c r="BN74" i="25"/>
  <c r="GR74" i="25"/>
  <c r="GR27" i="25"/>
  <c r="GR17" i="25"/>
  <c r="GR26" i="25"/>
  <c r="BQ78" i="25"/>
  <c r="GR45" i="25"/>
  <c r="HR40" i="25"/>
  <c r="BN73" i="25"/>
  <c r="BR16" i="25"/>
  <c r="FR18" i="25"/>
  <c r="BR22" i="25"/>
  <c r="BQ65" i="25"/>
  <c r="BQ43" i="25"/>
  <c r="BQ58" i="25"/>
  <c r="AN83" i="25"/>
  <c r="X83" i="19" s="1"/>
  <c r="BQ37" i="25"/>
  <c r="BQ30" i="25"/>
  <c r="BM69" i="25"/>
  <c r="BQ76" i="25"/>
  <c r="BQ69" i="25"/>
  <c r="BQ63" i="25"/>
  <c r="BQ52" i="25"/>
  <c r="BM84" i="25"/>
  <c r="BM79" i="25"/>
  <c r="BJ58" i="25"/>
  <c r="BR23" i="25"/>
  <c r="BJ69" i="25"/>
  <c r="BQ77" i="25"/>
  <c r="BQ71" i="25"/>
  <c r="BN70" i="25"/>
  <c r="BM76" i="25"/>
  <c r="AN74" i="25"/>
  <c r="X74" i="19" s="1"/>
  <c r="BN80" i="25"/>
  <c r="BQ75" i="25"/>
  <c r="BL71" i="25"/>
  <c r="BQ83" i="25"/>
  <c r="BQ67" i="25"/>
  <c r="BJ62" i="25"/>
  <c r="BR74" i="25"/>
  <c r="BJ66" i="25"/>
  <c r="FR66" i="25"/>
  <c r="BR46" i="25"/>
  <c r="BR32" i="25"/>
  <c r="BR57" i="25"/>
  <c r="BR24" i="25"/>
  <c r="BQ47" i="25"/>
  <c r="BR42" i="25"/>
  <c r="BR38" i="25"/>
  <c r="FR68" i="25"/>
  <c r="AN78" i="25"/>
  <c r="X78" i="19" s="1"/>
  <c r="BM59" i="25"/>
  <c r="BL84" i="25"/>
  <c r="BM58" i="25"/>
  <c r="BL58" i="25"/>
  <c r="FR51" i="25"/>
  <c r="HR29" i="25"/>
  <c r="HR54" i="25"/>
  <c r="HR27" i="25"/>
  <c r="HR22" i="25"/>
  <c r="HR66" i="25"/>
  <c r="HR31" i="25"/>
  <c r="HP57" i="25"/>
  <c r="HR57" i="25"/>
  <c r="HR41" i="25"/>
  <c r="HR62" i="25"/>
  <c r="HR76" i="25"/>
  <c r="HR79" i="25"/>
  <c r="GR84" i="25"/>
  <c r="GR76" i="25"/>
  <c r="GR53" i="25"/>
  <c r="GR49" i="25"/>
  <c r="GR80" i="25"/>
  <c r="HR32" i="25"/>
  <c r="HR30" i="25"/>
  <c r="GR24" i="25"/>
  <c r="GR36" i="25"/>
  <c r="GR28" i="25"/>
  <c r="GR79" i="25"/>
  <c r="GR67" i="25"/>
  <c r="BM75" i="25"/>
  <c r="BJ77" i="25"/>
  <c r="BN82" i="25"/>
  <c r="BN78" i="25"/>
  <c r="GR50" i="25"/>
  <c r="GR31" i="25"/>
  <c r="GR34" i="25"/>
  <c r="BM80" i="25"/>
  <c r="BL66" i="25"/>
  <c r="BL81" i="25"/>
  <c r="BQ17" i="25"/>
  <c r="BQ50" i="25"/>
  <c r="BQ79" i="25"/>
  <c r="BQ60" i="25"/>
  <c r="BQ51" i="25"/>
  <c r="BN81" i="25"/>
  <c r="BQ57" i="25"/>
  <c r="BQ73" i="25"/>
  <c r="BQ32" i="25"/>
  <c r="BN68" i="25"/>
  <c r="BM81" i="25"/>
  <c r="BQ64" i="25"/>
  <c r="BQ35" i="25"/>
  <c r="BM62" i="25"/>
  <c r="BM60" i="25"/>
  <c r="BM64" i="25"/>
  <c r="BR35" i="25"/>
  <c r="AN82" i="25"/>
  <c r="X82" i="19" s="1"/>
  <c r="BQ68" i="25"/>
  <c r="BQ55" i="25"/>
  <c r="BQ48" i="25"/>
  <c r="BM70" i="25"/>
  <c r="BQ62" i="25"/>
  <c r="BQ53" i="25"/>
  <c r="BQ36" i="25"/>
  <c r="AN75" i="25"/>
  <c r="X75" i="19" s="1"/>
  <c r="BN63" i="25"/>
  <c r="BJ64" i="25"/>
  <c r="BL65" i="25"/>
  <c r="FR63" i="25"/>
  <c r="FR47" i="25"/>
  <c r="BJ70" i="25"/>
  <c r="BM66" i="25"/>
  <c r="BM82" i="25"/>
  <c r="BR53" i="25"/>
  <c r="FR44" i="25"/>
  <c r="BR28" i="25"/>
  <c r="BR81" i="25"/>
  <c r="BR76" i="25"/>
  <c r="BQ54" i="25"/>
  <c r="BR41" i="25"/>
  <c r="FR26" i="25"/>
  <c r="BQ31" i="25"/>
  <c r="FR58" i="25"/>
  <c r="FR67" i="25"/>
  <c r="BR65" i="25"/>
  <c r="FR39" i="25"/>
  <c r="AN77" i="25"/>
  <c r="X77" i="19" s="1"/>
  <c r="BN72" i="25"/>
  <c r="BM71" i="25"/>
  <c r="LF24" i="25"/>
  <c r="BJ84" i="25"/>
  <c r="BJ68" i="25"/>
  <c r="BR84" i="25"/>
  <c r="BR36" i="25"/>
  <c r="HR69" i="25"/>
  <c r="HP63" i="25"/>
  <c r="HR63" i="25"/>
  <c r="HR38" i="25"/>
  <c r="HR56" i="25"/>
  <c r="HR73" i="25"/>
  <c r="HR19" i="25"/>
  <c r="HR33" i="25"/>
  <c r="HR44" i="25"/>
  <c r="HR53" i="25"/>
  <c r="GR81" i="25"/>
  <c r="HR26" i="25"/>
  <c r="GR61" i="25"/>
  <c r="GR57" i="25"/>
  <c r="GR41" i="25"/>
  <c r="GR25" i="25"/>
  <c r="GR21" i="25"/>
  <c r="BQ44" i="25"/>
  <c r="GR32" i="25"/>
  <c r="BQ38" i="25"/>
  <c r="GR39" i="25"/>
  <c r="HP55" i="25"/>
  <c r="HR55" i="25"/>
  <c r="GR83" i="25"/>
  <c r="GR63" i="25"/>
  <c r="GR75" i="25"/>
  <c r="GR62" i="25"/>
  <c r="GR46" i="25"/>
  <c r="GR23" i="25"/>
  <c r="HR84" i="25"/>
  <c r="LF58" i="25"/>
  <c r="GR58" i="25"/>
  <c r="GR43" i="25"/>
  <c r="GR59" i="25"/>
  <c r="GR51" i="25"/>
  <c r="GR38" i="25"/>
  <c r="BN61" i="25"/>
  <c r="BL73" i="25"/>
  <c r="BQ16" i="25"/>
  <c r="BR17" i="25"/>
  <c r="BQ19" i="25"/>
  <c r="FR20" i="25"/>
  <c r="BQ21" i="25"/>
  <c r="BQ81" i="25"/>
  <c r="BQ49" i="25"/>
  <c r="BQ23" i="25"/>
  <c r="BQ61" i="25"/>
  <c r="BQ29" i="25"/>
  <c r="BQ42" i="25"/>
  <c r="FR83" i="25"/>
  <c r="BR31" i="25"/>
  <c r="BQ46" i="25"/>
  <c r="BQ28" i="25"/>
  <c r="BQ72" i="25"/>
  <c r="BQ24" i="25"/>
  <c r="BL67" i="25"/>
  <c r="BJ74" i="25"/>
  <c r="BJ72" i="25"/>
  <c r="BJ63" i="25"/>
  <c r="BR63" i="25"/>
  <c r="BR47" i="25"/>
  <c r="BJ78" i="25"/>
  <c r="FR75" i="25"/>
  <c r="BR43" i="25"/>
  <c r="BR25" i="25"/>
  <c r="FR76" i="25"/>
  <c r="BR34" i="25"/>
  <c r="BR29" i="25"/>
  <c r="FR64" i="25"/>
  <c r="BR59" i="25"/>
  <c r="FR71" i="25"/>
  <c r="BR40" i="25"/>
  <c r="FR30" i="25"/>
  <c r="BL69" i="25"/>
  <c r="BJ81" i="25"/>
  <c r="BR82" i="25"/>
  <c r="HR74" i="25"/>
  <c r="HR67" i="25"/>
  <c r="HP67" i="25"/>
  <c r="GR40" i="25"/>
  <c r="GR68" i="25"/>
  <c r="GR65" i="25"/>
  <c r="GR29" i="25"/>
  <c r="GR69" i="25"/>
  <c r="GR16" i="25"/>
  <c r="BM73" i="25"/>
  <c r="GR37" i="25"/>
  <c r="GR72" i="25"/>
  <c r="GR20" i="25"/>
  <c r="GR44" i="25"/>
  <c r="HP46" i="25"/>
  <c r="HR46" i="25"/>
  <c r="GR18" i="25"/>
  <c r="GR82" i="25"/>
  <c r="GR78" i="25"/>
  <c r="GR71" i="25"/>
  <c r="GR42" i="25"/>
  <c r="GR30" i="25"/>
  <c r="FR55" i="25"/>
  <c r="LF74" i="25"/>
  <c r="GR70" i="25"/>
  <c r="GR66" i="25"/>
  <c r="AN84" i="25"/>
  <c r="X84" i="19" s="1"/>
  <c r="BM78" i="25"/>
  <c r="BM74" i="25"/>
  <c r="BR52" i="25"/>
  <c r="BR56" i="25"/>
  <c r="ND84" i="25"/>
  <c r="MD90" i="25"/>
  <c r="LF28" i="25"/>
  <c r="LF80" i="25"/>
  <c r="LD80" i="25"/>
  <c r="MD72" i="25"/>
  <c r="LD60" i="25"/>
  <c r="LF32" i="25"/>
  <c r="NF80" i="25"/>
  <c r="LF60" i="25"/>
  <c r="LF40" i="25"/>
  <c r="NF68" i="25"/>
  <c r="LD98" i="25"/>
  <c r="MD68" i="25"/>
  <c r="ND60" i="25"/>
  <c r="LF98" i="25"/>
  <c r="T89" i="25"/>
  <c r="X89" i="25" s="1"/>
  <c r="V89" i="25"/>
  <c r="W89" i="25"/>
  <c r="AH89" i="25"/>
  <c r="U97" i="25"/>
  <c r="W97" i="25"/>
  <c r="H115" i="3"/>
  <c r="U94" i="25"/>
  <c r="AH94" i="25"/>
  <c r="W94" i="25"/>
  <c r="W93" i="25"/>
  <c r="W90" i="25"/>
  <c r="U90" i="25"/>
  <c r="V73" i="25"/>
  <c r="T73" i="25"/>
  <c r="X73" i="25" s="1"/>
  <c r="P73" i="20" s="1"/>
  <c r="PN85" i="25"/>
  <c r="EP98" i="25"/>
  <c r="W100" i="25"/>
  <c r="U100" i="25"/>
  <c r="U88" i="25"/>
  <c r="W88" i="25"/>
  <c r="U76" i="25"/>
  <c r="W76" i="25"/>
  <c r="W99" i="25"/>
  <c r="U99" i="25"/>
  <c r="W91" i="25"/>
  <c r="U91" i="25"/>
  <c r="W83" i="25"/>
  <c r="U83" i="25"/>
  <c r="W75" i="25"/>
  <c r="U75" i="25"/>
  <c r="W86" i="25"/>
  <c r="U86" i="25"/>
  <c r="U82" i="25"/>
  <c r="W82" i="25"/>
  <c r="W78" i="25"/>
  <c r="U78" i="25"/>
  <c r="U74" i="25"/>
  <c r="W74" i="25"/>
  <c r="U101" i="25"/>
  <c r="W101" i="25"/>
  <c r="ON91" i="25"/>
  <c r="EP80" i="25"/>
  <c r="EP81" i="25"/>
  <c r="U96" i="25"/>
  <c r="W96" i="25"/>
  <c r="U84" i="25"/>
  <c r="W84" i="25"/>
  <c r="W72" i="25"/>
  <c r="U72" i="25"/>
  <c r="V93" i="25"/>
  <c r="T93" i="25"/>
  <c r="X93" i="25" s="1"/>
  <c r="P93" i="20" s="1"/>
  <c r="W98" i="25"/>
  <c r="U98" i="25"/>
  <c r="AH98" i="25"/>
  <c r="U104" i="25"/>
  <c r="W104" i="25"/>
  <c r="W92" i="25"/>
  <c r="U92" i="25"/>
  <c r="U80" i="25"/>
  <c r="W80" i="25"/>
  <c r="U103" i="25"/>
  <c r="W103" i="25"/>
  <c r="U95" i="25"/>
  <c r="W95" i="25"/>
  <c r="U87" i="25"/>
  <c r="W87" i="25"/>
  <c r="U79" i="25"/>
  <c r="W79" i="25"/>
  <c r="V85" i="25"/>
  <c r="T85" i="25"/>
  <c r="X85" i="25" s="1"/>
  <c r="P85" i="20" s="1"/>
  <c r="U81" i="25"/>
  <c r="W81" i="25"/>
  <c r="PN70" i="25"/>
  <c r="W73" i="25"/>
  <c r="AH73" i="25"/>
  <c r="U102" i="25"/>
  <c r="AH102" i="25"/>
  <c r="W102" i="25"/>
  <c r="EP76" i="25"/>
  <c r="V77" i="25"/>
  <c r="T77" i="25"/>
  <c r="X77" i="25" s="1"/>
  <c r="P77" i="20" s="1"/>
  <c r="JC16" i="25"/>
  <c r="JF16" i="25" s="1"/>
  <c r="LC16" i="25"/>
  <c r="GP11" i="25"/>
  <c r="GP13" i="25" s="1"/>
  <c r="GP12" i="25" s="1"/>
  <c r="OD15" i="25"/>
  <c r="LC17" i="25"/>
  <c r="LD17" i="25" s="1"/>
  <c r="BL17" i="25" s="1"/>
  <c r="NC17" i="25"/>
  <c r="JC17" i="25"/>
  <c r="JF17" i="25" s="1"/>
  <c r="MD17" i="25"/>
  <c r="BM17" i="25" s="1"/>
  <c r="OD16" i="25"/>
  <c r="IC17" i="25"/>
  <c r="IE17" i="25" s="1"/>
  <c r="KC17" i="25"/>
  <c r="KD17" i="25" s="1"/>
  <c r="JC15" i="25"/>
  <c r="IZ15" i="25" s="1"/>
  <c r="IC18" i="25"/>
  <c r="IE18" i="25" s="1"/>
  <c r="DP15" i="25"/>
  <c r="MC15" i="25"/>
  <c r="MD15" i="25" s="1"/>
  <c r="BM15" i="25" s="1"/>
  <c r="KC16" i="25"/>
  <c r="KD16" i="25" s="1"/>
  <c r="NC16" i="25"/>
  <c r="MC18" i="25"/>
  <c r="IC16" i="25"/>
  <c r="IE16" i="25" s="1"/>
  <c r="KC15" i="25"/>
  <c r="KD15" i="25" s="1"/>
  <c r="JC18" i="25"/>
  <c r="LC15" i="25"/>
  <c r="LD15" i="25" s="1"/>
  <c r="BL15" i="25" s="1"/>
  <c r="LC18" i="25"/>
  <c r="NC18" i="25"/>
  <c r="ON17" i="25"/>
  <c r="PN18" i="25"/>
  <c r="FH11" i="25"/>
  <c r="FH13" i="25" s="1"/>
  <c r="FH12" i="25" s="1"/>
  <c r="PN17" i="25"/>
  <c r="ON18" i="25"/>
  <c r="OF16" i="25"/>
  <c r="PD16" i="25"/>
  <c r="CP13" i="25"/>
  <c r="N6" i="20"/>
  <c r="B19" i="12"/>
  <c r="AF104" i="37"/>
  <c r="AF111" i="37"/>
  <c r="D15" i="42"/>
  <c r="G24" i="42"/>
  <c r="Y24" i="42"/>
  <c r="G23" i="42"/>
  <c r="Y23" i="42"/>
  <c r="D16" i="42"/>
  <c r="G16" i="42"/>
  <c r="G35" i="22"/>
  <c r="G60" i="22"/>
  <c r="H60" i="22" s="1"/>
  <c r="F73" i="22"/>
  <c r="G6" i="22"/>
  <c r="Q124" i="45"/>
  <c r="Q58" i="45"/>
  <c r="Q98" i="45"/>
  <c r="Q18" i="45"/>
  <c r="Q44" i="45"/>
  <c r="Q138" i="45"/>
  <c r="Q164" i="45"/>
  <c r="Q31" i="45"/>
  <c r="Q111" i="45"/>
  <c r="Q151" i="45"/>
  <c r="AF83" i="37"/>
  <c r="AF101" i="37"/>
  <c r="LG120" i="25"/>
  <c r="KG120" i="25"/>
  <c r="LG119" i="25"/>
  <c r="KG119" i="25"/>
  <c r="MG120" i="25"/>
  <c r="NG120" i="25"/>
  <c r="NG119" i="25"/>
  <c r="MG119" i="25"/>
  <c r="FC119" i="25"/>
  <c r="FC120" i="25"/>
  <c r="P107" i="19"/>
  <c r="P111" i="19"/>
  <c r="P115" i="19"/>
  <c r="P119" i="19"/>
  <c r="P106" i="19"/>
  <c r="P110" i="19"/>
  <c r="P114" i="19"/>
  <c r="P118" i="19"/>
  <c r="P105" i="19"/>
  <c r="P109" i="19"/>
  <c r="P113" i="19"/>
  <c r="P117" i="19"/>
  <c r="P100" i="19"/>
  <c r="P104" i="19"/>
  <c r="P108" i="19"/>
  <c r="P112" i="19"/>
  <c r="P116" i="19"/>
  <c r="P120" i="19"/>
  <c r="OE111" i="25"/>
  <c r="OE119" i="25"/>
  <c r="OE99" i="25"/>
  <c r="OE120" i="25"/>
  <c r="AA111" i="19"/>
  <c r="Z111" i="19"/>
  <c r="AA119" i="19"/>
  <c r="Z119" i="19"/>
  <c r="AA120" i="19"/>
  <c r="Z120" i="19"/>
  <c r="U111" i="19"/>
  <c r="U119" i="19"/>
  <c r="Q119" i="25"/>
  <c r="V119" i="19"/>
  <c r="U120" i="19"/>
  <c r="Q120" i="25"/>
  <c r="V120" i="19"/>
  <c r="J56" i="25"/>
  <c r="B56" i="19"/>
  <c r="J60" i="25"/>
  <c r="B60" i="19"/>
  <c r="J64" i="25"/>
  <c r="B64" i="19"/>
  <c r="J68" i="25"/>
  <c r="B68" i="19"/>
  <c r="J72" i="25"/>
  <c r="J76" i="25"/>
  <c r="J80" i="25"/>
  <c r="J84" i="25"/>
  <c r="I84" i="25"/>
  <c r="S84" i="25" s="1"/>
  <c r="J88" i="25"/>
  <c r="J91" i="25"/>
  <c r="J95" i="25"/>
  <c r="J99" i="25"/>
  <c r="J103" i="25"/>
  <c r="J107" i="25"/>
  <c r="J111" i="25"/>
  <c r="J115" i="25"/>
  <c r="J59" i="25"/>
  <c r="B59" i="19"/>
  <c r="J63" i="25"/>
  <c r="B63" i="19"/>
  <c r="J67" i="25"/>
  <c r="B67" i="19"/>
  <c r="J71" i="25"/>
  <c r="B71" i="19"/>
  <c r="J75" i="25"/>
  <c r="J79" i="25"/>
  <c r="J83" i="25"/>
  <c r="I83" i="25"/>
  <c r="S83" i="25" s="1"/>
  <c r="J87" i="25"/>
  <c r="J90" i="25"/>
  <c r="J94" i="25"/>
  <c r="J98" i="25"/>
  <c r="J102" i="25"/>
  <c r="J106" i="25"/>
  <c r="J110" i="25"/>
  <c r="J114" i="25"/>
  <c r="J58" i="25"/>
  <c r="B58" i="19"/>
  <c r="J62" i="25"/>
  <c r="B62" i="19"/>
  <c r="J66" i="25"/>
  <c r="B66" i="19"/>
  <c r="J70" i="25"/>
  <c r="B70" i="19"/>
  <c r="J74" i="25"/>
  <c r="J78" i="25"/>
  <c r="J82" i="25"/>
  <c r="J86" i="25"/>
  <c r="J89" i="25"/>
  <c r="I89" i="25"/>
  <c r="S89" i="25" s="1"/>
  <c r="J93" i="25"/>
  <c r="I93" i="25"/>
  <c r="S93" i="25" s="1"/>
  <c r="J97" i="25"/>
  <c r="J101" i="25"/>
  <c r="J105" i="25"/>
  <c r="J109" i="25"/>
  <c r="J113" i="25"/>
  <c r="J117" i="25"/>
  <c r="J57" i="25"/>
  <c r="B57" i="19"/>
  <c r="J61" i="25"/>
  <c r="B61" i="19"/>
  <c r="J65" i="25"/>
  <c r="B65" i="19"/>
  <c r="J69" i="25"/>
  <c r="B69" i="19"/>
  <c r="J73" i="25"/>
  <c r="J77" i="25"/>
  <c r="J81" i="25"/>
  <c r="J85" i="25"/>
  <c r="I85" i="25"/>
  <c r="S85" i="25" s="1"/>
  <c r="J92" i="25"/>
  <c r="J96" i="25"/>
  <c r="J100" i="25"/>
  <c r="J104" i="25"/>
  <c r="J108" i="25"/>
  <c r="J112" i="25"/>
  <c r="J116" i="25"/>
  <c r="O107" i="19"/>
  <c r="O111" i="19"/>
  <c r="O115" i="19"/>
  <c r="O119" i="19"/>
  <c r="O106" i="19"/>
  <c r="O110" i="19"/>
  <c r="O114" i="19"/>
  <c r="O118" i="19"/>
  <c r="O105" i="19"/>
  <c r="G120" i="3" s="1"/>
  <c r="O109" i="19"/>
  <c r="O113" i="19"/>
  <c r="O117" i="19"/>
  <c r="O104" i="19"/>
  <c r="O108" i="19"/>
  <c r="O112" i="19"/>
  <c r="O116" i="19"/>
  <c r="O120" i="19"/>
  <c r="MA107" i="25"/>
  <c r="AD111" i="19"/>
  <c r="AD119" i="19"/>
  <c r="MA119" i="25"/>
  <c r="MA120" i="25"/>
  <c r="AD120" i="19"/>
  <c r="MA116" i="25"/>
  <c r="NJ90" i="25"/>
  <c r="DU120" i="25"/>
  <c r="DV120" i="25"/>
  <c r="DV119" i="25"/>
  <c r="DU119" i="25"/>
  <c r="DV111" i="25"/>
  <c r="DU111" i="25"/>
  <c r="DR99" i="25"/>
  <c r="DQ99" i="25"/>
  <c r="DT99" i="25" s="1"/>
  <c r="DS99" i="25"/>
  <c r="DR108" i="25"/>
  <c r="DR120" i="25"/>
  <c r="DQ120" i="25"/>
  <c r="DS120" i="25"/>
  <c r="DR92" i="25"/>
  <c r="DQ92" i="25"/>
  <c r="DT92" i="25" s="1"/>
  <c r="DS92" i="25"/>
  <c r="DR100" i="25"/>
  <c r="DR119" i="25"/>
  <c r="DQ119" i="25"/>
  <c r="DS119" i="25"/>
  <c r="DQ116" i="25"/>
  <c r="DR111" i="25"/>
  <c r="DQ111" i="25"/>
  <c r="DS111" i="25"/>
  <c r="Z99" i="19"/>
  <c r="FE99" i="25"/>
  <c r="FA99" i="25"/>
  <c r="FE119" i="25"/>
  <c r="FA119" i="25"/>
  <c r="FE92" i="25"/>
  <c r="FA92" i="25"/>
  <c r="FA100" i="25"/>
  <c r="FE111" i="25"/>
  <c r="FA111" i="25"/>
  <c r="FA116" i="25"/>
  <c r="FE120" i="25"/>
  <c r="FA120" i="25"/>
  <c r="W119" i="19"/>
  <c r="Y119" i="19"/>
  <c r="Y116" i="19"/>
  <c r="W116" i="19"/>
  <c r="W107" i="19"/>
  <c r="Y107" i="19"/>
  <c r="W111" i="19"/>
  <c r="Y111" i="19"/>
  <c r="Y120" i="19"/>
  <c r="W120" i="19"/>
  <c r="NJ112" i="25"/>
  <c r="JL112" i="25"/>
  <c r="NJ95" i="25"/>
  <c r="KA95" i="25"/>
  <c r="KF95" i="25" s="1"/>
  <c r="NJ99" i="25"/>
  <c r="MJ99" i="25"/>
  <c r="KA99" i="25"/>
  <c r="KF99" i="25" s="1"/>
  <c r="KJ99" i="25"/>
  <c r="JJ99" i="25"/>
  <c r="NJ103" i="25"/>
  <c r="JK107" i="25"/>
  <c r="NL111" i="25"/>
  <c r="NK111" i="25"/>
  <c r="NJ111" i="25"/>
  <c r="ML111" i="25"/>
  <c r="MK111" i="25"/>
  <c r="MJ111" i="25"/>
  <c r="KK111" i="25"/>
  <c r="KA111" i="25"/>
  <c r="KJ111" i="25"/>
  <c r="JL111" i="25"/>
  <c r="JK111" i="25"/>
  <c r="KL111" i="25"/>
  <c r="JJ111" i="25"/>
  <c r="EN111" i="25"/>
  <c r="NJ98" i="25"/>
  <c r="MJ98" i="25"/>
  <c r="JJ98" i="25"/>
  <c r="KJ98" i="25"/>
  <c r="KA98" i="25"/>
  <c r="KF98" i="25" s="1"/>
  <c r="NL108" i="25"/>
  <c r="NK108" i="25"/>
  <c r="MJ108" i="25"/>
  <c r="NJ108" i="25"/>
  <c r="ML108" i="25"/>
  <c r="MK108" i="25"/>
  <c r="JJ108" i="25"/>
  <c r="KL108" i="25"/>
  <c r="KA108" i="25"/>
  <c r="KK108" i="25"/>
  <c r="JL108" i="25"/>
  <c r="KJ108" i="25"/>
  <c r="JK108" i="25"/>
  <c r="EN108" i="25"/>
  <c r="NL120" i="25"/>
  <c r="NK120" i="25"/>
  <c r="MJ120" i="25"/>
  <c r="NJ120" i="25"/>
  <c r="ML120" i="25"/>
  <c r="MK120" i="25"/>
  <c r="JJ120" i="25"/>
  <c r="KL120" i="25"/>
  <c r="KA120" i="25"/>
  <c r="KK120" i="25"/>
  <c r="JL120" i="25"/>
  <c r="KJ120" i="25"/>
  <c r="JK120" i="25"/>
  <c r="EN120" i="25"/>
  <c r="KA97" i="25"/>
  <c r="KF97" i="25" s="1"/>
  <c r="MK113" i="25"/>
  <c r="NL119" i="25"/>
  <c r="NK119" i="25"/>
  <c r="NJ119" i="25"/>
  <c r="ML119" i="25"/>
  <c r="MK119" i="25"/>
  <c r="MJ119" i="25"/>
  <c r="KK119" i="25"/>
  <c r="KA119" i="25"/>
  <c r="KJ119" i="25"/>
  <c r="JL119" i="25"/>
  <c r="JK119" i="25"/>
  <c r="KL119" i="25"/>
  <c r="JJ119" i="25"/>
  <c r="EN119" i="25"/>
  <c r="MJ92" i="25"/>
  <c r="NJ92" i="25"/>
  <c r="JJ92" i="25"/>
  <c r="KA92" i="25"/>
  <c r="KF92" i="25" s="1"/>
  <c r="KJ92" i="25"/>
  <c r="MJ96" i="25"/>
  <c r="JJ96" i="25"/>
  <c r="KA96" i="25"/>
  <c r="KF96" i="25" s="1"/>
  <c r="KJ96" i="25"/>
  <c r="NJ100" i="25"/>
  <c r="KA100" i="25"/>
  <c r="KF100" i="25" s="1"/>
  <c r="KJ100" i="25"/>
  <c r="NL116" i="25"/>
  <c r="NK116" i="25"/>
  <c r="NJ116" i="25"/>
  <c r="MJ116" i="25"/>
  <c r="ML116" i="25"/>
  <c r="MK116" i="25"/>
  <c r="JJ116" i="25"/>
  <c r="KL116" i="25"/>
  <c r="KA116" i="25"/>
  <c r="KK116" i="25"/>
  <c r="JL116" i="25"/>
  <c r="KJ116" i="25"/>
  <c r="JK116" i="25"/>
  <c r="EN116" i="25"/>
  <c r="LJ98" i="25"/>
  <c r="LJ99" i="25"/>
  <c r="LJ103" i="25"/>
  <c r="LK107" i="25"/>
  <c r="LL111" i="25"/>
  <c r="LK111" i="25"/>
  <c r="LJ111" i="25"/>
  <c r="LJ115" i="25"/>
  <c r="LL119" i="25"/>
  <c r="LK119" i="25"/>
  <c r="LJ119" i="25"/>
  <c r="LJ92" i="25"/>
  <c r="LJ96" i="25"/>
  <c r="LL108" i="25"/>
  <c r="LK108" i="25"/>
  <c r="LJ108" i="25"/>
  <c r="LL112" i="25"/>
  <c r="LK112" i="25"/>
  <c r="LJ112" i="25"/>
  <c r="LL116" i="25"/>
  <c r="LK116" i="25"/>
  <c r="LJ116" i="25"/>
  <c r="LL120" i="25"/>
  <c r="LK120" i="25"/>
  <c r="LJ120" i="25"/>
  <c r="L111" i="25"/>
  <c r="L119" i="25"/>
  <c r="L108" i="25"/>
  <c r="L112" i="25"/>
  <c r="L116" i="25"/>
  <c r="L120" i="25"/>
  <c r="Q21" i="35"/>
  <c r="Q23" i="35"/>
  <c r="LF49" i="25" l="1"/>
  <c r="NF44" i="25"/>
  <c r="LD44" i="25"/>
  <c r="BL44" i="25" s="1"/>
  <c r="NF36" i="25"/>
  <c r="LF35" i="25"/>
  <c r="IE30" i="25"/>
  <c r="ID30" i="25"/>
  <c r="DP30" i="25"/>
  <c r="ND37" i="25"/>
  <c r="BN37" i="25" s="1"/>
  <c r="NF37" i="25"/>
  <c r="ID20" i="25"/>
  <c r="DP20" i="25"/>
  <c r="IE20" i="25"/>
  <c r="NF49" i="25"/>
  <c r="ND49" i="25"/>
  <c r="BN49" i="25" s="1"/>
  <c r="IE39" i="25"/>
  <c r="DP39" i="25"/>
  <c r="ID39" i="25"/>
  <c r="JF27" i="25"/>
  <c r="JD27" i="25"/>
  <c r="BJ27" i="25" s="1"/>
  <c r="LD20" i="25"/>
  <c r="BL20" i="25" s="1"/>
  <c r="LF20" i="25"/>
  <c r="IE25" i="25"/>
  <c r="DP25" i="25"/>
  <c r="DP41" i="25"/>
  <c r="ID41" i="25"/>
  <c r="IE41" i="25"/>
  <c r="JD45" i="25"/>
  <c r="BJ45" i="25" s="1"/>
  <c r="JF45" i="25"/>
  <c r="IE47" i="25"/>
  <c r="DP47" i="25"/>
  <c r="ID47" i="25"/>
  <c r="NF46" i="25"/>
  <c r="ND46" i="25"/>
  <c r="BN46" i="25" s="1"/>
  <c r="NF19" i="25"/>
  <c r="ND19" i="25"/>
  <c r="BN19" i="25" s="1"/>
  <c r="NF38" i="25"/>
  <c r="ND38" i="25"/>
  <c r="BN38" i="25" s="1"/>
  <c r="IE44" i="25"/>
  <c r="DP44" i="25"/>
  <c r="JF29" i="25"/>
  <c r="JD29" i="25"/>
  <c r="BJ29" i="25" s="1"/>
  <c r="LD42" i="25"/>
  <c r="BL42" i="25" s="1"/>
  <c r="LF42" i="25"/>
  <c r="LD23" i="25"/>
  <c r="BL23" i="25" s="1"/>
  <c r="LF23" i="25"/>
  <c r="IE32" i="25"/>
  <c r="DP32" i="25"/>
  <c r="ID32" i="25"/>
  <c r="JF20" i="25"/>
  <c r="JD20" i="25"/>
  <c r="BJ20" i="25" s="1"/>
  <c r="ND25" i="25"/>
  <c r="BN25" i="25" s="1"/>
  <c r="NF25" i="25"/>
  <c r="IE21" i="25"/>
  <c r="DP21" i="25"/>
  <c r="ID21" i="25"/>
  <c r="JF43" i="25"/>
  <c r="JD43" i="25"/>
  <c r="BJ43" i="25" s="1"/>
  <c r="IE45" i="25"/>
  <c r="ID45" i="25"/>
  <c r="DP45" i="25"/>
  <c r="JD42" i="25"/>
  <c r="BJ42" i="25" s="1"/>
  <c r="JF42" i="25"/>
  <c r="LD21" i="25"/>
  <c r="BL21" i="25" s="1"/>
  <c r="LF21" i="25"/>
  <c r="IE42" i="25"/>
  <c r="ID42" i="25"/>
  <c r="DP42" i="25"/>
  <c r="IE26" i="25"/>
  <c r="ID26" i="25"/>
  <c r="DP26" i="25"/>
  <c r="IE36" i="25"/>
  <c r="ID36" i="25"/>
  <c r="DP36" i="25"/>
  <c r="JD33" i="25"/>
  <c r="BJ33" i="25" s="1"/>
  <c r="JF33" i="25"/>
  <c r="IE24" i="25"/>
  <c r="DP24" i="25"/>
  <c r="ID24" i="25"/>
  <c r="JD36" i="25"/>
  <c r="BJ36" i="25" s="1"/>
  <c r="JF36" i="25"/>
  <c r="LF37" i="25"/>
  <c r="LD37" i="25"/>
  <c r="BL37" i="25" s="1"/>
  <c r="ID19" i="25"/>
  <c r="DP19" i="25"/>
  <c r="IE19" i="25"/>
  <c r="NF27" i="25"/>
  <c r="ND27" i="25"/>
  <c r="BN27" i="25" s="1"/>
  <c r="NF26" i="25"/>
  <c r="ND26" i="25"/>
  <c r="BN26" i="25" s="1"/>
  <c r="JD37" i="25"/>
  <c r="BJ37" i="25" s="1"/>
  <c r="JF37" i="25"/>
  <c r="LD38" i="25"/>
  <c r="BL38" i="25" s="1"/>
  <c r="LF38" i="25"/>
  <c r="JD40" i="25"/>
  <c r="BJ40" i="25" s="1"/>
  <c r="JF40" i="25"/>
  <c r="JF49" i="25"/>
  <c r="JD49" i="25"/>
  <c r="BJ49" i="25" s="1"/>
  <c r="JD25" i="25"/>
  <c r="BJ25" i="25" s="1"/>
  <c r="JF25" i="25"/>
  <c r="JF24" i="25"/>
  <c r="JD24" i="25"/>
  <c r="BJ24" i="25" s="1"/>
  <c r="LF41" i="25"/>
  <c r="LD41" i="25"/>
  <c r="BL41" i="25" s="1"/>
  <c r="DP27" i="25"/>
  <c r="IE27" i="25"/>
  <c r="ID27" i="25"/>
  <c r="JF47" i="25"/>
  <c r="JD47" i="25"/>
  <c r="BJ47" i="25" s="1"/>
  <c r="ND22" i="25"/>
  <c r="BN22" i="25" s="1"/>
  <c r="NF22" i="25"/>
  <c r="IE40" i="25"/>
  <c r="ID40" i="25"/>
  <c r="DP40" i="25"/>
  <c r="LD25" i="25"/>
  <c r="BL25" i="25" s="1"/>
  <c r="LF25" i="25"/>
  <c r="ND33" i="25"/>
  <c r="BN33" i="25" s="1"/>
  <c r="NF33" i="25"/>
  <c r="NF30" i="25"/>
  <c r="ND30" i="25"/>
  <c r="BN30" i="25" s="1"/>
  <c r="LD47" i="25"/>
  <c r="BL47" i="25" s="1"/>
  <c r="LF47" i="25"/>
  <c r="IE38" i="25"/>
  <c r="ID38" i="25"/>
  <c r="ND35" i="25"/>
  <c r="BN35" i="25" s="1"/>
  <c r="NF35" i="25"/>
  <c r="JD30" i="25"/>
  <c r="BJ30" i="25" s="1"/>
  <c r="JF30" i="25"/>
  <c r="JF22" i="25"/>
  <c r="JD22" i="25"/>
  <c r="BJ22" i="25" s="1"/>
  <c r="JF44" i="25"/>
  <c r="JD44" i="25"/>
  <c r="BJ44" i="25" s="1"/>
  <c r="LD45" i="25"/>
  <c r="BL45" i="25" s="1"/>
  <c r="LF45" i="25"/>
  <c r="IE23" i="25"/>
  <c r="ID23" i="25"/>
  <c r="DP23" i="25"/>
  <c r="ND43" i="25"/>
  <c r="BN43" i="25" s="1"/>
  <c r="NF43" i="25"/>
  <c r="NF23" i="25"/>
  <c r="ND23" i="25"/>
  <c r="BN23" i="25" s="1"/>
  <c r="IE34" i="25"/>
  <c r="ID34" i="25"/>
  <c r="DP34" i="25"/>
  <c r="IE28" i="25"/>
  <c r="ID28" i="25"/>
  <c r="IE29" i="25"/>
  <c r="ID29" i="25"/>
  <c r="IE43" i="25"/>
  <c r="DP43" i="25"/>
  <c r="LD31" i="25"/>
  <c r="BL31" i="25" s="1"/>
  <c r="LF31" i="25"/>
  <c r="JF38" i="25"/>
  <c r="JD38" i="25"/>
  <c r="BJ38" i="25" s="1"/>
  <c r="IE22" i="25"/>
  <c r="DP22" i="25"/>
  <c r="ID22" i="25"/>
  <c r="ND29" i="25"/>
  <c r="BN29" i="25" s="1"/>
  <c r="NF29" i="25"/>
  <c r="IE31" i="25"/>
  <c r="ID31" i="25"/>
  <c r="DP31" i="25"/>
  <c r="JD46" i="25"/>
  <c r="BJ46" i="25" s="1"/>
  <c r="JF46" i="25"/>
  <c r="M103" i="42"/>
  <c r="O103" i="42"/>
  <c r="S100" i="3"/>
  <c r="O108" i="42"/>
  <c r="M108" i="42"/>
  <c r="M104" i="42"/>
  <c r="O104" i="42"/>
  <c r="M112" i="42"/>
  <c r="O112" i="42"/>
  <c r="O106" i="42"/>
  <c r="M106" i="42"/>
  <c r="M107" i="42"/>
  <c r="O107" i="42"/>
  <c r="O110" i="42"/>
  <c r="M110" i="42"/>
  <c r="O114" i="42"/>
  <c r="M114" i="42"/>
  <c r="S99" i="3"/>
  <c r="O109" i="42"/>
  <c r="M109" i="42"/>
  <c r="M111" i="42"/>
  <c r="O111" i="42"/>
  <c r="S101" i="3"/>
  <c r="S93" i="3"/>
  <c r="S117" i="3"/>
  <c r="O113" i="42"/>
  <c r="M113" i="42"/>
  <c r="S102" i="3"/>
  <c r="S105" i="3"/>
  <c r="O105" i="42"/>
  <c r="M105" i="42"/>
  <c r="M102" i="42"/>
  <c r="O102" i="42"/>
  <c r="S104" i="3"/>
  <c r="J117" i="3"/>
  <c r="C108" i="42"/>
  <c r="D108" i="42"/>
  <c r="I108" i="42"/>
  <c r="Q108" i="42"/>
  <c r="E108" i="42"/>
  <c r="J108" i="42"/>
  <c r="W108" i="42"/>
  <c r="F108" i="42"/>
  <c r="L108" i="42"/>
  <c r="H108" i="42"/>
  <c r="N108" i="42"/>
  <c r="R108" i="42"/>
  <c r="S108" i="42" s="1"/>
  <c r="K108" i="42"/>
  <c r="G108" i="42"/>
  <c r="T108" i="42"/>
  <c r="U108" i="42" s="1"/>
  <c r="X108" i="42"/>
  <c r="C103" i="3"/>
  <c r="E103" i="3"/>
  <c r="I103" i="3"/>
  <c r="M103" i="3"/>
  <c r="F103" i="3"/>
  <c r="J103" i="3"/>
  <c r="N103" i="3"/>
  <c r="K103" i="3"/>
  <c r="O103" i="3"/>
  <c r="P103" i="3"/>
  <c r="D103" i="3"/>
  <c r="L103" i="3"/>
  <c r="Q103" i="3"/>
  <c r="R103" i="3" s="1"/>
  <c r="C97" i="3"/>
  <c r="F97" i="3"/>
  <c r="J97" i="3"/>
  <c r="N97" i="3"/>
  <c r="K97" i="3"/>
  <c r="O97" i="3"/>
  <c r="D97" i="3"/>
  <c r="L97" i="3"/>
  <c r="P97" i="3"/>
  <c r="I97" i="3"/>
  <c r="M97" i="3"/>
  <c r="E97" i="3"/>
  <c r="Q97" i="3"/>
  <c r="R97" i="3" s="1"/>
  <c r="C104" i="42"/>
  <c r="D104" i="42"/>
  <c r="I104" i="42"/>
  <c r="Q104" i="42"/>
  <c r="E104" i="42"/>
  <c r="J104" i="42"/>
  <c r="W104" i="42"/>
  <c r="F104" i="42"/>
  <c r="L104" i="42"/>
  <c r="H104" i="42"/>
  <c r="N104" i="42"/>
  <c r="K104" i="42"/>
  <c r="G104" i="42"/>
  <c r="R104" i="42"/>
  <c r="S104" i="42" s="1"/>
  <c r="T104" i="42"/>
  <c r="U104" i="42" s="1"/>
  <c r="X104" i="42"/>
  <c r="C113" i="42"/>
  <c r="H113" i="42"/>
  <c r="N113" i="42"/>
  <c r="U113" i="42"/>
  <c r="F113" i="42"/>
  <c r="K113" i="42"/>
  <c r="Q113" i="42"/>
  <c r="D113" i="42"/>
  <c r="G113" i="42"/>
  <c r="T113" i="42"/>
  <c r="J113" i="42"/>
  <c r="L113" i="42"/>
  <c r="R113" i="42"/>
  <c r="S113" i="42" s="1"/>
  <c r="E113" i="42"/>
  <c r="W113" i="42"/>
  <c r="I113" i="42"/>
  <c r="X113" i="42"/>
  <c r="D95" i="3"/>
  <c r="L95" i="3"/>
  <c r="P95" i="3"/>
  <c r="E95" i="3"/>
  <c r="I95" i="3"/>
  <c r="M95" i="3"/>
  <c r="F95" i="3"/>
  <c r="J95" i="3"/>
  <c r="N95" i="3"/>
  <c r="O95" i="3"/>
  <c r="C95" i="3"/>
  <c r="K95" i="3"/>
  <c r="Q95" i="3"/>
  <c r="R95" i="3" s="1"/>
  <c r="C99" i="3"/>
  <c r="D99" i="3"/>
  <c r="L99" i="3"/>
  <c r="P99" i="3"/>
  <c r="E99" i="3"/>
  <c r="I99" i="3"/>
  <c r="M99" i="3"/>
  <c r="F99" i="3"/>
  <c r="J99" i="3"/>
  <c r="N99" i="3"/>
  <c r="K99" i="3"/>
  <c r="O99" i="3"/>
  <c r="Q99" i="3"/>
  <c r="R99" i="3" s="1"/>
  <c r="C100" i="3"/>
  <c r="J100" i="3"/>
  <c r="N100" i="3"/>
  <c r="M100" i="3"/>
  <c r="F100" i="3"/>
  <c r="K100" i="3"/>
  <c r="L100" i="3"/>
  <c r="I100" i="3"/>
  <c r="P100" i="3"/>
  <c r="E100" i="3"/>
  <c r="D100" i="3"/>
  <c r="O100" i="3"/>
  <c r="Q100" i="3"/>
  <c r="R100" i="3" s="1"/>
  <c r="C115" i="42"/>
  <c r="N115" i="42"/>
  <c r="T115" i="42"/>
  <c r="H115" i="42"/>
  <c r="G115" i="42"/>
  <c r="L115" i="42"/>
  <c r="I115" i="42"/>
  <c r="O115" i="42"/>
  <c r="X115" i="42" s="1"/>
  <c r="R115" i="42"/>
  <c r="S115" i="42" s="1"/>
  <c r="Q115" i="42"/>
  <c r="J115" i="42"/>
  <c r="W115" i="42"/>
  <c r="F115" i="42"/>
  <c r="U115" i="42"/>
  <c r="E115" i="42"/>
  <c r="D115" i="42"/>
  <c r="K115" i="42"/>
  <c r="D119" i="42"/>
  <c r="G119" i="42"/>
  <c r="T119" i="42"/>
  <c r="J119" i="42"/>
  <c r="K119" i="42"/>
  <c r="C119" i="42"/>
  <c r="N119" i="42"/>
  <c r="I119" i="42"/>
  <c r="L119" i="42"/>
  <c r="R119" i="42" s="1"/>
  <c r="H119" i="42"/>
  <c r="Q119" i="42"/>
  <c r="W119" i="42"/>
  <c r="F109" i="42"/>
  <c r="G109" i="42"/>
  <c r="H109" i="42"/>
  <c r="E109" i="42"/>
  <c r="N109" i="42"/>
  <c r="Q109" i="42"/>
  <c r="K109" i="42"/>
  <c r="L109" i="42"/>
  <c r="I109" i="42"/>
  <c r="T109" i="42"/>
  <c r="R109" i="42"/>
  <c r="S109" i="42" s="1"/>
  <c r="U109" i="42"/>
  <c r="J109" i="42"/>
  <c r="W109" i="42"/>
  <c r="C109" i="42"/>
  <c r="D109" i="42"/>
  <c r="X109" i="42"/>
  <c r="C108" i="3"/>
  <c r="J108" i="3"/>
  <c r="F108" i="3"/>
  <c r="N108" i="3"/>
  <c r="M108" i="3"/>
  <c r="K108" i="3"/>
  <c r="I108" i="3"/>
  <c r="P108" i="3"/>
  <c r="L108" i="3"/>
  <c r="E108" i="3"/>
  <c r="D108" i="3"/>
  <c r="O108" i="3"/>
  <c r="Q108" i="3"/>
  <c r="R108" i="3" s="1"/>
  <c r="H118" i="42"/>
  <c r="I118" i="42"/>
  <c r="W118" i="42"/>
  <c r="J118" i="42"/>
  <c r="N118" i="42"/>
  <c r="D118" i="42"/>
  <c r="Q118" i="42"/>
  <c r="G118" i="42"/>
  <c r="K118" i="42"/>
  <c r="C118" i="42"/>
  <c r="T118" i="42"/>
  <c r="R118" i="42"/>
  <c r="L118" i="42"/>
  <c r="C104" i="3"/>
  <c r="J104" i="3"/>
  <c r="F104" i="3"/>
  <c r="N104" i="3"/>
  <c r="E104" i="3"/>
  <c r="L104" i="3"/>
  <c r="K104" i="3"/>
  <c r="D104" i="3"/>
  <c r="M104" i="3"/>
  <c r="I104" i="3"/>
  <c r="P104" i="3"/>
  <c r="O104" i="3"/>
  <c r="Q104" i="3"/>
  <c r="R104" i="3" s="1"/>
  <c r="F117" i="42"/>
  <c r="K117" i="42"/>
  <c r="T117" i="42"/>
  <c r="G117" i="42"/>
  <c r="L117" i="42"/>
  <c r="C117" i="42"/>
  <c r="H117" i="42"/>
  <c r="N117" i="42"/>
  <c r="Q117" i="42"/>
  <c r="D117" i="42"/>
  <c r="J117" i="42"/>
  <c r="I117" i="42"/>
  <c r="R117" i="42"/>
  <c r="W117" i="42"/>
  <c r="C113" i="3"/>
  <c r="D113" i="3"/>
  <c r="L113" i="3"/>
  <c r="P113" i="3"/>
  <c r="E113" i="3"/>
  <c r="I113" i="3"/>
  <c r="M113" i="3"/>
  <c r="F113" i="3"/>
  <c r="J113" i="3"/>
  <c r="N113" i="3"/>
  <c r="O113" i="3"/>
  <c r="K113" i="3"/>
  <c r="Q113" i="3"/>
  <c r="R113" i="3" s="1"/>
  <c r="G112" i="42"/>
  <c r="L112" i="42"/>
  <c r="E112" i="42"/>
  <c r="I112" i="42"/>
  <c r="K112" i="42"/>
  <c r="F112" i="42"/>
  <c r="W112" i="42"/>
  <c r="D112" i="42"/>
  <c r="T112" i="42"/>
  <c r="N112" i="42"/>
  <c r="H112" i="42"/>
  <c r="Q112" i="42"/>
  <c r="C112" i="42"/>
  <c r="J112" i="42"/>
  <c r="U112" i="42"/>
  <c r="R112" i="42"/>
  <c r="S112" i="42" s="1"/>
  <c r="X112" i="42" s="1"/>
  <c r="C106" i="42"/>
  <c r="D106" i="42"/>
  <c r="I106" i="42"/>
  <c r="Q106" i="42"/>
  <c r="E106" i="42"/>
  <c r="J106" i="42"/>
  <c r="W106" i="42"/>
  <c r="F106" i="42"/>
  <c r="L106" i="42"/>
  <c r="H106" i="42"/>
  <c r="N106" i="42"/>
  <c r="K106" i="42"/>
  <c r="G106" i="42"/>
  <c r="T106" i="42"/>
  <c r="U106" i="42" s="1"/>
  <c r="R106" i="42"/>
  <c r="S106" i="42" s="1"/>
  <c r="X106" i="42"/>
  <c r="F107" i="42"/>
  <c r="N107" i="42"/>
  <c r="C107" i="42"/>
  <c r="T107" i="42"/>
  <c r="U107" i="42" s="1"/>
  <c r="Q107" i="42"/>
  <c r="I107" i="42"/>
  <c r="G107" i="42"/>
  <c r="D107" i="42"/>
  <c r="E107" i="42"/>
  <c r="J107" i="42"/>
  <c r="K107" i="42"/>
  <c r="H107" i="42"/>
  <c r="W107" i="42"/>
  <c r="L107" i="42"/>
  <c r="X107" i="42"/>
  <c r="R107" i="42"/>
  <c r="S107" i="42" s="1"/>
  <c r="C115" i="3"/>
  <c r="F115" i="3"/>
  <c r="J115" i="3"/>
  <c r="O115" i="3"/>
  <c r="L115" i="3"/>
  <c r="P115" i="3"/>
  <c r="D115" i="3"/>
  <c r="M115" i="3"/>
  <c r="E115" i="3"/>
  <c r="N115" i="3"/>
  <c r="I115" i="3"/>
  <c r="K115" i="3"/>
  <c r="Q115" i="3" s="1"/>
  <c r="R115" i="3" s="1"/>
  <c r="C110" i="42"/>
  <c r="E110" i="42"/>
  <c r="J110" i="42"/>
  <c r="Q110" i="42"/>
  <c r="F110" i="42"/>
  <c r="H110" i="42"/>
  <c r="S110" i="42"/>
  <c r="N110" i="42"/>
  <c r="R110" i="42"/>
  <c r="I110" i="42"/>
  <c r="W110" i="42"/>
  <c r="D110" i="42"/>
  <c r="L110" i="42"/>
  <c r="K110" i="42"/>
  <c r="G110" i="42"/>
  <c r="X110" i="42"/>
  <c r="T110" i="42"/>
  <c r="U110" i="42" s="1"/>
  <c r="C119" i="3"/>
  <c r="E119" i="3"/>
  <c r="F119" i="3"/>
  <c r="D119" i="3"/>
  <c r="E114" i="42"/>
  <c r="H114" i="42"/>
  <c r="Q114" i="42"/>
  <c r="I114" i="42"/>
  <c r="W114" i="42"/>
  <c r="J114" i="42"/>
  <c r="D114" i="42"/>
  <c r="N114" i="42"/>
  <c r="C114" i="42"/>
  <c r="T114" i="42"/>
  <c r="U114" i="42" s="1"/>
  <c r="F114" i="42"/>
  <c r="G114" i="42"/>
  <c r="L114" i="42"/>
  <c r="K114" i="42"/>
  <c r="R114" i="42"/>
  <c r="S114" i="42" s="1"/>
  <c r="X114" i="42" s="1"/>
  <c r="F105" i="42"/>
  <c r="N105" i="42"/>
  <c r="C105" i="42"/>
  <c r="T105" i="42"/>
  <c r="U105" i="42" s="1"/>
  <c r="Q105" i="42"/>
  <c r="R105" i="42"/>
  <c r="S105" i="42" s="1"/>
  <c r="J105" i="42"/>
  <c r="H105" i="42"/>
  <c r="G105" i="42"/>
  <c r="D105" i="42"/>
  <c r="E105" i="42"/>
  <c r="W105" i="42"/>
  <c r="K105" i="42"/>
  <c r="L105" i="42"/>
  <c r="I105" i="42"/>
  <c r="X105" i="42"/>
  <c r="C109" i="3"/>
  <c r="D109" i="3"/>
  <c r="L109" i="3"/>
  <c r="P109" i="3"/>
  <c r="E109" i="3"/>
  <c r="I109" i="3"/>
  <c r="M109" i="3"/>
  <c r="F109" i="3"/>
  <c r="J109" i="3"/>
  <c r="N109" i="3"/>
  <c r="O109" i="3"/>
  <c r="K109" i="3"/>
  <c r="Q109" i="3"/>
  <c r="R109" i="3" s="1"/>
  <c r="C102" i="42"/>
  <c r="D102" i="42"/>
  <c r="I102" i="42"/>
  <c r="Q102" i="42"/>
  <c r="E102" i="42"/>
  <c r="J102" i="42"/>
  <c r="W102" i="42"/>
  <c r="F102" i="42"/>
  <c r="L102" i="42"/>
  <c r="H102" i="42"/>
  <c r="N102" i="42"/>
  <c r="X102" i="42"/>
  <c r="K102" i="42"/>
  <c r="R102" i="42"/>
  <c r="S102" i="42" s="1"/>
  <c r="G102" i="42"/>
  <c r="T102" i="42"/>
  <c r="U102" i="42" s="1"/>
  <c r="C118" i="3"/>
  <c r="F118" i="3"/>
  <c r="D118" i="3"/>
  <c r="E118" i="3"/>
  <c r="C101" i="3"/>
  <c r="K101" i="3"/>
  <c r="O101" i="3"/>
  <c r="D101" i="3"/>
  <c r="L101" i="3"/>
  <c r="P101" i="3"/>
  <c r="E101" i="3"/>
  <c r="I101" i="3"/>
  <c r="M101" i="3"/>
  <c r="F101" i="3"/>
  <c r="J101" i="3"/>
  <c r="N101" i="3"/>
  <c r="Q101" i="3"/>
  <c r="R101" i="3" s="1"/>
  <c r="C117" i="3"/>
  <c r="E117" i="3"/>
  <c r="F117" i="3"/>
  <c r="D117" i="3"/>
  <c r="C112" i="3"/>
  <c r="J112" i="3"/>
  <c r="F112" i="3"/>
  <c r="N112" i="3"/>
  <c r="E112" i="3"/>
  <c r="L112" i="3"/>
  <c r="K112" i="3"/>
  <c r="D112" i="3"/>
  <c r="M112" i="3"/>
  <c r="O112" i="3"/>
  <c r="I112" i="3"/>
  <c r="P112" i="3"/>
  <c r="Q112" i="3"/>
  <c r="R112" i="3" s="1"/>
  <c r="H111" i="42"/>
  <c r="C111" i="42"/>
  <c r="N111" i="42"/>
  <c r="L111" i="42"/>
  <c r="T111" i="42"/>
  <c r="G111" i="42"/>
  <c r="J111" i="42"/>
  <c r="W111" i="42"/>
  <c r="R111" i="42"/>
  <c r="S111" i="42" s="1"/>
  <c r="Q111" i="42"/>
  <c r="D111" i="42"/>
  <c r="E111" i="42"/>
  <c r="F111" i="42"/>
  <c r="K111" i="42"/>
  <c r="I111" i="42"/>
  <c r="U111" i="42"/>
  <c r="X111" i="42"/>
  <c r="C106" i="3"/>
  <c r="J106" i="3"/>
  <c r="N106" i="3"/>
  <c r="I106" i="3"/>
  <c r="P106" i="3"/>
  <c r="D106" i="3"/>
  <c r="K106" i="3"/>
  <c r="F106" i="3"/>
  <c r="E106" i="3"/>
  <c r="L106" i="3"/>
  <c r="O106" i="3"/>
  <c r="M106" i="3"/>
  <c r="Q106" i="3"/>
  <c r="R106" i="3" s="1"/>
  <c r="C93" i="3"/>
  <c r="K93" i="3"/>
  <c r="O93" i="3"/>
  <c r="D93" i="3"/>
  <c r="L93" i="3"/>
  <c r="P93" i="3"/>
  <c r="E93" i="3"/>
  <c r="I93" i="3"/>
  <c r="M93" i="3"/>
  <c r="F93" i="3"/>
  <c r="N93" i="3"/>
  <c r="J93" i="3"/>
  <c r="Q93" i="3"/>
  <c r="R93" i="3" s="1"/>
  <c r="G116" i="42"/>
  <c r="E116" i="42"/>
  <c r="N116" i="42"/>
  <c r="O116" i="42" s="1"/>
  <c r="K116" i="42"/>
  <c r="H116" i="42"/>
  <c r="W116" i="42"/>
  <c r="L116" i="42"/>
  <c r="R116" i="42" s="1"/>
  <c r="S116" i="42" s="1"/>
  <c r="I116" i="42"/>
  <c r="T116" i="42"/>
  <c r="J116" i="42"/>
  <c r="U116" i="42"/>
  <c r="Q116" i="42"/>
  <c r="C116" i="42"/>
  <c r="F116" i="42"/>
  <c r="D116" i="42"/>
  <c r="X116" i="42"/>
  <c r="C107" i="3"/>
  <c r="F107" i="3"/>
  <c r="J107" i="3"/>
  <c r="N107" i="3"/>
  <c r="K107" i="3"/>
  <c r="O107" i="3"/>
  <c r="D107" i="3"/>
  <c r="L107" i="3"/>
  <c r="P107" i="3"/>
  <c r="M107" i="3"/>
  <c r="I107" i="3"/>
  <c r="E107" i="3"/>
  <c r="Q107" i="3"/>
  <c r="R107" i="3" s="1"/>
  <c r="C110" i="3"/>
  <c r="J110" i="3"/>
  <c r="F110" i="3"/>
  <c r="N110" i="3"/>
  <c r="D110" i="3"/>
  <c r="P110" i="3"/>
  <c r="K110" i="3"/>
  <c r="M110" i="3"/>
  <c r="O110" i="3"/>
  <c r="I110" i="3"/>
  <c r="E110" i="3"/>
  <c r="L110" i="3"/>
  <c r="Q110" i="3"/>
  <c r="R110" i="3" s="1"/>
  <c r="C114" i="3"/>
  <c r="J114" i="3"/>
  <c r="F114" i="3"/>
  <c r="N114" i="3"/>
  <c r="I114" i="3"/>
  <c r="P114" i="3"/>
  <c r="K114" i="3"/>
  <c r="E114" i="3"/>
  <c r="L114" i="3"/>
  <c r="O114" i="3"/>
  <c r="D114" i="3"/>
  <c r="M114" i="3"/>
  <c r="Q114" i="3"/>
  <c r="R114" i="3" s="1"/>
  <c r="C105" i="3"/>
  <c r="K105" i="3"/>
  <c r="O105" i="3"/>
  <c r="D105" i="3"/>
  <c r="L105" i="3"/>
  <c r="P105" i="3"/>
  <c r="E105" i="3"/>
  <c r="I105" i="3"/>
  <c r="M105" i="3"/>
  <c r="J105" i="3"/>
  <c r="N105" i="3"/>
  <c r="F105" i="3"/>
  <c r="Q105" i="3"/>
  <c r="R105" i="3" s="1"/>
  <c r="F103" i="42"/>
  <c r="N103" i="42"/>
  <c r="K103" i="42"/>
  <c r="H103" i="42"/>
  <c r="E103" i="42"/>
  <c r="W103" i="42"/>
  <c r="L103" i="42"/>
  <c r="I103" i="42"/>
  <c r="D103" i="42"/>
  <c r="R103" i="42"/>
  <c r="S103" i="42" s="1"/>
  <c r="J103" i="42"/>
  <c r="U103" i="42"/>
  <c r="T103" i="42"/>
  <c r="C103" i="42"/>
  <c r="Q103" i="42"/>
  <c r="G103" i="42"/>
  <c r="X103" i="42"/>
  <c r="C102" i="3"/>
  <c r="F102" i="3"/>
  <c r="N102" i="3"/>
  <c r="J102" i="3"/>
  <c r="D102" i="3"/>
  <c r="M102" i="3"/>
  <c r="O102" i="3"/>
  <c r="P102" i="3"/>
  <c r="K102" i="3"/>
  <c r="I102" i="3"/>
  <c r="E102" i="3"/>
  <c r="L102" i="3"/>
  <c r="Q102" i="3"/>
  <c r="R102" i="3" s="1"/>
  <c r="C96" i="3"/>
  <c r="J96" i="3"/>
  <c r="N96" i="3"/>
  <c r="F96" i="3"/>
  <c r="E96" i="3"/>
  <c r="L96" i="3"/>
  <c r="K96" i="3"/>
  <c r="M96" i="3"/>
  <c r="D96" i="3"/>
  <c r="O96" i="3"/>
  <c r="I96" i="3"/>
  <c r="P96" i="3"/>
  <c r="Q96" i="3"/>
  <c r="R96" i="3" s="1"/>
  <c r="C111" i="3"/>
  <c r="F111" i="3"/>
  <c r="J111" i="3"/>
  <c r="N111" i="3"/>
  <c r="K111" i="3"/>
  <c r="O111" i="3"/>
  <c r="D111" i="3"/>
  <c r="L111" i="3"/>
  <c r="P111" i="3"/>
  <c r="E111" i="3"/>
  <c r="I111" i="3"/>
  <c r="M111" i="3"/>
  <c r="Q111" i="3"/>
  <c r="R111" i="3" s="1"/>
  <c r="C116" i="3"/>
  <c r="F116" i="3"/>
  <c r="N116" i="3"/>
  <c r="J116" i="3"/>
  <c r="I116" i="3"/>
  <c r="K116" i="3"/>
  <c r="E116" i="3"/>
  <c r="P116" i="3"/>
  <c r="L116" i="3"/>
  <c r="D116" i="3"/>
  <c r="M116" i="3"/>
  <c r="O116" i="3"/>
  <c r="Q116" i="3"/>
  <c r="R116" i="3" s="1"/>
  <c r="C94" i="3"/>
  <c r="F94" i="3"/>
  <c r="N94" i="3"/>
  <c r="J94" i="3"/>
  <c r="D94" i="3"/>
  <c r="I94" i="3"/>
  <c r="P94" i="3"/>
  <c r="K94" i="3"/>
  <c r="M94" i="3"/>
  <c r="O94" i="3"/>
  <c r="E94" i="3"/>
  <c r="L94" i="3"/>
  <c r="Q94" i="3"/>
  <c r="R94" i="3" s="1"/>
  <c r="C98" i="3"/>
  <c r="J98" i="3"/>
  <c r="F98" i="3"/>
  <c r="N98" i="3"/>
  <c r="I98" i="3"/>
  <c r="P98" i="3"/>
  <c r="K98" i="3"/>
  <c r="E98" i="3"/>
  <c r="L98" i="3"/>
  <c r="O98" i="3"/>
  <c r="D98" i="3"/>
  <c r="M98" i="3"/>
  <c r="Q98" i="3"/>
  <c r="R98" i="3" s="1"/>
  <c r="F119" i="42"/>
  <c r="H119" i="3"/>
  <c r="G119" i="3"/>
  <c r="E119" i="42"/>
  <c r="HP11" i="25"/>
  <c r="HP13" i="25" s="1"/>
  <c r="HP12" i="25" s="1"/>
  <c r="BL64" i="25"/>
  <c r="BL96" i="25"/>
  <c r="Z89" i="25"/>
  <c r="P89" i="20"/>
  <c r="BM90" i="25"/>
  <c r="BL98" i="25"/>
  <c r="AN98" i="25"/>
  <c r="X98" i="19" s="1"/>
  <c r="BL63" i="25"/>
  <c r="BJ59" i="25"/>
  <c r="BL59" i="25"/>
  <c r="BJ79" i="25"/>
  <c r="BN75" i="25"/>
  <c r="BN60" i="25"/>
  <c r="BM72" i="25"/>
  <c r="BN84" i="25"/>
  <c r="BL78" i="25"/>
  <c r="AN80" i="25"/>
  <c r="X80" i="19" s="1"/>
  <c r="JD16" i="25"/>
  <c r="BJ16" i="25" s="1"/>
  <c r="AN76" i="25"/>
  <c r="X76" i="19" s="1"/>
  <c r="AN81" i="25"/>
  <c r="X81" i="19" s="1"/>
  <c r="BM68" i="25"/>
  <c r="BL60" i="25"/>
  <c r="BL80" i="25"/>
  <c r="Y89" i="25"/>
  <c r="AA89" i="25"/>
  <c r="MG89" i="25" s="1"/>
  <c r="MH89" i="25" s="1"/>
  <c r="ER92" i="25"/>
  <c r="V97" i="25"/>
  <c r="T97" i="25"/>
  <c r="X97" i="25" s="1"/>
  <c r="P97" i="20" s="1"/>
  <c r="T90" i="25"/>
  <c r="X90" i="25" s="1"/>
  <c r="P90" i="20" s="1"/>
  <c r="V90" i="25"/>
  <c r="T94" i="25"/>
  <c r="X94" i="25" s="1"/>
  <c r="P94" i="20" s="1"/>
  <c r="V94" i="25"/>
  <c r="AA77" i="25"/>
  <c r="MG77" i="25" s="1"/>
  <c r="MH77" i="25" s="1"/>
  <c r="Y77" i="25"/>
  <c r="Z77" i="25"/>
  <c r="T86" i="25"/>
  <c r="X86" i="25" s="1"/>
  <c r="P86" i="20" s="1"/>
  <c r="V86" i="25"/>
  <c r="T95" i="25"/>
  <c r="X95" i="25" s="1"/>
  <c r="P95" i="20" s="1"/>
  <c r="V95" i="25"/>
  <c r="T78" i="25"/>
  <c r="X78" i="25" s="1"/>
  <c r="P78" i="20" s="1"/>
  <c r="V78" i="25"/>
  <c r="V76" i="25"/>
  <c r="T76" i="25"/>
  <c r="X76" i="25" s="1"/>
  <c r="P76" i="20" s="1"/>
  <c r="AA93" i="25"/>
  <c r="NG93" i="25" s="1"/>
  <c r="NH93" i="25" s="1"/>
  <c r="Y93" i="25"/>
  <c r="Z93" i="25"/>
  <c r="V96" i="25"/>
  <c r="T96" i="25"/>
  <c r="X96" i="25" s="1"/>
  <c r="P96" i="20" s="1"/>
  <c r="ER99" i="25"/>
  <c r="T79" i="25"/>
  <c r="X79" i="25" s="1"/>
  <c r="P79" i="20" s="1"/>
  <c r="V79" i="25"/>
  <c r="V92" i="25"/>
  <c r="T92" i="25"/>
  <c r="X92" i="25" s="1"/>
  <c r="P92" i="20" s="1"/>
  <c r="T72" i="25"/>
  <c r="X72" i="25" s="1"/>
  <c r="P72" i="20" s="1"/>
  <c r="V72" i="25"/>
  <c r="T75" i="25"/>
  <c r="X75" i="25" s="1"/>
  <c r="P75" i="20" s="1"/>
  <c r="V75" i="25"/>
  <c r="V81" i="25"/>
  <c r="T81" i="25"/>
  <c r="X81" i="25" s="1"/>
  <c r="P81" i="20" s="1"/>
  <c r="T87" i="25"/>
  <c r="X87" i="25" s="1"/>
  <c r="P87" i="20" s="1"/>
  <c r="V87" i="25"/>
  <c r="T103" i="25"/>
  <c r="X103" i="25" s="1"/>
  <c r="P103" i="20" s="1"/>
  <c r="V103" i="25"/>
  <c r="V98" i="25"/>
  <c r="T98" i="25"/>
  <c r="X98" i="25" s="1"/>
  <c r="P98" i="20" s="1"/>
  <c r="T83" i="25"/>
  <c r="X83" i="25" s="1"/>
  <c r="P83" i="20" s="1"/>
  <c r="V83" i="25"/>
  <c r="T99" i="25"/>
  <c r="X99" i="25" s="1"/>
  <c r="P99" i="20" s="1"/>
  <c r="V99" i="25"/>
  <c r="T88" i="25"/>
  <c r="X88" i="25" s="1"/>
  <c r="P88" i="20" s="1"/>
  <c r="V88" i="25"/>
  <c r="AA73" i="25"/>
  <c r="MG73" i="25" s="1"/>
  <c r="MH73" i="25" s="1"/>
  <c r="Y73" i="25"/>
  <c r="Z73" i="25"/>
  <c r="T91" i="25"/>
  <c r="X91" i="25" s="1"/>
  <c r="P91" i="20" s="1"/>
  <c r="V91" i="25"/>
  <c r="T102" i="25"/>
  <c r="X102" i="25" s="1"/>
  <c r="P102" i="20" s="1"/>
  <c r="V102" i="25"/>
  <c r="AA85" i="25"/>
  <c r="MG85" i="25" s="1"/>
  <c r="MH85" i="25" s="1"/>
  <c r="Z85" i="25"/>
  <c r="Y85" i="25"/>
  <c r="LG85" i="25" s="1"/>
  <c r="LH85" i="25" s="1"/>
  <c r="T80" i="25"/>
  <c r="X80" i="25" s="1"/>
  <c r="P80" i="20" s="1"/>
  <c r="V80" i="25"/>
  <c r="V104" i="25"/>
  <c r="T104" i="25"/>
  <c r="X104" i="25" s="1"/>
  <c r="Q104" i="19" s="1"/>
  <c r="P104" i="20" s="1"/>
  <c r="V84" i="25"/>
  <c r="T84" i="25"/>
  <c r="X84" i="25" s="1"/>
  <c r="P84" i="20" s="1"/>
  <c r="V101" i="25"/>
  <c r="T101" i="25"/>
  <c r="X101" i="25" s="1"/>
  <c r="P101" i="20" s="1"/>
  <c r="V74" i="25"/>
  <c r="T74" i="25"/>
  <c r="X74" i="25" s="1"/>
  <c r="P74" i="20" s="1"/>
  <c r="T82" i="25"/>
  <c r="X82" i="25" s="1"/>
  <c r="P82" i="20" s="1"/>
  <c r="V82" i="25"/>
  <c r="V100" i="25"/>
  <c r="T100" i="25"/>
  <c r="X100" i="25" s="1"/>
  <c r="P100" i="20" s="1"/>
  <c r="JD15" i="25"/>
  <c r="BJ15" i="25" s="1"/>
  <c r="LD16" i="25"/>
  <c r="BL16" i="25" s="1"/>
  <c r="LF16" i="25"/>
  <c r="LF17" i="25"/>
  <c r="JD17" i="25"/>
  <c r="BJ17" i="25" s="1"/>
  <c r="NF17" i="25"/>
  <c r="ND17" i="25"/>
  <c r="BN17" i="25" s="1"/>
  <c r="ND18" i="25"/>
  <c r="BN18" i="25" s="1"/>
  <c r="NF18" i="25"/>
  <c r="DP16" i="25"/>
  <c r="ID16" i="25"/>
  <c r="DP17" i="25"/>
  <c r="ID17" i="25"/>
  <c r="ND16" i="25"/>
  <c r="BN16" i="25" s="1"/>
  <c r="NF16" i="25"/>
  <c r="LD18" i="25"/>
  <c r="BL18" i="25" s="1"/>
  <c r="LF18" i="25"/>
  <c r="DP18" i="25"/>
  <c r="ID18" i="25"/>
  <c r="JD18" i="25"/>
  <c r="BJ18" i="25" s="1"/>
  <c r="JF18" i="25"/>
  <c r="MD18" i="25"/>
  <c r="BM18" i="25" s="1"/>
  <c r="J48" i="12"/>
  <c r="J52" i="12" s="1"/>
  <c r="H35" i="22"/>
  <c r="G43" i="22"/>
  <c r="I60" i="22"/>
  <c r="J60" i="22" s="1"/>
  <c r="K60" i="22" s="1"/>
  <c r="H73" i="22"/>
  <c r="F74" i="22" s="1"/>
  <c r="F75" i="22" s="1"/>
  <c r="H6" i="22"/>
  <c r="G14" i="22"/>
  <c r="F15" i="22" s="1"/>
  <c r="AC84" i="25"/>
  <c r="AC85" i="25"/>
  <c r="AC83" i="25"/>
  <c r="AC93" i="25"/>
  <c r="AC89" i="25"/>
  <c r="I109" i="25"/>
  <c r="LJ100" i="25"/>
  <c r="JJ100" i="25"/>
  <c r="JJ90" i="25"/>
  <c r="LJ90" i="25"/>
  <c r="MJ100" i="25"/>
  <c r="B88" i="42"/>
  <c r="B72" i="42"/>
  <c r="B93" i="42"/>
  <c r="B77" i="42"/>
  <c r="B90" i="42"/>
  <c r="B74" i="42"/>
  <c r="B95" i="42"/>
  <c r="B79" i="42"/>
  <c r="B100" i="42"/>
  <c r="B84" i="42"/>
  <c r="B89" i="42"/>
  <c r="B73" i="42"/>
  <c r="B86" i="42"/>
  <c r="B91" i="42"/>
  <c r="B75" i="42"/>
  <c r="B96" i="42"/>
  <c r="B80" i="42"/>
  <c r="B101" i="42"/>
  <c r="B85" i="42"/>
  <c r="B98" i="42"/>
  <c r="B82" i="42"/>
  <c r="B87" i="42"/>
  <c r="B71" i="42"/>
  <c r="B92" i="42"/>
  <c r="B76" i="42"/>
  <c r="B97" i="42"/>
  <c r="B81" i="42"/>
  <c r="B94" i="42"/>
  <c r="B78" i="42"/>
  <c r="B99" i="42"/>
  <c r="B83" i="42"/>
  <c r="LG110" i="25"/>
  <c r="KG110" i="25"/>
  <c r="LG109" i="25"/>
  <c r="KG109" i="25"/>
  <c r="LG116" i="25"/>
  <c r="KG116" i="25"/>
  <c r="LG112" i="25"/>
  <c r="KG112" i="25"/>
  <c r="LG111" i="25"/>
  <c r="KG111" i="25"/>
  <c r="LG114" i="25"/>
  <c r="KG114" i="25"/>
  <c r="LG117" i="25"/>
  <c r="KG117" i="25"/>
  <c r="LG107" i="25"/>
  <c r="KG107" i="25"/>
  <c r="LG118" i="25"/>
  <c r="KG118" i="25"/>
  <c r="LG113" i="25"/>
  <c r="KG113" i="25"/>
  <c r="LG105" i="25"/>
  <c r="KG105" i="25"/>
  <c r="LG106" i="25"/>
  <c r="KG106" i="25"/>
  <c r="LG108" i="25"/>
  <c r="KG108" i="25"/>
  <c r="LG115" i="25"/>
  <c r="KG115" i="25"/>
  <c r="NG118" i="25"/>
  <c r="MG118" i="25"/>
  <c r="MG113" i="25"/>
  <c r="NG113" i="25"/>
  <c r="MG105" i="25"/>
  <c r="NG105" i="25"/>
  <c r="NG106" i="25"/>
  <c r="MG106" i="25"/>
  <c r="MG108" i="25"/>
  <c r="NG108" i="25"/>
  <c r="NG115" i="25"/>
  <c r="MG115" i="25"/>
  <c r="NG110" i="25"/>
  <c r="MG110" i="25"/>
  <c r="MG109" i="25"/>
  <c r="NG109" i="25"/>
  <c r="NG89" i="25"/>
  <c r="NH89" i="25" s="1"/>
  <c r="MG116" i="25"/>
  <c r="NG116" i="25"/>
  <c r="MG112" i="25"/>
  <c r="NG112" i="25"/>
  <c r="NG111" i="25"/>
  <c r="MG111" i="25"/>
  <c r="NG114" i="25"/>
  <c r="MG114" i="25"/>
  <c r="MG117" i="25"/>
  <c r="NG117" i="25"/>
  <c r="NG107" i="25"/>
  <c r="MG107" i="25"/>
  <c r="FC116" i="25"/>
  <c r="DQ96" i="25"/>
  <c r="DT96" i="25" s="1"/>
  <c r="FC115" i="25"/>
  <c r="FC118" i="25"/>
  <c r="FC117" i="25"/>
  <c r="FC114" i="25"/>
  <c r="FC113" i="25"/>
  <c r="Q26" i="35"/>
  <c r="Q25" i="35"/>
  <c r="Q22" i="35"/>
  <c r="Q19" i="35" s="1"/>
  <c r="Q24" i="35"/>
  <c r="ML113" i="25"/>
  <c r="I61" i="25"/>
  <c r="S61" i="25" s="1"/>
  <c r="AD108" i="19"/>
  <c r="DR104" i="25"/>
  <c r="NL105" i="25"/>
  <c r="ML105" i="25"/>
  <c r="JJ91" i="25"/>
  <c r="KJ91" i="25"/>
  <c r="LJ91" i="25"/>
  <c r="JJ95" i="25"/>
  <c r="KJ95" i="25"/>
  <c r="DR90" i="25"/>
  <c r="KJ90" i="25"/>
  <c r="DS90" i="25"/>
  <c r="FA90" i="25"/>
  <c r="FE90" i="25"/>
  <c r="MJ90" i="25"/>
  <c r="KA90" i="25"/>
  <c r="KF90" i="25" s="1"/>
  <c r="DQ103" i="25"/>
  <c r="DT103" i="25" s="1"/>
  <c r="FE103" i="25"/>
  <c r="KA103" i="25"/>
  <c r="KF103" i="25" s="1"/>
  <c r="KJ103" i="25"/>
  <c r="DR103" i="25"/>
  <c r="MJ103" i="25"/>
  <c r="JJ103" i="25"/>
  <c r="I81" i="25"/>
  <c r="S81" i="25" s="1"/>
  <c r="I113" i="25"/>
  <c r="I115" i="25"/>
  <c r="I99" i="25"/>
  <c r="S99" i="25" s="1"/>
  <c r="KL115" i="25"/>
  <c r="NK115" i="25"/>
  <c r="NJ96" i="25"/>
  <c r="NL112" i="25"/>
  <c r="JJ112" i="25"/>
  <c r="KA112" i="25"/>
  <c r="KK112" i="25"/>
  <c r="KJ112" i="25"/>
  <c r="EN112" i="25"/>
  <c r="NK112" i="25"/>
  <c r="MJ112" i="25"/>
  <c r="ML112" i="25"/>
  <c r="MK112" i="25"/>
  <c r="KL112" i="25"/>
  <c r="JK112" i="25"/>
  <c r="FA103" i="25"/>
  <c r="DQ90" i="25"/>
  <c r="DT90" i="25" s="1"/>
  <c r="I120" i="25"/>
  <c r="DS103" i="25"/>
  <c r="DU115" i="25"/>
  <c r="I104" i="25"/>
  <c r="S104" i="25" s="1"/>
  <c r="B80" i="3"/>
  <c r="I97" i="25"/>
  <c r="S97" i="25" s="1"/>
  <c r="I86" i="25"/>
  <c r="S86" i="25" s="1"/>
  <c r="B85" i="3"/>
  <c r="I118" i="25"/>
  <c r="I102" i="25"/>
  <c r="S102" i="25" s="1"/>
  <c r="B82" i="3"/>
  <c r="I88" i="25"/>
  <c r="S88" i="25" s="1"/>
  <c r="B87" i="3"/>
  <c r="S87" i="3" s="1"/>
  <c r="B71" i="3"/>
  <c r="I116" i="25"/>
  <c r="I100" i="25"/>
  <c r="S100" i="25" s="1"/>
  <c r="B92" i="3"/>
  <c r="E92" i="3" s="1"/>
  <c r="B76" i="3"/>
  <c r="I82" i="25"/>
  <c r="S82" i="25" s="1"/>
  <c r="B81" i="3"/>
  <c r="I114" i="25"/>
  <c r="I98" i="25"/>
  <c r="S98" i="25" s="1"/>
  <c r="I79" i="25"/>
  <c r="S79" i="25" s="1"/>
  <c r="B78" i="3"/>
  <c r="I111" i="25"/>
  <c r="I95" i="25"/>
  <c r="S95" i="25" s="1"/>
  <c r="B83" i="3"/>
  <c r="I112" i="25"/>
  <c r="I96" i="25"/>
  <c r="S96" i="25" s="1"/>
  <c r="I105" i="25"/>
  <c r="I78" i="25"/>
  <c r="S78" i="25" s="1"/>
  <c r="I110" i="25"/>
  <c r="I94" i="25"/>
  <c r="S94" i="25" s="1"/>
  <c r="B74" i="3"/>
  <c r="I107" i="25"/>
  <c r="I91" i="25"/>
  <c r="S91" i="25" s="1"/>
  <c r="I80" i="25"/>
  <c r="S80" i="25" s="1"/>
  <c r="I108" i="25"/>
  <c r="I92" i="25"/>
  <c r="S92" i="25" s="1"/>
  <c r="I117" i="25"/>
  <c r="I101" i="25"/>
  <c r="S101" i="25" s="1"/>
  <c r="B89" i="3"/>
  <c r="C89" i="3" s="1"/>
  <c r="B73" i="3"/>
  <c r="I106" i="25"/>
  <c r="I90" i="25"/>
  <c r="S90" i="25" s="1"/>
  <c r="I87" i="25"/>
  <c r="S87" i="25" s="1"/>
  <c r="I119" i="25"/>
  <c r="I103" i="25"/>
  <c r="S103" i="25" s="1"/>
  <c r="B91" i="3"/>
  <c r="E91" i="3" s="1"/>
  <c r="B75" i="3"/>
  <c r="LJ104" i="25"/>
  <c r="KJ89" i="25"/>
  <c r="NJ104" i="25"/>
  <c r="JJ107" i="25"/>
  <c r="KJ107" i="25"/>
  <c r="KA107" i="25"/>
  <c r="ML107" i="25"/>
  <c r="NJ107" i="25"/>
  <c r="DR107" i="25"/>
  <c r="AD107" i="19"/>
  <c r="I68" i="25"/>
  <c r="S68" i="25" s="1"/>
  <c r="LJ107" i="25"/>
  <c r="L104" i="25"/>
  <c r="FL104" i="25" s="1"/>
  <c r="LJ89" i="25"/>
  <c r="EN107" i="25"/>
  <c r="KL107" i="25"/>
  <c r="JL107" i="25"/>
  <c r="MJ107" i="25"/>
  <c r="NK107" i="25"/>
  <c r="FE107" i="25"/>
  <c r="DQ107" i="25"/>
  <c r="DU112" i="25"/>
  <c r="DU107" i="25"/>
  <c r="MA111" i="25"/>
  <c r="I66" i="25"/>
  <c r="S66" i="25" s="1"/>
  <c r="I63" i="25"/>
  <c r="S63" i="25" s="1"/>
  <c r="Q111" i="25"/>
  <c r="L107" i="25"/>
  <c r="LL107" i="25"/>
  <c r="KJ104" i="25"/>
  <c r="KA104" i="25"/>
  <c r="KF104" i="25" s="1"/>
  <c r="JJ104" i="25"/>
  <c r="MJ104" i="25"/>
  <c r="KK107" i="25"/>
  <c r="MK107" i="25"/>
  <c r="NL107" i="25"/>
  <c r="FA107" i="25"/>
  <c r="DS107" i="25"/>
  <c r="DV107" i="25"/>
  <c r="MA99" i="25"/>
  <c r="MF99" i="25" s="1"/>
  <c r="I77" i="25"/>
  <c r="S77" i="25" s="1"/>
  <c r="V111" i="19"/>
  <c r="B84" i="3"/>
  <c r="I69" i="25"/>
  <c r="S69" i="25" s="1"/>
  <c r="B86" i="3"/>
  <c r="S86" i="3" s="1"/>
  <c r="I71" i="25"/>
  <c r="S71" i="25" s="1"/>
  <c r="FE95" i="25"/>
  <c r="DS95" i="25"/>
  <c r="OE115" i="25"/>
  <c r="Z115" i="19"/>
  <c r="AD115" i="19"/>
  <c r="FA115" i="25"/>
  <c r="W115" i="19"/>
  <c r="Y115" i="19"/>
  <c r="ML115" i="25"/>
  <c r="JK115" i="25"/>
  <c r="AA115" i="19"/>
  <c r="U115" i="19"/>
  <c r="MA115" i="25"/>
  <c r="DS115" i="25"/>
  <c r="FE115" i="25"/>
  <c r="NL115" i="25"/>
  <c r="MK115" i="25"/>
  <c r="KK115" i="25"/>
  <c r="V115" i="19"/>
  <c r="DR91" i="25"/>
  <c r="DS100" i="25"/>
  <c r="FE100" i="25"/>
  <c r="DQ100" i="25"/>
  <c r="DT100" i="25" s="1"/>
  <c r="LL109" i="25"/>
  <c r="MJ89" i="25"/>
  <c r="MN89" i="25" s="1"/>
  <c r="MJ95" i="25"/>
  <c r="KA115" i="25"/>
  <c r="NJ115" i="25"/>
  <c r="L115" i="25"/>
  <c r="LL115" i="25"/>
  <c r="LJ95" i="25"/>
  <c r="LK109" i="25"/>
  <c r="LJ93" i="25"/>
  <c r="NJ89" i="25"/>
  <c r="EN115" i="25"/>
  <c r="JL115" i="25"/>
  <c r="DR115" i="25"/>
  <c r="DR95" i="25"/>
  <c r="MA95" i="25"/>
  <c r="MF95" i="25" s="1"/>
  <c r="DR112" i="25"/>
  <c r="FA112" i="25"/>
  <c r="Y112" i="19"/>
  <c r="LK115" i="25"/>
  <c r="LJ109" i="25"/>
  <c r="KL109" i="25"/>
  <c r="JJ115" i="25"/>
  <c r="KJ115" i="25"/>
  <c r="MJ115" i="25"/>
  <c r="FA95" i="25"/>
  <c r="DQ115" i="25"/>
  <c r="DQ95" i="25"/>
  <c r="DT95" i="25" s="1"/>
  <c r="DV115" i="25"/>
  <c r="I74" i="25"/>
  <c r="S74" i="25" s="1"/>
  <c r="I76" i="25"/>
  <c r="S76" i="25" s="1"/>
  <c r="Q115" i="25"/>
  <c r="I67" i="25"/>
  <c r="S67" i="25" s="1"/>
  <c r="I65" i="25"/>
  <c r="S65" i="25" s="1"/>
  <c r="I70" i="25"/>
  <c r="S70" i="25" s="1"/>
  <c r="I72" i="25"/>
  <c r="S72" i="25" s="1"/>
  <c r="I56" i="25"/>
  <c r="S56" i="25" s="1"/>
  <c r="OE87" i="25"/>
  <c r="OE71" i="25"/>
  <c r="OE88" i="25"/>
  <c r="OE72" i="25"/>
  <c r="OE56" i="25"/>
  <c r="OE73" i="25"/>
  <c r="OE57" i="25"/>
  <c r="OE74" i="25"/>
  <c r="OE58" i="25"/>
  <c r="OE114" i="25"/>
  <c r="OE117" i="25"/>
  <c r="OE94" i="25"/>
  <c r="OE91" i="25"/>
  <c r="OE96" i="25"/>
  <c r="OE75" i="25"/>
  <c r="OE59" i="25"/>
  <c r="OE76" i="25"/>
  <c r="OE60" i="25"/>
  <c r="OE77" i="25"/>
  <c r="OE61" i="25"/>
  <c r="OE78" i="25"/>
  <c r="OE62" i="25"/>
  <c r="OE118" i="25"/>
  <c r="OE102" i="25"/>
  <c r="OE113" i="25"/>
  <c r="OE105" i="25"/>
  <c r="OE97" i="25"/>
  <c r="OE90" i="25"/>
  <c r="OE103" i="25"/>
  <c r="OE92" i="25"/>
  <c r="OE108" i="25"/>
  <c r="OE107" i="25"/>
  <c r="OE79" i="25"/>
  <c r="OE63" i="25"/>
  <c r="OE80" i="25"/>
  <c r="OE64" i="25"/>
  <c r="OE81" i="25"/>
  <c r="OE65" i="25"/>
  <c r="OE82" i="25"/>
  <c r="OE66" i="25"/>
  <c r="OE106" i="25"/>
  <c r="OE98" i="25"/>
  <c r="OE104" i="25"/>
  <c r="OE116" i="25"/>
  <c r="OE83" i="25"/>
  <c r="OE67" i="25"/>
  <c r="OE84" i="25"/>
  <c r="OE68" i="25"/>
  <c r="OE85" i="25"/>
  <c r="OE69" i="25"/>
  <c r="OE86" i="25"/>
  <c r="OE70" i="25"/>
  <c r="OE110" i="25"/>
  <c r="OE109" i="25"/>
  <c r="OE101" i="25"/>
  <c r="OE93" i="25"/>
  <c r="OE89" i="25"/>
  <c r="OE100" i="25"/>
  <c r="OE112" i="25"/>
  <c r="OE95" i="25"/>
  <c r="AA110" i="19"/>
  <c r="Z110" i="19"/>
  <c r="AA109" i="19"/>
  <c r="Z109" i="19"/>
  <c r="Z100" i="19"/>
  <c r="AA116" i="19"/>
  <c r="Z116" i="19"/>
  <c r="AA114" i="19"/>
  <c r="Z114" i="19"/>
  <c r="AA117" i="19"/>
  <c r="Z117" i="19"/>
  <c r="Z91" i="19"/>
  <c r="AA112" i="19"/>
  <c r="Z112" i="19"/>
  <c r="AA118" i="19"/>
  <c r="Z118" i="19"/>
  <c r="AA113" i="19"/>
  <c r="Z113" i="19"/>
  <c r="AA105" i="19"/>
  <c r="Z105" i="19"/>
  <c r="Z90" i="19"/>
  <c r="Z103" i="19"/>
  <c r="Z92" i="19"/>
  <c r="AA106" i="19"/>
  <c r="Z106" i="19"/>
  <c r="Z104" i="19"/>
  <c r="AA108" i="19"/>
  <c r="Z108" i="19"/>
  <c r="AA107" i="19"/>
  <c r="Z107" i="19"/>
  <c r="I73" i="25"/>
  <c r="S73" i="25" s="1"/>
  <c r="B88" i="3"/>
  <c r="I57" i="25"/>
  <c r="S57" i="25" s="1"/>
  <c r="B72" i="3"/>
  <c r="I62" i="25"/>
  <c r="S62" i="25" s="1"/>
  <c r="B77" i="3"/>
  <c r="I75" i="25"/>
  <c r="S75" i="25" s="1"/>
  <c r="B90" i="3"/>
  <c r="I64" i="25"/>
  <c r="S64" i="25" s="1"/>
  <c r="B79" i="3"/>
  <c r="U110" i="19"/>
  <c r="Q110" i="25"/>
  <c r="V110" i="19"/>
  <c r="U113" i="19"/>
  <c r="Q113" i="25"/>
  <c r="V113" i="19"/>
  <c r="U105" i="19"/>
  <c r="Q105" i="25"/>
  <c r="V105" i="19"/>
  <c r="U108" i="19"/>
  <c r="Q108" i="25"/>
  <c r="V108" i="19"/>
  <c r="U114" i="19"/>
  <c r="Q114" i="25"/>
  <c r="V114" i="19"/>
  <c r="U116" i="19"/>
  <c r="Q116" i="25"/>
  <c r="V116" i="19"/>
  <c r="U112" i="19"/>
  <c r="Q112" i="25"/>
  <c r="V112" i="19"/>
  <c r="U118" i="19"/>
  <c r="Q118" i="25"/>
  <c r="V118" i="19"/>
  <c r="Q109" i="25"/>
  <c r="V109" i="19"/>
  <c r="U106" i="19"/>
  <c r="Q106" i="25"/>
  <c r="V106" i="19"/>
  <c r="U117" i="19"/>
  <c r="Q117" i="25"/>
  <c r="V117" i="19"/>
  <c r="Q104" i="25"/>
  <c r="U107" i="19"/>
  <c r="Q107" i="25"/>
  <c r="V107" i="19"/>
  <c r="FA98" i="25"/>
  <c r="FA91" i="25"/>
  <c r="DS91" i="25"/>
  <c r="FE91" i="25"/>
  <c r="DQ91" i="25"/>
  <c r="DT91" i="25" s="1"/>
  <c r="NJ91" i="25"/>
  <c r="MJ91" i="25"/>
  <c r="KA91" i="25"/>
  <c r="KF91" i="25" s="1"/>
  <c r="DS104" i="25"/>
  <c r="DQ104" i="25"/>
  <c r="DT104" i="25" s="1"/>
  <c r="FA104" i="25"/>
  <c r="FE104" i="25"/>
  <c r="FE108" i="25"/>
  <c r="DU108" i="25"/>
  <c r="MA108" i="25"/>
  <c r="MA112" i="25"/>
  <c r="W108" i="19"/>
  <c r="FA108" i="25"/>
  <c r="DQ112" i="25"/>
  <c r="DQ108" i="25"/>
  <c r="DV112" i="25"/>
  <c r="AD112" i="19"/>
  <c r="Y108" i="19"/>
  <c r="W112" i="19"/>
  <c r="FE112" i="25"/>
  <c r="DS112" i="25"/>
  <c r="DS108" i="25"/>
  <c r="DV108" i="25"/>
  <c r="JJ94" i="25"/>
  <c r="I58" i="25"/>
  <c r="S58" i="25" s="1"/>
  <c r="I59" i="25"/>
  <c r="S59" i="25" s="1"/>
  <c r="I60" i="25"/>
  <c r="S60" i="25" s="1"/>
  <c r="U109" i="19"/>
  <c r="NK109" i="25"/>
  <c r="ML109" i="25"/>
  <c r="JK109" i="25"/>
  <c r="KA109" i="25"/>
  <c r="EN109" i="25"/>
  <c r="NL109" i="25"/>
  <c r="NJ109" i="25"/>
  <c r="MK109" i="25"/>
  <c r="MJ109" i="25"/>
  <c r="KJ109" i="25"/>
  <c r="JL109" i="25"/>
  <c r="NJ101" i="25"/>
  <c r="JJ89" i="25"/>
  <c r="KA89" i="25"/>
  <c r="KF89" i="25" s="1"/>
  <c r="KK109" i="25"/>
  <c r="JJ109" i="25"/>
  <c r="FE96" i="25"/>
  <c r="DS98" i="25"/>
  <c r="DS116" i="25"/>
  <c r="DS96" i="25"/>
  <c r="DV116" i="25"/>
  <c r="FA96" i="25"/>
  <c r="DR98" i="25"/>
  <c r="DR116" i="25"/>
  <c r="DR96" i="25"/>
  <c r="AD116" i="19"/>
  <c r="FE116" i="25"/>
  <c r="FE98" i="25"/>
  <c r="DQ98" i="25"/>
  <c r="DT98" i="25" s="1"/>
  <c r="DU116" i="25"/>
  <c r="LL117" i="25"/>
  <c r="KA94" i="25"/>
  <c r="KF94" i="25" s="1"/>
  <c r="NJ94" i="25"/>
  <c r="L113" i="25"/>
  <c r="LJ113" i="25"/>
  <c r="LK105" i="25"/>
  <c r="KK113" i="25"/>
  <c r="KL105" i="25"/>
  <c r="JJ105" i="25"/>
  <c r="KK105" i="25"/>
  <c r="MK105" i="25"/>
  <c r="LJ105" i="25"/>
  <c r="JL105" i="25"/>
  <c r="KJ105" i="25"/>
  <c r="MJ105" i="25"/>
  <c r="NJ105" i="25"/>
  <c r="LL105" i="25"/>
  <c r="EN105" i="25"/>
  <c r="KA105" i="25"/>
  <c r="JK105" i="25"/>
  <c r="NK105" i="25"/>
  <c r="MA87" i="25"/>
  <c r="MF87" i="25" s="1"/>
  <c r="MA71" i="25"/>
  <c r="MF71" i="25" s="1"/>
  <c r="MA88" i="25"/>
  <c r="MF88" i="25" s="1"/>
  <c r="MA72" i="25"/>
  <c r="MF72" i="25" s="1"/>
  <c r="MA56" i="25"/>
  <c r="MF56" i="25" s="1"/>
  <c r="MA73" i="25"/>
  <c r="MF73" i="25" s="1"/>
  <c r="MA57" i="25"/>
  <c r="MF57" i="25" s="1"/>
  <c r="MA74" i="25"/>
  <c r="MF74" i="25" s="1"/>
  <c r="MA58" i="25"/>
  <c r="MF58" i="25" s="1"/>
  <c r="AD110" i="19"/>
  <c r="MA110" i="25"/>
  <c r="AD117" i="19"/>
  <c r="MA117" i="25"/>
  <c r="MA94" i="25"/>
  <c r="MF94" i="25" s="1"/>
  <c r="MA104" i="25"/>
  <c r="MF104" i="25" s="1"/>
  <c r="MA75" i="25"/>
  <c r="MF75" i="25" s="1"/>
  <c r="MA59" i="25"/>
  <c r="MF59" i="25" s="1"/>
  <c r="MA76" i="25"/>
  <c r="MF76" i="25" s="1"/>
  <c r="MA60" i="25"/>
  <c r="MF60" i="25" s="1"/>
  <c r="MA77" i="25"/>
  <c r="MF77" i="25" s="1"/>
  <c r="MA61" i="25"/>
  <c r="MF61" i="25" s="1"/>
  <c r="MA78" i="25"/>
  <c r="MF78" i="25" s="1"/>
  <c r="MA62" i="25"/>
  <c r="MF62" i="25" s="1"/>
  <c r="MA114" i="25"/>
  <c r="AD114" i="19"/>
  <c r="AD113" i="19"/>
  <c r="MA113" i="25"/>
  <c r="AD105" i="19"/>
  <c r="MA105" i="25"/>
  <c r="MA97" i="25"/>
  <c r="MF97" i="25" s="1"/>
  <c r="MA103" i="25"/>
  <c r="MF103" i="25" s="1"/>
  <c r="MA92" i="25"/>
  <c r="MF92" i="25" s="1"/>
  <c r="MA79" i="25"/>
  <c r="MF79" i="25" s="1"/>
  <c r="MA63" i="25"/>
  <c r="MF63" i="25" s="1"/>
  <c r="MA80" i="25"/>
  <c r="MF80" i="25" s="1"/>
  <c r="MA64" i="25"/>
  <c r="MF64" i="25" s="1"/>
  <c r="MA81" i="25"/>
  <c r="MF81" i="25" s="1"/>
  <c r="MA65" i="25"/>
  <c r="MF65" i="25" s="1"/>
  <c r="MA82" i="25"/>
  <c r="MF82" i="25" s="1"/>
  <c r="MA66" i="25"/>
  <c r="MF66" i="25" s="1"/>
  <c r="AD118" i="19"/>
  <c r="MA118" i="25"/>
  <c r="MA102" i="25"/>
  <c r="MF102" i="25" s="1"/>
  <c r="MA90" i="25"/>
  <c r="MF90" i="25" s="1"/>
  <c r="MA91" i="25"/>
  <c r="MF91" i="25" s="1"/>
  <c r="MA96" i="25"/>
  <c r="MF96" i="25" s="1"/>
  <c r="MA83" i="25"/>
  <c r="MF83" i="25" s="1"/>
  <c r="MA67" i="25"/>
  <c r="MF67" i="25" s="1"/>
  <c r="MA84" i="25"/>
  <c r="MF84" i="25" s="1"/>
  <c r="MA68" i="25"/>
  <c r="MF68" i="25" s="1"/>
  <c r="MA85" i="25"/>
  <c r="MF85" i="25" s="1"/>
  <c r="MA69" i="25"/>
  <c r="MF69" i="25" s="1"/>
  <c r="MA86" i="25"/>
  <c r="MF86" i="25" s="1"/>
  <c r="MA70" i="25"/>
  <c r="MF70" i="25" s="1"/>
  <c r="MA106" i="25"/>
  <c r="AD106" i="19"/>
  <c r="AD109" i="19"/>
  <c r="MA109" i="25"/>
  <c r="MA101" i="25"/>
  <c r="MF101" i="25" s="1"/>
  <c r="MA93" i="25"/>
  <c r="MF93" i="25" s="1"/>
  <c r="MA89" i="25"/>
  <c r="MF89" i="25" s="1"/>
  <c r="MA98" i="25"/>
  <c r="MF98" i="25" s="1"/>
  <c r="MA100" i="25"/>
  <c r="MF100" i="25" s="1"/>
  <c r="JL117" i="25"/>
  <c r="KJ117" i="25"/>
  <c r="MJ117" i="25"/>
  <c r="KJ94" i="25"/>
  <c r="MJ94" i="25"/>
  <c r="LJ94" i="25"/>
  <c r="JJ117" i="25"/>
  <c r="DV110" i="25"/>
  <c r="DU110" i="25"/>
  <c r="DV109" i="25"/>
  <c r="DU109" i="25"/>
  <c r="DV106" i="25"/>
  <c r="DU106" i="25"/>
  <c r="DV105" i="25"/>
  <c r="DU105" i="25"/>
  <c r="DV118" i="25"/>
  <c r="DU118" i="25"/>
  <c r="DV114" i="25"/>
  <c r="DU114" i="25"/>
  <c r="DV113" i="25"/>
  <c r="DU113" i="25"/>
  <c r="DV117" i="25"/>
  <c r="DU117" i="25"/>
  <c r="L117" i="25"/>
  <c r="LK113" i="25"/>
  <c r="KL113" i="25"/>
  <c r="JK113" i="25"/>
  <c r="NJ113" i="25"/>
  <c r="EN117" i="25"/>
  <c r="KA117" i="25"/>
  <c r="NL117" i="25"/>
  <c r="LK117" i="25"/>
  <c r="LJ97" i="25"/>
  <c r="EN113" i="25"/>
  <c r="KA113" i="25"/>
  <c r="NL113" i="25"/>
  <c r="JJ97" i="25"/>
  <c r="KJ97" i="25"/>
  <c r="MJ97" i="25"/>
  <c r="KL117" i="25"/>
  <c r="JK117" i="25"/>
  <c r="ML117" i="25"/>
  <c r="NK117" i="25"/>
  <c r="NJ117" i="25"/>
  <c r="LJ117" i="25"/>
  <c r="LL113" i="25"/>
  <c r="JL113" i="25"/>
  <c r="JJ113" i="25"/>
  <c r="KJ113" i="25"/>
  <c r="NK113" i="25"/>
  <c r="MJ113" i="25"/>
  <c r="NJ97" i="25"/>
  <c r="KK117" i="25"/>
  <c r="MK117" i="25"/>
  <c r="DR83" i="25"/>
  <c r="DQ83" i="25"/>
  <c r="DT83" i="25" s="1"/>
  <c r="DS83" i="25"/>
  <c r="DR67" i="25"/>
  <c r="DQ67" i="25"/>
  <c r="DT67" i="25" s="1"/>
  <c r="DS67" i="25"/>
  <c r="DR84" i="25"/>
  <c r="DQ84" i="25"/>
  <c r="DT84" i="25" s="1"/>
  <c r="DS84" i="25"/>
  <c r="DR68" i="25"/>
  <c r="DQ68" i="25"/>
  <c r="DT68" i="25" s="1"/>
  <c r="DS68" i="25"/>
  <c r="DR85" i="25"/>
  <c r="DQ85" i="25"/>
  <c r="DT85" i="25" s="1"/>
  <c r="DS85" i="25"/>
  <c r="DR69" i="25"/>
  <c r="DQ69" i="25"/>
  <c r="DT69" i="25" s="1"/>
  <c r="DS69" i="25"/>
  <c r="DR86" i="25"/>
  <c r="DQ86" i="25"/>
  <c r="DT86" i="25" s="1"/>
  <c r="DS86" i="25"/>
  <c r="DR70" i="25"/>
  <c r="DQ70" i="25"/>
  <c r="DT70" i="25" s="1"/>
  <c r="DS70" i="25"/>
  <c r="DR106" i="25"/>
  <c r="DQ106" i="25"/>
  <c r="DS106" i="25"/>
  <c r="DR113" i="25"/>
  <c r="DQ113" i="25"/>
  <c r="DS113" i="25"/>
  <c r="DR97" i="25"/>
  <c r="DQ97" i="25"/>
  <c r="DT97" i="25" s="1"/>
  <c r="DS97" i="25"/>
  <c r="DR117" i="25"/>
  <c r="DQ117" i="25"/>
  <c r="DS117" i="25"/>
  <c r="DR87" i="25"/>
  <c r="DQ87" i="25"/>
  <c r="DT87" i="25" s="1"/>
  <c r="DS87" i="25"/>
  <c r="DR71" i="25"/>
  <c r="DQ71" i="25"/>
  <c r="DT71" i="25" s="1"/>
  <c r="DS71" i="25"/>
  <c r="DR88" i="25"/>
  <c r="DQ88" i="25"/>
  <c r="DT88" i="25" s="1"/>
  <c r="DS88" i="25"/>
  <c r="DR72" i="25"/>
  <c r="DQ72" i="25"/>
  <c r="DT72" i="25" s="1"/>
  <c r="DS72" i="25"/>
  <c r="DR56" i="25"/>
  <c r="DQ56" i="25"/>
  <c r="DT56" i="25" s="1"/>
  <c r="DS56" i="25"/>
  <c r="DR73" i="25"/>
  <c r="DQ73" i="25"/>
  <c r="DT73" i="25" s="1"/>
  <c r="DS73" i="25"/>
  <c r="DR57" i="25"/>
  <c r="DQ57" i="25"/>
  <c r="DT57" i="25" s="1"/>
  <c r="DS57" i="25"/>
  <c r="DR74" i="25"/>
  <c r="DQ74" i="25"/>
  <c r="DT74" i="25" s="1"/>
  <c r="DS74" i="25"/>
  <c r="DR58" i="25"/>
  <c r="DQ58" i="25"/>
  <c r="DT58" i="25" s="1"/>
  <c r="DS58" i="25"/>
  <c r="DR118" i="25"/>
  <c r="DQ118" i="25"/>
  <c r="DS118" i="25"/>
  <c r="DR102" i="25"/>
  <c r="DQ102" i="25"/>
  <c r="DT102" i="25" s="1"/>
  <c r="DS102" i="25"/>
  <c r="DR109" i="25"/>
  <c r="DQ109" i="25"/>
  <c r="DS109" i="25"/>
  <c r="DR93" i="25"/>
  <c r="DQ93" i="25"/>
  <c r="DT93" i="25" s="1"/>
  <c r="DS93" i="25"/>
  <c r="DR75" i="25"/>
  <c r="DQ75" i="25"/>
  <c r="DT75" i="25" s="1"/>
  <c r="DS75" i="25"/>
  <c r="DR59" i="25"/>
  <c r="DQ59" i="25"/>
  <c r="DT59" i="25" s="1"/>
  <c r="DS59" i="25"/>
  <c r="DR76" i="25"/>
  <c r="DQ76" i="25"/>
  <c r="DT76" i="25" s="1"/>
  <c r="DS76" i="25"/>
  <c r="DR60" i="25"/>
  <c r="DQ60" i="25"/>
  <c r="DT60" i="25" s="1"/>
  <c r="DS60" i="25"/>
  <c r="DR77" i="25"/>
  <c r="DQ77" i="25"/>
  <c r="DT77" i="25" s="1"/>
  <c r="DS77" i="25"/>
  <c r="DR61" i="25"/>
  <c r="DQ61" i="25"/>
  <c r="DT61" i="25" s="1"/>
  <c r="DS61" i="25"/>
  <c r="DR78" i="25"/>
  <c r="DQ78" i="25"/>
  <c r="DT78" i="25" s="1"/>
  <c r="DS78" i="25"/>
  <c r="DR62" i="25"/>
  <c r="DQ62" i="25"/>
  <c r="DT62" i="25" s="1"/>
  <c r="DS62" i="25"/>
  <c r="DR114" i="25"/>
  <c r="DQ114" i="25"/>
  <c r="DS114" i="25"/>
  <c r="DR105" i="25"/>
  <c r="DQ105" i="25"/>
  <c r="DS105" i="25"/>
  <c r="DR89" i="25"/>
  <c r="DQ89" i="25"/>
  <c r="DT89" i="25" s="1"/>
  <c r="DS89" i="25"/>
  <c r="DR94" i="25"/>
  <c r="DQ94" i="25"/>
  <c r="DT94" i="25" s="1"/>
  <c r="DS94" i="25"/>
  <c r="DR79" i="25"/>
  <c r="DQ79" i="25"/>
  <c r="DT79" i="25" s="1"/>
  <c r="DS79" i="25"/>
  <c r="DR63" i="25"/>
  <c r="DQ63" i="25"/>
  <c r="DT63" i="25" s="1"/>
  <c r="DS63" i="25"/>
  <c r="DR80" i="25"/>
  <c r="DQ80" i="25"/>
  <c r="DT80" i="25" s="1"/>
  <c r="DS80" i="25"/>
  <c r="DR64" i="25"/>
  <c r="DQ64" i="25"/>
  <c r="DT64" i="25" s="1"/>
  <c r="DS64" i="25"/>
  <c r="DR81" i="25"/>
  <c r="DQ81" i="25"/>
  <c r="DT81" i="25" s="1"/>
  <c r="DS81" i="25"/>
  <c r="DR65" i="25"/>
  <c r="DQ65" i="25"/>
  <c r="DT65" i="25" s="1"/>
  <c r="DS65" i="25"/>
  <c r="DR82" i="25"/>
  <c r="DQ82" i="25"/>
  <c r="DT82" i="25" s="1"/>
  <c r="DS82" i="25"/>
  <c r="DR66" i="25"/>
  <c r="DQ66" i="25"/>
  <c r="DT66" i="25" s="1"/>
  <c r="DS66" i="25"/>
  <c r="DR110" i="25"/>
  <c r="DQ110" i="25"/>
  <c r="DS110" i="25"/>
  <c r="DR101" i="25"/>
  <c r="DQ101" i="25"/>
  <c r="DT101" i="25" s="1"/>
  <c r="DS101" i="25"/>
  <c r="LJ101" i="25"/>
  <c r="KA101" i="25"/>
  <c r="KF101" i="25" s="1"/>
  <c r="MJ101" i="25"/>
  <c r="JJ101" i="25"/>
  <c r="KJ101" i="25"/>
  <c r="Y105" i="19"/>
  <c r="L105" i="25"/>
  <c r="Z87" i="19"/>
  <c r="Z71" i="19"/>
  <c r="Z88" i="19"/>
  <c r="Z72" i="19"/>
  <c r="Z56" i="19"/>
  <c r="Z73" i="19"/>
  <c r="Z57" i="19"/>
  <c r="Z74" i="19"/>
  <c r="Z58" i="19"/>
  <c r="Z75" i="19"/>
  <c r="Z76" i="19"/>
  <c r="Z77" i="19"/>
  <c r="Z78" i="19"/>
  <c r="Z62" i="19"/>
  <c r="Z102" i="19"/>
  <c r="Z59" i="19"/>
  <c r="Z79" i="19"/>
  <c r="Z63" i="19"/>
  <c r="Z80" i="19"/>
  <c r="Z64" i="19"/>
  <c r="Z81" i="19"/>
  <c r="Z65" i="19"/>
  <c r="Z82" i="19"/>
  <c r="Z66" i="19"/>
  <c r="Z97" i="19"/>
  <c r="Z60" i="19"/>
  <c r="Z61" i="19"/>
  <c r="Z83" i="19"/>
  <c r="Z67" i="19"/>
  <c r="Z84" i="19"/>
  <c r="Z68" i="19"/>
  <c r="Z85" i="19"/>
  <c r="Z69" i="19"/>
  <c r="Z86" i="19"/>
  <c r="Z70" i="19"/>
  <c r="Y113" i="19"/>
  <c r="Y117" i="19"/>
  <c r="W117" i="19"/>
  <c r="W113" i="19"/>
  <c r="W105" i="19"/>
  <c r="FE83" i="25"/>
  <c r="FA83" i="25"/>
  <c r="FE67" i="25"/>
  <c r="FA67" i="25"/>
  <c r="FE84" i="25"/>
  <c r="FA84" i="25"/>
  <c r="AH68" i="25"/>
  <c r="FE68" i="25"/>
  <c r="FA68" i="25"/>
  <c r="FE85" i="25"/>
  <c r="FA85" i="25"/>
  <c r="FE69" i="25"/>
  <c r="FA69" i="25"/>
  <c r="FE86" i="25"/>
  <c r="FA86" i="25"/>
  <c r="AH70" i="25"/>
  <c r="FE70" i="25"/>
  <c r="FA70" i="25"/>
  <c r="FE118" i="25"/>
  <c r="FA118" i="25"/>
  <c r="FE110" i="25"/>
  <c r="FA110" i="25"/>
  <c r="FE102" i="25"/>
  <c r="FA102" i="25"/>
  <c r="FE113" i="25"/>
  <c r="FA113" i="25"/>
  <c r="FE105" i="25"/>
  <c r="FA105" i="25"/>
  <c r="FE97" i="25"/>
  <c r="FA97" i="25"/>
  <c r="FE117" i="25"/>
  <c r="FA117" i="25"/>
  <c r="FE89" i="25"/>
  <c r="FA89" i="25"/>
  <c r="FE94" i="25"/>
  <c r="FA94" i="25"/>
  <c r="FE75" i="25"/>
  <c r="FA75" i="25"/>
  <c r="FE59" i="25"/>
  <c r="FA59" i="25"/>
  <c r="AH59" i="25"/>
  <c r="FE76" i="25"/>
  <c r="FA76" i="25"/>
  <c r="AH60" i="25"/>
  <c r="FE60" i="25"/>
  <c r="FA60" i="25"/>
  <c r="FE77" i="25"/>
  <c r="FA77" i="25"/>
  <c r="FE61" i="25"/>
  <c r="FA61" i="25"/>
  <c r="FE78" i="25"/>
  <c r="FA78" i="25"/>
  <c r="AH62" i="25"/>
  <c r="FE62" i="25"/>
  <c r="FA62" i="25"/>
  <c r="FE87" i="25"/>
  <c r="FA87" i="25"/>
  <c r="FE79" i="25"/>
  <c r="FA79" i="25"/>
  <c r="FE71" i="25"/>
  <c r="FA71" i="25"/>
  <c r="AH71" i="25"/>
  <c r="FE63" i="25"/>
  <c r="FA63" i="25"/>
  <c r="FE88" i="25"/>
  <c r="FA88" i="25"/>
  <c r="FE80" i="25"/>
  <c r="FA80" i="25"/>
  <c r="FE72" i="25"/>
  <c r="FA72" i="25"/>
  <c r="FE64" i="25"/>
  <c r="FA64" i="25"/>
  <c r="AH56" i="25"/>
  <c r="FE56" i="25"/>
  <c r="FA56" i="25"/>
  <c r="FE81" i="25"/>
  <c r="FA81" i="25"/>
  <c r="FE73" i="25"/>
  <c r="FA73" i="25"/>
  <c r="FE65" i="25"/>
  <c r="FA65" i="25"/>
  <c r="FE57" i="25"/>
  <c r="FA57" i="25"/>
  <c r="FE82" i="25"/>
  <c r="FA82" i="25"/>
  <c r="FE74" i="25"/>
  <c r="FA74" i="25"/>
  <c r="FE66" i="25"/>
  <c r="FA66" i="25"/>
  <c r="FE58" i="25"/>
  <c r="FA58" i="25"/>
  <c r="FE114" i="25"/>
  <c r="FA114" i="25"/>
  <c r="FE106" i="25"/>
  <c r="FA106" i="25"/>
  <c r="FE109" i="25"/>
  <c r="FA109" i="25"/>
  <c r="FE101" i="25"/>
  <c r="FA101" i="25"/>
  <c r="FE93" i="25"/>
  <c r="FA93" i="25"/>
  <c r="KA93" i="25"/>
  <c r="KF93" i="25" s="1"/>
  <c r="KJ93" i="25"/>
  <c r="NJ93" i="25"/>
  <c r="NN93" i="25" s="1"/>
  <c r="W109" i="19"/>
  <c r="MJ93" i="25"/>
  <c r="L109" i="25"/>
  <c r="Y109" i="19"/>
  <c r="JJ93" i="25"/>
  <c r="Y110" i="19"/>
  <c r="W110" i="19"/>
  <c r="Y106" i="19"/>
  <c r="W106" i="19"/>
  <c r="Y118" i="19"/>
  <c r="W118" i="19"/>
  <c r="Y114" i="19"/>
  <c r="W114" i="19"/>
  <c r="NK114" i="25"/>
  <c r="NJ114" i="25"/>
  <c r="ML114" i="25"/>
  <c r="MK114" i="25"/>
  <c r="MJ114" i="25"/>
  <c r="NL114" i="25"/>
  <c r="JL114" i="25"/>
  <c r="KL114" i="25"/>
  <c r="JK114" i="25"/>
  <c r="KK114" i="25"/>
  <c r="JJ114" i="25"/>
  <c r="KJ114" i="25"/>
  <c r="KA114" i="25"/>
  <c r="EN114" i="25"/>
  <c r="NJ83" i="25"/>
  <c r="MJ83" i="25"/>
  <c r="KA83" i="25"/>
  <c r="KF83" i="25" s="1"/>
  <c r="KJ83" i="25"/>
  <c r="JJ83" i="25"/>
  <c r="NJ75" i="25"/>
  <c r="MJ75" i="25"/>
  <c r="KJ75" i="25"/>
  <c r="KA75" i="25"/>
  <c r="KF75" i="25" s="1"/>
  <c r="JJ75" i="25"/>
  <c r="NJ67" i="25"/>
  <c r="MJ67" i="25"/>
  <c r="KJ67" i="25"/>
  <c r="KA67" i="25"/>
  <c r="KF67" i="25" s="1"/>
  <c r="JJ67" i="25"/>
  <c r="NJ59" i="25"/>
  <c r="MJ59" i="25"/>
  <c r="KJ59" i="25"/>
  <c r="KA59" i="25"/>
  <c r="KF59" i="25" s="1"/>
  <c r="JJ59" i="25"/>
  <c r="NJ84" i="25"/>
  <c r="MJ84" i="25"/>
  <c r="JJ84" i="25"/>
  <c r="KA84" i="25"/>
  <c r="KF84" i="25" s="1"/>
  <c r="KJ84" i="25"/>
  <c r="MJ76" i="25"/>
  <c r="NJ76" i="25"/>
  <c r="KJ76" i="25"/>
  <c r="JJ76" i="25"/>
  <c r="KA76" i="25"/>
  <c r="KF76" i="25" s="1"/>
  <c r="NJ68" i="25"/>
  <c r="MJ68" i="25"/>
  <c r="KJ68" i="25"/>
  <c r="JJ68" i="25"/>
  <c r="KA68" i="25"/>
  <c r="KF68" i="25" s="1"/>
  <c r="MJ60" i="25"/>
  <c r="NJ60" i="25"/>
  <c r="KJ60" i="25"/>
  <c r="JJ60" i="25"/>
  <c r="KA60" i="25"/>
  <c r="KF60" i="25" s="1"/>
  <c r="NJ85" i="25"/>
  <c r="MJ85" i="25"/>
  <c r="MN85" i="25" s="1"/>
  <c r="KJ85" i="25"/>
  <c r="JJ85" i="25"/>
  <c r="KA85" i="25"/>
  <c r="KF85" i="25" s="1"/>
  <c r="NJ77" i="25"/>
  <c r="MJ77" i="25"/>
  <c r="MN77" i="25" s="1"/>
  <c r="KJ77" i="25"/>
  <c r="JJ77" i="25"/>
  <c r="KA77" i="25"/>
  <c r="KF77" i="25" s="1"/>
  <c r="NJ69" i="25"/>
  <c r="MJ69" i="25"/>
  <c r="KJ69" i="25"/>
  <c r="JJ69" i="25"/>
  <c r="KA69" i="25"/>
  <c r="KF69" i="25" s="1"/>
  <c r="NJ61" i="25"/>
  <c r="MJ61" i="25"/>
  <c r="KJ61" i="25"/>
  <c r="JJ61" i="25"/>
  <c r="KA61" i="25"/>
  <c r="KF61" i="25" s="1"/>
  <c r="NJ86" i="25"/>
  <c r="MJ86" i="25"/>
  <c r="JJ86" i="25"/>
  <c r="KJ86" i="25"/>
  <c r="KA86" i="25"/>
  <c r="KF86" i="25" s="1"/>
  <c r="NJ78" i="25"/>
  <c r="MJ78" i="25"/>
  <c r="JJ78" i="25"/>
  <c r="KJ78" i="25"/>
  <c r="KA78" i="25"/>
  <c r="KF78" i="25" s="1"/>
  <c r="NJ70" i="25"/>
  <c r="MJ70" i="25"/>
  <c r="KJ70" i="25"/>
  <c r="JJ70" i="25"/>
  <c r="KA70" i="25"/>
  <c r="KF70" i="25" s="1"/>
  <c r="NJ62" i="25"/>
  <c r="MJ62" i="25"/>
  <c r="KJ62" i="25"/>
  <c r="JJ62" i="25"/>
  <c r="KA62" i="25"/>
  <c r="KF62" i="25" s="1"/>
  <c r="NK110" i="25"/>
  <c r="NJ110" i="25"/>
  <c r="ML110" i="25"/>
  <c r="MK110" i="25"/>
  <c r="NL110" i="25"/>
  <c r="MJ110" i="25"/>
  <c r="JL110" i="25"/>
  <c r="KL110" i="25"/>
  <c r="JK110" i="25"/>
  <c r="KK110" i="25"/>
  <c r="JJ110" i="25"/>
  <c r="KJ110" i="25"/>
  <c r="KA110" i="25"/>
  <c r="EN110" i="25"/>
  <c r="NK106" i="25"/>
  <c r="NJ106" i="25"/>
  <c r="ML106" i="25"/>
  <c r="NL106" i="25"/>
  <c r="MK106" i="25"/>
  <c r="MJ106" i="25"/>
  <c r="JL106" i="25"/>
  <c r="KL106" i="25"/>
  <c r="JK106" i="25"/>
  <c r="KK106" i="25"/>
  <c r="JJ106" i="25"/>
  <c r="KJ106" i="25"/>
  <c r="KA106" i="25"/>
  <c r="EN106" i="25"/>
  <c r="NJ87" i="25"/>
  <c r="MJ87" i="25"/>
  <c r="KA87" i="25"/>
  <c r="KF87" i="25" s="1"/>
  <c r="KJ87" i="25"/>
  <c r="JJ87" i="25"/>
  <c r="NJ79" i="25"/>
  <c r="MJ79" i="25"/>
  <c r="KA79" i="25"/>
  <c r="KF79" i="25" s="1"/>
  <c r="KJ79" i="25"/>
  <c r="JJ79" i="25"/>
  <c r="NJ71" i="25"/>
  <c r="MJ71" i="25"/>
  <c r="KJ71" i="25"/>
  <c r="KA71" i="25"/>
  <c r="KF71" i="25" s="1"/>
  <c r="JJ71" i="25"/>
  <c r="NJ63" i="25"/>
  <c r="MJ63" i="25"/>
  <c r="KJ63" i="25"/>
  <c r="KA63" i="25"/>
  <c r="KF63" i="25" s="1"/>
  <c r="JJ63" i="25"/>
  <c r="MJ88" i="25"/>
  <c r="NJ88" i="25"/>
  <c r="JJ88" i="25"/>
  <c r="KA88" i="25"/>
  <c r="KF88" i="25" s="1"/>
  <c r="KJ88" i="25"/>
  <c r="MJ80" i="25"/>
  <c r="NJ80" i="25"/>
  <c r="JJ80" i="25"/>
  <c r="KA80" i="25"/>
  <c r="KF80" i="25" s="1"/>
  <c r="KJ80" i="25"/>
  <c r="MJ72" i="25"/>
  <c r="NJ72" i="25"/>
  <c r="KJ72" i="25"/>
  <c r="JJ72" i="25"/>
  <c r="KA72" i="25"/>
  <c r="KF72" i="25" s="1"/>
  <c r="MJ64" i="25"/>
  <c r="NJ64" i="25"/>
  <c r="KJ64" i="25"/>
  <c r="JJ64" i="25"/>
  <c r="KA64" i="25"/>
  <c r="KF64" i="25" s="1"/>
  <c r="MJ56" i="25"/>
  <c r="NJ56" i="25"/>
  <c r="KJ56" i="25"/>
  <c r="JJ56" i="25"/>
  <c r="KA56" i="25"/>
  <c r="KF56" i="25" s="1"/>
  <c r="NJ81" i="25"/>
  <c r="MJ81" i="25"/>
  <c r="KJ81" i="25"/>
  <c r="JJ81" i="25"/>
  <c r="KA81" i="25"/>
  <c r="KF81" i="25" s="1"/>
  <c r="NJ73" i="25"/>
  <c r="MJ73" i="25"/>
  <c r="MN73" i="25" s="1"/>
  <c r="KJ73" i="25"/>
  <c r="JJ73" i="25"/>
  <c r="KA73" i="25"/>
  <c r="KF73" i="25" s="1"/>
  <c r="NJ65" i="25"/>
  <c r="MJ65" i="25"/>
  <c r="KJ65" i="25"/>
  <c r="JJ65" i="25"/>
  <c r="KA65" i="25"/>
  <c r="KF65" i="25" s="1"/>
  <c r="NJ57" i="25"/>
  <c r="MJ57" i="25"/>
  <c r="KJ57" i="25"/>
  <c r="JJ57" i="25"/>
  <c r="KA57" i="25"/>
  <c r="KF57" i="25" s="1"/>
  <c r="NJ82" i="25"/>
  <c r="MJ82" i="25"/>
  <c r="JJ82" i="25"/>
  <c r="KJ82" i="25"/>
  <c r="KA82" i="25"/>
  <c r="KF82" i="25" s="1"/>
  <c r="NJ74" i="25"/>
  <c r="MJ74" i="25"/>
  <c r="KJ74" i="25"/>
  <c r="JJ74" i="25"/>
  <c r="KA74" i="25"/>
  <c r="KF74" i="25" s="1"/>
  <c r="NJ66" i="25"/>
  <c r="MJ66" i="25"/>
  <c r="KJ66" i="25"/>
  <c r="JJ66" i="25"/>
  <c r="KA66" i="25"/>
  <c r="KF66" i="25" s="1"/>
  <c r="NJ58" i="25"/>
  <c r="MJ58" i="25"/>
  <c r="KJ58" i="25"/>
  <c r="JJ58" i="25"/>
  <c r="KA58" i="25"/>
  <c r="KF58" i="25" s="1"/>
  <c r="NK118" i="25"/>
  <c r="NJ118" i="25"/>
  <c r="NL118" i="25"/>
  <c r="ML118" i="25"/>
  <c r="MK118" i="25"/>
  <c r="MJ118" i="25"/>
  <c r="JL118" i="25"/>
  <c r="KL118" i="25"/>
  <c r="JK118" i="25"/>
  <c r="KK118" i="25"/>
  <c r="JJ118" i="25"/>
  <c r="KJ118" i="25"/>
  <c r="KA118" i="25"/>
  <c r="EN118" i="25"/>
  <c r="NJ102" i="25"/>
  <c r="MJ102" i="25"/>
  <c r="JJ102" i="25"/>
  <c r="KJ102" i="25"/>
  <c r="KA102" i="25"/>
  <c r="KF102" i="25" s="1"/>
  <c r="LJ110" i="25"/>
  <c r="LL110" i="25"/>
  <c r="LK110" i="25"/>
  <c r="L110" i="25"/>
  <c r="LJ83" i="25"/>
  <c r="LJ75" i="25"/>
  <c r="LJ67" i="25"/>
  <c r="LJ59" i="25"/>
  <c r="LJ84" i="25"/>
  <c r="LJ76" i="25"/>
  <c r="LJ68" i="25"/>
  <c r="LJ60" i="25"/>
  <c r="LJ85" i="25"/>
  <c r="LN85" i="25" s="1"/>
  <c r="LJ77" i="25"/>
  <c r="LJ69" i="25"/>
  <c r="LJ61" i="25"/>
  <c r="LJ86" i="25"/>
  <c r="LJ78" i="25"/>
  <c r="LJ70" i="25"/>
  <c r="LJ62" i="25"/>
  <c r="LJ106" i="25"/>
  <c r="LL106" i="25"/>
  <c r="LK106" i="25"/>
  <c r="L106" i="25"/>
  <c r="LJ118" i="25"/>
  <c r="LL118" i="25"/>
  <c r="LK118" i="25"/>
  <c r="L118" i="25"/>
  <c r="LJ102" i="25"/>
  <c r="LJ87" i="25"/>
  <c r="LJ79" i="25"/>
  <c r="LJ71" i="25"/>
  <c r="LJ63" i="25"/>
  <c r="LJ88" i="25"/>
  <c r="LJ80" i="25"/>
  <c r="LJ72" i="25"/>
  <c r="LJ64" i="25"/>
  <c r="LJ56" i="25"/>
  <c r="LJ81" i="25"/>
  <c r="LJ73" i="25"/>
  <c r="LJ65" i="25"/>
  <c r="LJ57" i="25"/>
  <c r="LJ82" i="25"/>
  <c r="LJ74" i="25"/>
  <c r="LJ66" i="25"/>
  <c r="LJ58" i="25"/>
  <c r="LJ114" i="25"/>
  <c r="LL114" i="25"/>
  <c r="LK114" i="25"/>
  <c r="L114" i="25"/>
  <c r="M99" i="42" l="1"/>
  <c r="O99" i="42"/>
  <c r="M87" i="42"/>
  <c r="O87" i="42"/>
  <c r="M84" i="42"/>
  <c r="O84" i="42"/>
  <c r="J78" i="42"/>
  <c r="O78" i="42"/>
  <c r="M78" i="42"/>
  <c r="M82" i="42"/>
  <c r="O82" i="42"/>
  <c r="J86" i="42"/>
  <c r="O86" i="42"/>
  <c r="M86" i="42"/>
  <c r="J88" i="42"/>
  <c r="M88" i="42"/>
  <c r="O88" i="42"/>
  <c r="O94" i="42"/>
  <c r="M94" i="42"/>
  <c r="J92" i="42"/>
  <c r="M92" i="42"/>
  <c r="O92" i="42"/>
  <c r="O98" i="42"/>
  <c r="M98" i="42"/>
  <c r="J96" i="42"/>
  <c r="O96" i="42"/>
  <c r="M96" i="42"/>
  <c r="J73" i="42"/>
  <c r="O73" i="42"/>
  <c r="M73" i="42"/>
  <c r="M79" i="42"/>
  <c r="O79" i="42"/>
  <c r="J77" i="42"/>
  <c r="O77" i="42"/>
  <c r="M77" i="42"/>
  <c r="J97" i="42"/>
  <c r="O97" i="42"/>
  <c r="M97" i="42"/>
  <c r="O101" i="42"/>
  <c r="M101" i="42"/>
  <c r="M91" i="42"/>
  <c r="O91" i="42"/>
  <c r="O74" i="42"/>
  <c r="M74" i="42"/>
  <c r="J72" i="42"/>
  <c r="M72" i="42"/>
  <c r="O72" i="42"/>
  <c r="O76" i="42"/>
  <c r="M76" i="42"/>
  <c r="J80" i="42"/>
  <c r="M80" i="42"/>
  <c r="O80" i="42"/>
  <c r="J100" i="42"/>
  <c r="M100" i="42"/>
  <c r="O100" i="42"/>
  <c r="O90" i="42"/>
  <c r="M90" i="42"/>
  <c r="M83" i="42"/>
  <c r="O83" i="42"/>
  <c r="J81" i="42"/>
  <c r="O81" i="42"/>
  <c r="M81" i="42"/>
  <c r="M71" i="42"/>
  <c r="O71" i="42"/>
  <c r="J85" i="42"/>
  <c r="O85" i="42"/>
  <c r="M85" i="42"/>
  <c r="M75" i="42"/>
  <c r="O75" i="42"/>
  <c r="J89" i="42"/>
  <c r="O89" i="42"/>
  <c r="M89" i="42"/>
  <c r="M95" i="42"/>
  <c r="O95" i="42"/>
  <c r="J93" i="42"/>
  <c r="O93" i="42"/>
  <c r="M93" i="42"/>
  <c r="NN89" i="25"/>
  <c r="IG73" i="25"/>
  <c r="IH73" i="25" s="1"/>
  <c r="IG89" i="25"/>
  <c r="IH89" i="25" s="1"/>
  <c r="IG93" i="25"/>
  <c r="IH93" i="25" s="1"/>
  <c r="IG77" i="25"/>
  <c r="IH77" i="25" s="1"/>
  <c r="IG85" i="25"/>
  <c r="IH85" i="25" s="1"/>
  <c r="LG89" i="25"/>
  <c r="LH89" i="25" s="1"/>
  <c r="LN89" i="25" s="1"/>
  <c r="AD89" i="25"/>
  <c r="JG89" i="25"/>
  <c r="JH89" i="25" s="1"/>
  <c r="JN89" i="25" s="1"/>
  <c r="MG93" i="25"/>
  <c r="MH93" i="25" s="1"/>
  <c r="MN93" i="25" s="1"/>
  <c r="LG93" i="25"/>
  <c r="LH93" i="25" s="1"/>
  <c r="LN93" i="25" s="1"/>
  <c r="NG85" i="25"/>
  <c r="NH85" i="25" s="1"/>
  <c r="NN85" i="25" s="1"/>
  <c r="AD93" i="25"/>
  <c r="LG77" i="25"/>
  <c r="LH77" i="25" s="1"/>
  <c r="LN77" i="25" s="1"/>
  <c r="AE85" i="25"/>
  <c r="AF85" i="25" s="1"/>
  <c r="AQ104" i="25"/>
  <c r="AA104" i="19" s="1"/>
  <c r="HL104" i="25"/>
  <c r="CT104" i="25"/>
  <c r="AL104" i="25" s="1"/>
  <c r="FK104" i="25"/>
  <c r="GL104" i="25"/>
  <c r="HK104" i="25"/>
  <c r="HN104" i="25" s="1"/>
  <c r="HO104" i="25" s="1"/>
  <c r="GK104" i="25"/>
  <c r="GN104" i="25" s="1"/>
  <c r="GO104" i="25" s="1"/>
  <c r="NG73" i="25"/>
  <c r="NH73" i="25" s="1"/>
  <c r="NN73" i="25" s="1"/>
  <c r="AE89" i="25"/>
  <c r="AF89" i="25" s="1"/>
  <c r="Z94" i="25"/>
  <c r="Y94" i="25"/>
  <c r="AA94" i="25"/>
  <c r="Z90" i="25"/>
  <c r="Y90" i="25"/>
  <c r="AA90" i="25"/>
  <c r="AE93" i="25"/>
  <c r="AF93" i="25" s="1"/>
  <c r="Y97" i="25"/>
  <c r="AA97" i="25"/>
  <c r="Z97" i="25"/>
  <c r="ER75" i="25"/>
  <c r="ER89" i="25"/>
  <c r="PI104" i="25"/>
  <c r="EK104" i="25"/>
  <c r="EL104" i="25"/>
  <c r="Z98" i="25"/>
  <c r="Y98" i="25"/>
  <c r="AA98" i="25"/>
  <c r="ER85" i="25"/>
  <c r="ER84" i="25"/>
  <c r="ER81" i="25"/>
  <c r="ER80" i="25"/>
  <c r="ER88" i="25"/>
  <c r="ER104" i="25"/>
  <c r="ER95" i="25"/>
  <c r="NG77" i="25"/>
  <c r="NH77" i="25" s="1"/>
  <c r="NN77" i="25" s="1"/>
  <c r="KG77" i="25"/>
  <c r="KH77" i="25" s="1"/>
  <c r="KN77" i="25" s="1"/>
  <c r="KG73" i="25"/>
  <c r="KH73" i="25" s="1"/>
  <c r="KN73" i="25" s="1"/>
  <c r="KG93" i="25"/>
  <c r="KH93" i="25" s="1"/>
  <c r="KN93" i="25" s="1"/>
  <c r="ER100" i="25"/>
  <c r="Z100" i="25"/>
  <c r="Y100" i="25"/>
  <c r="IG100" i="25" s="1"/>
  <c r="IH100" i="25" s="1"/>
  <c r="AA100" i="25"/>
  <c r="Z74" i="25"/>
  <c r="Y74" i="25"/>
  <c r="IG74" i="25" s="1"/>
  <c r="IH74" i="25" s="1"/>
  <c r="AA74" i="25"/>
  <c r="AA99" i="25"/>
  <c r="Z99" i="25"/>
  <c r="Y99" i="25"/>
  <c r="Z76" i="25"/>
  <c r="Y76" i="25"/>
  <c r="IG76" i="25" s="1"/>
  <c r="IH76" i="25" s="1"/>
  <c r="AA76" i="25"/>
  <c r="ER91" i="25"/>
  <c r="Z104" i="25"/>
  <c r="AA104" i="25"/>
  <c r="Y104" i="25"/>
  <c r="JG73" i="25"/>
  <c r="JH73" i="25" s="1"/>
  <c r="JN73" i="25" s="1"/>
  <c r="ER86" i="25"/>
  <c r="ER82" i="25"/>
  <c r="ER102" i="25"/>
  <c r="ER77" i="25"/>
  <c r="ER76" i="25"/>
  <c r="ER73" i="25"/>
  <c r="ER72" i="25"/>
  <c r="ER96" i="25"/>
  <c r="ER103" i="25"/>
  <c r="LG73" i="25"/>
  <c r="LH73" i="25" s="1"/>
  <c r="LN73" i="25" s="1"/>
  <c r="Z102" i="25"/>
  <c r="Y102" i="25"/>
  <c r="IG102" i="25" s="1"/>
  <c r="IH102" i="25" s="1"/>
  <c r="AA102" i="25"/>
  <c r="AA87" i="25"/>
  <c r="Y87" i="25"/>
  <c r="IG87" i="25" s="1"/>
  <c r="IH87" i="25" s="1"/>
  <c r="Z87" i="25"/>
  <c r="AA75" i="25"/>
  <c r="Z75" i="25"/>
  <c r="Y75" i="25"/>
  <c r="Z72" i="25"/>
  <c r="Y72" i="25"/>
  <c r="IG72" i="25" s="1"/>
  <c r="IH72" i="25" s="1"/>
  <c r="AA72" i="25"/>
  <c r="AA79" i="25"/>
  <c r="Y79" i="25"/>
  <c r="Z79" i="25"/>
  <c r="JG93" i="25"/>
  <c r="JH93" i="25" s="1"/>
  <c r="JN93" i="25" s="1"/>
  <c r="AA95" i="25"/>
  <c r="Z95" i="25"/>
  <c r="Y95" i="25"/>
  <c r="Z86" i="25"/>
  <c r="Y86" i="25"/>
  <c r="AA86" i="25"/>
  <c r="JG77" i="25"/>
  <c r="JH77" i="25" s="1"/>
  <c r="JN77" i="25" s="1"/>
  <c r="ER101" i="25"/>
  <c r="ER94" i="25"/>
  <c r="Z82" i="25"/>
  <c r="Y82" i="25"/>
  <c r="IG82" i="25" s="1"/>
  <c r="IH82" i="25" s="1"/>
  <c r="AA82" i="25"/>
  <c r="JG85" i="25"/>
  <c r="JH85" i="25" s="1"/>
  <c r="JN85" i="25" s="1"/>
  <c r="AA103" i="25"/>
  <c r="Z103" i="25"/>
  <c r="Y103" i="25"/>
  <c r="IG103" i="25" s="1"/>
  <c r="IH103" i="25" s="1"/>
  <c r="Z78" i="25"/>
  <c r="Y78" i="25"/>
  <c r="IG78" i="25" s="1"/>
  <c r="IH78" i="25" s="1"/>
  <c r="AA78" i="25"/>
  <c r="ER93" i="25"/>
  <c r="ER83" i="25"/>
  <c r="ER97" i="25"/>
  <c r="ER79" i="25"/>
  <c r="ER78" i="25"/>
  <c r="ER74" i="25"/>
  <c r="ER87" i="25"/>
  <c r="ER98" i="25"/>
  <c r="ER90" i="25"/>
  <c r="KG89" i="25"/>
  <c r="KH89" i="25" s="1"/>
  <c r="KN89" i="25" s="1"/>
  <c r="KG85" i="25"/>
  <c r="KH85" i="25" s="1"/>
  <c r="KN85" i="25" s="1"/>
  <c r="AD85" i="25"/>
  <c r="AA101" i="25"/>
  <c r="Y101" i="25"/>
  <c r="IG101" i="25" s="1"/>
  <c r="IH101" i="25" s="1"/>
  <c r="Z101" i="25"/>
  <c r="Z84" i="25"/>
  <c r="Y84" i="25"/>
  <c r="AA84" i="25"/>
  <c r="Z80" i="25"/>
  <c r="Y80" i="25"/>
  <c r="IG80" i="25" s="1"/>
  <c r="IH80" i="25" s="1"/>
  <c r="AA80" i="25"/>
  <c r="AA91" i="25"/>
  <c r="Y91" i="25"/>
  <c r="IG91" i="25" s="1"/>
  <c r="IH91" i="25" s="1"/>
  <c r="Z91" i="25"/>
  <c r="Z88" i="25"/>
  <c r="Y88" i="25"/>
  <c r="AA88" i="25"/>
  <c r="AA83" i="25"/>
  <c r="Z83" i="25"/>
  <c r="Y83" i="25"/>
  <c r="IG83" i="25" s="1"/>
  <c r="IH83" i="25" s="1"/>
  <c r="AA81" i="25"/>
  <c r="Z81" i="25"/>
  <c r="Y81" i="25"/>
  <c r="IG81" i="25" s="1"/>
  <c r="IH81" i="25" s="1"/>
  <c r="Z92" i="25"/>
  <c r="Y92" i="25"/>
  <c r="AA92" i="25"/>
  <c r="Z96" i="25"/>
  <c r="Y96" i="25"/>
  <c r="AA96" i="25"/>
  <c r="T83" i="42"/>
  <c r="J83" i="42"/>
  <c r="G94" i="42"/>
  <c r="J94" i="42"/>
  <c r="D71" i="42"/>
  <c r="J71" i="42"/>
  <c r="D82" i="42"/>
  <c r="J82" i="42"/>
  <c r="T101" i="42"/>
  <c r="J101" i="42"/>
  <c r="N75" i="42"/>
  <c r="J75" i="42"/>
  <c r="L79" i="42"/>
  <c r="R79" i="42" s="1"/>
  <c r="J79" i="42"/>
  <c r="G90" i="42"/>
  <c r="J90" i="42"/>
  <c r="L99" i="42"/>
  <c r="R99" i="42" s="1"/>
  <c r="J99" i="42"/>
  <c r="T76" i="42"/>
  <c r="J76" i="42"/>
  <c r="N87" i="42"/>
  <c r="J87" i="42"/>
  <c r="G98" i="42"/>
  <c r="J98" i="42"/>
  <c r="L91" i="42"/>
  <c r="R91" i="42" s="1"/>
  <c r="J91" i="42"/>
  <c r="G84" i="42"/>
  <c r="J84" i="42"/>
  <c r="C95" i="42"/>
  <c r="J95" i="42"/>
  <c r="G74" i="42"/>
  <c r="J74" i="42"/>
  <c r="DP11" i="25"/>
  <c r="DP12" i="25" s="1"/>
  <c r="DP13" i="25" s="1"/>
  <c r="F44" i="22"/>
  <c r="F48" i="22"/>
  <c r="I81" i="42"/>
  <c r="G81" i="42"/>
  <c r="L100" i="42"/>
  <c r="R100" i="42" s="1"/>
  <c r="I78" i="42"/>
  <c r="I89" i="42"/>
  <c r="I86" i="42"/>
  <c r="I97" i="42"/>
  <c r="D91" i="3"/>
  <c r="I101" i="42"/>
  <c r="I79" i="42"/>
  <c r="I90" i="42"/>
  <c r="I83" i="42"/>
  <c r="I82" i="42"/>
  <c r="I94" i="42"/>
  <c r="G75" i="42"/>
  <c r="N90" i="42"/>
  <c r="I100" i="42"/>
  <c r="I80" i="42"/>
  <c r="I88" i="42"/>
  <c r="I92" i="42"/>
  <c r="I87" i="42"/>
  <c r="I84" i="42"/>
  <c r="I95" i="42"/>
  <c r="I91" i="42"/>
  <c r="I99" i="42"/>
  <c r="I98" i="42"/>
  <c r="G87" i="42"/>
  <c r="C91" i="42"/>
  <c r="S92" i="3"/>
  <c r="D94" i="42"/>
  <c r="T98" i="42"/>
  <c r="T99" i="42"/>
  <c r="C87" i="3"/>
  <c r="J87" i="3"/>
  <c r="ER70" i="25"/>
  <c r="ER65" i="25"/>
  <c r="ER69" i="25"/>
  <c r="ER71" i="25"/>
  <c r="ER64" i="25"/>
  <c r="ER63" i="25"/>
  <c r="ER62" i="25"/>
  <c r="ER68" i="25"/>
  <c r="ER67" i="25"/>
  <c r="ER66" i="25"/>
  <c r="ER61" i="25"/>
  <c r="F80" i="3"/>
  <c r="F74" i="3"/>
  <c r="D71" i="3"/>
  <c r="F86" i="3"/>
  <c r="C83" i="3"/>
  <c r="C82" i="3"/>
  <c r="C81" i="3"/>
  <c r="F85" i="3"/>
  <c r="D83" i="42"/>
  <c r="C94" i="42"/>
  <c r="G82" i="42"/>
  <c r="G79" i="42"/>
  <c r="T90" i="42"/>
  <c r="N78" i="42"/>
  <c r="G85" i="42"/>
  <c r="T86" i="42"/>
  <c r="N89" i="42"/>
  <c r="D81" i="42"/>
  <c r="N92" i="42"/>
  <c r="L80" i="42"/>
  <c r="R80" i="42" s="1"/>
  <c r="N77" i="42"/>
  <c r="L88" i="42"/>
  <c r="R88" i="42" s="1"/>
  <c r="ER59" i="25"/>
  <c r="T75" i="42"/>
  <c r="ER58" i="25"/>
  <c r="L71" i="42"/>
  <c r="AF71" i="42" s="1"/>
  <c r="AG71" i="42" s="1"/>
  <c r="AL71" i="42" s="1"/>
  <c r="ER57" i="25"/>
  <c r="T74" i="42"/>
  <c r="ER56" i="25"/>
  <c r="N73" i="42"/>
  <c r="D87" i="3"/>
  <c r="F92" i="3"/>
  <c r="I96" i="42"/>
  <c r="I93" i="42"/>
  <c r="L92" i="42"/>
  <c r="R92" i="42" s="1"/>
  <c r="I85" i="42"/>
  <c r="F71" i="3"/>
  <c r="D79" i="42"/>
  <c r="C90" i="42"/>
  <c r="D90" i="42"/>
  <c r="N83" i="42"/>
  <c r="G83" i="42"/>
  <c r="T71" i="42"/>
  <c r="L82" i="42"/>
  <c r="R82" i="42" s="1"/>
  <c r="N80" i="42"/>
  <c r="L75" i="42"/>
  <c r="T94" i="42"/>
  <c r="D101" i="42"/>
  <c r="C100" i="42"/>
  <c r="T79" i="42"/>
  <c r="L90" i="42"/>
  <c r="C83" i="42"/>
  <c r="L83" i="42"/>
  <c r="R83" i="42" s="1"/>
  <c r="N71" i="42"/>
  <c r="AI71" i="42" s="1"/>
  <c r="G71" i="42"/>
  <c r="T82" i="42"/>
  <c r="D75" i="42"/>
  <c r="L94" i="42"/>
  <c r="R94" i="42" s="1"/>
  <c r="N101" i="42"/>
  <c r="L101" i="42"/>
  <c r="R101" i="42" s="1"/>
  <c r="N79" i="42"/>
  <c r="N88" i="42"/>
  <c r="N82" i="42"/>
  <c r="N94" i="42"/>
  <c r="C101" i="42"/>
  <c r="G101" i="42"/>
  <c r="L77" i="42"/>
  <c r="R77" i="42" s="1"/>
  <c r="D77" i="42"/>
  <c r="T88" i="42"/>
  <c r="N81" i="42"/>
  <c r="T80" i="42"/>
  <c r="D73" i="42"/>
  <c r="T92" i="42"/>
  <c r="D92" i="42"/>
  <c r="D100" i="42"/>
  <c r="N100" i="42"/>
  <c r="T77" i="42"/>
  <c r="G77" i="42"/>
  <c r="C88" i="42"/>
  <c r="D88" i="42"/>
  <c r="L81" i="42"/>
  <c r="R81" i="42" s="1"/>
  <c r="G80" i="42"/>
  <c r="D80" i="42"/>
  <c r="L73" i="42"/>
  <c r="R73" i="42" s="1"/>
  <c r="G73" i="42"/>
  <c r="C92" i="42"/>
  <c r="G92" i="42"/>
  <c r="G100" i="42"/>
  <c r="G88" i="42"/>
  <c r="T81" i="42"/>
  <c r="T73" i="42"/>
  <c r="T100" i="42"/>
  <c r="N95" i="42"/>
  <c r="D97" i="42"/>
  <c r="N96" i="42"/>
  <c r="G89" i="42"/>
  <c r="D93" i="42"/>
  <c r="D85" i="42"/>
  <c r="C86" i="42"/>
  <c r="R71" i="42"/>
  <c r="R75" i="42"/>
  <c r="I35" i="22"/>
  <c r="H43" i="22"/>
  <c r="H48" i="22" s="1"/>
  <c r="F77" i="22"/>
  <c r="H13" i="45" s="1"/>
  <c r="N9" i="20" s="1"/>
  <c r="C85" i="42"/>
  <c r="L86" i="42"/>
  <c r="R86" i="42" s="1"/>
  <c r="N97" i="42"/>
  <c r="C96" i="42"/>
  <c r="N93" i="42"/>
  <c r="D78" i="42"/>
  <c r="L97" i="42"/>
  <c r="R97" i="42" s="1"/>
  <c r="L96" i="42"/>
  <c r="R96" i="42" s="1"/>
  <c r="L93" i="42"/>
  <c r="R93" i="42" s="1"/>
  <c r="D74" i="42"/>
  <c r="L78" i="42"/>
  <c r="T78" i="42"/>
  <c r="N85" i="42"/>
  <c r="G86" i="42"/>
  <c r="L89" i="42"/>
  <c r="R89" i="42" s="1"/>
  <c r="C97" i="42"/>
  <c r="T96" i="42"/>
  <c r="C93" i="42"/>
  <c r="N74" i="42"/>
  <c r="L74" i="42"/>
  <c r="G78" i="42"/>
  <c r="L85" i="42"/>
  <c r="R85" i="42" s="1"/>
  <c r="N86" i="42"/>
  <c r="T89" i="42"/>
  <c r="D89" i="42"/>
  <c r="G97" i="42"/>
  <c r="D96" i="42"/>
  <c r="G93" i="42"/>
  <c r="T85" i="42"/>
  <c r="D86" i="42"/>
  <c r="C89" i="42"/>
  <c r="T97" i="42"/>
  <c r="G96" i="42"/>
  <c r="T93" i="42"/>
  <c r="I6" i="22"/>
  <c r="H14" i="22"/>
  <c r="F76" i="3"/>
  <c r="C75" i="3"/>
  <c r="D89" i="3"/>
  <c r="C78" i="3"/>
  <c r="K99" i="42"/>
  <c r="C76" i="42"/>
  <c r="K87" i="42"/>
  <c r="K98" i="42"/>
  <c r="K91" i="42"/>
  <c r="K95" i="42"/>
  <c r="C72" i="42"/>
  <c r="K83" i="42"/>
  <c r="K94" i="42"/>
  <c r="C71" i="42"/>
  <c r="K101" i="42"/>
  <c r="C75" i="42"/>
  <c r="K90" i="42"/>
  <c r="K97" i="42"/>
  <c r="K85" i="42"/>
  <c r="K96" i="42"/>
  <c r="K86" i="42"/>
  <c r="K89" i="42"/>
  <c r="C74" i="42"/>
  <c r="K93" i="42"/>
  <c r="K92" i="42"/>
  <c r="C73" i="42"/>
  <c r="K100" i="42"/>
  <c r="C77" i="42"/>
  <c r="K88" i="42"/>
  <c r="E82" i="3"/>
  <c r="E83" i="3"/>
  <c r="N72" i="42"/>
  <c r="D72" i="42"/>
  <c r="D76" i="42"/>
  <c r="C87" i="42"/>
  <c r="L87" i="42"/>
  <c r="R87" i="42" s="1"/>
  <c r="D91" i="42"/>
  <c r="T84" i="42"/>
  <c r="N99" i="42"/>
  <c r="C98" i="42"/>
  <c r="L95" i="42"/>
  <c r="R95" i="42" s="1"/>
  <c r="D95" i="42"/>
  <c r="T72" i="42"/>
  <c r="L76" i="42"/>
  <c r="N76" i="42"/>
  <c r="D87" i="42"/>
  <c r="T91" i="42"/>
  <c r="D84" i="42"/>
  <c r="C84" i="42"/>
  <c r="G99" i="42"/>
  <c r="D98" i="42"/>
  <c r="T95" i="42"/>
  <c r="D73" i="3"/>
  <c r="G72" i="42"/>
  <c r="L72" i="42"/>
  <c r="G76" i="42"/>
  <c r="T87" i="42"/>
  <c r="N91" i="42"/>
  <c r="G91" i="42"/>
  <c r="L84" i="42"/>
  <c r="R84" i="42" s="1"/>
  <c r="N84" i="42"/>
  <c r="C99" i="42"/>
  <c r="D99" i="42"/>
  <c r="N98" i="42"/>
  <c r="L98" i="42"/>
  <c r="R98" i="42" s="1"/>
  <c r="G95" i="42"/>
  <c r="E71" i="3"/>
  <c r="C74" i="3"/>
  <c r="D76" i="3"/>
  <c r="C71" i="3"/>
  <c r="D75" i="3"/>
  <c r="E89" i="3"/>
  <c r="D74" i="3"/>
  <c r="C76" i="3"/>
  <c r="F75" i="3"/>
  <c r="F89" i="3"/>
  <c r="E76" i="3"/>
  <c r="E75" i="3"/>
  <c r="E74" i="3"/>
  <c r="AC59" i="25"/>
  <c r="AC64" i="25"/>
  <c r="AC62" i="25"/>
  <c r="AC73" i="25"/>
  <c r="AE73" i="25" s="1"/>
  <c r="AF73" i="25" s="1"/>
  <c r="AC65" i="25"/>
  <c r="AC103" i="25"/>
  <c r="AF106" i="25"/>
  <c r="AE106" i="25"/>
  <c r="AD106" i="25"/>
  <c r="AC106" i="25"/>
  <c r="AE117" i="25"/>
  <c r="AD117" i="25"/>
  <c r="AC117" i="25"/>
  <c r="AF117" i="25"/>
  <c r="AC91" i="25"/>
  <c r="AF110" i="25"/>
  <c r="AE110" i="25"/>
  <c r="AD110" i="25"/>
  <c r="AC110" i="25"/>
  <c r="AD112" i="25"/>
  <c r="AC112" i="25"/>
  <c r="AF112" i="25"/>
  <c r="AE112" i="25"/>
  <c r="AC100" i="25"/>
  <c r="AC88" i="25"/>
  <c r="AE88" i="25" s="1"/>
  <c r="AF88" i="25" s="1"/>
  <c r="AC104" i="25"/>
  <c r="AD120" i="25"/>
  <c r="AC120" i="25"/>
  <c r="AF120" i="25"/>
  <c r="AE120" i="25"/>
  <c r="AC99" i="25"/>
  <c r="AC61" i="25"/>
  <c r="C82" i="42"/>
  <c r="C79" i="42"/>
  <c r="AE109" i="25"/>
  <c r="AD109" i="25"/>
  <c r="AC109" i="25"/>
  <c r="AF109" i="25"/>
  <c r="AC60" i="25"/>
  <c r="AC70" i="25"/>
  <c r="AC71" i="25"/>
  <c r="AC90" i="25"/>
  <c r="AC101" i="25"/>
  <c r="AC80" i="25"/>
  <c r="AC94" i="25"/>
  <c r="AC96" i="25"/>
  <c r="AC111" i="25"/>
  <c r="AF111" i="25"/>
  <c r="AE111" i="25"/>
  <c r="AD111" i="25"/>
  <c r="AF114" i="25"/>
  <c r="AE114" i="25"/>
  <c r="AD114" i="25"/>
  <c r="AC114" i="25"/>
  <c r="AF118" i="25"/>
  <c r="AE118" i="25"/>
  <c r="AD118" i="25"/>
  <c r="AC118" i="25"/>
  <c r="AC81" i="25"/>
  <c r="C78" i="42"/>
  <c r="AC75" i="25"/>
  <c r="AC57" i="25"/>
  <c r="AC72" i="25"/>
  <c r="AC74" i="25"/>
  <c r="AC77" i="25"/>
  <c r="AE77" i="25" s="1"/>
  <c r="AF77" i="25" s="1"/>
  <c r="AC66" i="25"/>
  <c r="AC87" i="25"/>
  <c r="AD108" i="25"/>
  <c r="AC108" i="25"/>
  <c r="AF108" i="25"/>
  <c r="AE108" i="25"/>
  <c r="AE105" i="25"/>
  <c r="AD105" i="25"/>
  <c r="AC105" i="25"/>
  <c r="AF105" i="25"/>
  <c r="AC95" i="25"/>
  <c r="AC98" i="25"/>
  <c r="AC102" i="25"/>
  <c r="AC97" i="25"/>
  <c r="AE113" i="25"/>
  <c r="AD113" i="25"/>
  <c r="AC113" i="25"/>
  <c r="AF113" i="25"/>
  <c r="C81" i="42"/>
  <c r="C80" i="42"/>
  <c r="AC58" i="25"/>
  <c r="AC56" i="25"/>
  <c r="AC67" i="25"/>
  <c r="AC76" i="25"/>
  <c r="AC69" i="25"/>
  <c r="AC63" i="25"/>
  <c r="AC68" i="25"/>
  <c r="AC119" i="25"/>
  <c r="AF119" i="25"/>
  <c r="AE119" i="25"/>
  <c r="AD119" i="25"/>
  <c r="AC92" i="25"/>
  <c r="AC107" i="25"/>
  <c r="AF107" i="25"/>
  <c r="AE107" i="25"/>
  <c r="AD107" i="25"/>
  <c r="AC78" i="25"/>
  <c r="AC79" i="25"/>
  <c r="AC82" i="25"/>
  <c r="AD116" i="25"/>
  <c r="AC116" i="25"/>
  <c r="AF116" i="25"/>
  <c r="AE116" i="25"/>
  <c r="AC86" i="25"/>
  <c r="AC115" i="25"/>
  <c r="AF115" i="25"/>
  <c r="AE115" i="25"/>
  <c r="AD115" i="25"/>
  <c r="S79" i="3"/>
  <c r="S77" i="3"/>
  <c r="S75" i="3"/>
  <c r="S71" i="3"/>
  <c r="C73" i="3"/>
  <c r="S73" i="3"/>
  <c r="F83" i="3"/>
  <c r="S83" i="3"/>
  <c r="F82" i="3"/>
  <c r="S82" i="3"/>
  <c r="S72" i="3"/>
  <c r="E78" i="3"/>
  <c r="S78" i="3"/>
  <c r="F81" i="3"/>
  <c r="S81" i="3"/>
  <c r="C85" i="3"/>
  <c r="S85" i="3"/>
  <c r="D80" i="3"/>
  <c r="S80" i="3"/>
  <c r="C84" i="3"/>
  <c r="S84" i="3"/>
  <c r="S74" i="3"/>
  <c r="S76" i="3"/>
  <c r="E73" i="3"/>
  <c r="D86" i="3"/>
  <c r="C86" i="3"/>
  <c r="D83" i="3"/>
  <c r="D78" i="3"/>
  <c r="D81" i="3"/>
  <c r="D82" i="3"/>
  <c r="D85" i="3"/>
  <c r="E86" i="3"/>
  <c r="F73" i="3"/>
  <c r="F78" i="3"/>
  <c r="E81" i="3"/>
  <c r="E85" i="3"/>
  <c r="K71" i="42"/>
  <c r="E84" i="3"/>
  <c r="F84" i="3"/>
  <c r="C92" i="3"/>
  <c r="F87" i="3"/>
  <c r="E80" i="3"/>
  <c r="C91" i="3"/>
  <c r="D92" i="3"/>
  <c r="E87" i="3"/>
  <c r="C80" i="3"/>
  <c r="F91" i="3"/>
  <c r="Q20" i="35"/>
  <c r="Q18" i="35"/>
  <c r="D84" i="3"/>
  <c r="AH66" i="25"/>
  <c r="K81" i="42" s="1"/>
  <c r="AH67" i="25"/>
  <c r="K82" i="42" s="1"/>
  <c r="Z101" i="19"/>
  <c r="R90" i="42"/>
  <c r="AH65" i="25"/>
  <c r="K80" i="42" s="1"/>
  <c r="I76" i="42"/>
  <c r="I74" i="42"/>
  <c r="I77" i="42"/>
  <c r="I75" i="42"/>
  <c r="I73" i="42"/>
  <c r="I72" i="42"/>
  <c r="I71" i="42"/>
  <c r="Z95" i="19"/>
  <c r="AH64" i="25"/>
  <c r="K79" i="42" s="1"/>
  <c r="AH63" i="25"/>
  <c r="K78" i="42" s="1"/>
  <c r="AH69" i="25"/>
  <c r="K84" i="42" s="1"/>
  <c r="AH58" i="25"/>
  <c r="K73" i="42" s="1"/>
  <c r="AH61" i="25"/>
  <c r="K76" i="42" s="1"/>
  <c r="Z98" i="19"/>
  <c r="Z89" i="19"/>
  <c r="Z93" i="19"/>
  <c r="Z94" i="19"/>
  <c r="Z96" i="19"/>
  <c r="S88" i="3"/>
  <c r="S90" i="3"/>
  <c r="S91" i="3"/>
  <c r="S89" i="3"/>
  <c r="D79" i="3"/>
  <c r="F79" i="3"/>
  <c r="E79" i="3"/>
  <c r="C79" i="3"/>
  <c r="D90" i="3"/>
  <c r="E90" i="3"/>
  <c r="F90" i="3"/>
  <c r="C90" i="3"/>
  <c r="D72" i="3"/>
  <c r="E72" i="3"/>
  <c r="C72" i="3"/>
  <c r="F72" i="3"/>
  <c r="D77" i="3"/>
  <c r="E77" i="3"/>
  <c r="C77" i="3"/>
  <c r="F77" i="3"/>
  <c r="D88" i="3"/>
  <c r="F88" i="3"/>
  <c r="C88" i="3"/>
  <c r="E88" i="3"/>
  <c r="I89" i="3"/>
  <c r="J89" i="3"/>
  <c r="J88" i="3"/>
  <c r="I87" i="3"/>
  <c r="J92" i="3"/>
  <c r="I92" i="3"/>
  <c r="I91" i="3"/>
  <c r="I88" i="3"/>
  <c r="J91" i="3"/>
  <c r="I90" i="3"/>
  <c r="J90" i="3"/>
  <c r="K77" i="42"/>
  <c r="K75" i="42"/>
  <c r="K74" i="42"/>
  <c r="KG102" i="25" l="1"/>
  <c r="KH102" i="25" s="1"/>
  <c r="KN102" i="25" s="1"/>
  <c r="AD104" i="25"/>
  <c r="AE99" i="25"/>
  <c r="AF99" i="25" s="1"/>
  <c r="AE78" i="25"/>
  <c r="AF78" i="25" s="1"/>
  <c r="AE86" i="25"/>
  <c r="AF86" i="25" s="1"/>
  <c r="AE94" i="25"/>
  <c r="AF94" i="25" s="1"/>
  <c r="IN103" i="25"/>
  <c r="AE95" i="25"/>
  <c r="AF95" i="25" s="1"/>
  <c r="IN78" i="25"/>
  <c r="IN85" i="25"/>
  <c r="IN93" i="25"/>
  <c r="IN73" i="25"/>
  <c r="IN91" i="25"/>
  <c r="IN80" i="25"/>
  <c r="IN101" i="25"/>
  <c r="IN82" i="25"/>
  <c r="IN72" i="25"/>
  <c r="IN87" i="25"/>
  <c r="IN102" i="25"/>
  <c r="IN76" i="25"/>
  <c r="IN74" i="25"/>
  <c r="IN100" i="25"/>
  <c r="IN81" i="25"/>
  <c r="IN83" i="25"/>
  <c r="IN77" i="25"/>
  <c r="IN89" i="25"/>
  <c r="IG98" i="25"/>
  <c r="IH98" i="25" s="1"/>
  <c r="IG97" i="25"/>
  <c r="IH97" i="25" s="1"/>
  <c r="AE102" i="25"/>
  <c r="AF102" i="25" s="1"/>
  <c r="IG96" i="25"/>
  <c r="IH96" i="25" s="1"/>
  <c r="IG92" i="25"/>
  <c r="IH92" i="25" s="1"/>
  <c r="IG88" i="25"/>
  <c r="IH88" i="25" s="1"/>
  <c r="IG84" i="25"/>
  <c r="IH84" i="25" s="1"/>
  <c r="IG95" i="25"/>
  <c r="IH95" i="25" s="1"/>
  <c r="R104" i="19"/>
  <c r="IG104" i="25"/>
  <c r="IH104" i="25" s="1"/>
  <c r="IG79" i="25"/>
  <c r="IH79" i="25" s="1"/>
  <c r="AE76" i="25"/>
  <c r="AF76" i="25" s="1"/>
  <c r="AD98" i="25"/>
  <c r="IG86" i="25"/>
  <c r="IH86" i="25" s="1"/>
  <c r="IG75" i="25"/>
  <c r="IH75" i="25" s="1"/>
  <c r="IG99" i="25"/>
  <c r="IH99" i="25" s="1"/>
  <c r="IG90" i="25"/>
  <c r="IH90" i="25" s="1"/>
  <c r="KG94" i="25"/>
  <c r="KH94" i="25" s="1"/>
  <c r="KN94" i="25" s="1"/>
  <c r="IG94" i="25"/>
  <c r="IH94" i="25" s="1"/>
  <c r="AD97" i="25"/>
  <c r="AE90" i="25"/>
  <c r="AF90" i="25" s="1"/>
  <c r="AE104" i="25"/>
  <c r="AF104" i="25" s="1"/>
  <c r="KG90" i="25"/>
  <c r="KH90" i="25" s="1"/>
  <c r="KN90" i="25" s="1"/>
  <c r="KG83" i="25"/>
  <c r="KH83" i="25" s="1"/>
  <c r="KN83" i="25" s="1"/>
  <c r="FN104" i="25"/>
  <c r="FO104" i="25" s="1"/>
  <c r="BF104" i="25" s="1"/>
  <c r="AV104" i="25" s="1"/>
  <c r="KG91" i="25"/>
  <c r="KH91" i="25" s="1"/>
  <c r="KN91" i="25" s="1"/>
  <c r="GQ104" i="25"/>
  <c r="CE104" i="25"/>
  <c r="KG87" i="25"/>
  <c r="KH87" i="25" s="1"/>
  <c r="KN87" i="25" s="1"/>
  <c r="CF104" i="25"/>
  <c r="HQ104" i="25"/>
  <c r="AE79" i="25"/>
  <c r="AF79" i="25" s="1"/>
  <c r="AE81" i="25"/>
  <c r="AF81" i="25" s="1"/>
  <c r="AE82" i="25"/>
  <c r="AF82" i="25" s="1"/>
  <c r="AD75" i="25"/>
  <c r="AD100" i="25"/>
  <c r="AD74" i="25"/>
  <c r="AE87" i="25"/>
  <c r="AF87" i="25" s="1"/>
  <c r="AE72" i="25"/>
  <c r="AF72" i="25" s="1"/>
  <c r="AE101" i="25"/>
  <c r="AF101" i="25" s="1"/>
  <c r="AE91" i="25"/>
  <c r="AF91" i="25" s="1"/>
  <c r="KG103" i="25"/>
  <c r="KH103" i="25" s="1"/>
  <c r="KN103" i="25" s="1"/>
  <c r="AE80" i="25"/>
  <c r="AF80" i="25" s="1"/>
  <c r="AE92" i="25"/>
  <c r="AF92" i="25" s="1"/>
  <c r="AE98" i="25"/>
  <c r="AF98" i="25" s="1"/>
  <c r="AD96" i="25"/>
  <c r="AD101" i="25"/>
  <c r="AE103" i="25"/>
  <c r="AF103" i="25" s="1"/>
  <c r="KG72" i="25"/>
  <c r="KH72" i="25" s="1"/>
  <c r="KN72" i="25" s="1"/>
  <c r="AE100" i="25"/>
  <c r="AF100" i="25" s="1"/>
  <c r="AD77" i="25"/>
  <c r="AE75" i="25"/>
  <c r="AF75" i="25" s="1"/>
  <c r="KG74" i="25"/>
  <c r="KH74" i="25" s="1"/>
  <c r="KN74" i="25" s="1"/>
  <c r="AD86" i="25"/>
  <c r="KG78" i="25"/>
  <c r="KH78" i="25" s="1"/>
  <c r="KN78" i="25" s="1"/>
  <c r="KG82" i="25"/>
  <c r="KH82" i="25" s="1"/>
  <c r="KN82" i="25" s="1"/>
  <c r="AD82" i="25"/>
  <c r="AE74" i="25"/>
  <c r="AF74" i="25" s="1"/>
  <c r="AE96" i="25"/>
  <c r="AF96" i="25" s="1"/>
  <c r="AD91" i="25"/>
  <c r="AD103" i="25"/>
  <c r="AD92" i="25"/>
  <c r="AE97" i="25"/>
  <c r="AF97" i="25" s="1"/>
  <c r="KG101" i="25"/>
  <c r="KH101" i="25" s="1"/>
  <c r="KN101" i="25" s="1"/>
  <c r="NG97" i="25"/>
  <c r="NH97" i="25" s="1"/>
  <c r="NN97" i="25" s="1"/>
  <c r="MG97" i="25"/>
  <c r="MH97" i="25" s="1"/>
  <c r="MN97" i="25" s="1"/>
  <c r="AD95" i="25"/>
  <c r="NG90" i="25"/>
  <c r="NH90" i="25" s="1"/>
  <c r="NN90" i="25" s="1"/>
  <c r="MG90" i="25"/>
  <c r="MH90" i="25" s="1"/>
  <c r="MN90" i="25" s="1"/>
  <c r="NG94" i="25"/>
  <c r="NH94" i="25" s="1"/>
  <c r="NN94" i="25" s="1"/>
  <c r="MG94" i="25"/>
  <c r="MH94" i="25" s="1"/>
  <c r="MN94" i="25" s="1"/>
  <c r="AD78" i="25"/>
  <c r="AD102" i="25"/>
  <c r="AD81" i="25"/>
  <c r="AD99" i="25"/>
  <c r="LG97" i="25"/>
  <c r="LH97" i="25" s="1"/>
  <c r="LN97" i="25" s="1"/>
  <c r="JG97" i="25"/>
  <c r="JH97" i="25" s="1"/>
  <c r="JN97" i="25" s="1"/>
  <c r="KG97" i="25"/>
  <c r="KH97" i="25" s="1"/>
  <c r="KN97" i="25" s="1"/>
  <c r="JG90" i="25"/>
  <c r="JH90" i="25" s="1"/>
  <c r="JN90" i="25" s="1"/>
  <c r="LG90" i="25"/>
  <c r="LH90" i="25" s="1"/>
  <c r="LN90" i="25" s="1"/>
  <c r="JG94" i="25"/>
  <c r="JH94" i="25" s="1"/>
  <c r="JN94" i="25" s="1"/>
  <c r="LG94" i="25"/>
  <c r="LH94" i="25" s="1"/>
  <c r="LN94" i="25" s="1"/>
  <c r="JG79" i="25"/>
  <c r="JH79" i="25" s="1"/>
  <c r="JN79" i="25" s="1"/>
  <c r="LG79" i="25"/>
  <c r="LH79" i="25" s="1"/>
  <c r="LN79" i="25" s="1"/>
  <c r="JG76" i="25"/>
  <c r="JH76" i="25" s="1"/>
  <c r="JN76" i="25" s="1"/>
  <c r="LG76" i="25"/>
  <c r="LH76" i="25" s="1"/>
  <c r="LN76" i="25" s="1"/>
  <c r="KG79" i="25"/>
  <c r="KH79" i="25" s="1"/>
  <c r="KN79" i="25" s="1"/>
  <c r="MG98" i="25"/>
  <c r="MH98" i="25" s="1"/>
  <c r="MN98" i="25" s="1"/>
  <c r="NG98" i="25"/>
  <c r="NH98" i="25" s="1"/>
  <c r="NN98" i="25" s="1"/>
  <c r="AD79" i="25"/>
  <c r="AD87" i="25"/>
  <c r="AD72" i="25"/>
  <c r="AD94" i="25"/>
  <c r="AD90" i="25"/>
  <c r="AD88" i="25"/>
  <c r="AD73" i="25"/>
  <c r="MG92" i="25"/>
  <c r="MH92" i="25" s="1"/>
  <c r="MN92" i="25" s="1"/>
  <c r="NG92" i="25"/>
  <c r="NH92" i="25" s="1"/>
  <c r="NN92" i="25" s="1"/>
  <c r="MG81" i="25"/>
  <c r="MH81" i="25" s="1"/>
  <c r="MN81" i="25" s="1"/>
  <c r="NG81" i="25"/>
  <c r="NH81" i="25" s="1"/>
  <c r="NN81" i="25" s="1"/>
  <c r="NG83" i="25"/>
  <c r="NH83" i="25" s="1"/>
  <c r="NN83" i="25" s="1"/>
  <c r="MG83" i="25"/>
  <c r="MH83" i="25" s="1"/>
  <c r="MN83" i="25" s="1"/>
  <c r="JG84" i="25"/>
  <c r="JH84" i="25" s="1"/>
  <c r="JN84" i="25" s="1"/>
  <c r="LG84" i="25"/>
  <c r="LH84" i="25" s="1"/>
  <c r="LN84" i="25" s="1"/>
  <c r="AD84" i="25"/>
  <c r="AE84" i="25"/>
  <c r="AF84" i="25" s="1"/>
  <c r="JG101" i="25"/>
  <c r="JH101" i="25" s="1"/>
  <c r="JN101" i="25" s="1"/>
  <c r="LG101" i="25"/>
  <c r="LH101" i="25" s="1"/>
  <c r="LN101" i="25" s="1"/>
  <c r="KG80" i="25"/>
  <c r="KH80" i="25" s="1"/>
  <c r="KN80" i="25" s="1"/>
  <c r="JG86" i="25"/>
  <c r="JH86" i="25" s="1"/>
  <c r="JN86" i="25" s="1"/>
  <c r="LG86" i="25"/>
  <c r="LH86" i="25" s="1"/>
  <c r="LN86" i="25" s="1"/>
  <c r="NG79" i="25"/>
  <c r="NH79" i="25" s="1"/>
  <c r="NN79" i="25" s="1"/>
  <c r="MG79" i="25"/>
  <c r="MH79" i="25" s="1"/>
  <c r="MN79" i="25" s="1"/>
  <c r="JG75" i="25"/>
  <c r="JH75" i="25" s="1"/>
  <c r="JN75" i="25" s="1"/>
  <c r="LG75" i="25"/>
  <c r="LH75" i="25" s="1"/>
  <c r="LN75" i="25" s="1"/>
  <c r="MG102" i="25"/>
  <c r="MH102" i="25" s="1"/>
  <c r="MN102" i="25" s="1"/>
  <c r="NG102" i="25"/>
  <c r="NH102" i="25" s="1"/>
  <c r="NN102" i="25" s="1"/>
  <c r="JG104" i="25"/>
  <c r="JH104" i="25" s="1"/>
  <c r="JN104" i="25" s="1"/>
  <c r="LG104" i="25"/>
  <c r="LH104" i="25" s="1"/>
  <c r="LN104" i="25" s="1"/>
  <c r="KG75" i="25"/>
  <c r="KH75" i="25" s="1"/>
  <c r="KN75" i="25" s="1"/>
  <c r="KG81" i="25"/>
  <c r="KH81" i="25" s="1"/>
  <c r="KN81" i="25" s="1"/>
  <c r="JG98" i="25"/>
  <c r="JH98" i="25" s="1"/>
  <c r="JN98" i="25" s="1"/>
  <c r="KG98" i="25"/>
  <c r="KH98" i="25" s="1"/>
  <c r="KN98" i="25" s="1"/>
  <c r="LG98" i="25"/>
  <c r="LH98" i="25" s="1"/>
  <c r="LN98" i="25" s="1"/>
  <c r="EN104" i="25"/>
  <c r="EO104" i="25" s="1"/>
  <c r="MG96" i="25"/>
  <c r="MH96" i="25" s="1"/>
  <c r="MN96" i="25" s="1"/>
  <c r="NG96" i="25"/>
  <c r="NH96" i="25" s="1"/>
  <c r="NN96" i="25" s="1"/>
  <c r="MG86" i="25"/>
  <c r="MH86" i="25" s="1"/>
  <c r="MN86" i="25" s="1"/>
  <c r="NG86" i="25"/>
  <c r="NH86" i="25" s="1"/>
  <c r="NN86" i="25" s="1"/>
  <c r="MG72" i="25"/>
  <c r="MH72" i="25" s="1"/>
  <c r="MN72" i="25" s="1"/>
  <c r="NG72" i="25"/>
  <c r="NH72" i="25" s="1"/>
  <c r="NN72" i="25" s="1"/>
  <c r="JG100" i="25"/>
  <c r="JH100" i="25" s="1"/>
  <c r="JN100" i="25" s="1"/>
  <c r="LG100" i="25"/>
  <c r="LH100" i="25" s="1"/>
  <c r="LN100" i="25" s="1"/>
  <c r="KG100" i="25"/>
  <c r="KH100" i="25" s="1"/>
  <c r="KN100" i="25" s="1"/>
  <c r="JG96" i="25"/>
  <c r="JH96" i="25" s="1"/>
  <c r="JN96" i="25" s="1"/>
  <c r="KG96" i="25"/>
  <c r="KH96" i="25" s="1"/>
  <c r="KN96" i="25" s="1"/>
  <c r="LG96" i="25"/>
  <c r="LH96" i="25" s="1"/>
  <c r="LN96" i="25" s="1"/>
  <c r="JG81" i="25"/>
  <c r="JH81" i="25" s="1"/>
  <c r="JN81" i="25" s="1"/>
  <c r="LG81" i="25"/>
  <c r="LH81" i="25" s="1"/>
  <c r="LN81" i="25" s="1"/>
  <c r="JG88" i="25"/>
  <c r="JH88" i="25" s="1"/>
  <c r="JN88" i="25" s="1"/>
  <c r="LG88" i="25"/>
  <c r="LH88" i="25" s="1"/>
  <c r="LN88" i="25" s="1"/>
  <c r="JG91" i="25"/>
  <c r="JH91" i="25" s="1"/>
  <c r="JN91" i="25" s="1"/>
  <c r="LG91" i="25"/>
  <c r="LH91" i="25" s="1"/>
  <c r="LN91" i="25" s="1"/>
  <c r="NG80" i="25"/>
  <c r="NH80" i="25" s="1"/>
  <c r="NN80" i="25" s="1"/>
  <c r="MG80" i="25"/>
  <c r="MH80" i="25" s="1"/>
  <c r="MN80" i="25" s="1"/>
  <c r="KG76" i="25"/>
  <c r="KH76" i="25" s="1"/>
  <c r="KN76" i="25" s="1"/>
  <c r="MG78" i="25"/>
  <c r="MH78" i="25" s="1"/>
  <c r="MN78" i="25" s="1"/>
  <c r="NG78" i="25"/>
  <c r="NH78" i="25" s="1"/>
  <c r="NN78" i="25" s="1"/>
  <c r="JG103" i="25"/>
  <c r="JH103" i="25" s="1"/>
  <c r="JN103" i="25" s="1"/>
  <c r="LG103" i="25"/>
  <c r="LH103" i="25" s="1"/>
  <c r="LN103" i="25" s="1"/>
  <c r="MG82" i="25"/>
  <c r="MH82" i="25" s="1"/>
  <c r="MN82" i="25" s="1"/>
  <c r="NG82" i="25"/>
  <c r="NH82" i="25" s="1"/>
  <c r="NN82" i="25" s="1"/>
  <c r="NG95" i="25"/>
  <c r="NH95" i="25" s="1"/>
  <c r="NN95" i="25" s="1"/>
  <c r="MG95" i="25"/>
  <c r="MH95" i="25" s="1"/>
  <c r="MN95" i="25" s="1"/>
  <c r="JG72" i="25"/>
  <c r="JH72" i="25" s="1"/>
  <c r="JN72" i="25" s="1"/>
  <c r="LG72" i="25"/>
  <c r="LH72" i="25" s="1"/>
  <c r="LN72" i="25" s="1"/>
  <c r="JG102" i="25"/>
  <c r="JH102" i="25" s="1"/>
  <c r="JN102" i="25" s="1"/>
  <c r="LG102" i="25"/>
  <c r="LH102" i="25" s="1"/>
  <c r="LN102" i="25" s="1"/>
  <c r="MG104" i="25"/>
  <c r="MH104" i="25" s="1"/>
  <c r="MN104" i="25" s="1"/>
  <c r="NG104" i="25"/>
  <c r="NH104" i="25" s="1"/>
  <c r="NN104" i="25" s="1"/>
  <c r="NG76" i="25"/>
  <c r="NH76" i="25" s="1"/>
  <c r="NN76" i="25" s="1"/>
  <c r="MG76" i="25"/>
  <c r="MH76" i="25" s="1"/>
  <c r="MN76" i="25" s="1"/>
  <c r="MG99" i="25"/>
  <c r="MH99" i="25" s="1"/>
  <c r="MN99" i="25" s="1"/>
  <c r="NG99" i="25"/>
  <c r="NH99" i="25" s="1"/>
  <c r="NN99" i="25" s="1"/>
  <c r="NG74" i="25"/>
  <c r="NH74" i="25" s="1"/>
  <c r="NN74" i="25" s="1"/>
  <c r="MG74" i="25"/>
  <c r="MH74" i="25" s="1"/>
  <c r="MN74" i="25" s="1"/>
  <c r="NG100" i="25"/>
  <c r="NH100" i="25" s="1"/>
  <c r="NN100" i="25" s="1"/>
  <c r="MG100" i="25"/>
  <c r="MH100" i="25" s="1"/>
  <c r="MN100" i="25" s="1"/>
  <c r="KG84" i="25"/>
  <c r="KH84" i="25" s="1"/>
  <c r="KN84" i="25" s="1"/>
  <c r="KG88" i="25"/>
  <c r="KH88" i="25" s="1"/>
  <c r="KN88" i="25" s="1"/>
  <c r="V104" i="19"/>
  <c r="NG88" i="25"/>
  <c r="NH88" i="25" s="1"/>
  <c r="NN88" i="25" s="1"/>
  <c r="MG88" i="25"/>
  <c r="MH88" i="25" s="1"/>
  <c r="MN88" i="25" s="1"/>
  <c r="JG80" i="25"/>
  <c r="JH80" i="25" s="1"/>
  <c r="JN80" i="25" s="1"/>
  <c r="LG80" i="25"/>
  <c r="LH80" i="25" s="1"/>
  <c r="LN80" i="25" s="1"/>
  <c r="MG103" i="25"/>
  <c r="MH103" i="25" s="1"/>
  <c r="MN103" i="25" s="1"/>
  <c r="NG103" i="25"/>
  <c r="NH103" i="25" s="1"/>
  <c r="NN103" i="25" s="1"/>
  <c r="JG95" i="25"/>
  <c r="JH95" i="25" s="1"/>
  <c r="JN95" i="25" s="1"/>
  <c r="LG95" i="25"/>
  <c r="LH95" i="25" s="1"/>
  <c r="LN95" i="25" s="1"/>
  <c r="KG95" i="25"/>
  <c r="KH95" i="25" s="1"/>
  <c r="KN95" i="25" s="1"/>
  <c r="NG87" i="25"/>
  <c r="NH87" i="25" s="1"/>
  <c r="NN87" i="25" s="1"/>
  <c r="MG87" i="25"/>
  <c r="MH87" i="25" s="1"/>
  <c r="MN87" i="25" s="1"/>
  <c r="JG99" i="25"/>
  <c r="JH99" i="25" s="1"/>
  <c r="JN99" i="25" s="1"/>
  <c r="KG99" i="25"/>
  <c r="KH99" i="25" s="1"/>
  <c r="KN99" i="25" s="1"/>
  <c r="LG99" i="25"/>
  <c r="LH99" i="25" s="1"/>
  <c r="LN99" i="25" s="1"/>
  <c r="AD76" i="25"/>
  <c r="AD80" i="25"/>
  <c r="JG92" i="25"/>
  <c r="JH92" i="25" s="1"/>
  <c r="JN92" i="25" s="1"/>
  <c r="LG92" i="25"/>
  <c r="LH92" i="25" s="1"/>
  <c r="LN92" i="25" s="1"/>
  <c r="KG92" i="25"/>
  <c r="KH92" i="25" s="1"/>
  <c r="KN92" i="25" s="1"/>
  <c r="JG83" i="25"/>
  <c r="JH83" i="25" s="1"/>
  <c r="JN83" i="25" s="1"/>
  <c r="LG83" i="25"/>
  <c r="LH83" i="25" s="1"/>
  <c r="LN83" i="25" s="1"/>
  <c r="AD83" i="25"/>
  <c r="MG91" i="25"/>
  <c r="MH91" i="25" s="1"/>
  <c r="MN91" i="25" s="1"/>
  <c r="NG91" i="25"/>
  <c r="NH91" i="25" s="1"/>
  <c r="NN91" i="25" s="1"/>
  <c r="NG84" i="25"/>
  <c r="NH84" i="25" s="1"/>
  <c r="NN84" i="25" s="1"/>
  <c r="MG84" i="25"/>
  <c r="MH84" i="25" s="1"/>
  <c r="MN84" i="25" s="1"/>
  <c r="MG101" i="25"/>
  <c r="MH101" i="25" s="1"/>
  <c r="MN101" i="25" s="1"/>
  <c r="NG101" i="25"/>
  <c r="NH101" i="25" s="1"/>
  <c r="NN101" i="25" s="1"/>
  <c r="JG78" i="25"/>
  <c r="JH78" i="25" s="1"/>
  <c r="JN78" i="25" s="1"/>
  <c r="LG78" i="25"/>
  <c r="LH78" i="25" s="1"/>
  <c r="LN78" i="25" s="1"/>
  <c r="JG82" i="25"/>
  <c r="JH82" i="25" s="1"/>
  <c r="JN82" i="25" s="1"/>
  <c r="LG82" i="25"/>
  <c r="LH82" i="25" s="1"/>
  <c r="LN82" i="25" s="1"/>
  <c r="NG75" i="25"/>
  <c r="NH75" i="25" s="1"/>
  <c r="NN75" i="25" s="1"/>
  <c r="MG75" i="25"/>
  <c r="MH75" i="25" s="1"/>
  <c r="MN75" i="25" s="1"/>
  <c r="JG87" i="25"/>
  <c r="JH87" i="25" s="1"/>
  <c r="JN87" i="25" s="1"/>
  <c r="LG87" i="25"/>
  <c r="LH87" i="25" s="1"/>
  <c r="LN87" i="25" s="1"/>
  <c r="JG74" i="25"/>
  <c r="JH74" i="25" s="1"/>
  <c r="JN74" i="25" s="1"/>
  <c r="LG74" i="25"/>
  <c r="LH74" i="25" s="1"/>
  <c r="LN74" i="25" s="1"/>
  <c r="KG86" i="25"/>
  <c r="KH86" i="25" s="1"/>
  <c r="KN86" i="25" s="1"/>
  <c r="KG104" i="25"/>
  <c r="KH104" i="25" s="1"/>
  <c r="KN104" i="25" s="1"/>
  <c r="PK104" i="25"/>
  <c r="PL104" i="25" s="1"/>
  <c r="BK104" i="25" s="1"/>
  <c r="AE83" i="25"/>
  <c r="AF83" i="25" s="1"/>
  <c r="F49" i="22"/>
  <c r="F50" i="22" s="1"/>
  <c r="U68" i="25"/>
  <c r="W68" i="25"/>
  <c r="U62" i="25"/>
  <c r="W62" i="25"/>
  <c r="U64" i="25"/>
  <c r="W64" i="25"/>
  <c r="U66" i="25"/>
  <c r="W66" i="25"/>
  <c r="W69" i="25"/>
  <c r="U69" i="25"/>
  <c r="U67" i="25"/>
  <c r="W67" i="25"/>
  <c r="U70" i="25"/>
  <c r="W70" i="25"/>
  <c r="U63" i="25"/>
  <c r="W63" i="25"/>
  <c r="W71" i="25"/>
  <c r="U71" i="25"/>
  <c r="W65" i="25"/>
  <c r="U65" i="25"/>
  <c r="U61" i="25"/>
  <c r="W61" i="25"/>
  <c r="W60" i="25"/>
  <c r="U60" i="25"/>
  <c r="ER60" i="25"/>
  <c r="U59" i="25"/>
  <c r="W59" i="25"/>
  <c r="U58" i="25"/>
  <c r="W58" i="25"/>
  <c r="U57" i="25"/>
  <c r="W57" i="25"/>
  <c r="W56" i="25"/>
  <c r="U56" i="25"/>
  <c r="AH57" i="25"/>
  <c r="K72" i="42" s="1"/>
  <c r="R74" i="42"/>
  <c r="R76" i="42"/>
  <c r="R78" i="42"/>
  <c r="R72" i="42"/>
  <c r="J35" i="22"/>
  <c r="K35" i="22" s="1"/>
  <c r="I43" i="22"/>
  <c r="J6" i="22"/>
  <c r="I14" i="22"/>
  <c r="H15" i="22" s="1"/>
  <c r="F15" i="25"/>
  <c r="CC104" i="25" l="1"/>
  <c r="BE104" i="25"/>
  <c r="IN90" i="25"/>
  <c r="IN75" i="25"/>
  <c r="IN104" i="25"/>
  <c r="IN84" i="25"/>
  <c r="IN92" i="25"/>
  <c r="IN97" i="25"/>
  <c r="IN94" i="25"/>
  <c r="IN99" i="25"/>
  <c r="IN86" i="25"/>
  <c r="IN79" i="25"/>
  <c r="IN95" i="25"/>
  <c r="IN88" i="25"/>
  <c r="IN96" i="25"/>
  <c r="IN98" i="25"/>
  <c r="FQ104" i="25"/>
  <c r="CK104" i="25" s="1"/>
  <c r="CD104" i="25"/>
  <c r="EQ104" i="25"/>
  <c r="CJ104" i="25" s="1"/>
  <c r="PM104" i="25"/>
  <c r="H44" i="22"/>
  <c r="T70" i="25"/>
  <c r="X70" i="25" s="1"/>
  <c r="Q85" i="42" s="1"/>
  <c r="V70" i="25"/>
  <c r="T71" i="25"/>
  <c r="X71" i="25" s="1"/>
  <c r="V71" i="25"/>
  <c r="V69" i="25"/>
  <c r="T69" i="25"/>
  <c r="X69" i="25" s="1"/>
  <c r="T64" i="25"/>
  <c r="X64" i="25" s="1"/>
  <c r="V64" i="25"/>
  <c r="T60" i="25"/>
  <c r="X60" i="25" s="1"/>
  <c r="P60" i="20" s="1"/>
  <c r="V60" i="25"/>
  <c r="T67" i="25"/>
  <c r="X67" i="25" s="1"/>
  <c r="V67" i="25"/>
  <c r="V62" i="25"/>
  <c r="T62" i="25"/>
  <c r="X62" i="25" s="1"/>
  <c r="P62" i="20" s="1"/>
  <c r="V58" i="25"/>
  <c r="T58" i="25"/>
  <c r="X58" i="25" s="1"/>
  <c r="P58" i="20" s="1"/>
  <c r="T68" i="25"/>
  <c r="X68" i="25" s="1"/>
  <c r="V68" i="25"/>
  <c r="T61" i="25"/>
  <c r="X61" i="25" s="1"/>
  <c r="P61" i="20" s="1"/>
  <c r="V61" i="25"/>
  <c r="V63" i="25"/>
  <c r="T63" i="25"/>
  <c r="X63" i="25" s="1"/>
  <c r="V59" i="25"/>
  <c r="T59" i="25"/>
  <c r="X59" i="25" s="1"/>
  <c r="P59" i="20" s="1"/>
  <c r="V65" i="25"/>
  <c r="T65" i="25"/>
  <c r="X65" i="25" s="1"/>
  <c r="T66" i="25"/>
  <c r="X66" i="25" s="1"/>
  <c r="V66" i="25"/>
  <c r="K6" i="22"/>
  <c r="K14" i="22" s="1"/>
  <c r="J14" i="22"/>
  <c r="J19" i="22" s="1"/>
  <c r="V57" i="25"/>
  <c r="T57" i="25"/>
  <c r="X57" i="25" s="1"/>
  <c r="P57" i="20" s="1"/>
  <c r="T56" i="25"/>
  <c r="X56" i="25" s="1"/>
  <c r="P56" i="20" s="1"/>
  <c r="V56" i="25"/>
  <c r="Q100" i="42"/>
  <c r="W100" i="42"/>
  <c r="H100" i="42"/>
  <c r="Q94" i="42"/>
  <c r="W94" i="42"/>
  <c r="H94" i="42"/>
  <c r="H98" i="42"/>
  <c r="W98" i="42"/>
  <c r="Q98" i="42"/>
  <c r="H92" i="42"/>
  <c r="Q92" i="42"/>
  <c r="W92" i="42"/>
  <c r="H96" i="42"/>
  <c r="Q96" i="42"/>
  <c r="W96" i="42"/>
  <c r="H101" i="42"/>
  <c r="W101" i="42"/>
  <c r="Q101" i="42"/>
  <c r="W99" i="42"/>
  <c r="H99" i="42"/>
  <c r="Q99" i="42"/>
  <c r="Q97" i="42"/>
  <c r="W97" i="42"/>
  <c r="H97" i="42"/>
  <c r="H95" i="42"/>
  <c r="Q95" i="42"/>
  <c r="W95" i="42"/>
  <c r="W93" i="42"/>
  <c r="Q93" i="42"/>
  <c r="H93" i="42"/>
  <c r="W90" i="42"/>
  <c r="Q90" i="42"/>
  <c r="H90" i="42"/>
  <c r="W88" i="42"/>
  <c r="Q88" i="42"/>
  <c r="H88" i="42"/>
  <c r="Q91" i="42"/>
  <c r="W91" i="42"/>
  <c r="H91" i="42"/>
  <c r="Q89" i="42"/>
  <c r="W89" i="42"/>
  <c r="H89" i="42"/>
  <c r="Q87" i="42"/>
  <c r="W87" i="42"/>
  <c r="H87" i="42"/>
  <c r="M118" i="25"/>
  <c r="M114" i="25"/>
  <c r="M110" i="25"/>
  <c r="M106" i="25"/>
  <c r="M119" i="25"/>
  <c r="M120" i="25"/>
  <c r="K120" i="25"/>
  <c r="K116" i="25"/>
  <c r="R113" i="25"/>
  <c r="K112" i="25"/>
  <c r="R109" i="25"/>
  <c r="K108" i="25"/>
  <c r="R105" i="25"/>
  <c r="K104" i="25"/>
  <c r="R101" i="25"/>
  <c r="K100" i="25"/>
  <c r="R97" i="25"/>
  <c r="K96" i="25"/>
  <c r="K92" i="25"/>
  <c r="R89" i="25"/>
  <c r="K88" i="25"/>
  <c r="R85" i="25"/>
  <c r="K84" i="25"/>
  <c r="K80" i="25"/>
  <c r="R77" i="25"/>
  <c r="K76" i="25"/>
  <c r="R73" i="25"/>
  <c r="K72" i="25"/>
  <c r="R69" i="25"/>
  <c r="K68" i="25"/>
  <c r="R65" i="25"/>
  <c r="K64" i="25"/>
  <c r="R61" i="25"/>
  <c r="R118" i="25"/>
  <c r="J118" i="25"/>
  <c r="K117" i="25"/>
  <c r="R114" i="25"/>
  <c r="K113" i="25"/>
  <c r="R110" i="25"/>
  <c r="K109" i="25"/>
  <c r="R106" i="25"/>
  <c r="K105" i="25"/>
  <c r="R102" i="25"/>
  <c r="K101" i="25"/>
  <c r="K97" i="25"/>
  <c r="R94" i="25"/>
  <c r="K93" i="25"/>
  <c r="R90" i="25"/>
  <c r="K89" i="25"/>
  <c r="R86" i="25"/>
  <c r="K85" i="25"/>
  <c r="R82" i="25"/>
  <c r="K81" i="25"/>
  <c r="R78" i="25"/>
  <c r="K77" i="25"/>
  <c r="R74" i="25"/>
  <c r="K73" i="25"/>
  <c r="R70" i="25"/>
  <c r="K69" i="25"/>
  <c r="R66" i="25"/>
  <c r="K65" i="25"/>
  <c r="R62" i="25"/>
  <c r="K61" i="25"/>
  <c r="R59" i="25"/>
  <c r="K59" i="25"/>
  <c r="R57" i="25"/>
  <c r="K57" i="25"/>
  <c r="R119" i="25"/>
  <c r="J119" i="25"/>
  <c r="K118" i="25"/>
  <c r="R115" i="25"/>
  <c r="K114" i="25"/>
  <c r="R111" i="25"/>
  <c r="K110" i="25"/>
  <c r="R107" i="25"/>
  <c r="K106" i="25"/>
  <c r="R103" i="25"/>
  <c r="K102" i="25"/>
  <c r="R99" i="25"/>
  <c r="K98" i="25"/>
  <c r="R95" i="25"/>
  <c r="K94" i="25"/>
  <c r="R91" i="25"/>
  <c r="K90" i="25"/>
  <c r="K86" i="25"/>
  <c r="R83" i="25"/>
  <c r="K82" i="25"/>
  <c r="R79" i="25"/>
  <c r="K78" i="25"/>
  <c r="R75" i="25"/>
  <c r="K74" i="25"/>
  <c r="R71" i="25"/>
  <c r="K70" i="25"/>
  <c r="R67" i="25"/>
  <c r="K66" i="25"/>
  <c r="R63" i="25"/>
  <c r="K62" i="25"/>
  <c r="R120" i="25"/>
  <c r="J120" i="25"/>
  <c r="K119" i="25"/>
  <c r="R116" i="25"/>
  <c r="K115" i="25"/>
  <c r="R112" i="25"/>
  <c r="K111" i="25"/>
  <c r="R108" i="25"/>
  <c r="K107" i="25"/>
  <c r="R104" i="25"/>
  <c r="K103" i="25"/>
  <c r="R100" i="25"/>
  <c r="K99" i="25"/>
  <c r="R96" i="25"/>
  <c r="K95" i="25"/>
  <c r="R92" i="25"/>
  <c r="K91" i="25"/>
  <c r="K87" i="25"/>
  <c r="R84" i="25"/>
  <c r="K83" i="25"/>
  <c r="R80" i="25"/>
  <c r="K79" i="25"/>
  <c r="R76" i="25"/>
  <c r="K75" i="25"/>
  <c r="R72" i="25"/>
  <c r="K71" i="25"/>
  <c r="R68" i="25"/>
  <c r="K67" i="25"/>
  <c r="R64" i="25"/>
  <c r="K63" i="25"/>
  <c r="R60" i="25"/>
  <c r="K60" i="25"/>
  <c r="R58" i="25"/>
  <c r="K58" i="25"/>
  <c r="R56" i="25"/>
  <c r="K56" i="25"/>
  <c r="R117" i="25"/>
  <c r="R87" i="25"/>
  <c r="R98" i="25"/>
  <c r="R88" i="25"/>
  <c r="R93" i="25"/>
  <c r="R81" i="25"/>
  <c r="M116" i="25"/>
  <c r="M108" i="25"/>
  <c r="M113" i="25"/>
  <c r="M112" i="25"/>
  <c r="M111" i="25"/>
  <c r="M105" i="25"/>
  <c r="M104" i="25"/>
  <c r="II104" i="25" s="1"/>
  <c r="M115" i="25"/>
  <c r="M107" i="25"/>
  <c r="M117" i="25"/>
  <c r="M109" i="25"/>
  <c r="CB104" i="25" l="1"/>
  <c r="AB104" i="19"/>
  <c r="AU104" i="25"/>
  <c r="AS104" i="25" s="1"/>
  <c r="Q77" i="42"/>
  <c r="IK104" i="25"/>
  <c r="IL104" i="25" s="1"/>
  <c r="W83" i="42"/>
  <c r="P68" i="20"/>
  <c r="H85" i="42"/>
  <c r="P70" i="20"/>
  <c r="Q81" i="42"/>
  <c r="P66" i="20"/>
  <c r="Q82" i="42"/>
  <c r="P67" i="20"/>
  <c r="W79" i="42"/>
  <c r="P64" i="20"/>
  <c r="Q86" i="42"/>
  <c r="P71" i="20"/>
  <c r="Q80" i="42"/>
  <c r="P65" i="20"/>
  <c r="H78" i="42"/>
  <c r="P63" i="20"/>
  <c r="H84" i="42"/>
  <c r="P69" i="20"/>
  <c r="CV104" i="25"/>
  <c r="CU104" i="25"/>
  <c r="CI104" i="25"/>
  <c r="H83" i="42"/>
  <c r="Q83" i="42"/>
  <c r="W77" i="42"/>
  <c r="H77" i="42"/>
  <c r="W85" i="42"/>
  <c r="H80" i="42"/>
  <c r="H81" i="42"/>
  <c r="Q76" i="42"/>
  <c r="W82" i="42"/>
  <c r="H79" i="42"/>
  <c r="W81" i="42"/>
  <c r="H86" i="42"/>
  <c r="Q79" i="42"/>
  <c r="H76" i="42"/>
  <c r="H82" i="42"/>
  <c r="W86" i="42"/>
  <c r="W76" i="42"/>
  <c r="Q78" i="42"/>
  <c r="KI104" i="25"/>
  <c r="OI104" i="25"/>
  <c r="JI104" i="25"/>
  <c r="NI104" i="25"/>
  <c r="MI104" i="25"/>
  <c r="LI104" i="25"/>
  <c r="AG104" i="25"/>
  <c r="S104" i="19" s="1"/>
  <c r="W80" i="42"/>
  <c r="Q84" i="42"/>
  <c r="W78" i="42"/>
  <c r="W84" i="42"/>
  <c r="J15" i="22"/>
  <c r="F52" i="22"/>
  <c r="H12" i="45" s="1"/>
  <c r="N8" i="20" s="1"/>
  <c r="Z70" i="25"/>
  <c r="AA70" i="25"/>
  <c r="Y70" i="25"/>
  <c r="IG70" i="25" s="1"/>
  <c r="IH70" i="25" s="1"/>
  <c r="AA69" i="25"/>
  <c r="Y69" i="25"/>
  <c r="IG69" i="25" s="1"/>
  <c r="IH69" i="25" s="1"/>
  <c r="Z69" i="25"/>
  <c r="Y71" i="25"/>
  <c r="IG71" i="25" s="1"/>
  <c r="IH71" i="25" s="1"/>
  <c r="Z71" i="25"/>
  <c r="AA71" i="25"/>
  <c r="AA65" i="25"/>
  <c r="Y65" i="25"/>
  <c r="IG65" i="25" s="1"/>
  <c r="IH65" i="25" s="1"/>
  <c r="Z65" i="25"/>
  <c r="Z61" i="25"/>
  <c r="AA61" i="25"/>
  <c r="Y61" i="25"/>
  <c r="IG61" i="25" s="1"/>
  <c r="IH61" i="25" s="1"/>
  <c r="Z60" i="25"/>
  <c r="AA60" i="25"/>
  <c r="Y60" i="25"/>
  <c r="IG60" i="25" s="1"/>
  <c r="IH60" i="25" s="1"/>
  <c r="AA59" i="25"/>
  <c r="Y59" i="25"/>
  <c r="IG59" i="25" s="1"/>
  <c r="IH59" i="25" s="1"/>
  <c r="Z59" i="25"/>
  <c r="Y68" i="25"/>
  <c r="IG68" i="25" s="1"/>
  <c r="IH68" i="25" s="1"/>
  <c r="Z68" i="25"/>
  <c r="AA68" i="25"/>
  <c r="AA66" i="25"/>
  <c r="Y66" i="25"/>
  <c r="IG66" i="25" s="1"/>
  <c r="IH66" i="25" s="1"/>
  <c r="Z66" i="25"/>
  <c r="Y63" i="25"/>
  <c r="IG63" i="25" s="1"/>
  <c r="IH63" i="25" s="1"/>
  <c r="Z63" i="25"/>
  <c r="AA63" i="25"/>
  <c r="Z58" i="25"/>
  <c r="AA58" i="25"/>
  <c r="Y58" i="25"/>
  <c r="IG58" i="25" s="1"/>
  <c r="IH58" i="25" s="1"/>
  <c r="Z62" i="25"/>
  <c r="AA62" i="25"/>
  <c r="Y62" i="25"/>
  <c r="IG62" i="25" s="1"/>
  <c r="IH62" i="25" s="1"/>
  <c r="Y67" i="25"/>
  <c r="IG67" i="25" s="1"/>
  <c r="IH67" i="25" s="1"/>
  <c r="AA67" i="25"/>
  <c r="Z67" i="25"/>
  <c r="Z64" i="25"/>
  <c r="AA64" i="25"/>
  <c r="Y64" i="25"/>
  <c r="IG64" i="25" s="1"/>
  <c r="IH64" i="25" s="1"/>
  <c r="AA57" i="25"/>
  <c r="Y57" i="25"/>
  <c r="IG57" i="25" s="1"/>
  <c r="IH57" i="25" s="1"/>
  <c r="Z57" i="25"/>
  <c r="Z56" i="25"/>
  <c r="AA56" i="25"/>
  <c r="Y56" i="25"/>
  <c r="IG56" i="25" s="1"/>
  <c r="IH56" i="25" s="1"/>
  <c r="W73" i="42"/>
  <c r="H73" i="42"/>
  <c r="Q73" i="42"/>
  <c r="H72" i="42"/>
  <c r="W72" i="42"/>
  <c r="Q72" i="42"/>
  <c r="Q71" i="42"/>
  <c r="H71" i="42"/>
  <c r="W71" i="42"/>
  <c r="W75" i="42"/>
  <c r="H75" i="42"/>
  <c r="Q75" i="42"/>
  <c r="H74" i="42"/>
  <c r="W74" i="42"/>
  <c r="Q74" i="42"/>
  <c r="D5" i="18"/>
  <c r="AJ104" i="25" l="1"/>
  <c r="M119" i="42" s="1"/>
  <c r="S119" i="42"/>
  <c r="IM104" i="25"/>
  <c r="BS104" i="25"/>
  <c r="K119" i="3" s="1"/>
  <c r="IN64" i="25"/>
  <c r="IN68" i="25"/>
  <c r="IN71" i="25"/>
  <c r="IN63" i="25"/>
  <c r="IN70" i="25"/>
  <c r="IN67" i="25"/>
  <c r="IN60" i="25"/>
  <c r="IN61" i="25"/>
  <c r="IN69" i="25"/>
  <c r="IN62" i="25"/>
  <c r="IN66" i="25"/>
  <c r="IN59" i="25"/>
  <c r="IN65" i="25"/>
  <c r="IN58" i="25"/>
  <c r="IN56" i="25"/>
  <c r="IN57" i="25"/>
  <c r="JK104" i="25"/>
  <c r="JL104" i="25" s="1"/>
  <c r="BT104" i="25" s="1"/>
  <c r="NK104" i="25"/>
  <c r="NL104" i="25" s="1"/>
  <c r="BX104" i="25" s="1"/>
  <c r="LK104" i="25"/>
  <c r="LL104" i="25" s="1"/>
  <c r="BV104" i="25" s="1"/>
  <c r="OK104" i="25"/>
  <c r="OL104" i="25" s="1"/>
  <c r="BI104" i="25" s="1"/>
  <c r="BD104" i="25" s="1"/>
  <c r="MK104" i="25"/>
  <c r="ML104" i="25" s="1"/>
  <c r="BW104" i="25" s="1"/>
  <c r="KK104" i="25"/>
  <c r="KL104" i="25" s="1"/>
  <c r="BU104" i="25" s="1"/>
  <c r="J20" i="22"/>
  <c r="JG56" i="25"/>
  <c r="JH56" i="25" s="1"/>
  <c r="JN56" i="25" s="1"/>
  <c r="JG65" i="25"/>
  <c r="JH65" i="25" s="1"/>
  <c r="JN65" i="25" s="1"/>
  <c r="LG65" i="25"/>
  <c r="LH65" i="25" s="1"/>
  <c r="LN65" i="25" s="1"/>
  <c r="KG65" i="25"/>
  <c r="KH65" i="25" s="1"/>
  <c r="JG69" i="25"/>
  <c r="JH69" i="25" s="1"/>
  <c r="JN69" i="25" s="1"/>
  <c r="LG69" i="25"/>
  <c r="LH69" i="25" s="1"/>
  <c r="LN69" i="25" s="1"/>
  <c r="KG69" i="25"/>
  <c r="KH69" i="25" s="1"/>
  <c r="JG67" i="25"/>
  <c r="JH67" i="25" s="1"/>
  <c r="JN67" i="25" s="1"/>
  <c r="KG67" i="25"/>
  <c r="KH67" i="25" s="1"/>
  <c r="LG67" i="25"/>
  <c r="LH67" i="25" s="1"/>
  <c r="LN67" i="25" s="1"/>
  <c r="KG63" i="25"/>
  <c r="KH63" i="25" s="1"/>
  <c r="LG63" i="25"/>
  <c r="LH63" i="25" s="1"/>
  <c r="LN63" i="25" s="1"/>
  <c r="JG63" i="25"/>
  <c r="JH63" i="25" s="1"/>
  <c r="JN63" i="25" s="1"/>
  <c r="KG68" i="25"/>
  <c r="KH68" i="25" s="1"/>
  <c r="LG68" i="25"/>
  <c r="LH68" i="25" s="1"/>
  <c r="LN68" i="25" s="1"/>
  <c r="JG68" i="25"/>
  <c r="JH68" i="25" s="1"/>
  <c r="JN68" i="25" s="1"/>
  <c r="JG60" i="25"/>
  <c r="JH60" i="25" s="1"/>
  <c r="JN60" i="25" s="1"/>
  <c r="LG60" i="25"/>
  <c r="LH60" i="25" s="1"/>
  <c r="LN60" i="25" s="1"/>
  <c r="KG60" i="25"/>
  <c r="KG61" i="25"/>
  <c r="KH61" i="25" s="1"/>
  <c r="JG61" i="25"/>
  <c r="JH61" i="25" s="1"/>
  <c r="JN61" i="25" s="1"/>
  <c r="LG61" i="25"/>
  <c r="LH61" i="25" s="1"/>
  <c r="LN61" i="25" s="1"/>
  <c r="KG70" i="25"/>
  <c r="KH70" i="25" s="1"/>
  <c r="LG70" i="25"/>
  <c r="LH70" i="25" s="1"/>
  <c r="LN70" i="25" s="1"/>
  <c r="JG70" i="25"/>
  <c r="JH70" i="25" s="1"/>
  <c r="JN70" i="25" s="1"/>
  <c r="KG66" i="25"/>
  <c r="KH66" i="25" s="1"/>
  <c r="LG66" i="25"/>
  <c r="LH66" i="25" s="1"/>
  <c r="LN66" i="25" s="1"/>
  <c r="JG66" i="25"/>
  <c r="JH66" i="25" s="1"/>
  <c r="JN66" i="25" s="1"/>
  <c r="LG59" i="25"/>
  <c r="LH59" i="25" s="1"/>
  <c r="LN59" i="25" s="1"/>
  <c r="KG59" i="25"/>
  <c r="JG59" i="25"/>
  <c r="JH59" i="25" s="1"/>
  <c r="JN59" i="25" s="1"/>
  <c r="JG57" i="25"/>
  <c r="JH57" i="25" s="1"/>
  <c r="JN57" i="25" s="1"/>
  <c r="LG64" i="25"/>
  <c r="LH64" i="25" s="1"/>
  <c r="LN64" i="25" s="1"/>
  <c r="KG64" i="25"/>
  <c r="KH64" i="25" s="1"/>
  <c r="JG64" i="25"/>
  <c r="JH64" i="25" s="1"/>
  <c r="JN64" i="25" s="1"/>
  <c r="JG62" i="25"/>
  <c r="JH62" i="25" s="1"/>
  <c r="JN62" i="25" s="1"/>
  <c r="LG62" i="25"/>
  <c r="LH62" i="25" s="1"/>
  <c r="LN62" i="25" s="1"/>
  <c r="KG62" i="25"/>
  <c r="KH62" i="25" s="1"/>
  <c r="KG58" i="25"/>
  <c r="LG58" i="25"/>
  <c r="LH58" i="25" s="1"/>
  <c r="LN58" i="25" s="1"/>
  <c r="JG58" i="25"/>
  <c r="JH58" i="25" s="1"/>
  <c r="JN58" i="25" s="1"/>
  <c r="JG71" i="25"/>
  <c r="JH71" i="25" s="1"/>
  <c r="JN71" i="25" s="1"/>
  <c r="KG71" i="25"/>
  <c r="KH71" i="25" s="1"/>
  <c r="LG71" i="25"/>
  <c r="LH71" i="25" s="1"/>
  <c r="LN71" i="25" s="1"/>
  <c r="MG71" i="25"/>
  <c r="MH71" i="25" s="1"/>
  <c r="MN71" i="25" s="1"/>
  <c r="NG71" i="25"/>
  <c r="NH71" i="25" s="1"/>
  <c r="NN71" i="25" s="1"/>
  <c r="NG69" i="25"/>
  <c r="NH69" i="25" s="1"/>
  <c r="NN69" i="25" s="1"/>
  <c r="MG69" i="25"/>
  <c r="MH69" i="25" s="1"/>
  <c r="MN69" i="25" s="1"/>
  <c r="MG70" i="25"/>
  <c r="MH70" i="25" s="1"/>
  <c r="MN70" i="25" s="1"/>
  <c r="NG70" i="25"/>
  <c r="NH70" i="25" s="1"/>
  <c r="NN70" i="25" s="1"/>
  <c r="AE71" i="25"/>
  <c r="AF71" i="25" s="1"/>
  <c r="AD71" i="25"/>
  <c r="AD69" i="25"/>
  <c r="AE69" i="25"/>
  <c r="AF69" i="25" s="1"/>
  <c r="AD70" i="25"/>
  <c r="AE70" i="25"/>
  <c r="AF70" i="25" s="1"/>
  <c r="AD64" i="25"/>
  <c r="AE64" i="25"/>
  <c r="AF64" i="25" s="1"/>
  <c r="AD67" i="25"/>
  <c r="AE67" i="25"/>
  <c r="AF67" i="25" s="1"/>
  <c r="NG58" i="25"/>
  <c r="NH58" i="25" s="1"/>
  <c r="MG58" i="25"/>
  <c r="MH58" i="25" s="1"/>
  <c r="MG66" i="25"/>
  <c r="NG66" i="25"/>
  <c r="AD68" i="25"/>
  <c r="AE68" i="25"/>
  <c r="AF68" i="25" s="1"/>
  <c r="MG65" i="25"/>
  <c r="NG65" i="25"/>
  <c r="MG67" i="25"/>
  <c r="MH67" i="25" s="1"/>
  <c r="MN67" i="25" s="1"/>
  <c r="NG67" i="25"/>
  <c r="NH67" i="25" s="1"/>
  <c r="NN67" i="25" s="1"/>
  <c r="MG62" i="25"/>
  <c r="MH62" i="25" s="1"/>
  <c r="NG62" i="25"/>
  <c r="NH62" i="25" s="1"/>
  <c r="AD58" i="25"/>
  <c r="AE58" i="25"/>
  <c r="AF58" i="25" s="1"/>
  <c r="AD63" i="25"/>
  <c r="AE63" i="25"/>
  <c r="AF63" i="25" s="1"/>
  <c r="AD66" i="25"/>
  <c r="AE66" i="25"/>
  <c r="AF66" i="25" s="1"/>
  <c r="AD59" i="25"/>
  <c r="AE59" i="25"/>
  <c r="AF59" i="25" s="1"/>
  <c r="MG60" i="25"/>
  <c r="MH60" i="25" s="1"/>
  <c r="NG60" i="25"/>
  <c r="NH60" i="25" s="1"/>
  <c r="AE65" i="25"/>
  <c r="AF65" i="25" s="1"/>
  <c r="AD65" i="25"/>
  <c r="NG64" i="25"/>
  <c r="MG64" i="25"/>
  <c r="AD62" i="25"/>
  <c r="AE62" i="25"/>
  <c r="AF62" i="25" s="1"/>
  <c r="MG68" i="25"/>
  <c r="NG68" i="25"/>
  <c r="NG61" i="25"/>
  <c r="NH61" i="25" s="1"/>
  <c r="MG61" i="25"/>
  <c r="MH61" i="25" s="1"/>
  <c r="MG63" i="25"/>
  <c r="NG63" i="25"/>
  <c r="MG59" i="25"/>
  <c r="MH59" i="25" s="1"/>
  <c r="NG59" i="25"/>
  <c r="NH59" i="25" s="1"/>
  <c r="AD60" i="25"/>
  <c r="AE60" i="25"/>
  <c r="AF60" i="25" s="1"/>
  <c r="AD61" i="25"/>
  <c r="AE61" i="25"/>
  <c r="AF61" i="25" s="1"/>
  <c r="NG56" i="25"/>
  <c r="MG56" i="25"/>
  <c r="LG56" i="25"/>
  <c r="AD56" i="25"/>
  <c r="KG56" i="25"/>
  <c r="AE56" i="25"/>
  <c r="AF56" i="25" s="1"/>
  <c r="MG57" i="25"/>
  <c r="NG57" i="25"/>
  <c r="KG57" i="25"/>
  <c r="AD57" i="25"/>
  <c r="LG57" i="25"/>
  <c r="AE57" i="25"/>
  <c r="AF57" i="25" s="1"/>
  <c r="R41" i="25"/>
  <c r="R28" i="25"/>
  <c r="R38" i="25"/>
  <c r="R27" i="25"/>
  <c r="R33" i="25"/>
  <c r="R30" i="25"/>
  <c r="R40" i="25"/>
  <c r="R44" i="25"/>
  <c r="R35" i="25"/>
  <c r="R42" i="25"/>
  <c r="R51" i="25"/>
  <c r="R37" i="25"/>
  <c r="R26" i="25"/>
  <c r="R31" i="25"/>
  <c r="R22" i="25"/>
  <c r="R20" i="25"/>
  <c r="R21" i="25"/>
  <c r="R23" i="25"/>
  <c r="R54" i="25"/>
  <c r="R53" i="25"/>
  <c r="R24" i="25"/>
  <c r="R25" i="25"/>
  <c r="J41" i="25"/>
  <c r="K41" i="25"/>
  <c r="K28" i="25"/>
  <c r="J28" i="25"/>
  <c r="K38" i="25"/>
  <c r="J38" i="25"/>
  <c r="J45" i="25"/>
  <c r="B45" i="19"/>
  <c r="K45" i="25"/>
  <c r="K22" i="25"/>
  <c r="J22" i="25"/>
  <c r="J39" i="25"/>
  <c r="B39" i="19"/>
  <c r="K39" i="25"/>
  <c r="J27" i="25"/>
  <c r="K27" i="25"/>
  <c r="K36" i="25"/>
  <c r="J36" i="25"/>
  <c r="J43" i="25"/>
  <c r="B43" i="19"/>
  <c r="K43" i="25"/>
  <c r="K30" i="25"/>
  <c r="J30" i="25"/>
  <c r="B45" i="42"/>
  <c r="J45" i="42" s="1"/>
  <c r="J53" i="25"/>
  <c r="B53" i="19"/>
  <c r="K53" i="25"/>
  <c r="J40" i="25"/>
  <c r="B40" i="19"/>
  <c r="J47" i="25"/>
  <c r="B47" i="19"/>
  <c r="K47" i="25"/>
  <c r="J55" i="25"/>
  <c r="B55" i="19"/>
  <c r="K55" i="25"/>
  <c r="K20" i="25"/>
  <c r="J20" i="25"/>
  <c r="J25" i="25"/>
  <c r="K25" i="25"/>
  <c r="K52" i="25"/>
  <c r="J52" i="25"/>
  <c r="B52" i="19"/>
  <c r="K50" i="25"/>
  <c r="J50" i="25"/>
  <c r="B50" i="19"/>
  <c r="J23" i="25"/>
  <c r="K23" i="25"/>
  <c r="K44" i="25"/>
  <c r="J44" i="25"/>
  <c r="B44" i="19"/>
  <c r="J35" i="25"/>
  <c r="K35" i="25"/>
  <c r="J29" i="25"/>
  <c r="K29" i="25"/>
  <c r="K32" i="25"/>
  <c r="J32" i="25"/>
  <c r="K42" i="25"/>
  <c r="J42" i="25"/>
  <c r="B42" i="19"/>
  <c r="J51" i="25"/>
  <c r="B51" i="19"/>
  <c r="K51" i="25"/>
  <c r="K24" i="25"/>
  <c r="J24" i="25"/>
  <c r="B39" i="42"/>
  <c r="J39" i="42" s="1"/>
  <c r="K46" i="25"/>
  <c r="J46" i="25"/>
  <c r="B46" i="19"/>
  <c r="J21" i="25"/>
  <c r="K21" i="25"/>
  <c r="J37" i="25"/>
  <c r="K37" i="25"/>
  <c r="K26" i="25"/>
  <c r="J26" i="25"/>
  <c r="J31" i="25"/>
  <c r="K31" i="25"/>
  <c r="K54" i="25"/>
  <c r="J54" i="25"/>
  <c r="B54" i="19"/>
  <c r="J49" i="25"/>
  <c r="B49" i="19"/>
  <c r="K49" i="25"/>
  <c r="K48" i="25"/>
  <c r="J48" i="25"/>
  <c r="B48" i="19"/>
  <c r="J33" i="25"/>
  <c r="K33" i="25"/>
  <c r="K34" i="25"/>
  <c r="J34" i="25"/>
  <c r="R45" i="25"/>
  <c r="R32" i="25"/>
  <c r="R29" i="25"/>
  <c r="R52" i="25"/>
  <c r="R50" i="25"/>
  <c r="R46" i="25"/>
  <c r="R49" i="25"/>
  <c r="R48" i="25"/>
  <c r="R39" i="25"/>
  <c r="R36" i="25"/>
  <c r="R34" i="25"/>
  <c r="R55" i="25"/>
  <c r="R43" i="25"/>
  <c r="R47" i="25"/>
  <c r="K40" i="25"/>
  <c r="M39" i="19" l="1"/>
  <c r="AZ104" i="25"/>
  <c r="N119" i="3"/>
  <c r="AY104" i="25"/>
  <c r="M119" i="3"/>
  <c r="BB104" i="25"/>
  <c r="P119" i="3"/>
  <c r="BA104" i="25"/>
  <c r="O119" i="3"/>
  <c r="AX104" i="25"/>
  <c r="L119" i="3"/>
  <c r="BP104" i="25"/>
  <c r="MH63" i="25"/>
  <c r="MN63" i="25" s="1"/>
  <c r="MH68" i="25"/>
  <c r="MN68" i="25" s="1"/>
  <c r="NH64" i="25"/>
  <c r="NN64" i="25" s="1"/>
  <c r="NH65" i="25"/>
  <c r="NN65" i="25" s="1"/>
  <c r="NH66" i="25"/>
  <c r="NN66" i="25" s="1"/>
  <c r="MH65" i="25"/>
  <c r="MN65" i="25" s="1"/>
  <c r="MH66" i="25"/>
  <c r="MN66" i="25" s="1"/>
  <c r="KH60" i="25"/>
  <c r="KN60" i="25" s="1"/>
  <c r="NH63" i="25"/>
  <c r="NN63" i="25" s="1"/>
  <c r="NH68" i="25"/>
  <c r="NN68" i="25" s="1"/>
  <c r="MH64" i="25"/>
  <c r="MN64" i="25" s="1"/>
  <c r="KH59" i="25"/>
  <c r="KN59" i="25" s="1"/>
  <c r="KH58" i="25"/>
  <c r="KN58" i="25" s="1"/>
  <c r="AW104" i="25"/>
  <c r="AT104" i="25" s="1"/>
  <c r="NH57" i="25"/>
  <c r="NN57" i="25" s="1"/>
  <c r="LH57" i="25"/>
  <c r="LN57" i="25" s="1"/>
  <c r="MH57" i="25"/>
  <c r="MN57" i="25" s="1"/>
  <c r="LH56" i="25"/>
  <c r="LN56" i="25" s="1"/>
  <c r="MH56" i="25"/>
  <c r="MN56" i="25" s="1"/>
  <c r="KH57" i="25"/>
  <c r="KN57" i="25" s="1"/>
  <c r="KH56" i="25"/>
  <c r="KN56" i="25" s="1"/>
  <c r="NH56" i="25"/>
  <c r="NN56" i="25" s="1"/>
  <c r="DE104" i="25"/>
  <c r="KM104" i="25"/>
  <c r="DL104" i="25" s="1"/>
  <c r="DD104" i="25"/>
  <c r="JM104" i="25"/>
  <c r="DK104" i="25" s="1"/>
  <c r="DG104" i="25"/>
  <c r="MM104" i="25"/>
  <c r="DN104" i="25" s="1"/>
  <c r="DC104" i="25"/>
  <c r="DJ104" i="25"/>
  <c r="DF104" i="25"/>
  <c r="LM104" i="25"/>
  <c r="DM104" i="25" s="1"/>
  <c r="OM104" i="25"/>
  <c r="DH104" i="25"/>
  <c r="NM104" i="25"/>
  <c r="DO104" i="25" s="1"/>
  <c r="KN70" i="25"/>
  <c r="KN71" i="25"/>
  <c r="KN62" i="25"/>
  <c r="KN61" i="25"/>
  <c r="KN64" i="25"/>
  <c r="KN66" i="25"/>
  <c r="KN68" i="25"/>
  <c r="KN63" i="25"/>
  <c r="KN67" i="25"/>
  <c r="KN69" i="25"/>
  <c r="KN65" i="25"/>
  <c r="NN60" i="25"/>
  <c r="NN62" i="25"/>
  <c r="MN58" i="25"/>
  <c r="MN59" i="25"/>
  <c r="NN61" i="25"/>
  <c r="NN59" i="25"/>
  <c r="MN61" i="25"/>
  <c r="MN60" i="25"/>
  <c r="MN62" i="25"/>
  <c r="NN58" i="25"/>
  <c r="C39" i="42"/>
  <c r="I41" i="25"/>
  <c r="S41" i="25" s="1"/>
  <c r="B41" i="19"/>
  <c r="B34" i="19"/>
  <c r="B49" i="42"/>
  <c r="J49" i="42" s="1"/>
  <c r="B33" i="19"/>
  <c r="B48" i="42"/>
  <c r="B31" i="19"/>
  <c r="B46" i="42"/>
  <c r="J46" i="42" s="1"/>
  <c r="B32" i="19"/>
  <c r="B47" i="42"/>
  <c r="B51" i="42"/>
  <c r="B36" i="19"/>
  <c r="B52" i="42"/>
  <c r="B37" i="19"/>
  <c r="B50" i="42"/>
  <c r="B35" i="19"/>
  <c r="B53" i="42"/>
  <c r="B38" i="19"/>
  <c r="M38" i="19" s="1"/>
  <c r="C45" i="42"/>
  <c r="B29" i="19"/>
  <c r="B44" i="42"/>
  <c r="B26" i="19"/>
  <c r="B41" i="42"/>
  <c r="J41" i="42" s="1"/>
  <c r="B28" i="19"/>
  <c r="B43" i="42"/>
  <c r="J43" i="42" s="1"/>
  <c r="B21" i="19"/>
  <c r="B36" i="42"/>
  <c r="J36" i="42" s="1"/>
  <c r="B25" i="19"/>
  <c r="B40" i="42"/>
  <c r="J40" i="42" s="1"/>
  <c r="B22" i="19"/>
  <c r="B37" i="42"/>
  <c r="J37" i="42" s="1"/>
  <c r="B23" i="19"/>
  <c r="B38" i="42"/>
  <c r="J38" i="42" s="1"/>
  <c r="B27" i="19"/>
  <c r="B42" i="42"/>
  <c r="J42" i="42" s="1"/>
  <c r="B20" i="19"/>
  <c r="B35" i="42"/>
  <c r="I30" i="25"/>
  <c r="B30" i="19"/>
  <c r="I24" i="25"/>
  <c r="B24" i="19"/>
  <c r="B61" i="42"/>
  <c r="B70" i="42"/>
  <c r="B54" i="42"/>
  <c r="B63" i="42"/>
  <c r="B64" i="42"/>
  <c r="B66" i="42"/>
  <c r="B65" i="42"/>
  <c r="B62" i="42"/>
  <c r="B58" i="42"/>
  <c r="B56" i="42"/>
  <c r="B67" i="42"/>
  <c r="B60" i="42"/>
  <c r="L48" i="42"/>
  <c r="B69" i="42"/>
  <c r="B57" i="42"/>
  <c r="B59" i="42"/>
  <c r="B55" i="42"/>
  <c r="B68" i="42"/>
  <c r="I29" i="25"/>
  <c r="I34" i="25"/>
  <c r="T45" i="42"/>
  <c r="G45" i="42"/>
  <c r="B49" i="3"/>
  <c r="B48" i="3"/>
  <c r="B69" i="3"/>
  <c r="B46" i="3"/>
  <c r="B61" i="3"/>
  <c r="B47" i="3"/>
  <c r="B44" i="3"/>
  <c r="B70" i="3"/>
  <c r="B54" i="3"/>
  <c r="B53" i="3"/>
  <c r="B50" i="3"/>
  <c r="B65" i="3"/>
  <c r="B62" i="3"/>
  <c r="B45" i="3"/>
  <c r="B58" i="3"/>
  <c r="B56" i="3"/>
  <c r="B63" i="3"/>
  <c r="I25" i="25"/>
  <c r="B60" i="3"/>
  <c r="B57" i="3"/>
  <c r="B59" i="3"/>
  <c r="B68" i="3"/>
  <c r="I44" i="25"/>
  <c r="S44" i="25" s="1"/>
  <c r="I45" i="25"/>
  <c r="S45" i="25" s="1"/>
  <c r="B43" i="3"/>
  <c r="B39" i="3"/>
  <c r="B40" i="3"/>
  <c r="OE40" i="25"/>
  <c r="OE36" i="25"/>
  <c r="OE32" i="25"/>
  <c r="OE35" i="25"/>
  <c r="OE27" i="25"/>
  <c r="OE48" i="25"/>
  <c r="OE55" i="25"/>
  <c r="OE34" i="25"/>
  <c r="OE53" i="25"/>
  <c r="OE30" i="25"/>
  <c r="OE43" i="25"/>
  <c r="OE33" i="25"/>
  <c r="OE29" i="25"/>
  <c r="OE25" i="25"/>
  <c r="OE31" i="25"/>
  <c r="OE26" i="25"/>
  <c r="OE21" i="25"/>
  <c r="OE24" i="25"/>
  <c r="OE51" i="25"/>
  <c r="OE22" i="25"/>
  <c r="OE42" i="25"/>
  <c r="OE23" i="25"/>
  <c r="OE46" i="25"/>
  <c r="OE49" i="25"/>
  <c r="OE54" i="25"/>
  <c r="OE47" i="25"/>
  <c r="OE52" i="25"/>
  <c r="OE20" i="25"/>
  <c r="OE44" i="25"/>
  <c r="OE37" i="25"/>
  <c r="OE50" i="25"/>
  <c r="OE39" i="25"/>
  <c r="OE45" i="25"/>
  <c r="OE38" i="25"/>
  <c r="OE28" i="25"/>
  <c r="OE41" i="25"/>
  <c r="I49" i="25"/>
  <c r="S49" i="25" s="1"/>
  <c r="B64" i="3"/>
  <c r="I26" i="25"/>
  <c r="B41" i="3"/>
  <c r="B36" i="3"/>
  <c r="I52" i="25"/>
  <c r="S52" i="25" s="1"/>
  <c r="B67" i="3"/>
  <c r="I40" i="25"/>
  <c r="S40" i="25" s="1"/>
  <c r="B55" i="3"/>
  <c r="I36" i="25"/>
  <c r="S36" i="25" s="1"/>
  <c r="B51" i="3"/>
  <c r="I27" i="25"/>
  <c r="B42" i="3"/>
  <c r="B38" i="3"/>
  <c r="B35" i="3"/>
  <c r="B52" i="3"/>
  <c r="B66" i="3"/>
  <c r="B37" i="3"/>
  <c r="I51" i="25"/>
  <c r="S51" i="25" s="1"/>
  <c r="I35" i="25"/>
  <c r="S35" i="25" s="1"/>
  <c r="I47" i="25"/>
  <c r="S47" i="25" s="1"/>
  <c r="I43" i="25"/>
  <c r="S43" i="25" s="1"/>
  <c r="I39" i="25"/>
  <c r="S39" i="25" s="1"/>
  <c r="I38" i="25"/>
  <c r="S38" i="25" s="1"/>
  <c r="I54" i="25"/>
  <c r="S54" i="25" s="1"/>
  <c r="I37" i="25"/>
  <c r="S37" i="25" s="1"/>
  <c r="I50" i="25"/>
  <c r="S50" i="25" s="1"/>
  <c r="I32" i="25"/>
  <c r="I55" i="25"/>
  <c r="S55" i="25" s="1"/>
  <c r="I53" i="25"/>
  <c r="S53" i="25" s="1"/>
  <c r="I33" i="25"/>
  <c r="I48" i="25"/>
  <c r="S48" i="25" s="1"/>
  <c r="I28" i="25"/>
  <c r="I31" i="25"/>
  <c r="I46" i="25"/>
  <c r="S46" i="25" s="1"/>
  <c r="I42" i="25"/>
  <c r="S42" i="25" s="1"/>
  <c r="I22" i="25"/>
  <c r="I23" i="25"/>
  <c r="I21" i="25"/>
  <c r="I20" i="25"/>
  <c r="MA30" i="25"/>
  <c r="MF30" i="25" s="1"/>
  <c r="MA36" i="25"/>
  <c r="MF36" i="25" s="1"/>
  <c r="MA37" i="25"/>
  <c r="MF37" i="25" s="1"/>
  <c r="MA39" i="25"/>
  <c r="MF39" i="25" s="1"/>
  <c r="MA49" i="25"/>
  <c r="MF49" i="25" s="1"/>
  <c r="MA28" i="25"/>
  <c r="MF28" i="25" s="1"/>
  <c r="MA54" i="25"/>
  <c r="MF54" i="25" s="1"/>
  <c r="MA53" i="25"/>
  <c r="MF53" i="25" s="1"/>
  <c r="MA29" i="25"/>
  <c r="MF29" i="25" s="1"/>
  <c r="MA25" i="25"/>
  <c r="MF25" i="25" s="1"/>
  <c r="MA44" i="25"/>
  <c r="MF44" i="25" s="1"/>
  <c r="MA46" i="25"/>
  <c r="MF46" i="25" s="1"/>
  <c r="MA51" i="25"/>
  <c r="MF51" i="25" s="1"/>
  <c r="MA45" i="25"/>
  <c r="MF45" i="25" s="1"/>
  <c r="MA41" i="25"/>
  <c r="MF41" i="25" s="1"/>
  <c r="MA55" i="25"/>
  <c r="MF55" i="25" s="1"/>
  <c r="MA40" i="25"/>
  <c r="MF40" i="25" s="1"/>
  <c r="MA43" i="25"/>
  <c r="MF43" i="25" s="1"/>
  <c r="MA35" i="25"/>
  <c r="MF35" i="25" s="1"/>
  <c r="MA23" i="25"/>
  <c r="MF23" i="25" s="1"/>
  <c r="MA24" i="25"/>
  <c r="MF24" i="25" s="1"/>
  <c r="MA50" i="25"/>
  <c r="MF50" i="25" s="1"/>
  <c r="MA34" i="25"/>
  <c r="MF34" i="25" s="1"/>
  <c r="MA47" i="25"/>
  <c r="MF47" i="25" s="1"/>
  <c r="MA33" i="25"/>
  <c r="MF33" i="25" s="1"/>
  <c r="MA42" i="25"/>
  <c r="MF42" i="25" s="1"/>
  <c r="MA52" i="25"/>
  <c r="MF52" i="25" s="1"/>
  <c r="MA32" i="25"/>
  <c r="MF32" i="25" s="1"/>
  <c r="MA31" i="25"/>
  <c r="MF31" i="25" s="1"/>
  <c r="MA27" i="25"/>
  <c r="MF27" i="25" s="1"/>
  <c r="MA22" i="25"/>
  <c r="MF22" i="25" s="1"/>
  <c r="MA48" i="25"/>
  <c r="MF48" i="25" s="1"/>
  <c r="MA38" i="25"/>
  <c r="MF38" i="25" s="1"/>
  <c r="MA26" i="25"/>
  <c r="MF26" i="25" s="1"/>
  <c r="MA20" i="25"/>
  <c r="MF20" i="25" s="1"/>
  <c r="MA21" i="25"/>
  <c r="MF21" i="25" s="1"/>
  <c r="DR55" i="25"/>
  <c r="DS55" i="25"/>
  <c r="MJ55" i="25"/>
  <c r="JJ55" i="25"/>
  <c r="DQ55" i="25"/>
  <c r="DT55" i="25" s="1"/>
  <c r="FA55" i="25"/>
  <c r="NJ55" i="25"/>
  <c r="KJ55" i="25"/>
  <c r="AH55" i="25"/>
  <c r="FE55" i="25"/>
  <c r="KA55" i="25"/>
  <c r="KF55" i="25" s="1"/>
  <c r="LJ55" i="25"/>
  <c r="DQ54" i="25"/>
  <c r="DT54" i="25" s="1"/>
  <c r="FE54" i="25"/>
  <c r="LJ54" i="25"/>
  <c r="NJ54" i="25"/>
  <c r="KA54" i="25"/>
  <c r="KF54" i="25" s="1"/>
  <c r="DR54" i="25"/>
  <c r="DS54" i="25"/>
  <c r="MJ54" i="25"/>
  <c r="KJ54" i="25"/>
  <c r="FA54" i="25"/>
  <c r="JJ54" i="25"/>
  <c r="DR34" i="25"/>
  <c r="Z34" i="19"/>
  <c r="DQ34" i="25"/>
  <c r="DT34" i="25" s="1"/>
  <c r="DS34" i="25"/>
  <c r="FE34" i="25"/>
  <c r="FA34" i="25"/>
  <c r="KJ34" i="25"/>
  <c r="JJ34" i="25"/>
  <c r="KA34" i="25"/>
  <c r="KF34" i="25" s="1"/>
  <c r="IA34" i="25"/>
  <c r="LJ34" i="25"/>
  <c r="NJ34" i="25"/>
  <c r="MJ34" i="25"/>
  <c r="IJ34" i="25"/>
  <c r="DR47" i="25"/>
  <c r="Z47" i="19"/>
  <c r="DS47" i="25"/>
  <c r="DQ47" i="25"/>
  <c r="DT47" i="25" s="1"/>
  <c r="FA47" i="25"/>
  <c r="MJ47" i="25"/>
  <c r="IJ47" i="25"/>
  <c r="FE47" i="25"/>
  <c r="NJ47" i="25"/>
  <c r="KJ47" i="25"/>
  <c r="IA47" i="25"/>
  <c r="KA47" i="25"/>
  <c r="KF47" i="25" s="1"/>
  <c r="JJ47" i="25"/>
  <c r="LJ47" i="25"/>
  <c r="DQ42" i="25"/>
  <c r="DT42" i="25" s="1"/>
  <c r="DS42" i="25"/>
  <c r="DR42" i="25"/>
  <c r="Z42" i="19"/>
  <c r="FA42" i="25"/>
  <c r="FE42" i="25"/>
  <c r="KA42" i="25"/>
  <c r="KF42" i="25" s="1"/>
  <c r="IA42" i="25"/>
  <c r="LJ42" i="25"/>
  <c r="NJ42" i="25"/>
  <c r="MJ42" i="25"/>
  <c r="IJ42" i="25"/>
  <c r="KJ42" i="25"/>
  <c r="JJ42" i="25"/>
  <c r="DR52" i="25"/>
  <c r="DS52" i="25"/>
  <c r="DQ52" i="25"/>
  <c r="DT52" i="25" s="1"/>
  <c r="MJ52" i="25"/>
  <c r="KJ52" i="25"/>
  <c r="JJ52" i="25"/>
  <c r="KA52" i="25"/>
  <c r="KF52" i="25" s="1"/>
  <c r="FA52" i="25"/>
  <c r="NJ52" i="25"/>
  <c r="FE52" i="25"/>
  <c r="LJ52" i="25"/>
  <c r="AH32" i="25"/>
  <c r="Z32" i="19"/>
  <c r="DR32" i="25"/>
  <c r="DS32" i="25"/>
  <c r="DQ32" i="25"/>
  <c r="DT32" i="25" s="1"/>
  <c r="MJ32" i="25"/>
  <c r="IA32" i="25"/>
  <c r="FA32" i="25"/>
  <c r="FE32" i="25"/>
  <c r="NJ32" i="25"/>
  <c r="JJ32" i="25"/>
  <c r="KJ32" i="25"/>
  <c r="KA32" i="25"/>
  <c r="KF32" i="25" s="1"/>
  <c r="IJ32" i="25"/>
  <c r="LJ32" i="25"/>
  <c r="DQ29" i="25"/>
  <c r="DT29" i="25" s="1"/>
  <c r="Z29" i="19"/>
  <c r="DR29" i="25"/>
  <c r="DS29" i="25"/>
  <c r="FA29" i="25"/>
  <c r="JJ29" i="25"/>
  <c r="IA29" i="25"/>
  <c r="IJ29" i="25"/>
  <c r="FE29" i="25"/>
  <c r="NJ29" i="25"/>
  <c r="KA29" i="25"/>
  <c r="KF29" i="25" s="1"/>
  <c r="KJ29" i="25"/>
  <c r="MJ29" i="25"/>
  <c r="LJ29" i="25"/>
  <c r="DR20" i="25"/>
  <c r="DS20" i="25"/>
  <c r="DQ20" i="25"/>
  <c r="DT20" i="25" s="1"/>
  <c r="AH20" i="25"/>
  <c r="FA20" i="25"/>
  <c r="FE20" i="25"/>
  <c r="MJ20" i="25"/>
  <c r="IJ20" i="25"/>
  <c r="NJ20" i="25"/>
  <c r="KJ20" i="25"/>
  <c r="JJ20" i="25"/>
  <c r="KA20" i="25"/>
  <c r="KF20" i="25" s="1"/>
  <c r="IA20" i="25"/>
  <c r="LJ20" i="25"/>
  <c r="DQ26" i="25"/>
  <c r="DT26" i="25" s="1"/>
  <c r="DR26" i="25"/>
  <c r="DS26" i="25"/>
  <c r="FE26" i="25"/>
  <c r="FA26" i="25"/>
  <c r="MJ26" i="25"/>
  <c r="JJ26" i="25"/>
  <c r="IA26" i="25"/>
  <c r="KJ26" i="25"/>
  <c r="KA26" i="25"/>
  <c r="KF26" i="25" s="1"/>
  <c r="LJ26" i="25"/>
  <c r="NJ26" i="25"/>
  <c r="IJ26" i="25"/>
  <c r="DR37" i="25"/>
  <c r="DS37" i="25"/>
  <c r="DQ37" i="25"/>
  <c r="DT37" i="25" s="1"/>
  <c r="Z37" i="19"/>
  <c r="FA37" i="25"/>
  <c r="FE37" i="25"/>
  <c r="JJ37" i="25"/>
  <c r="IA37" i="25"/>
  <c r="IJ37" i="25"/>
  <c r="NJ37" i="25"/>
  <c r="KA37" i="25"/>
  <c r="KF37" i="25" s="1"/>
  <c r="MJ37" i="25"/>
  <c r="KJ37" i="25"/>
  <c r="LJ37" i="25"/>
  <c r="DS46" i="25"/>
  <c r="DQ46" i="25"/>
  <c r="DT46" i="25" s="1"/>
  <c r="DR46" i="25"/>
  <c r="Z46" i="19"/>
  <c r="FA46" i="25"/>
  <c r="NJ46" i="25"/>
  <c r="MJ46" i="25"/>
  <c r="FE46" i="25"/>
  <c r="IJ46" i="25"/>
  <c r="KJ46" i="25"/>
  <c r="JJ46" i="25"/>
  <c r="KA46" i="25"/>
  <c r="KF46" i="25" s="1"/>
  <c r="IA46" i="25"/>
  <c r="LJ46" i="25"/>
  <c r="DR50" i="25"/>
  <c r="DS50" i="25"/>
  <c r="DQ50" i="25"/>
  <c r="DT50" i="25" s="1"/>
  <c r="AH50" i="25"/>
  <c r="Z50" i="19"/>
  <c r="FA50" i="25"/>
  <c r="FE50" i="25"/>
  <c r="KA50" i="25"/>
  <c r="KF50" i="25" s="1"/>
  <c r="NJ50" i="25"/>
  <c r="IJ50" i="25"/>
  <c r="MJ50" i="25"/>
  <c r="KJ50" i="25"/>
  <c r="JJ50" i="25"/>
  <c r="IA50" i="25"/>
  <c r="LJ50" i="25"/>
  <c r="DS39" i="25"/>
  <c r="DR39" i="25"/>
  <c r="DQ39" i="25"/>
  <c r="DT39" i="25" s="1"/>
  <c r="Z39" i="19"/>
  <c r="FE39" i="25"/>
  <c r="KA39" i="25"/>
  <c r="KF39" i="25" s="1"/>
  <c r="JJ39" i="25"/>
  <c r="NJ39" i="25"/>
  <c r="MJ39" i="25"/>
  <c r="IJ39" i="25"/>
  <c r="FA39" i="25"/>
  <c r="KJ39" i="25"/>
  <c r="IA39" i="25"/>
  <c r="LJ39" i="25"/>
  <c r="Z45" i="19"/>
  <c r="DR45" i="25"/>
  <c r="DS45" i="25"/>
  <c r="DQ45" i="25"/>
  <c r="DT45" i="25" s="1"/>
  <c r="MJ45" i="25"/>
  <c r="JJ45" i="25"/>
  <c r="IA45" i="25"/>
  <c r="IJ45" i="25"/>
  <c r="FA45" i="25"/>
  <c r="KA45" i="25"/>
  <c r="KF45" i="25" s="1"/>
  <c r="FE45" i="25"/>
  <c r="NJ45" i="25"/>
  <c r="KJ45" i="25"/>
  <c r="LJ45" i="25"/>
  <c r="DR41" i="25"/>
  <c r="DQ41" i="25"/>
  <c r="DT41" i="25" s="1"/>
  <c r="DS41" i="25"/>
  <c r="Z41" i="19"/>
  <c r="FA41" i="25"/>
  <c r="FE41" i="25"/>
  <c r="JJ41" i="25"/>
  <c r="LJ41" i="25"/>
  <c r="KA41" i="25"/>
  <c r="KF41" i="25" s="1"/>
  <c r="NJ41" i="25"/>
  <c r="IJ41" i="25"/>
  <c r="MJ41" i="25"/>
  <c r="KJ41" i="25"/>
  <c r="IA41" i="25"/>
  <c r="DQ25" i="25"/>
  <c r="DT25" i="25" s="1"/>
  <c r="DR25" i="25"/>
  <c r="DS25" i="25"/>
  <c r="FA25" i="25"/>
  <c r="FE25" i="25"/>
  <c r="KJ25" i="25"/>
  <c r="JJ25" i="25"/>
  <c r="KA25" i="25"/>
  <c r="KF25" i="25" s="1"/>
  <c r="MJ25" i="25"/>
  <c r="IA25" i="25"/>
  <c r="IJ25" i="25"/>
  <c r="LJ25" i="25"/>
  <c r="NJ25" i="25"/>
  <c r="DS31" i="25"/>
  <c r="DR31" i="25"/>
  <c r="Z31" i="19"/>
  <c r="DQ31" i="25"/>
  <c r="DT31" i="25" s="1"/>
  <c r="KJ31" i="25"/>
  <c r="JJ31" i="25"/>
  <c r="FA31" i="25"/>
  <c r="KA31" i="25"/>
  <c r="KF31" i="25" s="1"/>
  <c r="FE31" i="25"/>
  <c r="IJ31" i="25"/>
  <c r="NJ31" i="25"/>
  <c r="MJ31" i="25"/>
  <c r="IA31" i="25"/>
  <c r="LJ31" i="25"/>
  <c r="DR24" i="25"/>
  <c r="DS24" i="25"/>
  <c r="DQ24" i="25"/>
  <c r="DT24" i="25" s="1"/>
  <c r="MJ24" i="25"/>
  <c r="KJ24" i="25"/>
  <c r="JJ24" i="25"/>
  <c r="KA24" i="25"/>
  <c r="KF24" i="25" s="1"/>
  <c r="IA24" i="25"/>
  <c r="FE24" i="25"/>
  <c r="FA24" i="25"/>
  <c r="NJ24" i="25"/>
  <c r="IJ24" i="25"/>
  <c r="LJ24" i="25"/>
  <c r="DR51" i="25"/>
  <c r="DS51" i="25"/>
  <c r="DQ51" i="25"/>
  <c r="DT51" i="25" s="1"/>
  <c r="FA51" i="25"/>
  <c r="Z51" i="19"/>
  <c r="FE51" i="25"/>
  <c r="KA51" i="25"/>
  <c r="KF51" i="25" s="1"/>
  <c r="JJ51" i="25"/>
  <c r="NJ51" i="25"/>
  <c r="MJ51" i="25"/>
  <c r="KJ51" i="25"/>
  <c r="LJ51" i="25"/>
  <c r="DQ48" i="25"/>
  <c r="DT48" i="25" s="1"/>
  <c r="DR48" i="25"/>
  <c r="DS48" i="25"/>
  <c r="FA48" i="25"/>
  <c r="MJ48" i="25"/>
  <c r="KA48" i="25"/>
  <c r="KF48" i="25" s="1"/>
  <c r="FE48" i="25"/>
  <c r="NJ48" i="25"/>
  <c r="IJ48" i="25"/>
  <c r="KJ48" i="25"/>
  <c r="JJ48" i="25"/>
  <c r="IA48" i="25"/>
  <c r="LJ48" i="25"/>
  <c r="DQ53" i="25"/>
  <c r="DT53" i="25" s="1"/>
  <c r="DR53" i="25"/>
  <c r="DS53" i="25"/>
  <c r="AH53" i="25"/>
  <c r="JJ53" i="25"/>
  <c r="NJ53" i="25"/>
  <c r="KJ53" i="25"/>
  <c r="KA53" i="25"/>
  <c r="KF53" i="25" s="1"/>
  <c r="FA53" i="25"/>
  <c r="FE53" i="25"/>
  <c r="MJ53" i="25"/>
  <c r="LJ53" i="25"/>
  <c r="DQ33" i="25"/>
  <c r="DT33" i="25" s="1"/>
  <c r="Z33" i="19"/>
  <c r="DS33" i="25"/>
  <c r="DR33" i="25"/>
  <c r="FA33" i="25"/>
  <c r="FE33" i="25"/>
  <c r="MJ33" i="25"/>
  <c r="JJ33" i="25"/>
  <c r="LJ33" i="25"/>
  <c r="NJ33" i="25"/>
  <c r="KA33" i="25"/>
  <c r="KF33" i="25" s="1"/>
  <c r="IA33" i="25"/>
  <c r="IJ33" i="25"/>
  <c r="KJ33" i="25"/>
  <c r="DR44" i="25"/>
  <c r="DS44" i="25"/>
  <c r="DQ44" i="25"/>
  <c r="DT44" i="25" s="1"/>
  <c r="Z44" i="19"/>
  <c r="MJ44" i="25"/>
  <c r="IJ44" i="25"/>
  <c r="IA44" i="25"/>
  <c r="FA44" i="25"/>
  <c r="NJ44" i="25"/>
  <c r="KJ44" i="25"/>
  <c r="JJ44" i="25"/>
  <c r="FE44" i="25"/>
  <c r="KA44" i="25"/>
  <c r="KF44" i="25" s="1"/>
  <c r="LJ44" i="25"/>
  <c r="DS23" i="25"/>
  <c r="DQ23" i="25"/>
  <c r="DT23" i="25" s="1"/>
  <c r="DR23" i="25"/>
  <c r="AH23" i="25"/>
  <c r="FA23" i="25"/>
  <c r="NJ23" i="25"/>
  <c r="MJ23" i="25"/>
  <c r="KJ23" i="25"/>
  <c r="KA23" i="25"/>
  <c r="KF23" i="25" s="1"/>
  <c r="FE23" i="25"/>
  <c r="JJ23" i="25"/>
  <c r="IJ23" i="25"/>
  <c r="IA23" i="25"/>
  <c r="LJ23" i="25"/>
  <c r="DR21" i="25"/>
  <c r="DQ21" i="25"/>
  <c r="DT21" i="25" s="1"/>
  <c r="DS21" i="25"/>
  <c r="FA21" i="25"/>
  <c r="IJ21" i="25"/>
  <c r="FE21" i="25"/>
  <c r="IA21" i="25"/>
  <c r="MJ21" i="25"/>
  <c r="KJ21" i="25"/>
  <c r="JJ21" i="25"/>
  <c r="KA21" i="25"/>
  <c r="KF21" i="25" s="1"/>
  <c r="NJ21" i="25"/>
  <c r="LJ21" i="25"/>
  <c r="DQ22" i="25"/>
  <c r="DT22" i="25" s="1"/>
  <c r="DR22" i="25"/>
  <c r="DS22" i="25"/>
  <c r="KJ22" i="25"/>
  <c r="JJ22" i="25"/>
  <c r="IJ22" i="25"/>
  <c r="FA22" i="25"/>
  <c r="NJ22" i="25"/>
  <c r="FE22" i="25"/>
  <c r="MJ22" i="25"/>
  <c r="KA22" i="25"/>
  <c r="KF22" i="25" s="1"/>
  <c r="IA22" i="25"/>
  <c r="LJ22" i="25"/>
  <c r="DR49" i="25"/>
  <c r="DS49" i="25"/>
  <c r="Z49" i="19"/>
  <c r="DQ49" i="25"/>
  <c r="DT49" i="25" s="1"/>
  <c r="FE49" i="25"/>
  <c r="NJ49" i="25"/>
  <c r="MJ49" i="25"/>
  <c r="KJ49" i="25"/>
  <c r="JJ49" i="25"/>
  <c r="FA49" i="25"/>
  <c r="KA49" i="25"/>
  <c r="KF49" i="25" s="1"/>
  <c r="IA49" i="25"/>
  <c r="IJ49" i="25"/>
  <c r="LJ49" i="25"/>
  <c r="DR40" i="25"/>
  <c r="DS40" i="25"/>
  <c r="DQ40" i="25"/>
  <c r="DT40" i="25" s="1"/>
  <c r="Z40" i="19"/>
  <c r="MJ40" i="25"/>
  <c r="JJ40" i="25"/>
  <c r="NJ40" i="25"/>
  <c r="KJ40" i="25"/>
  <c r="KA40" i="25"/>
  <c r="KF40" i="25" s="1"/>
  <c r="FA40" i="25"/>
  <c r="IJ40" i="25"/>
  <c r="FE40" i="25"/>
  <c r="IA40" i="25"/>
  <c r="LJ40" i="25"/>
  <c r="DR30" i="25"/>
  <c r="DS30" i="25"/>
  <c r="DQ30" i="25"/>
  <c r="DT30" i="25" s="1"/>
  <c r="Z30" i="19"/>
  <c r="FE30" i="25"/>
  <c r="MJ30" i="25"/>
  <c r="JJ30" i="25"/>
  <c r="IA30" i="25"/>
  <c r="KA30" i="25"/>
  <c r="KF30" i="25" s="1"/>
  <c r="NJ30" i="25"/>
  <c r="KJ30" i="25"/>
  <c r="IJ30" i="25"/>
  <c r="FA30" i="25"/>
  <c r="LJ30" i="25"/>
  <c r="Z43" i="19"/>
  <c r="DR43" i="25"/>
  <c r="DS43" i="25"/>
  <c r="DQ43" i="25"/>
  <c r="DT43" i="25" s="1"/>
  <c r="NJ43" i="25"/>
  <c r="KJ43" i="25"/>
  <c r="IJ43" i="25"/>
  <c r="FA43" i="25"/>
  <c r="KA43" i="25"/>
  <c r="KF43" i="25" s="1"/>
  <c r="IA43" i="25"/>
  <c r="FE43" i="25"/>
  <c r="JJ43" i="25"/>
  <c r="MJ43" i="25"/>
  <c r="LJ43" i="25"/>
  <c r="DR36" i="25"/>
  <c r="DS36" i="25"/>
  <c r="DQ36" i="25"/>
  <c r="DT36" i="25" s="1"/>
  <c r="AH36" i="25"/>
  <c r="Z36" i="19"/>
  <c r="NJ36" i="25"/>
  <c r="IA36" i="25"/>
  <c r="FA36" i="25"/>
  <c r="KJ36" i="25"/>
  <c r="JJ36" i="25"/>
  <c r="FE36" i="25"/>
  <c r="KA36" i="25"/>
  <c r="KF36" i="25" s="1"/>
  <c r="MJ36" i="25"/>
  <c r="IJ36" i="25"/>
  <c r="LJ36" i="25"/>
  <c r="DR35" i="25"/>
  <c r="DS35" i="25"/>
  <c r="DQ35" i="25"/>
  <c r="DT35" i="25" s="1"/>
  <c r="AH35" i="25"/>
  <c r="Z35" i="19"/>
  <c r="NJ35" i="25"/>
  <c r="KJ35" i="25"/>
  <c r="IJ35" i="25"/>
  <c r="FA35" i="25"/>
  <c r="MJ35" i="25"/>
  <c r="KA35" i="25"/>
  <c r="KF35" i="25" s="1"/>
  <c r="IA35" i="25"/>
  <c r="FE35" i="25"/>
  <c r="JJ35" i="25"/>
  <c r="LJ35" i="25"/>
  <c r="DR27" i="25"/>
  <c r="Z27" i="19"/>
  <c r="DQ27" i="25"/>
  <c r="DT27" i="25" s="1"/>
  <c r="DS27" i="25"/>
  <c r="FE27" i="25"/>
  <c r="MJ27" i="25"/>
  <c r="KJ27" i="25"/>
  <c r="KA27" i="25"/>
  <c r="KF27" i="25" s="1"/>
  <c r="NJ27" i="25"/>
  <c r="JJ27" i="25"/>
  <c r="IJ27" i="25"/>
  <c r="FA27" i="25"/>
  <c r="IA27" i="25"/>
  <c r="LJ27" i="25"/>
  <c r="DQ38" i="25"/>
  <c r="DT38" i="25" s="1"/>
  <c r="DR38" i="25"/>
  <c r="DS38" i="25"/>
  <c r="Z38" i="19"/>
  <c r="FE38" i="25"/>
  <c r="MJ38" i="25"/>
  <c r="IJ38" i="25"/>
  <c r="NJ38" i="25"/>
  <c r="KJ38" i="25"/>
  <c r="JJ38" i="25"/>
  <c r="KA38" i="25"/>
  <c r="KF38" i="25" s="1"/>
  <c r="IA38" i="25"/>
  <c r="FA38" i="25"/>
  <c r="LJ38" i="25"/>
  <c r="DR28" i="25"/>
  <c r="DS28" i="25"/>
  <c r="DQ28" i="25"/>
  <c r="DT28" i="25" s="1"/>
  <c r="Z28" i="19"/>
  <c r="IJ28" i="25"/>
  <c r="FA28" i="25"/>
  <c r="KJ28" i="25"/>
  <c r="JJ28" i="25"/>
  <c r="KA28" i="25"/>
  <c r="KF28" i="25" s="1"/>
  <c r="IA28" i="25"/>
  <c r="FE28" i="25"/>
  <c r="NJ28" i="25"/>
  <c r="MJ28" i="25"/>
  <c r="LJ28" i="25"/>
  <c r="M37" i="19" l="1"/>
  <c r="J67" i="42"/>
  <c r="J65" i="42"/>
  <c r="J69" i="42"/>
  <c r="J66" i="42"/>
  <c r="J70" i="42"/>
  <c r="J64" i="42"/>
  <c r="J61" i="42"/>
  <c r="J63" i="42"/>
  <c r="J56" i="42"/>
  <c r="J55" i="42"/>
  <c r="Q119" i="3"/>
  <c r="R119" i="3" s="1"/>
  <c r="AK104" i="25"/>
  <c r="O119" i="42" s="1"/>
  <c r="X119" i="42" s="1"/>
  <c r="U119" i="42"/>
  <c r="BO104" i="25"/>
  <c r="AD104" i="19"/>
  <c r="BC104" i="25"/>
  <c r="AR104" i="25"/>
  <c r="AM104" i="25" s="1"/>
  <c r="AO104" i="25" s="1"/>
  <c r="AI104" i="25" s="1"/>
  <c r="DB104" i="25"/>
  <c r="AX104" i="19" s="1"/>
  <c r="IF46" i="25"/>
  <c r="IF47" i="25"/>
  <c r="DI104" i="25"/>
  <c r="DV104" i="25"/>
  <c r="DU104" i="25"/>
  <c r="IF43" i="25"/>
  <c r="IF24" i="25"/>
  <c r="IF31" i="25"/>
  <c r="IF25" i="25"/>
  <c r="IF50" i="25"/>
  <c r="IF42" i="25"/>
  <c r="IF26" i="25"/>
  <c r="AC104" i="19"/>
  <c r="IF30" i="25"/>
  <c r="IF40" i="25"/>
  <c r="IF49" i="25"/>
  <c r="IF44" i="25"/>
  <c r="IF48" i="25"/>
  <c r="IF41" i="25"/>
  <c r="IF29" i="25"/>
  <c r="IF28" i="25"/>
  <c r="IF38" i="25"/>
  <c r="IF36" i="25"/>
  <c r="IF27" i="25"/>
  <c r="IF35" i="25"/>
  <c r="IF23" i="25"/>
  <c r="IF33" i="25"/>
  <c r="IF45" i="25"/>
  <c r="IF39" i="25"/>
  <c r="IF37" i="25"/>
  <c r="IF32" i="25"/>
  <c r="IF34" i="25"/>
  <c r="D68" i="42"/>
  <c r="J68" i="42"/>
  <c r="N50" i="42"/>
  <c r="J50" i="42"/>
  <c r="T51" i="42"/>
  <c r="J51" i="42"/>
  <c r="G58" i="42"/>
  <c r="J58" i="42"/>
  <c r="N47" i="42"/>
  <c r="AI47" i="42" s="1"/>
  <c r="AJ47" i="42" s="1"/>
  <c r="J47" i="42"/>
  <c r="N48" i="42"/>
  <c r="AI48" i="42" s="1"/>
  <c r="AJ48" i="42" s="1"/>
  <c r="J48" i="42"/>
  <c r="D59" i="42"/>
  <c r="J59" i="42"/>
  <c r="L60" i="42"/>
  <c r="R60" i="42" s="1"/>
  <c r="J60" i="42"/>
  <c r="G62" i="42"/>
  <c r="J62" i="42"/>
  <c r="G44" i="42"/>
  <c r="J44" i="42"/>
  <c r="D53" i="42"/>
  <c r="J53" i="42"/>
  <c r="G52" i="42"/>
  <c r="J52" i="42"/>
  <c r="G57" i="42"/>
  <c r="J57" i="42"/>
  <c r="T54" i="42"/>
  <c r="J54" i="42"/>
  <c r="C35" i="42"/>
  <c r="J35" i="42"/>
  <c r="IF22" i="25"/>
  <c r="IF21" i="25"/>
  <c r="IF20" i="25"/>
  <c r="N52" i="42"/>
  <c r="G53" i="42"/>
  <c r="T68" i="42"/>
  <c r="L50" i="42"/>
  <c r="R50" i="42" s="1"/>
  <c r="L51" i="42"/>
  <c r="R51" i="42" s="1"/>
  <c r="G68" i="42"/>
  <c r="G50" i="42"/>
  <c r="G51" i="42"/>
  <c r="T62" i="42"/>
  <c r="D51" i="42"/>
  <c r="L68" i="42"/>
  <c r="R68" i="42" s="1"/>
  <c r="N68" i="42"/>
  <c r="AI68" i="42" s="1"/>
  <c r="AJ68" i="42" s="1"/>
  <c r="T50" i="42"/>
  <c r="T53" i="42"/>
  <c r="T59" i="42"/>
  <c r="D52" i="42"/>
  <c r="T60" i="42"/>
  <c r="T52" i="42"/>
  <c r="N53" i="42"/>
  <c r="AI53" i="42" s="1"/>
  <c r="AJ53" i="42" s="1"/>
  <c r="L62" i="42"/>
  <c r="R62" i="42" s="1"/>
  <c r="N59" i="42"/>
  <c r="AI59" i="42" s="1"/>
  <c r="AJ59" i="42" s="1"/>
  <c r="L52" i="42"/>
  <c r="R52" i="42" s="1"/>
  <c r="L53" i="42"/>
  <c r="R53" i="42" s="1"/>
  <c r="D60" i="42"/>
  <c r="G59" i="42"/>
  <c r="G60" i="42"/>
  <c r="N60" i="42"/>
  <c r="AI60" i="42" s="1"/>
  <c r="AJ60" i="42" s="1"/>
  <c r="L59" i="42"/>
  <c r="R59" i="42" s="1"/>
  <c r="D57" i="42"/>
  <c r="U53" i="25"/>
  <c r="W53" i="25"/>
  <c r="ER52" i="25"/>
  <c r="G66" i="42"/>
  <c r="ER54" i="25"/>
  <c r="D65" i="42"/>
  <c r="ER22" i="25"/>
  <c r="ER21" i="25"/>
  <c r="ER24" i="25"/>
  <c r="ER38" i="25"/>
  <c r="ER42" i="25"/>
  <c r="ER29" i="25"/>
  <c r="ER47" i="25"/>
  <c r="T57" i="42"/>
  <c r="L54" i="42"/>
  <c r="AF54" i="42" s="1"/>
  <c r="D48" i="42"/>
  <c r="N57" i="42"/>
  <c r="AI57" i="42" s="1"/>
  <c r="AJ57" i="42" s="1"/>
  <c r="T47" i="42"/>
  <c r="N54" i="42"/>
  <c r="AI54" i="42" s="1"/>
  <c r="AJ54" i="42" s="1"/>
  <c r="L66" i="42"/>
  <c r="R66" i="42" s="1"/>
  <c r="D54" i="42"/>
  <c r="G47" i="42"/>
  <c r="G48" i="42"/>
  <c r="T48" i="42"/>
  <c r="T66" i="42"/>
  <c r="G54" i="42"/>
  <c r="L47" i="42"/>
  <c r="AF47" i="42" s="1"/>
  <c r="D47" i="42"/>
  <c r="N66" i="42"/>
  <c r="D66" i="42"/>
  <c r="C55" i="42"/>
  <c r="C66" i="42"/>
  <c r="C54" i="42"/>
  <c r="C47" i="42"/>
  <c r="C48" i="42"/>
  <c r="C68" i="42"/>
  <c r="C42" i="42"/>
  <c r="C41" i="42"/>
  <c r="C50" i="42"/>
  <c r="C51" i="42"/>
  <c r="C46" i="42"/>
  <c r="C49" i="42"/>
  <c r="N51" i="42"/>
  <c r="AI51" i="42" s="1"/>
  <c r="AJ51" i="42" s="1"/>
  <c r="C59" i="42"/>
  <c r="C60" i="42"/>
  <c r="C40" i="42"/>
  <c r="C43" i="42"/>
  <c r="C44" i="42"/>
  <c r="C53" i="42"/>
  <c r="C52" i="42"/>
  <c r="C37" i="42"/>
  <c r="C38" i="42"/>
  <c r="C36" i="42"/>
  <c r="E41" i="3"/>
  <c r="E43" i="3"/>
  <c r="E49" i="3"/>
  <c r="E52" i="3"/>
  <c r="E42" i="3"/>
  <c r="E36" i="3"/>
  <c r="E45" i="3"/>
  <c r="E53" i="3"/>
  <c r="E47" i="3"/>
  <c r="E48" i="3"/>
  <c r="E38" i="3"/>
  <c r="E40" i="3"/>
  <c r="E50" i="3"/>
  <c r="E44" i="3"/>
  <c r="E37" i="3"/>
  <c r="E35" i="3"/>
  <c r="E51" i="3"/>
  <c r="E46" i="3"/>
  <c r="AC41" i="25"/>
  <c r="G69" i="42"/>
  <c r="C69" i="42"/>
  <c r="AC55" i="25"/>
  <c r="AC54" i="25"/>
  <c r="AC53" i="25"/>
  <c r="T70" i="42"/>
  <c r="C70" i="42"/>
  <c r="AC46" i="25"/>
  <c r="AC50" i="25"/>
  <c r="AC45" i="25"/>
  <c r="D67" i="42"/>
  <c r="C67" i="42"/>
  <c r="N65" i="42"/>
  <c r="AI65" i="42" s="1"/>
  <c r="AJ65" i="42" s="1"/>
  <c r="C65" i="42"/>
  <c r="N64" i="42"/>
  <c r="AI64" i="42" s="1"/>
  <c r="AJ64" i="42" s="1"/>
  <c r="C64" i="42"/>
  <c r="C61" i="42"/>
  <c r="AC48" i="25"/>
  <c r="AC49" i="25"/>
  <c r="D62" i="42"/>
  <c r="C62" i="42"/>
  <c r="AC47" i="25"/>
  <c r="AC51" i="25"/>
  <c r="AC52" i="25"/>
  <c r="C63" i="42"/>
  <c r="S33" i="25"/>
  <c r="AC33" i="25"/>
  <c r="AC39" i="25"/>
  <c r="AC40" i="25"/>
  <c r="C57" i="42"/>
  <c r="S30" i="25"/>
  <c r="AC30" i="25"/>
  <c r="AC42" i="25"/>
  <c r="S32" i="25"/>
  <c r="AC32" i="25"/>
  <c r="AC38" i="25"/>
  <c r="S34" i="25"/>
  <c r="AC34" i="25"/>
  <c r="AC36" i="25"/>
  <c r="D58" i="42"/>
  <c r="C58" i="42"/>
  <c r="S31" i="25"/>
  <c r="AC31" i="25"/>
  <c r="AC37" i="25"/>
  <c r="AC43" i="25"/>
  <c r="AC35" i="25"/>
  <c r="AC44" i="25"/>
  <c r="T56" i="42"/>
  <c r="C56" i="42"/>
  <c r="S21" i="25"/>
  <c r="AC21" i="25"/>
  <c r="S27" i="25"/>
  <c r="AC27" i="25"/>
  <c r="S20" i="25"/>
  <c r="AC20" i="25"/>
  <c r="S22" i="25"/>
  <c r="AC22" i="25"/>
  <c r="S28" i="25"/>
  <c r="AC28" i="25"/>
  <c r="F39" i="3"/>
  <c r="E39" i="3"/>
  <c r="AC25" i="25"/>
  <c r="S29" i="25"/>
  <c r="AC29" i="25"/>
  <c r="AC24" i="25"/>
  <c r="AC23" i="25"/>
  <c r="AC26" i="25"/>
  <c r="T55" i="42"/>
  <c r="N63" i="42"/>
  <c r="AI63" i="42" s="1"/>
  <c r="AJ63" i="42" s="1"/>
  <c r="G63" i="42"/>
  <c r="D63" i="42"/>
  <c r="T63" i="42"/>
  <c r="C59" i="3"/>
  <c r="F45" i="3"/>
  <c r="C53" i="3"/>
  <c r="F47" i="3"/>
  <c r="D48" i="3"/>
  <c r="F58" i="3"/>
  <c r="D50" i="3"/>
  <c r="C44" i="3"/>
  <c r="E69" i="3"/>
  <c r="D60" i="3"/>
  <c r="F56" i="3"/>
  <c r="E65" i="3"/>
  <c r="F46" i="3"/>
  <c r="E57" i="3"/>
  <c r="C63" i="3"/>
  <c r="C62" i="3"/>
  <c r="D54" i="3"/>
  <c r="F61" i="3"/>
  <c r="F49" i="3"/>
  <c r="K35" i="42"/>
  <c r="N56" i="42"/>
  <c r="AI56" i="42" s="1"/>
  <c r="AJ56" i="42" s="1"/>
  <c r="G70" i="42"/>
  <c r="D69" i="42"/>
  <c r="L65" i="42"/>
  <c r="R65" i="42" s="1"/>
  <c r="D64" i="42"/>
  <c r="D56" i="42"/>
  <c r="L56" i="42"/>
  <c r="N55" i="42"/>
  <c r="AI55" i="42" s="1"/>
  <c r="AJ55" i="42" s="1"/>
  <c r="D70" i="42"/>
  <c r="N69" i="42"/>
  <c r="AI69" i="42" s="1"/>
  <c r="AJ69" i="42" s="1"/>
  <c r="T64" i="42"/>
  <c r="G56" i="42"/>
  <c r="L69" i="42"/>
  <c r="R69" i="42" s="1"/>
  <c r="L70" i="42"/>
  <c r="T69" i="42"/>
  <c r="G65" i="42"/>
  <c r="L64" i="42"/>
  <c r="R64" i="42" s="1"/>
  <c r="G55" i="42"/>
  <c r="N70" i="42"/>
  <c r="T65" i="42"/>
  <c r="G64" i="42"/>
  <c r="S24" i="25"/>
  <c r="D49" i="3"/>
  <c r="E63" i="3"/>
  <c r="D57" i="3"/>
  <c r="S23" i="25"/>
  <c r="S25" i="25"/>
  <c r="S26" i="25"/>
  <c r="D61" i="3"/>
  <c r="F54" i="3"/>
  <c r="L46" i="42"/>
  <c r="AF46" i="42" s="1"/>
  <c r="L67" i="42"/>
  <c r="R67" i="42" s="1"/>
  <c r="F62" i="3"/>
  <c r="T67" i="42"/>
  <c r="F60" i="3"/>
  <c r="F68" i="3"/>
  <c r="D50" i="42"/>
  <c r="L55" i="42"/>
  <c r="AF55" i="42" s="1"/>
  <c r="D55" i="42"/>
  <c r="R48" i="42"/>
  <c r="N62" i="42"/>
  <c r="AI62" i="42" s="1"/>
  <c r="AJ62" i="42" s="1"/>
  <c r="L63" i="42"/>
  <c r="R63" i="42" s="1"/>
  <c r="L57" i="42"/>
  <c r="AF57" i="42" s="1"/>
  <c r="N67" i="42"/>
  <c r="AI67" i="42" s="1"/>
  <c r="AJ67" i="42" s="1"/>
  <c r="C48" i="3"/>
  <c r="G67" i="42"/>
  <c r="D47" i="3"/>
  <c r="F65" i="3"/>
  <c r="D46" i="3"/>
  <c r="D56" i="3"/>
  <c r="E70" i="3"/>
  <c r="T46" i="42"/>
  <c r="C65" i="3"/>
  <c r="E56" i="3"/>
  <c r="F70" i="3"/>
  <c r="K50" i="42"/>
  <c r="D65" i="3"/>
  <c r="C56" i="3"/>
  <c r="C46" i="3"/>
  <c r="C70" i="3"/>
  <c r="D70" i="3"/>
  <c r="N45" i="42"/>
  <c r="AI45" i="42" s="1"/>
  <c r="AJ45" i="42" s="1"/>
  <c r="D53" i="3"/>
  <c r="F57" i="3"/>
  <c r="N46" i="42"/>
  <c r="AI46" i="42" s="1"/>
  <c r="AJ46" i="42" s="1"/>
  <c r="T58" i="42"/>
  <c r="G61" i="42"/>
  <c r="C45" i="3"/>
  <c r="C47" i="3"/>
  <c r="F48" i="3"/>
  <c r="F53" i="3"/>
  <c r="C57" i="3"/>
  <c r="D46" i="42"/>
  <c r="L58" i="42"/>
  <c r="AF58" i="42" s="1"/>
  <c r="N61" i="42"/>
  <c r="AI61" i="42" s="1"/>
  <c r="AJ61" i="42" s="1"/>
  <c r="D61" i="42"/>
  <c r="G46" i="42"/>
  <c r="N58" i="42"/>
  <c r="AI58" i="42" s="1"/>
  <c r="AJ58" i="42" s="1"/>
  <c r="L61" i="42"/>
  <c r="AF61" i="42" s="1"/>
  <c r="T61" i="42"/>
  <c r="L45" i="42"/>
  <c r="AF45" i="42" s="1"/>
  <c r="T44" i="42"/>
  <c r="D45" i="3"/>
  <c r="D45" i="42"/>
  <c r="L44" i="42"/>
  <c r="AF44" i="42" s="1"/>
  <c r="N44" i="42"/>
  <c r="AI44" i="42" s="1"/>
  <c r="AJ44" i="42" s="1"/>
  <c r="D44" i="42"/>
  <c r="D39" i="3"/>
  <c r="D40" i="3"/>
  <c r="C43" i="3"/>
  <c r="F44" i="3"/>
  <c r="D35" i="42"/>
  <c r="C60" i="3"/>
  <c r="D62" i="3"/>
  <c r="E61" i="3"/>
  <c r="C49" i="3"/>
  <c r="C54" i="3"/>
  <c r="E68" i="3"/>
  <c r="D63" i="3"/>
  <c r="E60" i="3"/>
  <c r="C39" i="3"/>
  <c r="E62" i="3"/>
  <c r="C61" i="3"/>
  <c r="E54" i="3"/>
  <c r="C68" i="3"/>
  <c r="F63" i="3"/>
  <c r="D68" i="3"/>
  <c r="L35" i="42"/>
  <c r="AF35" i="42" s="1"/>
  <c r="D42" i="42"/>
  <c r="T41" i="42"/>
  <c r="C58" i="3"/>
  <c r="E59" i="3"/>
  <c r="F50" i="3"/>
  <c r="F40" i="3"/>
  <c r="F69" i="3"/>
  <c r="I56" i="42"/>
  <c r="I59" i="42"/>
  <c r="I63" i="42"/>
  <c r="C40" i="3"/>
  <c r="C50" i="3"/>
  <c r="E58" i="3"/>
  <c r="C69" i="3"/>
  <c r="D59" i="3"/>
  <c r="AF65" i="42"/>
  <c r="D58" i="3"/>
  <c r="D44" i="3"/>
  <c r="D69" i="3"/>
  <c r="F59" i="3"/>
  <c r="AF68" i="42"/>
  <c r="Z52" i="19"/>
  <c r="Z54" i="19"/>
  <c r="S68" i="3"/>
  <c r="S69" i="3"/>
  <c r="S70" i="3"/>
  <c r="Z48" i="19"/>
  <c r="N49" i="42"/>
  <c r="AI49" i="42" s="1"/>
  <c r="AJ49" i="42" s="1"/>
  <c r="D49" i="42"/>
  <c r="G49" i="42"/>
  <c r="T49" i="42"/>
  <c r="L49" i="42"/>
  <c r="AF49" i="42" s="1"/>
  <c r="S46" i="3"/>
  <c r="S48" i="3"/>
  <c r="S52" i="3"/>
  <c r="S53" i="3"/>
  <c r="S47" i="3"/>
  <c r="N41" i="42"/>
  <c r="T42" i="42"/>
  <c r="G42" i="42"/>
  <c r="L41" i="42"/>
  <c r="D41" i="42"/>
  <c r="G41" i="42"/>
  <c r="L42" i="42"/>
  <c r="N42" i="42"/>
  <c r="AI42" i="42" s="1"/>
  <c r="AJ42" i="42" s="1"/>
  <c r="L36" i="42"/>
  <c r="D43" i="3"/>
  <c r="F43" i="3"/>
  <c r="T43" i="42"/>
  <c r="L43" i="42"/>
  <c r="D43" i="42"/>
  <c r="N43" i="42"/>
  <c r="AI43" i="42" s="1"/>
  <c r="AJ43" i="42" s="1"/>
  <c r="G43" i="42"/>
  <c r="N40" i="42"/>
  <c r="AI40" i="42" s="1"/>
  <c r="AJ40" i="42" s="1"/>
  <c r="D40" i="42"/>
  <c r="G40" i="42"/>
  <c r="T40" i="42"/>
  <c r="L40" i="42"/>
  <c r="Z22" i="19"/>
  <c r="Z26" i="19"/>
  <c r="Z23" i="19"/>
  <c r="T39" i="42"/>
  <c r="G39" i="42"/>
  <c r="L39" i="42"/>
  <c r="D39" i="42"/>
  <c r="N39" i="42"/>
  <c r="AI39" i="42" s="1"/>
  <c r="AJ39" i="42" s="1"/>
  <c r="Z25" i="19"/>
  <c r="Z24" i="19"/>
  <c r="G38" i="42"/>
  <c r="G35" i="42"/>
  <c r="G37" i="42"/>
  <c r="L38" i="42"/>
  <c r="G36" i="42"/>
  <c r="D38" i="42"/>
  <c r="D36" i="42"/>
  <c r="D37" i="42"/>
  <c r="L37" i="42"/>
  <c r="N38" i="42"/>
  <c r="AI38" i="42" s="1"/>
  <c r="AJ38" i="42" s="1"/>
  <c r="T38" i="42"/>
  <c r="T37" i="42"/>
  <c r="N37" i="42"/>
  <c r="Z20" i="19"/>
  <c r="Z21" i="19"/>
  <c r="N36" i="42"/>
  <c r="T36" i="42"/>
  <c r="N35" i="42"/>
  <c r="AI35" i="42" s="1"/>
  <c r="AJ35" i="42" s="1"/>
  <c r="T35" i="42"/>
  <c r="C38" i="3"/>
  <c r="F38" i="3"/>
  <c r="D38" i="3"/>
  <c r="D51" i="3"/>
  <c r="F51" i="3"/>
  <c r="C51" i="3"/>
  <c r="D55" i="3"/>
  <c r="F55" i="3"/>
  <c r="C55" i="3"/>
  <c r="E55" i="3"/>
  <c r="D36" i="3"/>
  <c r="F36" i="3"/>
  <c r="C36" i="3"/>
  <c r="D64" i="3"/>
  <c r="F64" i="3"/>
  <c r="C64" i="3"/>
  <c r="E64" i="3"/>
  <c r="D37" i="3"/>
  <c r="C37" i="3"/>
  <c r="F37" i="3"/>
  <c r="D66" i="3"/>
  <c r="E66" i="3"/>
  <c r="F66" i="3"/>
  <c r="C66" i="3"/>
  <c r="D52" i="3"/>
  <c r="C52" i="3"/>
  <c r="F52" i="3"/>
  <c r="C35" i="3"/>
  <c r="F35" i="3"/>
  <c r="D35" i="3"/>
  <c r="D42" i="3"/>
  <c r="C42" i="3"/>
  <c r="F42" i="3"/>
  <c r="D67" i="3"/>
  <c r="E67" i="3"/>
  <c r="F67" i="3"/>
  <c r="C67" i="3"/>
  <c r="D41" i="3"/>
  <c r="C41" i="3"/>
  <c r="F41" i="3"/>
  <c r="K70" i="42"/>
  <c r="AF48" i="42"/>
  <c r="AF59" i="42"/>
  <c r="AI52" i="42"/>
  <c r="AJ52" i="42" s="1"/>
  <c r="AF51" i="42"/>
  <c r="AF66" i="42"/>
  <c r="AH24" i="25"/>
  <c r="AH25" i="25"/>
  <c r="ER37" i="25"/>
  <c r="ER33" i="25"/>
  <c r="ER34" i="25"/>
  <c r="AH34" i="25"/>
  <c r="AH45" i="25"/>
  <c r="AH21" i="25"/>
  <c r="ER32" i="25"/>
  <c r="AH52" i="25"/>
  <c r="AH54" i="25"/>
  <c r="AH38" i="25"/>
  <c r="AH33" i="25"/>
  <c r="ER40" i="25"/>
  <c r="AH27" i="25"/>
  <c r="AH26" i="25"/>
  <c r="ER46" i="25"/>
  <c r="ER25" i="25"/>
  <c r="ER36" i="25"/>
  <c r="AH30" i="25"/>
  <c r="ER30" i="25"/>
  <c r="U49" i="25"/>
  <c r="ER23" i="25"/>
  <c r="AH46" i="25"/>
  <c r="ER26" i="25"/>
  <c r="AH28" i="25"/>
  <c r="ER27" i="25"/>
  <c r="K38" i="42"/>
  <c r="AH29" i="25"/>
  <c r="ER28" i="25"/>
  <c r="ER39" i="25"/>
  <c r="K47" i="42"/>
  <c r="K51" i="42"/>
  <c r="ER43" i="25"/>
  <c r="AH22" i="25"/>
  <c r="AH48" i="25"/>
  <c r="AH51" i="25"/>
  <c r="AH41" i="25"/>
  <c r="ER41" i="25"/>
  <c r="ER35" i="25"/>
  <c r="ER44" i="25"/>
  <c r="AH31" i="25"/>
  <c r="ER31" i="25"/>
  <c r="AH39" i="25"/>
  <c r="ER45" i="25"/>
  <c r="E9" i="20"/>
  <c r="H4" i="20"/>
  <c r="G4" i="20"/>
  <c r="G2" i="20"/>
  <c r="M3" i="20"/>
  <c r="M1" i="20"/>
  <c r="S51" i="3"/>
  <c r="S45" i="3"/>
  <c r="S50" i="3"/>
  <c r="S49" i="3"/>
  <c r="AF52" i="42" l="1"/>
  <c r="AF53" i="42"/>
  <c r="AF64" i="42"/>
  <c r="AF62" i="42"/>
  <c r="AF63" i="42"/>
  <c r="AF60" i="42"/>
  <c r="U21" i="25"/>
  <c r="T21" i="25" s="1"/>
  <c r="W21" i="25"/>
  <c r="U20" i="25"/>
  <c r="W20" i="25"/>
  <c r="W44" i="25"/>
  <c r="U44" i="25"/>
  <c r="W32" i="25"/>
  <c r="U32" i="25"/>
  <c r="U43" i="25"/>
  <c r="W43" i="25"/>
  <c r="W33" i="25"/>
  <c r="U33" i="25"/>
  <c r="U46" i="25"/>
  <c r="W46" i="25"/>
  <c r="W41" i="25"/>
  <c r="U27" i="25"/>
  <c r="V27" i="25" s="1"/>
  <c r="U30" i="25"/>
  <c r="T30" i="25" s="1"/>
  <c r="W36" i="25"/>
  <c r="U36" i="25"/>
  <c r="U38" i="25"/>
  <c r="W38" i="25"/>
  <c r="U34" i="25"/>
  <c r="W34" i="25"/>
  <c r="U41" i="25"/>
  <c r="V41" i="25" s="1"/>
  <c r="W27" i="25"/>
  <c r="W30" i="25"/>
  <c r="U42" i="25"/>
  <c r="W42" i="25"/>
  <c r="U31" i="25"/>
  <c r="W31" i="25"/>
  <c r="W37" i="25"/>
  <c r="U37" i="25"/>
  <c r="W45" i="25"/>
  <c r="U45" i="25"/>
  <c r="W40" i="25"/>
  <c r="U40" i="25"/>
  <c r="W22" i="25"/>
  <c r="U22" i="25"/>
  <c r="W28" i="25"/>
  <c r="U47" i="25"/>
  <c r="W47" i="25"/>
  <c r="U24" i="25"/>
  <c r="W24" i="25"/>
  <c r="U26" i="25"/>
  <c r="W26" i="25"/>
  <c r="U39" i="25"/>
  <c r="W39" i="25"/>
  <c r="W25" i="25"/>
  <c r="U25" i="25"/>
  <c r="W29" i="25"/>
  <c r="U29" i="25"/>
  <c r="U35" i="25"/>
  <c r="W35" i="25"/>
  <c r="U23" i="25"/>
  <c r="W23" i="25"/>
  <c r="U28" i="25"/>
  <c r="T28" i="25" s="1"/>
  <c r="W48" i="25"/>
  <c r="U48" i="25"/>
  <c r="W52" i="25"/>
  <c r="U52" i="25"/>
  <c r="U50" i="25"/>
  <c r="W50" i="25"/>
  <c r="ER49" i="25"/>
  <c r="ER48" i="25"/>
  <c r="U54" i="25"/>
  <c r="W54" i="25"/>
  <c r="ER51" i="25"/>
  <c r="U55" i="25"/>
  <c r="W55" i="25"/>
  <c r="U51" i="25"/>
  <c r="T51" i="25" s="1"/>
  <c r="ER50" i="25"/>
  <c r="ER53" i="25"/>
  <c r="AH49" i="25"/>
  <c r="K64" i="42" s="1"/>
  <c r="ER55" i="25"/>
  <c r="W49" i="25"/>
  <c r="W51" i="25"/>
  <c r="R44" i="42"/>
  <c r="R45" i="42"/>
  <c r="R55" i="42"/>
  <c r="R38" i="42"/>
  <c r="R39" i="42"/>
  <c r="R43" i="42"/>
  <c r="R58" i="42"/>
  <c r="R57" i="42"/>
  <c r="R46" i="42"/>
  <c r="R56" i="42"/>
  <c r="R40" i="42"/>
  <c r="R36" i="42"/>
  <c r="R61" i="42"/>
  <c r="R37" i="42"/>
  <c r="R41" i="42"/>
  <c r="R49" i="42"/>
  <c r="R35" i="42"/>
  <c r="R47" i="42"/>
  <c r="R54" i="42"/>
  <c r="AH42" i="25"/>
  <c r="K57" i="42" s="1"/>
  <c r="AH43" i="25"/>
  <c r="K58" i="42" s="1"/>
  <c r="AH37" i="25"/>
  <c r="K52" i="42" s="1"/>
  <c r="AH47" i="25"/>
  <c r="K62" i="42" s="1"/>
  <c r="AH40" i="25"/>
  <c r="K55" i="42" s="1"/>
  <c r="AH44" i="25"/>
  <c r="K59" i="42" s="1"/>
  <c r="ER20" i="25"/>
  <c r="K54" i="42"/>
  <c r="AF67" i="42"/>
  <c r="K68" i="42"/>
  <c r="K69" i="42"/>
  <c r="K53" i="42"/>
  <c r="K65" i="42"/>
  <c r="R70" i="42"/>
  <c r="AI70" i="42"/>
  <c r="AJ70" i="42" s="1"/>
  <c r="AF36" i="42"/>
  <c r="K66" i="42"/>
  <c r="K67" i="42"/>
  <c r="K56" i="42"/>
  <c r="K60" i="42"/>
  <c r="K63" i="42"/>
  <c r="K61" i="42"/>
  <c r="AF70" i="42"/>
  <c r="V53" i="25"/>
  <c r="T53" i="25"/>
  <c r="AF69" i="42"/>
  <c r="V49" i="25"/>
  <c r="T49" i="25"/>
  <c r="AF56" i="42"/>
  <c r="K49" i="42"/>
  <c r="K48" i="42"/>
  <c r="T27" i="25"/>
  <c r="K46" i="42"/>
  <c r="K45" i="42"/>
  <c r="K43" i="42"/>
  <c r="K41" i="42"/>
  <c r="K36" i="42"/>
  <c r="K44" i="42"/>
  <c r="K37" i="42"/>
  <c r="K40" i="42"/>
  <c r="K42" i="42"/>
  <c r="K39" i="42"/>
  <c r="Z55" i="19"/>
  <c r="Z53" i="19"/>
  <c r="AF41" i="42"/>
  <c r="AF40" i="42"/>
  <c r="AF43" i="42"/>
  <c r="I40" i="42"/>
  <c r="I37" i="42"/>
  <c r="I53" i="42"/>
  <c r="I48" i="42"/>
  <c r="I43" i="42"/>
  <c r="I67" i="42"/>
  <c r="I42" i="42"/>
  <c r="I38" i="42"/>
  <c r="I47" i="42"/>
  <c r="I44" i="42"/>
  <c r="I55" i="42"/>
  <c r="I50" i="42"/>
  <c r="I61" i="42"/>
  <c r="I57" i="42"/>
  <c r="I70" i="42"/>
  <c r="I66" i="42"/>
  <c r="I35" i="42"/>
  <c r="I39" i="42"/>
  <c r="I51" i="42"/>
  <c r="I49" i="42"/>
  <c r="I46" i="42"/>
  <c r="I58" i="42"/>
  <c r="I60" i="42"/>
  <c r="I69" i="42"/>
  <c r="I68" i="42"/>
  <c r="I36" i="42"/>
  <c r="I41" i="42"/>
  <c r="I52" i="42"/>
  <c r="I54" i="42"/>
  <c r="I45" i="42"/>
  <c r="I62" i="42"/>
  <c r="I65" i="42"/>
  <c r="I64" i="42"/>
  <c r="R42" i="42"/>
  <c r="AF42" i="42"/>
  <c r="AF50" i="42"/>
  <c r="AI66" i="42"/>
  <c r="AJ66" i="42" s="1"/>
  <c r="AF38" i="42"/>
  <c r="AI50" i="42"/>
  <c r="AJ50" i="42" s="1"/>
  <c r="AF37" i="42"/>
  <c r="AI41" i="42"/>
  <c r="AJ41" i="42" s="1"/>
  <c r="AF39" i="42"/>
  <c r="AI37" i="42"/>
  <c r="AJ37" i="42" s="1"/>
  <c r="AI36" i="42"/>
  <c r="AJ36" i="42" s="1"/>
  <c r="V51" i="25" l="1"/>
  <c r="T41" i="25"/>
  <c r="V28" i="25"/>
  <c r="X28" i="25" s="1"/>
  <c r="W104" i="19"/>
  <c r="V30" i="25"/>
  <c r="X30" i="25" s="1"/>
  <c r="P30" i="20" s="1"/>
  <c r="V21" i="25"/>
  <c r="X21" i="25" s="1"/>
  <c r="H36" i="42" s="1"/>
  <c r="X53" i="25"/>
  <c r="Q53" i="19" s="1"/>
  <c r="P53" i="20" s="1"/>
  <c r="X27" i="25"/>
  <c r="X51" i="25"/>
  <c r="Q51" i="19" s="1"/>
  <c r="P51" i="20" s="1"/>
  <c r="T55" i="25"/>
  <c r="X55" i="25" s="1"/>
  <c r="V55" i="25"/>
  <c r="V54" i="25"/>
  <c r="T54" i="25"/>
  <c r="X41" i="25"/>
  <c r="AA41" i="25" s="1"/>
  <c r="X49" i="25"/>
  <c r="T39" i="25"/>
  <c r="V39" i="25"/>
  <c r="T43" i="25"/>
  <c r="V43" i="25"/>
  <c r="T52" i="25"/>
  <c r="V52" i="25"/>
  <c r="V46" i="25"/>
  <c r="T46" i="25"/>
  <c r="T48" i="25"/>
  <c r="V48" i="25"/>
  <c r="V45" i="25"/>
  <c r="T45" i="25"/>
  <c r="V44" i="25"/>
  <c r="T44" i="25"/>
  <c r="V40" i="25"/>
  <c r="T40" i="25"/>
  <c r="V47" i="25"/>
  <c r="T47" i="25"/>
  <c r="V50" i="25"/>
  <c r="T50" i="25"/>
  <c r="V42" i="25"/>
  <c r="T42" i="25"/>
  <c r="T26" i="25"/>
  <c r="V26" i="25"/>
  <c r="V36" i="25"/>
  <c r="T36" i="25"/>
  <c r="T35" i="25"/>
  <c r="V35" i="25"/>
  <c r="V33" i="25"/>
  <c r="T33" i="25"/>
  <c r="T31" i="25"/>
  <c r="V31" i="25"/>
  <c r="T25" i="25"/>
  <c r="V25" i="25"/>
  <c r="T22" i="25"/>
  <c r="V22" i="25"/>
  <c r="V24" i="25"/>
  <c r="T24" i="25"/>
  <c r="V34" i="25"/>
  <c r="T34" i="25"/>
  <c r="V23" i="25"/>
  <c r="T23" i="25"/>
  <c r="V32" i="25"/>
  <c r="T32" i="25"/>
  <c r="V38" i="25"/>
  <c r="T38" i="25"/>
  <c r="T29" i="25"/>
  <c r="V29" i="25"/>
  <c r="V20" i="25"/>
  <c r="T20" i="25"/>
  <c r="V37" i="25"/>
  <c r="T37" i="25"/>
  <c r="Q55" i="19" l="1"/>
  <c r="P55" i="20" s="1"/>
  <c r="AA28" i="25"/>
  <c r="Y28" i="25"/>
  <c r="W43" i="42"/>
  <c r="H43" i="42"/>
  <c r="Q43" i="42"/>
  <c r="W66" i="42"/>
  <c r="H66" i="42"/>
  <c r="Y51" i="25"/>
  <c r="AA51" i="25"/>
  <c r="NG51" i="25" s="1"/>
  <c r="NH51" i="25" s="1"/>
  <c r="Q66" i="42"/>
  <c r="Z51" i="25"/>
  <c r="Q64" i="42"/>
  <c r="W64" i="42"/>
  <c r="AA49" i="25"/>
  <c r="MG49" i="25" s="1"/>
  <c r="MH49" i="25" s="1"/>
  <c r="Z49" i="25"/>
  <c r="Y104" i="19"/>
  <c r="U104" i="19"/>
  <c r="JG28" i="25"/>
  <c r="JH28" i="25" s="1"/>
  <c r="JN28" i="25" s="1"/>
  <c r="P28" i="20"/>
  <c r="P21" i="20"/>
  <c r="P41" i="20"/>
  <c r="AA30" i="25"/>
  <c r="NG30" i="25" s="1"/>
  <c r="NH30" i="25" s="1"/>
  <c r="AA27" i="25"/>
  <c r="NG27" i="25" s="1"/>
  <c r="NH27" i="25" s="1"/>
  <c r="P27" i="20"/>
  <c r="Z53" i="25"/>
  <c r="AA21" i="25"/>
  <c r="MG21" i="25" s="1"/>
  <c r="MH21" i="25" s="1"/>
  <c r="Z21" i="25"/>
  <c r="Y21" i="25"/>
  <c r="IG21" i="25" s="1"/>
  <c r="H56" i="42"/>
  <c r="X48" i="25"/>
  <c r="AA48" i="25" s="1"/>
  <c r="Q68" i="42"/>
  <c r="X45" i="25"/>
  <c r="Z45" i="25" s="1"/>
  <c r="Q56" i="42"/>
  <c r="Y41" i="25"/>
  <c r="IG41" i="25" s="1"/>
  <c r="H68" i="42"/>
  <c r="AA53" i="25"/>
  <c r="Z41" i="25"/>
  <c r="W68" i="42"/>
  <c r="Y53" i="25"/>
  <c r="W56" i="42"/>
  <c r="X36" i="25"/>
  <c r="Z36" i="25" s="1"/>
  <c r="H64" i="42"/>
  <c r="Y49" i="25"/>
  <c r="X54" i="25"/>
  <c r="Q54" i="19" s="1"/>
  <c r="P54" i="20" s="1"/>
  <c r="H45" i="42"/>
  <c r="Y30" i="25"/>
  <c r="Z28" i="25"/>
  <c r="Q42" i="42"/>
  <c r="Y27" i="25"/>
  <c r="Z30" i="25"/>
  <c r="W45" i="42"/>
  <c r="Q45" i="42"/>
  <c r="W42" i="42"/>
  <c r="X31" i="25"/>
  <c r="H42" i="42"/>
  <c r="Z27" i="25"/>
  <c r="X26" i="25"/>
  <c r="X25" i="25"/>
  <c r="X47" i="25"/>
  <c r="W62" i="42" s="1"/>
  <c r="X39" i="25"/>
  <c r="H54" i="42" s="1"/>
  <c r="X52" i="25"/>
  <c r="Q52" i="19" s="1"/>
  <c r="P52" i="20" s="1"/>
  <c r="X43" i="25"/>
  <c r="AA43" i="25" s="1"/>
  <c r="X40" i="25"/>
  <c r="Y40" i="25" s="1"/>
  <c r="IG40" i="25" s="1"/>
  <c r="X44" i="25"/>
  <c r="H59" i="42" s="1"/>
  <c r="Y55" i="25"/>
  <c r="Z55" i="25"/>
  <c r="AA55" i="25"/>
  <c r="Q70" i="42"/>
  <c r="H70" i="42"/>
  <c r="W70" i="42"/>
  <c r="X46" i="25"/>
  <c r="X50" i="25"/>
  <c r="Q50" i="19" s="1"/>
  <c r="P50" i="20" s="1"/>
  <c r="X42" i="25"/>
  <c r="KG51" i="25"/>
  <c r="MG51" i="25"/>
  <c r="MH51" i="25" s="1"/>
  <c r="NG41" i="25"/>
  <c r="NH41" i="25" s="1"/>
  <c r="MG41" i="25"/>
  <c r="MH41" i="25" s="1"/>
  <c r="X29" i="25"/>
  <c r="P29" i="20" s="1"/>
  <c r="X22" i="25"/>
  <c r="X35" i="25"/>
  <c r="X20" i="25"/>
  <c r="H35" i="42" s="1"/>
  <c r="X38" i="25"/>
  <c r="X23" i="25"/>
  <c r="X24" i="25"/>
  <c r="X33" i="25"/>
  <c r="X37" i="25"/>
  <c r="X32" i="25"/>
  <c r="X34" i="25"/>
  <c r="AD28" i="25"/>
  <c r="AE28" i="25"/>
  <c r="AF28" i="25" s="1"/>
  <c r="KG28" i="25"/>
  <c r="LG28" i="25"/>
  <c r="MG28" i="25"/>
  <c r="MH28" i="25" s="1"/>
  <c r="NG28" i="25"/>
  <c r="NH28" i="25" s="1"/>
  <c r="D2" i="18"/>
  <c r="IG51" i="25" l="1"/>
  <c r="IH51" i="25" s="1"/>
  <c r="IN51" i="25" s="1"/>
  <c r="R51" i="19"/>
  <c r="IG53" i="25"/>
  <c r="IH53" i="25" s="1"/>
  <c r="R53" i="19"/>
  <c r="IG55" i="25"/>
  <c r="IH55" i="25" s="1"/>
  <c r="R55" i="19"/>
  <c r="H40" i="42"/>
  <c r="W46" i="42"/>
  <c r="P31" i="20"/>
  <c r="IG30" i="25"/>
  <c r="W41" i="42"/>
  <c r="P26" i="20"/>
  <c r="IG27" i="25"/>
  <c r="IG28" i="25"/>
  <c r="IH28" i="25" s="1"/>
  <c r="IN28" i="25" s="1"/>
  <c r="NG49" i="25"/>
  <c r="NH49" i="25" s="1"/>
  <c r="AE51" i="25"/>
  <c r="AF51" i="25" s="1"/>
  <c r="AD51" i="25"/>
  <c r="AE27" i="25"/>
  <c r="AF27" i="25" s="1"/>
  <c r="LG51" i="25"/>
  <c r="LH51" i="25" s="1"/>
  <c r="LN51" i="25" s="1"/>
  <c r="JG51" i="25"/>
  <c r="JH51" i="25" s="1"/>
  <c r="JN51" i="25" s="1"/>
  <c r="MG27" i="25"/>
  <c r="MH27" i="25" s="1"/>
  <c r="LG27" i="25"/>
  <c r="LH27" i="25" s="1"/>
  <c r="LN27" i="25" s="1"/>
  <c r="MG30" i="25"/>
  <c r="MH30" i="25" s="1"/>
  <c r="KG27" i="25"/>
  <c r="KH27" i="25" s="1"/>
  <c r="KN27" i="25" s="1"/>
  <c r="IN55" i="25"/>
  <c r="IN53" i="25"/>
  <c r="H55" i="42"/>
  <c r="Y50" i="25"/>
  <c r="AA52" i="25"/>
  <c r="MG52" i="25" s="1"/>
  <c r="MH52" i="25" s="1"/>
  <c r="IG49" i="25"/>
  <c r="IH49" i="25" s="1"/>
  <c r="IN49" i="25" s="1"/>
  <c r="AE49" i="25"/>
  <c r="AF49" i="25" s="1"/>
  <c r="AD49" i="25"/>
  <c r="H63" i="42"/>
  <c r="LG41" i="25"/>
  <c r="LH41" i="25" s="1"/>
  <c r="Q40" i="42"/>
  <c r="KG49" i="25"/>
  <c r="KH49" i="25" s="1"/>
  <c r="KN49" i="25" s="1"/>
  <c r="AE53" i="25"/>
  <c r="AF53" i="25" s="1"/>
  <c r="LG49" i="25"/>
  <c r="LH49" i="25" s="1"/>
  <c r="LN49" i="25" s="1"/>
  <c r="LG53" i="25"/>
  <c r="LH53" i="25" s="1"/>
  <c r="LN53" i="25" s="1"/>
  <c r="AD53" i="25"/>
  <c r="KH51" i="25"/>
  <c r="KN51" i="25" s="1"/>
  <c r="H67" i="42"/>
  <c r="KG53" i="25"/>
  <c r="KH28" i="25"/>
  <c r="KN28" i="25" s="1"/>
  <c r="Y48" i="25"/>
  <c r="IG48" i="25" s="1"/>
  <c r="IH48" i="25" s="1"/>
  <c r="IN48" i="25" s="1"/>
  <c r="KG41" i="25"/>
  <c r="LH28" i="25"/>
  <c r="LN28" i="25" s="1"/>
  <c r="LG30" i="25"/>
  <c r="W63" i="42"/>
  <c r="Z48" i="25"/>
  <c r="AE41" i="25"/>
  <c r="AF41" i="25" s="1"/>
  <c r="KG30" i="25"/>
  <c r="Q63" i="42"/>
  <c r="Y52" i="25"/>
  <c r="Q67" i="42"/>
  <c r="Z52" i="25"/>
  <c r="W67" i="42"/>
  <c r="NG21" i="25"/>
  <c r="NH21" i="25" s="1"/>
  <c r="MG53" i="25"/>
  <c r="MH53" i="25" s="1"/>
  <c r="JG55" i="25"/>
  <c r="JH55" i="25" s="1"/>
  <c r="JN55" i="25" s="1"/>
  <c r="JG53" i="25"/>
  <c r="JH53" i="25" s="1"/>
  <c r="JN53" i="25" s="1"/>
  <c r="IH27" i="25"/>
  <c r="IN27" i="25" s="1"/>
  <c r="JG27" i="25"/>
  <c r="JH27" i="25" s="1"/>
  <c r="JN27" i="25" s="1"/>
  <c r="IH30" i="25"/>
  <c r="IN30" i="25" s="1"/>
  <c r="JG30" i="25"/>
  <c r="JH30" i="25" s="1"/>
  <c r="JN30" i="25" s="1"/>
  <c r="JG41" i="25"/>
  <c r="JH41" i="25" s="1"/>
  <c r="JN41" i="25" s="1"/>
  <c r="IH41" i="25"/>
  <c r="IN41" i="25" s="1"/>
  <c r="JG40" i="25"/>
  <c r="JH40" i="25" s="1"/>
  <c r="JN40" i="25" s="1"/>
  <c r="IH40" i="25"/>
  <c r="IN40" i="25" s="1"/>
  <c r="JG49" i="25"/>
  <c r="JH49" i="25" s="1"/>
  <c r="JN49" i="25" s="1"/>
  <c r="JG21" i="25"/>
  <c r="JH21" i="25" s="1"/>
  <c r="P33" i="20"/>
  <c r="P20" i="20"/>
  <c r="Y31" i="25"/>
  <c r="AE21" i="25"/>
  <c r="AF21" i="25" s="1"/>
  <c r="P37" i="20"/>
  <c r="Y38" i="25"/>
  <c r="IG38" i="25" s="1"/>
  <c r="P38" i="20"/>
  <c r="Y42" i="25"/>
  <c r="IG42" i="25" s="1"/>
  <c r="P25" i="20"/>
  <c r="AA45" i="25"/>
  <c r="NG45" i="25" s="1"/>
  <c r="NH45" i="25" s="1"/>
  <c r="Y32" i="25"/>
  <c r="IG32" i="25" s="1"/>
  <c r="P32" i="20"/>
  <c r="P23" i="20"/>
  <c r="P22" i="20"/>
  <c r="P40" i="20"/>
  <c r="AA36" i="25"/>
  <c r="NG36" i="25" s="1"/>
  <c r="NH36" i="25" s="1"/>
  <c r="P36" i="20"/>
  <c r="AA34" i="25"/>
  <c r="MG34" i="25" s="1"/>
  <c r="MH34" i="25" s="1"/>
  <c r="P34" i="20"/>
  <c r="P24" i="20"/>
  <c r="P35" i="20"/>
  <c r="P39" i="20"/>
  <c r="AD41" i="25"/>
  <c r="AA50" i="25"/>
  <c r="MG50" i="25" s="1"/>
  <c r="W65" i="42"/>
  <c r="NG53" i="25"/>
  <c r="NH53" i="25" s="1"/>
  <c r="AA54" i="25"/>
  <c r="MG54" i="25" s="1"/>
  <c r="MH54" i="25" s="1"/>
  <c r="W51" i="42"/>
  <c r="H37" i="42"/>
  <c r="Q51" i="42"/>
  <c r="Y36" i="25"/>
  <c r="IG36" i="25" s="1"/>
  <c r="Q62" i="42"/>
  <c r="Z47" i="25"/>
  <c r="Z40" i="25"/>
  <c r="H62" i="42"/>
  <c r="Y47" i="25"/>
  <c r="IG47" i="25" s="1"/>
  <c r="W55" i="42"/>
  <c r="AA40" i="25"/>
  <c r="NG40" i="25" s="1"/>
  <c r="NH40" i="25" s="1"/>
  <c r="H51" i="42"/>
  <c r="AD30" i="25"/>
  <c r="Z44" i="25"/>
  <c r="AA47" i="25"/>
  <c r="NG47" i="25" s="1"/>
  <c r="NH47" i="25" s="1"/>
  <c r="AA39" i="25"/>
  <c r="MG39" i="25" s="1"/>
  <c r="MH39" i="25" s="1"/>
  <c r="Q55" i="42"/>
  <c r="AD21" i="25"/>
  <c r="Q47" i="42"/>
  <c r="W59" i="42"/>
  <c r="Y44" i="25"/>
  <c r="IG44" i="25" s="1"/>
  <c r="Q54" i="42"/>
  <c r="Y39" i="25"/>
  <c r="IG39" i="25" s="1"/>
  <c r="Q59" i="42"/>
  <c r="AA44" i="25"/>
  <c r="MG44" i="25" s="1"/>
  <c r="MH44" i="25" s="1"/>
  <c r="W54" i="42"/>
  <c r="Z39" i="25"/>
  <c r="W40" i="42"/>
  <c r="W58" i="42"/>
  <c r="AA42" i="25"/>
  <c r="Q60" i="42"/>
  <c r="H60" i="42"/>
  <c r="Q53" i="42"/>
  <c r="Z25" i="25"/>
  <c r="H58" i="42"/>
  <c r="Y43" i="25"/>
  <c r="IG43" i="25" s="1"/>
  <c r="H57" i="42"/>
  <c r="W60" i="42"/>
  <c r="Y45" i="25"/>
  <c r="IG45" i="25" s="1"/>
  <c r="Z43" i="25"/>
  <c r="W57" i="42"/>
  <c r="Q41" i="42"/>
  <c r="H39" i="42"/>
  <c r="H41" i="42"/>
  <c r="Q46" i="42"/>
  <c r="Y26" i="25"/>
  <c r="Z46" i="25"/>
  <c r="H46" i="42"/>
  <c r="Z31" i="25"/>
  <c r="Q61" i="42"/>
  <c r="W52" i="42"/>
  <c r="Z42" i="25"/>
  <c r="Y46" i="25"/>
  <c r="IG46" i="25" s="1"/>
  <c r="Z54" i="25"/>
  <c r="Q57" i="42"/>
  <c r="W61" i="42"/>
  <c r="W69" i="42"/>
  <c r="AA33" i="25"/>
  <c r="W47" i="42"/>
  <c r="AD27" i="25"/>
  <c r="AA26" i="25"/>
  <c r="NG26" i="25" s="1"/>
  <c r="NH26" i="25" s="1"/>
  <c r="AA29" i="25"/>
  <c r="NG29" i="25" s="1"/>
  <c r="NH29" i="25" s="1"/>
  <c r="Q49" i="42"/>
  <c r="H50" i="42"/>
  <c r="Q65" i="42"/>
  <c r="H69" i="42"/>
  <c r="Y54" i="25"/>
  <c r="Q69" i="42"/>
  <c r="Q48" i="42"/>
  <c r="H47" i="42"/>
  <c r="H48" i="42"/>
  <c r="AA32" i="25"/>
  <c r="NG32" i="25" s="1"/>
  <c r="NH32" i="25" s="1"/>
  <c r="Z32" i="25"/>
  <c r="LN41" i="25"/>
  <c r="W49" i="42"/>
  <c r="Q50" i="42"/>
  <c r="Y35" i="25"/>
  <c r="IG35" i="25" s="1"/>
  <c r="H49" i="42"/>
  <c r="W50" i="42"/>
  <c r="Z35" i="25"/>
  <c r="Y33" i="25"/>
  <c r="IG33" i="25" s="1"/>
  <c r="W48" i="42"/>
  <c r="AA35" i="25"/>
  <c r="MG35" i="25" s="1"/>
  <c r="MH35" i="25" s="1"/>
  <c r="Z33" i="25"/>
  <c r="AA37" i="25"/>
  <c r="Y34" i="25"/>
  <c r="IG34" i="25" s="1"/>
  <c r="Q58" i="42"/>
  <c r="AE30" i="25"/>
  <c r="AF30" i="25" s="1"/>
  <c r="Y25" i="25"/>
  <c r="AA25" i="25"/>
  <c r="MG25" i="25" s="1"/>
  <c r="MH25" i="25" s="1"/>
  <c r="AA31" i="25"/>
  <c r="MG31" i="25" s="1"/>
  <c r="MH31" i="25" s="1"/>
  <c r="Y23" i="25"/>
  <c r="Y24" i="25"/>
  <c r="AA23" i="25"/>
  <c r="AA22" i="25"/>
  <c r="AA24" i="25"/>
  <c r="Z26" i="25"/>
  <c r="Q44" i="42"/>
  <c r="Z24" i="25"/>
  <c r="AA20" i="25"/>
  <c r="NG20" i="25" s="1"/>
  <c r="NH20" i="25" s="1"/>
  <c r="Y22" i="25"/>
  <c r="IG22" i="25" s="1"/>
  <c r="Z22" i="25"/>
  <c r="Z23" i="25"/>
  <c r="Z20" i="25"/>
  <c r="Y20" i="25"/>
  <c r="IG20" i="25" s="1"/>
  <c r="AA46" i="25"/>
  <c r="NG46" i="25" s="1"/>
  <c r="NH46" i="25" s="1"/>
  <c r="H65" i="42"/>
  <c r="Z50" i="25"/>
  <c r="H61" i="42"/>
  <c r="LG55" i="25"/>
  <c r="LH55" i="25" s="1"/>
  <c r="AD55" i="25"/>
  <c r="KG55" i="25"/>
  <c r="AE55" i="25"/>
  <c r="AF55" i="25" s="1"/>
  <c r="MG55" i="25"/>
  <c r="NG55" i="25"/>
  <c r="KG52" i="25"/>
  <c r="KG40" i="25"/>
  <c r="AD40" i="25"/>
  <c r="LG40" i="25"/>
  <c r="LH40" i="25" s="1"/>
  <c r="AE40" i="25"/>
  <c r="AF40" i="25" s="1"/>
  <c r="AD50" i="25"/>
  <c r="AE50" i="25"/>
  <c r="AF50" i="25" s="1"/>
  <c r="MG43" i="25"/>
  <c r="MH43" i="25" s="1"/>
  <c r="NG43" i="25"/>
  <c r="NH43" i="25" s="1"/>
  <c r="AE52" i="25"/>
  <c r="AF52" i="25" s="1"/>
  <c r="AD52" i="25"/>
  <c r="AE48" i="25"/>
  <c r="AF48" i="25" s="1"/>
  <c r="MG48" i="25"/>
  <c r="MH48" i="25" s="1"/>
  <c r="NG48" i="25"/>
  <c r="NH48" i="25" s="1"/>
  <c r="Z34" i="25"/>
  <c r="Y29" i="25"/>
  <c r="W53" i="42"/>
  <c r="AA38" i="25"/>
  <c r="Q52" i="42"/>
  <c r="Y37" i="25"/>
  <c r="IG37" i="25" s="1"/>
  <c r="H44" i="42"/>
  <c r="Z29" i="25"/>
  <c r="H53" i="42"/>
  <c r="Z38" i="25"/>
  <c r="Z37" i="25"/>
  <c r="W44" i="42"/>
  <c r="H52" i="42"/>
  <c r="AD36" i="25"/>
  <c r="H38" i="42"/>
  <c r="B17" i="18"/>
  <c r="B18" i="18"/>
  <c r="IG52" i="25" l="1"/>
  <c r="IH52" i="25" s="1"/>
  <c r="R52" i="19"/>
  <c r="JG50" i="25"/>
  <c r="JH50" i="25" s="1"/>
  <c r="JN50" i="25" s="1"/>
  <c r="R50" i="19"/>
  <c r="IG54" i="25"/>
  <c r="IH54" i="25" s="1"/>
  <c r="R54" i="19"/>
  <c r="LG52" i="25"/>
  <c r="LH52" i="25" s="1"/>
  <c r="IG31" i="25"/>
  <c r="IG29" i="25"/>
  <c r="IG26" i="25"/>
  <c r="IG24" i="25"/>
  <c r="IG25" i="25"/>
  <c r="KG48" i="25"/>
  <c r="KG44" i="25"/>
  <c r="AD32" i="25"/>
  <c r="AD48" i="25"/>
  <c r="AE32" i="25"/>
  <c r="AF32" i="25" s="1"/>
  <c r="NG34" i="25"/>
  <c r="NH34" i="25" s="1"/>
  <c r="NG52" i="25"/>
  <c r="NH52" i="25" s="1"/>
  <c r="LG48" i="25"/>
  <c r="LH48" i="25" s="1"/>
  <c r="LN48" i="25" s="1"/>
  <c r="LG20" i="25"/>
  <c r="KG32" i="25"/>
  <c r="JG48" i="25"/>
  <c r="JH48" i="25" s="1"/>
  <c r="JN48" i="25" s="1"/>
  <c r="KG20" i="25"/>
  <c r="KH20" i="25" s="1"/>
  <c r="LG50" i="25"/>
  <c r="LH50" i="25" s="1"/>
  <c r="LN50" i="25" s="1"/>
  <c r="LG32" i="25"/>
  <c r="MG32" i="25"/>
  <c r="MH32" i="25" s="1"/>
  <c r="AE31" i="25"/>
  <c r="AF31" i="25" s="1"/>
  <c r="AE43" i="25"/>
  <c r="AF43" i="25" s="1"/>
  <c r="AD43" i="25"/>
  <c r="LG36" i="25"/>
  <c r="LH36" i="25" s="1"/>
  <c r="LN36" i="25" s="1"/>
  <c r="KG43" i="25"/>
  <c r="KG34" i="25"/>
  <c r="AE36" i="25"/>
  <c r="AF36" i="25" s="1"/>
  <c r="LG42" i="25"/>
  <c r="LH42" i="25" s="1"/>
  <c r="NG39" i="25"/>
  <c r="NH39" i="25" s="1"/>
  <c r="LG34" i="25"/>
  <c r="LH34" i="25" s="1"/>
  <c r="LN34" i="25" s="1"/>
  <c r="AD34" i="25"/>
  <c r="KG36" i="25"/>
  <c r="KH36" i="25" s="1"/>
  <c r="KN36" i="25" s="1"/>
  <c r="LG43" i="25"/>
  <c r="LH43" i="25" s="1"/>
  <c r="LN43" i="25" s="1"/>
  <c r="IN54" i="25"/>
  <c r="IN52" i="25"/>
  <c r="KG33" i="25"/>
  <c r="KH33" i="25" s="1"/>
  <c r="KN33" i="25" s="1"/>
  <c r="KG47" i="25"/>
  <c r="KH47" i="25" s="1"/>
  <c r="KN47" i="25" s="1"/>
  <c r="LG26" i="25"/>
  <c r="LG35" i="25"/>
  <c r="LH35" i="25" s="1"/>
  <c r="LN35" i="25" s="1"/>
  <c r="KG22" i="25"/>
  <c r="KH22" i="25" s="1"/>
  <c r="KN22" i="25" s="1"/>
  <c r="AD45" i="25"/>
  <c r="IG50" i="25"/>
  <c r="IH50" i="25" s="1"/>
  <c r="IN50" i="25" s="1"/>
  <c r="NG50" i="25"/>
  <c r="NH50" i="25" s="1"/>
  <c r="NN50" i="25" s="1"/>
  <c r="NG54" i="25"/>
  <c r="NH54" i="25" s="1"/>
  <c r="AD44" i="25"/>
  <c r="LG33" i="25"/>
  <c r="LH33" i="25" s="1"/>
  <c r="LN33" i="25" s="1"/>
  <c r="AD38" i="25"/>
  <c r="KG35" i="25"/>
  <c r="MG45" i="25"/>
  <c r="MH45" i="25" s="1"/>
  <c r="MG29" i="25"/>
  <c r="MH29" i="25" s="1"/>
  <c r="AD26" i="25"/>
  <c r="MG36" i="25"/>
  <c r="MH36" i="25" s="1"/>
  <c r="AD47" i="25"/>
  <c r="LG54" i="25"/>
  <c r="LH54" i="25" s="1"/>
  <c r="LN54" i="25" s="1"/>
  <c r="LG29" i="25"/>
  <c r="LH29" i="25" s="1"/>
  <c r="LN29" i="25" s="1"/>
  <c r="KG31" i="25"/>
  <c r="KH31" i="25" s="1"/>
  <c r="KN31" i="25" s="1"/>
  <c r="KG29" i="25"/>
  <c r="KH29" i="25" s="1"/>
  <c r="KN29" i="25" s="1"/>
  <c r="KG24" i="25"/>
  <c r="AE42" i="25"/>
  <c r="AF42" i="25" s="1"/>
  <c r="NG44" i="25"/>
  <c r="NH44" i="25" s="1"/>
  <c r="LG46" i="25"/>
  <c r="LH46" i="25" s="1"/>
  <c r="LN46" i="25" s="1"/>
  <c r="KH52" i="25"/>
  <c r="KN52" i="25" s="1"/>
  <c r="NH55" i="25"/>
  <c r="NN55" i="25" s="1"/>
  <c r="KH55" i="25"/>
  <c r="KN55" i="25" s="1"/>
  <c r="MH55" i="25"/>
  <c r="MN55" i="25" s="1"/>
  <c r="KH53" i="25"/>
  <c r="KN53" i="25" s="1"/>
  <c r="MH50" i="25"/>
  <c r="MN50" i="25" s="1"/>
  <c r="KH44" i="25"/>
  <c r="KN44" i="25" s="1"/>
  <c r="KH34" i="25"/>
  <c r="KN34" i="25" s="1"/>
  <c r="MG46" i="25"/>
  <c r="MH46" i="25" s="1"/>
  <c r="KH30" i="25"/>
  <c r="KN30" i="25" s="1"/>
  <c r="KH43" i="25"/>
  <c r="KN43" i="25" s="1"/>
  <c r="KH24" i="25"/>
  <c r="KN24" i="25" s="1"/>
  <c r="KG42" i="25"/>
  <c r="LG44" i="25"/>
  <c r="KH41" i="25"/>
  <c r="KN41" i="25" s="1"/>
  <c r="LH26" i="25"/>
  <c r="LN26" i="25" s="1"/>
  <c r="KH32" i="25"/>
  <c r="KN32" i="25" s="1"/>
  <c r="LG31" i="25"/>
  <c r="KG26" i="25"/>
  <c r="AE26" i="25"/>
  <c r="AF26" i="25" s="1"/>
  <c r="AD31" i="25"/>
  <c r="NG35" i="25"/>
  <c r="NH35" i="25" s="1"/>
  <c r="LG22" i="25"/>
  <c r="LH22" i="25" s="1"/>
  <c r="LN22" i="25" s="1"/>
  <c r="LH32" i="25"/>
  <c r="LN32" i="25" s="1"/>
  <c r="KH35" i="25"/>
  <c r="KN35" i="25" s="1"/>
  <c r="AE34" i="25"/>
  <c r="AF34" i="25" s="1"/>
  <c r="AD42" i="25"/>
  <c r="AE47" i="25"/>
  <c r="AF47" i="25" s="1"/>
  <c r="KH40" i="25"/>
  <c r="KN40" i="25" s="1"/>
  <c r="AE44" i="25"/>
  <c r="AF44" i="25" s="1"/>
  <c r="KG46" i="25"/>
  <c r="LG47" i="25"/>
  <c r="LH47" i="25" s="1"/>
  <c r="KH48" i="25"/>
  <c r="KN48" i="25" s="1"/>
  <c r="LH30" i="25"/>
  <c r="LN30" i="25" s="1"/>
  <c r="KG38" i="25"/>
  <c r="KG45" i="25"/>
  <c r="AE39" i="25"/>
  <c r="AF39" i="25" s="1"/>
  <c r="KG54" i="25"/>
  <c r="AE38" i="25"/>
  <c r="AF38" i="25" s="1"/>
  <c r="MG40" i="25"/>
  <c r="MH40" i="25" s="1"/>
  <c r="LG45" i="25"/>
  <c r="LH45" i="25" s="1"/>
  <c r="LN45" i="25" s="1"/>
  <c r="LG39" i="25"/>
  <c r="LH39" i="25" s="1"/>
  <c r="LN39" i="25" s="1"/>
  <c r="AE54" i="25"/>
  <c r="AF54" i="25" s="1"/>
  <c r="LG38" i="25"/>
  <c r="LH38" i="25" s="1"/>
  <c r="LN38" i="25" s="1"/>
  <c r="AE45" i="25"/>
  <c r="AF45" i="25" s="1"/>
  <c r="KG39" i="25"/>
  <c r="AD54" i="25"/>
  <c r="JG52" i="25"/>
  <c r="JH52" i="25" s="1"/>
  <c r="JN52" i="25" s="1"/>
  <c r="AE23" i="25"/>
  <c r="AF23" i="25" s="1"/>
  <c r="IG23" i="25"/>
  <c r="LH20" i="25"/>
  <c r="LN20" i="25" s="1"/>
  <c r="NG25" i="25"/>
  <c r="NH25" i="25" s="1"/>
  <c r="MG26" i="25"/>
  <c r="MH26" i="25" s="1"/>
  <c r="MG20" i="25"/>
  <c r="MH20" i="25" s="1"/>
  <c r="MG24" i="25"/>
  <c r="MH24" i="25" s="1"/>
  <c r="MG37" i="25"/>
  <c r="MH37" i="25" s="1"/>
  <c r="NG38" i="25"/>
  <c r="NH38" i="25" s="1"/>
  <c r="MG22" i="25"/>
  <c r="MH22" i="25" s="1"/>
  <c r="MG47" i="25"/>
  <c r="MH47" i="25" s="1"/>
  <c r="NG31" i="25"/>
  <c r="NH31" i="25" s="1"/>
  <c r="NG33" i="25"/>
  <c r="NH33" i="25" s="1"/>
  <c r="NG42" i="25"/>
  <c r="NH42" i="25" s="1"/>
  <c r="JG54" i="25"/>
  <c r="JH54" i="25" s="1"/>
  <c r="JN54" i="25" s="1"/>
  <c r="IH33" i="25"/>
  <c r="IN33" i="25" s="1"/>
  <c r="JG33" i="25"/>
  <c r="JH33" i="25" s="1"/>
  <c r="JN33" i="25" s="1"/>
  <c r="JG35" i="25"/>
  <c r="JH35" i="25" s="1"/>
  <c r="JN35" i="25" s="1"/>
  <c r="IH35" i="25"/>
  <c r="IN35" i="25" s="1"/>
  <c r="IH43" i="25"/>
  <c r="IN43" i="25" s="1"/>
  <c r="JG43" i="25"/>
  <c r="JH43" i="25" s="1"/>
  <c r="JN43" i="25" s="1"/>
  <c r="JG44" i="25"/>
  <c r="JH44" i="25" s="1"/>
  <c r="JN44" i="25" s="1"/>
  <c r="IH44" i="25"/>
  <c r="IN44" i="25" s="1"/>
  <c r="JG47" i="25"/>
  <c r="JH47" i="25" s="1"/>
  <c r="JN47" i="25" s="1"/>
  <c r="IH47" i="25"/>
  <c r="IN47" i="25" s="1"/>
  <c r="JG36" i="25"/>
  <c r="JH36" i="25" s="1"/>
  <c r="JN36" i="25" s="1"/>
  <c r="IH36" i="25"/>
  <c r="IN36" i="25" s="1"/>
  <c r="JG32" i="25"/>
  <c r="JH32" i="25" s="1"/>
  <c r="JN32" i="25" s="1"/>
  <c r="IH32" i="25"/>
  <c r="IN32" i="25" s="1"/>
  <c r="JG37" i="25"/>
  <c r="JH37" i="25" s="1"/>
  <c r="JN37" i="25" s="1"/>
  <c r="IH37" i="25"/>
  <c r="IN37" i="25" s="1"/>
  <c r="JG29" i="25"/>
  <c r="JH29" i="25" s="1"/>
  <c r="JN29" i="25" s="1"/>
  <c r="IH29" i="25"/>
  <c r="IN29" i="25" s="1"/>
  <c r="JG34" i="25"/>
  <c r="JH34" i="25" s="1"/>
  <c r="JN34" i="25" s="1"/>
  <c r="IH34" i="25"/>
  <c r="IN34" i="25" s="1"/>
  <c r="JG46" i="25"/>
  <c r="JH46" i="25" s="1"/>
  <c r="JN46" i="25" s="1"/>
  <c r="IH46" i="25"/>
  <c r="IN46" i="25" s="1"/>
  <c r="IH39" i="25"/>
  <c r="IN39" i="25" s="1"/>
  <c r="JG39" i="25"/>
  <c r="JH39" i="25" s="1"/>
  <c r="JN39" i="25" s="1"/>
  <c r="IH42" i="25"/>
  <c r="IN42" i="25" s="1"/>
  <c r="JG42" i="25"/>
  <c r="JH42" i="25" s="1"/>
  <c r="JN42" i="25" s="1"/>
  <c r="JG31" i="25"/>
  <c r="JH31" i="25" s="1"/>
  <c r="JN31" i="25" s="1"/>
  <c r="IH31" i="25"/>
  <c r="IN31" i="25" s="1"/>
  <c r="IH45" i="25"/>
  <c r="IN45" i="25" s="1"/>
  <c r="JG45" i="25"/>
  <c r="JH45" i="25" s="1"/>
  <c r="JN45" i="25" s="1"/>
  <c r="JG38" i="25"/>
  <c r="JH38" i="25" s="1"/>
  <c r="JN38" i="25" s="1"/>
  <c r="IH38" i="25"/>
  <c r="IN38" i="25" s="1"/>
  <c r="KG25" i="25"/>
  <c r="LG25" i="25"/>
  <c r="LG24" i="25"/>
  <c r="NG24" i="25"/>
  <c r="NH24" i="25" s="1"/>
  <c r="JG23" i="25"/>
  <c r="JH23" i="25" s="1"/>
  <c r="JN23" i="25" s="1"/>
  <c r="AD25" i="25"/>
  <c r="JG25" i="25"/>
  <c r="JH25" i="25" s="1"/>
  <c r="JN25" i="25" s="1"/>
  <c r="JG24" i="25"/>
  <c r="JH24" i="25" s="1"/>
  <c r="JN24" i="25" s="1"/>
  <c r="IH24" i="25"/>
  <c r="JG26" i="25"/>
  <c r="JH26" i="25" s="1"/>
  <c r="JN26" i="25" s="1"/>
  <c r="IH26" i="25"/>
  <c r="IN26" i="25" s="1"/>
  <c r="JG20" i="25"/>
  <c r="JH20" i="25" s="1"/>
  <c r="JG22" i="25"/>
  <c r="JH22" i="25" s="1"/>
  <c r="JN22" i="25" s="1"/>
  <c r="AE20" i="25"/>
  <c r="AF20" i="25" s="1"/>
  <c r="AE22" i="25"/>
  <c r="AF22" i="25" s="1"/>
  <c r="AE29" i="25"/>
  <c r="AF29" i="25" s="1"/>
  <c r="AD23" i="25"/>
  <c r="AD39" i="25"/>
  <c r="NG37" i="25"/>
  <c r="NH37" i="25" s="1"/>
  <c r="AD33" i="25"/>
  <c r="AE46" i="25"/>
  <c r="AF46" i="25" s="1"/>
  <c r="MG33" i="25"/>
  <c r="MH33" i="25" s="1"/>
  <c r="AE25" i="25"/>
  <c r="AF25" i="25" s="1"/>
  <c r="AE33" i="25"/>
  <c r="AF33" i="25" s="1"/>
  <c r="MG42" i="25"/>
  <c r="MH42" i="25" s="1"/>
  <c r="NG22" i="25"/>
  <c r="NH22" i="25" s="1"/>
  <c r="AE35" i="25"/>
  <c r="AF35" i="25" s="1"/>
  <c r="AD35" i="25"/>
  <c r="AD46" i="25"/>
  <c r="LN55" i="25"/>
  <c r="MG38" i="25"/>
  <c r="MH38" i="25" s="1"/>
  <c r="LN52" i="25"/>
  <c r="LN47" i="25"/>
  <c r="AE37" i="25"/>
  <c r="AF37" i="25" s="1"/>
  <c r="LN42" i="25"/>
  <c r="LN40" i="25"/>
  <c r="AD37" i="25"/>
  <c r="AD20" i="25"/>
  <c r="AD22" i="25"/>
  <c r="AD24" i="25"/>
  <c r="AE24" i="25"/>
  <c r="AF24" i="25" s="1"/>
  <c r="IH22" i="25"/>
  <c r="IN22" i="25" s="1"/>
  <c r="IH25" i="25"/>
  <c r="IN25" i="25" s="1"/>
  <c r="IH20" i="25"/>
  <c r="IN20" i="25" s="1"/>
  <c r="KG50" i="25"/>
  <c r="LG37" i="25"/>
  <c r="LH37" i="25" s="1"/>
  <c r="AD29" i="25"/>
  <c r="KG37" i="25"/>
  <c r="KH37" i="25" s="1"/>
  <c r="KG23" i="25"/>
  <c r="LG23" i="25"/>
  <c r="NG23" i="25"/>
  <c r="NH23" i="25" s="1"/>
  <c r="MG23" i="25"/>
  <c r="MH23" i="25" s="1"/>
  <c r="KH54" i="25" l="1"/>
  <c r="KN54" i="25" s="1"/>
  <c r="KH50" i="25"/>
  <c r="KN50" i="25" s="1"/>
  <c r="KH23" i="25"/>
  <c r="KN23" i="25" s="1"/>
  <c r="LH23" i="25"/>
  <c r="LN23" i="25" s="1"/>
  <c r="LH25" i="25"/>
  <c r="LN25" i="25" s="1"/>
  <c r="KH39" i="25"/>
  <c r="KN39" i="25" s="1"/>
  <c r="LH31" i="25"/>
  <c r="LN31" i="25" s="1"/>
  <c r="KH25" i="25"/>
  <c r="KN25" i="25" s="1"/>
  <c r="LH44" i="25"/>
  <c r="LN44" i="25" s="1"/>
  <c r="KH45" i="25"/>
  <c r="KN45" i="25" s="1"/>
  <c r="KH46" i="25"/>
  <c r="KN46" i="25" s="1"/>
  <c r="KH42" i="25"/>
  <c r="KN42" i="25" s="1"/>
  <c r="LH24" i="25"/>
  <c r="LN24" i="25" s="1"/>
  <c r="KH38" i="25"/>
  <c r="KN38" i="25" s="1"/>
  <c r="KH26" i="25"/>
  <c r="KN26" i="25" s="1"/>
  <c r="JN20" i="25"/>
  <c r="KN20" i="25"/>
  <c r="IN24" i="25"/>
  <c r="KN37" i="25"/>
  <c r="LN37" i="25"/>
  <c r="IH23" i="25"/>
  <c r="IN23" i="25" s="1"/>
  <c r="F4" i="22" l="1"/>
  <c r="H83" i="22" s="1"/>
  <c r="F7" i="22"/>
  <c r="G13" i="45"/>
  <c r="G12" i="45"/>
  <c r="G11" i="45"/>
  <c r="A18" i="12"/>
  <c r="G6" i="45"/>
  <c r="A19" i="12"/>
  <c r="J83" i="22" l="1"/>
  <c r="B15" i="3" s="1"/>
  <c r="F10" i="22"/>
  <c r="J19" i="3" s="1"/>
  <c r="F11" i="22"/>
  <c r="A23" i="12"/>
  <c r="M8" i="20"/>
  <c r="A24" i="12"/>
  <c r="M9" i="20"/>
  <c r="A22" i="12"/>
  <c r="M7" i="20"/>
  <c r="A17" i="12"/>
  <c r="M4" i="20"/>
  <c r="G4" i="22"/>
  <c r="H4" i="22" s="1"/>
  <c r="I4" i="22" s="1"/>
  <c r="J4" i="22" s="1"/>
  <c r="K4" i="22" s="1"/>
  <c r="F24" i="22"/>
  <c r="G7" i="22"/>
  <c r="B18" i="12"/>
  <c r="S56" i="3"/>
  <c r="S63" i="3"/>
  <c r="S59" i="3"/>
  <c r="S66" i="3"/>
  <c r="S55" i="3"/>
  <c r="S61" i="3"/>
  <c r="S57" i="3"/>
  <c r="S64" i="3"/>
  <c r="S54" i="3"/>
  <c r="S67" i="3"/>
  <c r="S62" i="3"/>
  <c r="S58" i="3"/>
  <c r="S65" i="3"/>
  <c r="S60" i="3"/>
  <c r="E27" i="21"/>
  <c r="C79" i="21"/>
  <c r="C80" i="21"/>
  <c r="C81" i="21"/>
  <c r="C45" i="21"/>
  <c r="E45" i="21"/>
  <c r="B23" i="10" s="1"/>
  <c r="G45" i="21"/>
  <c r="B22" i="10" s="1"/>
  <c r="C58" i="21"/>
  <c r="F59" i="11"/>
  <c r="F60" i="11"/>
  <c r="F58" i="11"/>
  <c r="C27" i="11"/>
  <c r="B22" i="18"/>
  <c r="V11" i="20"/>
  <c r="Q11" i="20"/>
  <c r="N11" i="20"/>
  <c r="V10" i="20"/>
  <c r="A8" i="20"/>
  <c r="A7" i="20"/>
  <c r="A6" i="20"/>
  <c r="A3" i="20"/>
  <c r="A2" i="20"/>
  <c r="A1" i="20"/>
  <c r="B24" i="18"/>
  <c r="B26" i="18" s="1"/>
  <c r="D26" i="18" s="1"/>
  <c r="B23" i="18"/>
  <c r="B21" i="18" s="1"/>
  <c r="S43" i="3"/>
  <c r="S36" i="3"/>
  <c r="S40" i="3"/>
  <c r="S44" i="3"/>
  <c r="S38" i="3"/>
  <c r="S42" i="3"/>
  <c r="S35" i="3"/>
  <c r="S37" i="3"/>
  <c r="S39" i="3"/>
  <c r="S41" i="3"/>
  <c r="C15" i="3" l="1"/>
  <c r="F15" i="3"/>
  <c r="G11" i="22"/>
  <c r="G10" i="22"/>
  <c r="Y19" i="42"/>
  <c r="C46" i="11"/>
  <c r="C33" i="11"/>
  <c r="C59" i="11"/>
  <c r="H7" i="22"/>
  <c r="B17" i="12"/>
  <c r="N4" i="20"/>
  <c r="S11" i="20"/>
  <c r="F61" i="11"/>
  <c r="F16" i="22" l="1"/>
  <c r="F12" i="22"/>
  <c r="F19" i="22" s="1"/>
  <c r="H10" i="22"/>
  <c r="H11" i="22"/>
  <c r="Y20" i="42"/>
  <c r="J20" i="3"/>
  <c r="I7" i="22"/>
  <c r="D15" i="18"/>
  <c r="D14" i="18"/>
  <c r="D13" i="18"/>
  <c r="D23" i="18"/>
  <c r="D22" i="18"/>
  <c r="D20" i="18"/>
  <c r="B19" i="18"/>
  <c r="D19" i="18" s="1"/>
  <c r="D18" i="18"/>
  <c r="D17" i="18"/>
  <c r="D12" i="18"/>
  <c r="D7" i="18"/>
  <c r="A38" i="17"/>
  <c r="C2" i="11"/>
  <c r="C69" i="11" s="1"/>
  <c r="F35" i="10"/>
  <c r="H69" i="45" l="1"/>
  <c r="H109" i="45"/>
  <c r="I10" i="22"/>
  <c r="Y22" i="42" s="1"/>
  <c r="I11" i="22"/>
  <c r="H12" i="22" s="1"/>
  <c r="H19" i="22" s="1"/>
  <c r="Y21" i="42"/>
  <c r="J21" i="3"/>
  <c r="B24" i="12"/>
  <c r="B26" i="12"/>
  <c r="C2" i="45"/>
  <c r="H96" i="45"/>
  <c r="H189" i="45"/>
  <c r="H162" i="45"/>
  <c r="H136" i="45"/>
  <c r="H82" i="45"/>
  <c r="H202" i="45"/>
  <c r="H176" i="45"/>
  <c r="H149" i="45"/>
  <c r="H122" i="45"/>
  <c r="C3" i="35"/>
  <c r="E7" i="10"/>
  <c r="U8" i="19"/>
  <c r="D21" i="18"/>
  <c r="W1" i="20" s="1"/>
  <c r="B25" i="18"/>
  <c r="D25" i="18" s="1"/>
  <c r="D24" i="18"/>
  <c r="A5" i="17"/>
  <c r="A9" i="17"/>
  <c r="A13" i="17"/>
  <c r="A17" i="17"/>
  <c r="A21" i="17"/>
  <c r="A25" i="17"/>
  <c r="A29" i="17"/>
  <c r="A33" i="17"/>
  <c r="A37" i="17"/>
  <c r="A41" i="17"/>
  <c r="A4" i="17"/>
  <c r="A8" i="17"/>
  <c r="A12" i="17"/>
  <c r="A16" i="17"/>
  <c r="A20" i="17"/>
  <c r="A24" i="17"/>
  <c r="A28" i="17"/>
  <c r="A32" i="17"/>
  <c r="A36" i="17"/>
  <c r="A40" i="17"/>
  <c r="A3" i="17"/>
  <c r="A7" i="17"/>
  <c r="A11" i="17"/>
  <c r="A15" i="17"/>
  <c r="A19" i="17"/>
  <c r="A23" i="17"/>
  <c r="A27" i="17"/>
  <c r="A31" i="17"/>
  <c r="A35" i="17"/>
  <c r="A39" i="17"/>
  <c r="A2" i="17"/>
  <c r="A6" i="17"/>
  <c r="A10" i="17"/>
  <c r="A14" i="17"/>
  <c r="A18" i="17"/>
  <c r="A22" i="17"/>
  <c r="A26" i="17"/>
  <c r="A30" i="17"/>
  <c r="A34" i="17"/>
  <c r="L40" i="19" l="1"/>
  <c r="L44" i="19"/>
  <c r="L48" i="19"/>
  <c r="L43" i="19"/>
  <c r="L47" i="19"/>
  <c r="L42" i="19"/>
  <c r="L46" i="19"/>
  <c r="L41" i="19"/>
  <c r="L45" i="19"/>
  <c r="L49" i="19"/>
  <c r="L16" i="19"/>
  <c r="L19" i="19"/>
  <c r="L23" i="19"/>
  <c r="L27" i="19"/>
  <c r="L31" i="19"/>
  <c r="L18" i="19"/>
  <c r="L22" i="19"/>
  <c r="L26" i="19"/>
  <c r="L30" i="19"/>
  <c r="L17" i="19"/>
  <c r="L21" i="19"/>
  <c r="L25" i="19"/>
  <c r="L29" i="19"/>
  <c r="L20" i="19"/>
  <c r="L24" i="19"/>
  <c r="L28" i="19"/>
  <c r="J22" i="3"/>
  <c r="F20" i="22"/>
  <c r="H16" i="22"/>
  <c r="L15" i="19"/>
  <c r="Y82" i="20"/>
  <c r="J82" i="19" s="1"/>
  <c r="H97" i="3" s="1"/>
  <c r="Y86" i="20"/>
  <c r="J86" i="19" s="1"/>
  <c r="Y90" i="20"/>
  <c r="J90" i="19" s="1"/>
  <c r="H105" i="3" s="1"/>
  <c r="Y94" i="20"/>
  <c r="J94" i="19" s="1"/>
  <c r="Y98" i="20"/>
  <c r="J98" i="19" s="1"/>
  <c r="H113" i="3" s="1"/>
  <c r="Y81" i="20"/>
  <c r="J81" i="19" s="1"/>
  <c r="H96" i="3" s="1"/>
  <c r="Y85" i="20"/>
  <c r="J85" i="19" s="1"/>
  <c r="Y89" i="20"/>
  <c r="J89" i="19" s="1"/>
  <c r="Y93" i="20"/>
  <c r="J93" i="19" s="1"/>
  <c r="H108" i="3" s="1"/>
  <c r="Y97" i="20"/>
  <c r="J97" i="19" s="1"/>
  <c r="Y84" i="20"/>
  <c r="J84" i="19" s="1"/>
  <c r="Y88" i="20"/>
  <c r="J88" i="19" s="1"/>
  <c r="H103" i="3" s="1"/>
  <c r="Y92" i="20"/>
  <c r="J92" i="19" s="1"/>
  <c r="Y96" i="20"/>
  <c r="J96" i="19" s="1"/>
  <c r="H111" i="3" s="1"/>
  <c r="Y83" i="20"/>
  <c r="J83" i="19" s="1"/>
  <c r="H98" i="3" s="1"/>
  <c r="Y87" i="20"/>
  <c r="J87" i="19" s="1"/>
  <c r="Y91" i="20"/>
  <c r="J91" i="19" s="1"/>
  <c r="Y95" i="20"/>
  <c r="J95" i="19" s="1"/>
  <c r="H110" i="3" s="1"/>
  <c r="Y99" i="20"/>
  <c r="J99" i="19" s="1"/>
  <c r="Y101" i="20"/>
  <c r="J101" i="19" s="1"/>
  <c r="Y100" i="20"/>
  <c r="J103" i="19"/>
  <c r="J102" i="19"/>
  <c r="Y53" i="20"/>
  <c r="R53" i="20" s="1"/>
  <c r="Y57" i="20"/>
  <c r="Y61" i="20"/>
  <c r="Y65" i="20"/>
  <c r="J65" i="19" s="1"/>
  <c r="Y69" i="20"/>
  <c r="J69" i="19" s="1"/>
  <c r="Y73" i="20"/>
  <c r="J73" i="19" s="1"/>
  <c r="Y77" i="20"/>
  <c r="J77" i="19" s="1"/>
  <c r="Y56" i="20"/>
  <c r="Y60" i="20"/>
  <c r="Y64" i="20"/>
  <c r="J64" i="19" s="1"/>
  <c r="Y68" i="20"/>
  <c r="J68" i="19" s="1"/>
  <c r="Y72" i="20"/>
  <c r="J72" i="19" s="1"/>
  <c r="Y76" i="20"/>
  <c r="J76" i="19" s="1"/>
  <c r="Y80" i="20"/>
  <c r="J80" i="19" s="1"/>
  <c r="H95" i="3" s="1"/>
  <c r="Y51" i="20"/>
  <c r="R51" i="20" s="1"/>
  <c r="Y55" i="20"/>
  <c r="R55" i="20" s="1"/>
  <c r="Y59" i="20"/>
  <c r="Y63" i="20"/>
  <c r="J63" i="19" s="1"/>
  <c r="Y67" i="20"/>
  <c r="J67" i="19" s="1"/>
  <c r="Y71" i="20"/>
  <c r="J71" i="19" s="1"/>
  <c r="Y75" i="20"/>
  <c r="J75" i="19" s="1"/>
  <c r="Y79" i="20"/>
  <c r="J79" i="19" s="1"/>
  <c r="Y54" i="20"/>
  <c r="R54" i="20" s="1"/>
  <c r="Y58" i="20"/>
  <c r="Y62" i="20"/>
  <c r="Y66" i="20"/>
  <c r="J66" i="19" s="1"/>
  <c r="Y70" i="20"/>
  <c r="J70" i="19" s="1"/>
  <c r="Y74" i="20"/>
  <c r="J74" i="19" s="1"/>
  <c r="Y78" i="20"/>
  <c r="J78" i="19" s="1"/>
  <c r="Y19" i="20"/>
  <c r="Y21" i="20"/>
  <c r="Y33" i="20"/>
  <c r="Y37" i="20"/>
  <c r="Y41" i="20"/>
  <c r="R41" i="20" s="1"/>
  <c r="Y45" i="20"/>
  <c r="R45" i="20" s="1"/>
  <c r="Y49" i="20"/>
  <c r="R49" i="20" s="1"/>
  <c r="Y15" i="20"/>
  <c r="Y32" i="20"/>
  <c r="Y24" i="20"/>
  <c r="Y36" i="20"/>
  <c r="Y40" i="20"/>
  <c r="R40" i="20" s="1"/>
  <c r="Y44" i="20"/>
  <c r="R44" i="20" s="1"/>
  <c r="Y48" i="20"/>
  <c r="R48" i="20" s="1"/>
  <c r="Y23" i="20"/>
  <c r="Y35" i="20"/>
  <c r="Y39" i="20"/>
  <c r="Y43" i="20"/>
  <c r="R43" i="20" s="1"/>
  <c r="Y47" i="20"/>
  <c r="R47" i="20" s="1"/>
  <c r="Y50" i="20"/>
  <c r="R50" i="20" s="1"/>
  <c r="Y22" i="20"/>
  <c r="Y34" i="20"/>
  <c r="Y38" i="20"/>
  <c r="Y42" i="20"/>
  <c r="R42" i="20" s="1"/>
  <c r="Y46" i="20"/>
  <c r="R46" i="20" s="1"/>
  <c r="Y52" i="20"/>
  <c r="R52" i="20" s="1"/>
  <c r="Y28" i="20"/>
  <c r="Y16" i="20"/>
  <c r="R16" i="20" s="1"/>
  <c r="Y20" i="20"/>
  <c r="Y27" i="20"/>
  <c r="Y31" i="20"/>
  <c r="Y26" i="20"/>
  <c r="Y30" i="20"/>
  <c r="Y18" i="20"/>
  <c r="R18" i="20" s="1"/>
  <c r="Y25" i="20"/>
  <c r="Y29" i="20"/>
  <c r="Y17" i="20"/>
  <c r="R17" i="20" s="1"/>
  <c r="B28" i="18"/>
  <c r="D40" i="18"/>
  <c r="D41" i="18"/>
  <c r="B31" i="18"/>
  <c r="D31" i="18" s="1"/>
  <c r="C26" i="11" s="1"/>
  <c r="J32" i="19" l="1"/>
  <c r="M32" i="19" s="1"/>
  <c r="J17" i="19"/>
  <c r="J27" i="19"/>
  <c r="M27" i="19" s="1"/>
  <c r="J29" i="19"/>
  <c r="M29" i="19" s="1"/>
  <c r="J23" i="19"/>
  <c r="J22" i="19"/>
  <c r="M22" i="19" s="1"/>
  <c r="R15" i="20"/>
  <c r="J24" i="19"/>
  <c r="M24" i="19" s="1"/>
  <c r="J18" i="19"/>
  <c r="J28" i="19"/>
  <c r="M28" i="19" s="1"/>
  <c r="H116" i="3"/>
  <c r="P101" i="19"/>
  <c r="P102" i="19"/>
  <c r="P103" i="19"/>
  <c r="J21" i="19"/>
  <c r="M21" i="19" s="1"/>
  <c r="J19" i="19"/>
  <c r="O19" i="25" s="1"/>
  <c r="J20" i="19"/>
  <c r="M20" i="19" s="1"/>
  <c r="J42" i="19"/>
  <c r="M42" i="19" s="1"/>
  <c r="J50" i="19"/>
  <c r="M50" i="19" s="1"/>
  <c r="J35" i="19"/>
  <c r="M35" i="19" s="1"/>
  <c r="J40" i="19"/>
  <c r="M40" i="19" s="1"/>
  <c r="J37" i="19"/>
  <c r="J61" i="19"/>
  <c r="J39" i="19"/>
  <c r="J44" i="19"/>
  <c r="M44" i="19" s="1"/>
  <c r="J41" i="19"/>
  <c r="M41" i="19" s="1"/>
  <c r="Q26" i="25"/>
  <c r="J26" i="19"/>
  <c r="M26" i="19" s="1"/>
  <c r="J54" i="19"/>
  <c r="M54" i="19" s="1"/>
  <c r="J51" i="19"/>
  <c r="M51" i="19" s="1"/>
  <c r="J56" i="19"/>
  <c r="J16" i="19"/>
  <c r="O16" i="25" s="1"/>
  <c r="J52" i="19"/>
  <c r="M52" i="19" s="1"/>
  <c r="J34" i="19"/>
  <c r="M34" i="19" s="1"/>
  <c r="J43" i="19"/>
  <c r="M43" i="19" s="1"/>
  <c r="J48" i="19"/>
  <c r="M48" i="19" s="1"/>
  <c r="J31" i="19"/>
  <c r="M31" i="19" s="1"/>
  <c r="J45" i="19"/>
  <c r="M45" i="19" s="1"/>
  <c r="J58" i="19"/>
  <c r="J55" i="19"/>
  <c r="M55" i="19" s="1"/>
  <c r="J60" i="19"/>
  <c r="J53" i="19"/>
  <c r="M53" i="19" s="1"/>
  <c r="J46" i="19"/>
  <c r="M46" i="19" s="1"/>
  <c r="Q25" i="25"/>
  <c r="J25" i="19"/>
  <c r="M25" i="19" s="1"/>
  <c r="J38" i="19"/>
  <c r="J47" i="19"/>
  <c r="M47" i="19" s="1"/>
  <c r="J30" i="19"/>
  <c r="M30" i="19" s="1"/>
  <c r="J36" i="19"/>
  <c r="M36" i="19" s="1"/>
  <c r="J49" i="19"/>
  <c r="M49" i="19" s="1"/>
  <c r="J33" i="19"/>
  <c r="M33" i="19" s="1"/>
  <c r="J62" i="19"/>
  <c r="J59" i="19"/>
  <c r="J57" i="19"/>
  <c r="F21" i="22"/>
  <c r="F23" i="22" s="1"/>
  <c r="H11" i="45" s="1"/>
  <c r="B30" i="18"/>
  <c r="D30" i="18" s="1"/>
  <c r="D28" i="18"/>
  <c r="W3" i="20" s="1"/>
  <c r="A26" i="20" s="1"/>
  <c r="P52" i="19"/>
  <c r="Q27" i="25"/>
  <c r="J15" i="19"/>
  <c r="O15" i="25" s="1"/>
  <c r="Q78" i="25"/>
  <c r="Q67" i="25"/>
  <c r="Q72" i="25"/>
  <c r="Q69" i="25"/>
  <c r="Q103" i="25"/>
  <c r="O91" i="25"/>
  <c r="Q91" i="25"/>
  <c r="P92" i="19"/>
  <c r="Q92" i="25"/>
  <c r="O93" i="25"/>
  <c r="Q93" i="25"/>
  <c r="O98" i="25"/>
  <c r="Q98" i="25"/>
  <c r="Q82" i="25"/>
  <c r="Q66" i="25"/>
  <c r="O88" i="25"/>
  <c r="P88" i="19"/>
  <c r="Q71" i="25"/>
  <c r="Q76" i="25"/>
  <c r="Q73" i="25"/>
  <c r="Q102" i="25"/>
  <c r="P91" i="19"/>
  <c r="O95" i="25"/>
  <c r="Q95" i="25"/>
  <c r="O96" i="25"/>
  <c r="Q96" i="25"/>
  <c r="P97" i="19"/>
  <c r="Q97" i="25"/>
  <c r="Q81" i="25"/>
  <c r="Q86" i="25"/>
  <c r="Q70" i="25"/>
  <c r="Q75" i="25"/>
  <c r="Q80" i="25"/>
  <c r="Q64" i="25"/>
  <c r="Q77" i="25"/>
  <c r="Q101" i="25"/>
  <c r="P93" i="19"/>
  <c r="P96" i="19"/>
  <c r="Q99" i="25"/>
  <c r="Q83" i="25"/>
  <c r="Q84" i="25"/>
  <c r="Q85" i="25"/>
  <c r="O90" i="25"/>
  <c r="Q90" i="25"/>
  <c r="Q74" i="25"/>
  <c r="Q79" i="25"/>
  <c r="Q63" i="25"/>
  <c r="O88" i="19"/>
  <c r="G103" i="3" s="1"/>
  <c r="Q68" i="25"/>
  <c r="Q65" i="25"/>
  <c r="Q100" i="25"/>
  <c r="P95" i="19"/>
  <c r="P98" i="19"/>
  <c r="P90" i="19"/>
  <c r="Q87" i="25"/>
  <c r="Q88" i="25"/>
  <c r="Q89" i="25"/>
  <c r="P94" i="19"/>
  <c r="Q94" i="25"/>
  <c r="Q46" i="25"/>
  <c r="A22" i="20"/>
  <c r="Q30" i="25"/>
  <c r="P39" i="19"/>
  <c r="Q39" i="25"/>
  <c r="Q44" i="25"/>
  <c r="Q28" i="25"/>
  <c r="Q41" i="25"/>
  <c r="P82" i="19"/>
  <c r="O63" i="25"/>
  <c r="O72" i="25"/>
  <c r="A56" i="20"/>
  <c r="Q56" i="25"/>
  <c r="P77" i="19"/>
  <c r="A61" i="20"/>
  <c r="Q61" i="25"/>
  <c r="Q50" i="25"/>
  <c r="A34" i="20"/>
  <c r="Q34" i="25"/>
  <c r="Q43" i="25"/>
  <c r="Q48" i="25"/>
  <c r="A24" i="20"/>
  <c r="Q32" i="25"/>
  <c r="Q45" i="25"/>
  <c r="Q29" i="25"/>
  <c r="O86" i="25"/>
  <c r="O70" i="25"/>
  <c r="A54" i="20"/>
  <c r="Q54" i="25"/>
  <c r="O83" i="25"/>
  <c r="P67" i="19"/>
  <c r="Q52" i="25"/>
  <c r="A60" i="20"/>
  <c r="Q60" i="25"/>
  <c r="P81" i="19"/>
  <c r="P65" i="19"/>
  <c r="A38" i="20"/>
  <c r="Q38" i="25"/>
  <c r="Q47" i="25"/>
  <c r="A23" i="20"/>
  <c r="Q31" i="25"/>
  <c r="A36" i="20"/>
  <c r="Q36" i="25"/>
  <c r="Q49" i="25"/>
  <c r="A33" i="20"/>
  <c r="Q33" i="25"/>
  <c r="O74" i="25"/>
  <c r="A58" i="20"/>
  <c r="Q58" i="25"/>
  <c r="O87" i="25"/>
  <c r="O71" i="25"/>
  <c r="A55" i="20"/>
  <c r="Q55" i="25"/>
  <c r="P80" i="19"/>
  <c r="A53" i="20"/>
  <c r="Q53" i="25"/>
  <c r="P42" i="19"/>
  <c r="Q42" i="25"/>
  <c r="Q51" i="25"/>
  <c r="A35" i="20"/>
  <c r="Q35" i="25"/>
  <c r="Q40" i="25"/>
  <c r="P37" i="19"/>
  <c r="A37" i="20"/>
  <c r="Q37" i="25"/>
  <c r="P78" i="19"/>
  <c r="A62" i="20"/>
  <c r="Q62" i="25"/>
  <c r="P75" i="19"/>
  <c r="A59" i="20"/>
  <c r="Q59" i="25"/>
  <c r="P84" i="19"/>
  <c r="P68" i="19"/>
  <c r="P73" i="19"/>
  <c r="A57" i="20"/>
  <c r="Q57" i="25"/>
  <c r="Q24" i="25"/>
  <c r="O18" i="25"/>
  <c r="O17" i="25"/>
  <c r="Q21" i="25"/>
  <c r="Q22" i="25"/>
  <c r="Q23" i="25"/>
  <c r="Q20" i="25"/>
  <c r="O38" i="19"/>
  <c r="O42" i="19"/>
  <c r="O51" i="19"/>
  <c r="O35" i="19"/>
  <c r="O40" i="19"/>
  <c r="O37" i="19"/>
  <c r="O46" i="19"/>
  <c r="O39" i="19"/>
  <c r="O44" i="19"/>
  <c r="O41" i="19"/>
  <c r="O50" i="19"/>
  <c r="O34" i="19"/>
  <c r="O32" i="19"/>
  <c r="O45" i="19"/>
  <c r="O29" i="19"/>
  <c r="B29" i="18"/>
  <c r="H118" i="3" l="1"/>
  <c r="F118" i="42"/>
  <c r="O36" i="19"/>
  <c r="M36" i="25" s="1"/>
  <c r="P45" i="19"/>
  <c r="P46" i="19"/>
  <c r="O49" i="19"/>
  <c r="M49" i="25" s="1"/>
  <c r="O48" i="19"/>
  <c r="M48" i="25" s="1"/>
  <c r="O33" i="19"/>
  <c r="G48" i="3" s="1"/>
  <c r="P33" i="19"/>
  <c r="O43" i="19"/>
  <c r="M43" i="25" s="1"/>
  <c r="O47" i="19"/>
  <c r="M47" i="25" s="1"/>
  <c r="O52" i="19"/>
  <c r="G67" i="3" s="1"/>
  <c r="O30" i="19"/>
  <c r="M30" i="25" s="1"/>
  <c r="P38" i="19"/>
  <c r="P53" i="19"/>
  <c r="P48" i="19"/>
  <c r="P51" i="19"/>
  <c r="P49" i="19"/>
  <c r="P54" i="19"/>
  <c r="P50" i="19"/>
  <c r="O51" i="25"/>
  <c r="P56" i="19"/>
  <c r="P57" i="19"/>
  <c r="O49" i="25"/>
  <c r="O54" i="25"/>
  <c r="O54" i="19"/>
  <c r="M54" i="25" s="1"/>
  <c r="II54" i="25" s="1"/>
  <c r="O52" i="25"/>
  <c r="H67" i="3"/>
  <c r="O48" i="25"/>
  <c r="O53" i="25"/>
  <c r="O53" i="19"/>
  <c r="O50" i="25"/>
  <c r="O32" i="25"/>
  <c r="O43" i="25"/>
  <c r="F58" i="42"/>
  <c r="P32" i="19"/>
  <c r="O40" i="25"/>
  <c r="F55" i="42"/>
  <c r="O47" i="25"/>
  <c r="F62" i="42"/>
  <c r="P29" i="19"/>
  <c r="O41" i="25"/>
  <c r="F56" i="42"/>
  <c r="O44" i="25"/>
  <c r="F59" i="42"/>
  <c r="P41" i="19"/>
  <c r="O35" i="25"/>
  <c r="O42" i="25"/>
  <c r="F57" i="42"/>
  <c r="O36" i="25"/>
  <c r="O38" i="25"/>
  <c r="O46" i="25"/>
  <c r="F61" i="42"/>
  <c r="P35" i="19"/>
  <c r="P40" i="19"/>
  <c r="P43" i="19"/>
  <c r="P36" i="19"/>
  <c r="O37" i="25"/>
  <c r="O33" i="25"/>
  <c r="O31" i="19"/>
  <c r="M31" i="25" s="1"/>
  <c r="O45" i="25"/>
  <c r="F60" i="42"/>
  <c r="P28" i="19"/>
  <c r="L28" i="25"/>
  <c r="O39" i="25"/>
  <c r="F54" i="42"/>
  <c r="P47" i="19"/>
  <c r="P44" i="19"/>
  <c r="P34" i="19"/>
  <c r="P21" i="19"/>
  <c r="H36" i="3"/>
  <c r="O59" i="25"/>
  <c r="O59" i="19"/>
  <c r="M59" i="25" s="1"/>
  <c r="II59" i="25" s="1"/>
  <c r="IK59" i="25" s="1"/>
  <c r="IL59" i="25" s="1"/>
  <c r="O62" i="25"/>
  <c r="O62" i="19"/>
  <c r="O58" i="25"/>
  <c r="O58" i="19"/>
  <c r="M58" i="25" s="1"/>
  <c r="II58" i="25" s="1"/>
  <c r="IK58" i="25" s="1"/>
  <c r="IL58" i="25" s="1"/>
  <c r="P59" i="19"/>
  <c r="O55" i="25"/>
  <c r="O55" i="19"/>
  <c r="M55" i="25" s="1"/>
  <c r="II55" i="25" s="1"/>
  <c r="IK55" i="25" s="1"/>
  <c r="IL55" i="25" s="1"/>
  <c r="IM55" i="25" s="1"/>
  <c r="O61" i="25"/>
  <c r="O61" i="19"/>
  <c r="O56" i="25"/>
  <c r="O56" i="19"/>
  <c r="M56" i="25" s="1"/>
  <c r="II56" i="25" s="1"/>
  <c r="IK56" i="25" s="1"/>
  <c r="IL56" i="25" s="1"/>
  <c r="IM56" i="25" s="1"/>
  <c r="P61" i="19"/>
  <c r="O57" i="25"/>
  <c r="O57" i="19"/>
  <c r="M57" i="25" s="1"/>
  <c r="II57" i="25" s="1"/>
  <c r="IK57" i="25" s="1"/>
  <c r="IL57" i="25" s="1"/>
  <c r="IM57" i="25" s="1"/>
  <c r="O60" i="25"/>
  <c r="O60" i="19"/>
  <c r="M60" i="25" s="1"/>
  <c r="II60" i="25" s="1"/>
  <c r="IK60" i="25" s="1"/>
  <c r="IL60" i="25" s="1"/>
  <c r="P58" i="19"/>
  <c r="P60" i="19"/>
  <c r="P62" i="19"/>
  <c r="P55" i="19"/>
  <c r="N7" i="20"/>
  <c r="B22" i="12"/>
  <c r="O27" i="19"/>
  <c r="E42" i="42" s="1"/>
  <c r="O28" i="19"/>
  <c r="E43" i="42" s="1"/>
  <c r="O21" i="19"/>
  <c r="E36" i="42" s="1"/>
  <c r="O31" i="25"/>
  <c r="L31" i="25"/>
  <c r="O30" i="25"/>
  <c r="L30" i="25"/>
  <c r="P31" i="19"/>
  <c r="P30" i="19"/>
  <c r="D29" i="18"/>
  <c r="B32" i="18" s="1"/>
  <c r="D32" i="18" s="1"/>
  <c r="H55" i="3"/>
  <c r="H58" i="3"/>
  <c r="H59" i="3"/>
  <c r="H62" i="3"/>
  <c r="A40" i="20"/>
  <c r="A47" i="20"/>
  <c r="A51" i="20"/>
  <c r="A45" i="20"/>
  <c r="A46" i="20"/>
  <c r="A49" i="20"/>
  <c r="A52" i="20"/>
  <c r="A44" i="20"/>
  <c r="F67" i="42"/>
  <c r="L52" i="25"/>
  <c r="A50" i="20"/>
  <c r="A48" i="20"/>
  <c r="A41" i="20"/>
  <c r="A39" i="20"/>
  <c r="A42" i="20"/>
  <c r="A43" i="20"/>
  <c r="A21" i="20"/>
  <c r="A32" i="20"/>
  <c r="A16" i="20"/>
  <c r="A15" i="20"/>
  <c r="A19" i="20"/>
  <c r="A29" i="20"/>
  <c r="A18" i="20"/>
  <c r="A20" i="20"/>
  <c r="A17" i="20"/>
  <c r="O22" i="19"/>
  <c r="G37" i="3" s="1"/>
  <c r="H37" i="3"/>
  <c r="O29" i="25"/>
  <c r="L29" i="25"/>
  <c r="O28" i="25"/>
  <c r="O21" i="25"/>
  <c r="O26" i="19"/>
  <c r="M26" i="25" s="1"/>
  <c r="L26" i="25"/>
  <c r="O20" i="25"/>
  <c r="H35" i="3"/>
  <c r="O20" i="19"/>
  <c r="M20" i="25" s="1"/>
  <c r="P20" i="19"/>
  <c r="O23" i="19"/>
  <c r="G38" i="3" s="1"/>
  <c r="O24" i="19"/>
  <c r="E39" i="42" s="1"/>
  <c r="O25" i="19"/>
  <c r="O67" i="25"/>
  <c r="O34" i="25"/>
  <c r="L34" i="25"/>
  <c r="A27" i="20"/>
  <c r="A28" i="20"/>
  <c r="O78" i="25"/>
  <c r="R11" i="20"/>
  <c r="O92" i="25"/>
  <c r="O64" i="19"/>
  <c r="O86" i="19"/>
  <c r="G101" i="3" s="1"/>
  <c r="O66" i="19"/>
  <c r="O89" i="19"/>
  <c r="G104" i="3" s="1"/>
  <c r="O100" i="25"/>
  <c r="O100" i="19"/>
  <c r="G115" i="3" s="1"/>
  <c r="L88" i="25"/>
  <c r="FL88" i="25" s="1"/>
  <c r="O99" i="19"/>
  <c r="G114" i="3" s="1"/>
  <c r="O95" i="19"/>
  <c r="G110" i="3" s="1"/>
  <c r="O102" i="25"/>
  <c r="O102" i="19"/>
  <c r="O98" i="19"/>
  <c r="G113" i="3" s="1"/>
  <c r="P64" i="19"/>
  <c r="O97" i="25"/>
  <c r="O82" i="25"/>
  <c r="A69" i="20"/>
  <c r="A64" i="20"/>
  <c r="A68" i="20"/>
  <c r="A72" i="20"/>
  <c r="A76" i="20"/>
  <c r="A80" i="20"/>
  <c r="A84" i="20"/>
  <c r="A88" i="20"/>
  <c r="A63" i="20"/>
  <c r="A71" i="20"/>
  <c r="A75" i="20"/>
  <c r="A79" i="20"/>
  <c r="A83" i="20"/>
  <c r="A87" i="20"/>
  <c r="A67" i="20"/>
  <c r="A66" i="20"/>
  <c r="A70" i="20"/>
  <c r="A74" i="20"/>
  <c r="A78" i="20"/>
  <c r="A82" i="20"/>
  <c r="A86" i="20"/>
  <c r="A65" i="20"/>
  <c r="A73" i="20"/>
  <c r="A77" i="20"/>
  <c r="A81" i="20"/>
  <c r="A85" i="20"/>
  <c r="O84" i="19"/>
  <c r="G99" i="3" s="1"/>
  <c r="O75" i="19"/>
  <c r="O78" i="19"/>
  <c r="G93" i="3" s="1"/>
  <c r="O85" i="19"/>
  <c r="G100" i="3" s="1"/>
  <c r="O83" i="19"/>
  <c r="G98" i="3" s="1"/>
  <c r="O70" i="19"/>
  <c r="O79" i="19"/>
  <c r="G94" i="3" s="1"/>
  <c r="O90" i="19"/>
  <c r="G105" i="3" s="1"/>
  <c r="O93" i="19"/>
  <c r="G108" i="3" s="1"/>
  <c r="O80" i="25"/>
  <c r="O85" i="25"/>
  <c r="O79" i="25"/>
  <c r="O77" i="25"/>
  <c r="O66" i="25"/>
  <c r="P70" i="19"/>
  <c r="O94" i="25"/>
  <c r="O99" i="25"/>
  <c r="O73" i="25"/>
  <c r="O68" i="19"/>
  <c r="O69" i="19"/>
  <c r="O87" i="19"/>
  <c r="G102" i="3" s="1"/>
  <c r="O74" i="19"/>
  <c r="O81" i="19"/>
  <c r="G96" i="3" s="1"/>
  <c r="O76" i="19"/>
  <c r="O67" i="19"/>
  <c r="O63" i="19"/>
  <c r="O101" i="25"/>
  <c r="O101" i="19"/>
  <c r="G116" i="3" s="1"/>
  <c r="O97" i="19"/>
  <c r="G112" i="3" s="1"/>
  <c r="O92" i="19"/>
  <c r="G107" i="3" s="1"/>
  <c r="P86" i="19"/>
  <c r="P85" i="19"/>
  <c r="P79" i="19"/>
  <c r="P66" i="19"/>
  <c r="P87" i="19"/>
  <c r="P74" i="19"/>
  <c r="P99" i="19"/>
  <c r="O89" i="25"/>
  <c r="O69" i="25"/>
  <c r="O76" i="25"/>
  <c r="O73" i="19"/>
  <c r="O80" i="19"/>
  <c r="G95" i="3" s="1"/>
  <c r="O71" i="19"/>
  <c r="O65" i="19"/>
  <c r="O77" i="19"/>
  <c r="O72" i="19"/>
  <c r="O82" i="19"/>
  <c r="G97" i="3" s="1"/>
  <c r="O94" i="19"/>
  <c r="G109" i="3" s="1"/>
  <c r="M88" i="25"/>
  <c r="II88" i="25" s="1"/>
  <c r="IK88" i="25" s="1"/>
  <c r="IL88" i="25" s="1"/>
  <c r="O96" i="19"/>
  <c r="G111" i="3" s="1"/>
  <c r="O91" i="19"/>
  <c r="G106" i="3" s="1"/>
  <c r="O103" i="25"/>
  <c r="O103" i="19"/>
  <c r="P83" i="19"/>
  <c r="O81" i="25"/>
  <c r="O68" i="25"/>
  <c r="O65" i="25"/>
  <c r="O75" i="25"/>
  <c r="P63" i="19"/>
  <c r="O64" i="25"/>
  <c r="O84" i="25"/>
  <c r="P89" i="19"/>
  <c r="P69" i="19"/>
  <c r="P72" i="19"/>
  <c r="P76" i="19"/>
  <c r="P71" i="19"/>
  <c r="G65" i="3"/>
  <c r="E65" i="42"/>
  <c r="H65" i="3"/>
  <c r="F65" i="42"/>
  <c r="G66" i="3"/>
  <c r="E66" i="42"/>
  <c r="H66" i="3"/>
  <c r="F66" i="42"/>
  <c r="H64" i="3"/>
  <c r="F64" i="42"/>
  <c r="G62" i="3"/>
  <c r="E62" i="42"/>
  <c r="H63" i="3"/>
  <c r="F63" i="42"/>
  <c r="G59" i="3"/>
  <c r="E59" i="42"/>
  <c r="G60" i="3"/>
  <c r="E60" i="42"/>
  <c r="G63" i="3"/>
  <c r="E63" i="42"/>
  <c r="G61" i="3"/>
  <c r="E61" i="42"/>
  <c r="G57" i="3"/>
  <c r="E57" i="42"/>
  <c r="G54" i="3"/>
  <c r="E54" i="42"/>
  <c r="G44" i="3"/>
  <c r="E44" i="42"/>
  <c r="G47" i="3"/>
  <c r="E47" i="42"/>
  <c r="G52" i="3"/>
  <c r="E52" i="42"/>
  <c r="E51" i="42"/>
  <c r="G56" i="3"/>
  <c r="E56" i="42"/>
  <c r="G55" i="3"/>
  <c r="E55" i="42"/>
  <c r="G49" i="3"/>
  <c r="E49" i="42"/>
  <c r="G53" i="3"/>
  <c r="E53" i="42"/>
  <c r="G50" i="3"/>
  <c r="E50" i="42"/>
  <c r="O23" i="25"/>
  <c r="P23" i="19"/>
  <c r="F38" i="42"/>
  <c r="O24" i="25"/>
  <c r="P24" i="19"/>
  <c r="O26" i="25"/>
  <c r="P26" i="19"/>
  <c r="O22" i="25"/>
  <c r="P22" i="19"/>
  <c r="O27" i="25"/>
  <c r="P27" i="19"/>
  <c r="O25" i="25"/>
  <c r="P25" i="19"/>
  <c r="L25" i="25"/>
  <c r="A31" i="20"/>
  <c r="A30" i="20"/>
  <c r="H38" i="3"/>
  <c r="L45" i="25"/>
  <c r="L48" i="25"/>
  <c r="L44" i="25"/>
  <c r="L27" i="25"/>
  <c r="L35" i="25"/>
  <c r="L33" i="25"/>
  <c r="L36" i="25"/>
  <c r="L32" i="25"/>
  <c r="L43" i="25"/>
  <c r="L50" i="25"/>
  <c r="L39" i="25"/>
  <c r="L46" i="25"/>
  <c r="L37" i="25"/>
  <c r="L49" i="25"/>
  <c r="L38" i="25"/>
  <c r="A25" i="20"/>
  <c r="L24" i="25"/>
  <c r="L23" i="25"/>
  <c r="L40" i="25"/>
  <c r="L51" i="25"/>
  <c r="L42" i="25"/>
  <c r="L47" i="25"/>
  <c r="T10" i="20"/>
  <c r="M46" i="25"/>
  <c r="M39" i="25"/>
  <c r="M37" i="25"/>
  <c r="M38" i="25"/>
  <c r="M35" i="25"/>
  <c r="M51" i="25"/>
  <c r="II51" i="25" s="1"/>
  <c r="IK51" i="25" s="1"/>
  <c r="IL51" i="25" s="1"/>
  <c r="IM51" i="25" s="1"/>
  <c r="M45" i="25"/>
  <c r="M44" i="25"/>
  <c r="M29" i="25"/>
  <c r="M42" i="25"/>
  <c r="M40" i="25"/>
  <c r="M53" i="25"/>
  <c r="II53" i="25" s="1"/>
  <c r="M34" i="25"/>
  <c r="M50" i="25"/>
  <c r="M32" i="25"/>
  <c r="M41" i="25"/>
  <c r="E48" i="42" l="1"/>
  <c r="G51" i="3"/>
  <c r="M33" i="25"/>
  <c r="G118" i="3"/>
  <c r="E118" i="42"/>
  <c r="G117" i="3"/>
  <c r="E117" i="42"/>
  <c r="G46" i="3"/>
  <c r="E67" i="42"/>
  <c r="E46" i="42"/>
  <c r="CT42" i="25"/>
  <c r="AL42" i="25" s="1"/>
  <c r="FL42" i="25"/>
  <c r="CT37" i="25"/>
  <c r="AL37" i="25" s="1"/>
  <c r="FL37" i="25"/>
  <c r="CT35" i="25"/>
  <c r="AL35" i="25" s="1"/>
  <c r="FL35" i="25"/>
  <c r="CT45" i="25"/>
  <c r="AL45" i="25" s="1"/>
  <c r="FL45" i="25"/>
  <c r="CT30" i="25"/>
  <c r="AL30" i="25" s="1"/>
  <c r="FL30" i="25"/>
  <c r="CT24" i="25"/>
  <c r="AL24" i="25" s="1"/>
  <c r="FL24" i="25"/>
  <c r="CT43" i="25"/>
  <c r="AL43" i="25" s="1"/>
  <c r="FL43" i="25"/>
  <c r="CT51" i="25"/>
  <c r="AL51" i="25" s="1"/>
  <c r="FL51" i="25"/>
  <c r="CT46" i="25"/>
  <c r="AL46" i="25" s="1"/>
  <c r="FL46" i="25"/>
  <c r="CT32" i="25"/>
  <c r="AL32" i="25" s="1"/>
  <c r="FL32" i="25"/>
  <c r="CT27" i="25"/>
  <c r="AL27" i="25" s="1"/>
  <c r="FL27" i="25"/>
  <c r="CT25" i="25"/>
  <c r="AL25" i="25" s="1"/>
  <c r="FL25" i="25"/>
  <c r="CT34" i="25"/>
  <c r="AL34" i="25" s="1"/>
  <c r="FL34" i="25"/>
  <c r="CT40" i="25"/>
  <c r="AL40" i="25" s="1"/>
  <c r="FL40" i="25"/>
  <c r="CT36" i="25"/>
  <c r="AL36" i="25" s="1"/>
  <c r="FL36" i="25"/>
  <c r="CT52" i="25"/>
  <c r="AL52" i="25" s="1"/>
  <c r="FL52" i="25"/>
  <c r="CT31" i="25"/>
  <c r="AL31" i="25" s="1"/>
  <c r="FL31" i="25"/>
  <c r="CT28" i="25"/>
  <c r="AL28" i="25" s="1"/>
  <c r="FL28" i="25"/>
  <c r="CT38" i="25"/>
  <c r="AL38" i="25" s="1"/>
  <c r="FL38" i="25"/>
  <c r="CT39" i="25"/>
  <c r="AL39" i="25" s="1"/>
  <c r="FL39" i="25"/>
  <c r="CT44" i="25"/>
  <c r="AL44" i="25" s="1"/>
  <c r="FL44" i="25"/>
  <c r="CT47" i="25"/>
  <c r="AL47" i="25" s="1"/>
  <c r="FL47" i="25"/>
  <c r="CT23" i="25"/>
  <c r="AL23" i="25" s="1"/>
  <c r="FL23" i="25"/>
  <c r="CT49" i="25"/>
  <c r="AL49" i="25" s="1"/>
  <c r="FL49" i="25"/>
  <c r="CT50" i="25"/>
  <c r="AL50" i="25" s="1"/>
  <c r="FL50" i="25"/>
  <c r="CT33" i="25"/>
  <c r="AL33" i="25" s="1"/>
  <c r="FL33" i="25"/>
  <c r="CT48" i="25"/>
  <c r="AL48" i="25" s="1"/>
  <c r="FL48" i="25"/>
  <c r="CT26" i="25"/>
  <c r="AL26" i="25" s="1"/>
  <c r="FL26" i="25"/>
  <c r="CT29" i="25"/>
  <c r="AL29" i="25" s="1"/>
  <c r="FL29" i="25"/>
  <c r="IK53" i="25"/>
  <c r="IL53" i="25" s="1"/>
  <c r="IM53" i="25" s="1"/>
  <c r="IM88" i="25"/>
  <c r="BS88" i="25"/>
  <c r="IK54" i="25"/>
  <c r="IL54" i="25" s="1"/>
  <c r="IM54" i="25" s="1"/>
  <c r="BS60" i="25"/>
  <c r="IM60" i="25"/>
  <c r="IM58" i="25"/>
  <c r="BS58" i="25"/>
  <c r="IM59" i="25"/>
  <c r="BS59" i="25"/>
  <c r="HK88" i="25"/>
  <c r="AQ88" i="25"/>
  <c r="AA88" i="19" s="1"/>
  <c r="CT88" i="25"/>
  <c r="AL88" i="25" s="1"/>
  <c r="V88" i="19" s="1"/>
  <c r="FK88" i="25"/>
  <c r="HL88" i="25"/>
  <c r="GK88" i="25"/>
  <c r="GN88" i="25" s="1"/>
  <c r="GO88" i="25" s="1"/>
  <c r="GL88" i="25"/>
  <c r="E58" i="42"/>
  <c r="E64" i="42"/>
  <c r="E45" i="42"/>
  <c r="G58" i="3"/>
  <c r="G64" i="3"/>
  <c r="HK42" i="25"/>
  <c r="HN42" i="25" s="1"/>
  <c r="HO42" i="25" s="1"/>
  <c r="AQ42" i="25"/>
  <c r="AA42" i="19" s="1"/>
  <c r="FK42" i="25"/>
  <c r="HL42" i="25"/>
  <c r="GL42" i="25"/>
  <c r="GK42" i="25"/>
  <c r="GN42" i="25" s="1"/>
  <c r="GO42" i="25" s="1"/>
  <c r="AQ43" i="25"/>
  <c r="AA43" i="19" s="1"/>
  <c r="FK43" i="25"/>
  <c r="HL43" i="25"/>
  <c r="HK43" i="25"/>
  <c r="GL43" i="25"/>
  <c r="GK43" i="25"/>
  <c r="GN43" i="25" s="1"/>
  <c r="GO43" i="25" s="1"/>
  <c r="HL40" i="25"/>
  <c r="AQ40" i="25"/>
  <c r="AA40" i="19" s="1"/>
  <c r="HK40" i="25"/>
  <c r="HN40" i="25" s="1"/>
  <c r="HO40" i="25" s="1"/>
  <c r="FK40" i="25"/>
  <c r="GK40" i="25"/>
  <c r="GL40" i="25"/>
  <c r="HK39" i="25"/>
  <c r="HN39" i="25" s="1"/>
  <c r="HO39" i="25" s="1"/>
  <c r="HL39" i="25"/>
  <c r="AQ39" i="25"/>
  <c r="AA39" i="19" s="1"/>
  <c r="GL39" i="25"/>
  <c r="GK39" i="25"/>
  <c r="GN39" i="25" s="1"/>
  <c r="GO39" i="25" s="1"/>
  <c r="FK39" i="25"/>
  <c r="AQ44" i="25"/>
  <c r="AA44" i="19" s="1"/>
  <c r="HK44" i="25"/>
  <c r="HN44" i="25" s="1"/>
  <c r="HO44" i="25" s="1"/>
  <c r="GL44" i="25"/>
  <c r="HL44" i="25"/>
  <c r="GK44" i="25"/>
  <c r="FK44" i="25"/>
  <c r="FK34" i="25"/>
  <c r="AQ34" i="25"/>
  <c r="AA34" i="19" s="1"/>
  <c r="HK34" i="25"/>
  <c r="HL34" i="25"/>
  <c r="GL34" i="25"/>
  <c r="GK34" i="25"/>
  <c r="GN34" i="25" s="1"/>
  <c r="GO34" i="25" s="1"/>
  <c r="HK24" i="25"/>
  <c r="HN24" i="25" s="1"/>
  <c r="HO24" i="25" s="1"/>
  <c r="HL24" i="25"/>
  <c r="FK24" i="25"/>
  <c r="AQ24" i="25"/>
  <c r="AA24" i="19" s="1"/>
  <c r="GK24" i="25"/>
  <c r="GN24" i="25" s="1"/>
  <c r="GO24" i="25" s="1"/>
  <c r="GL24" i="25"/>
  <c r="AQ38" i="25"/>
  <c r="AA38" i="19" s="1"/>
  <c r="FK38" i="25"/>
  <c r="GK38" i="25"/>
  <c r="GN38" i="25" s="1"/>
  <c r="GO38" i="25" s="1"/>
  <c r="HL38" i="25"/>
  <c r="GL38" i="25"/>
  <c r="HK38" i="25"/>
  <c r="HK36" i="25"/>
  <c r="FK36" i="25"/>
  <c r="AQ36" i="25"/>
  <c r="AA36" i="19" s="1"/>
  <c r="GK36" i="25"/>
  <c r="HL36" i="25"/>
  <c r="GL36" i="25"/>
  <c r="HK47" i="25"/>
  <c r="HN47" i="25" s="1"/>
  <c r="HO47" i="25" s="1"/>
  <c r="AQ47" i="25"/>
  <c r="HL47" i="25"/>
  <c r="GL47" i="25"/>
  <c r="GK47" i="25"/>
  <c r="GN47" i="25" s="1"/>
  <c r="GO47" i="25" s="1"/>
  <c r="FK47" i="25"/>
  <c r="HK23" i="25"/>
  <c r="AQ23" i="25"/>
  <c r="AA23" i="19" s="1"/>
  <c r="FK23" i="25"/>
  <c r="GL23" i="25"/>
  <c r="HL23" i="25"/>
  <c r="GK23" i="25"/>
  <c r="GN23" i="25" s="1"/>
  <c r="GO23" i="25" s="1"/>
  <c r="AQ49" i="25"/>
  <c r="AA49" i="19" s="1"/>
  <c r="FK49" i="25"/>
  <c r="HK49" i="25"/>
  <c r="GK49" i="25"/>
  <c r="GN49" i="25" s="1"/>
  <c r="GO49" i="25" s="1"/>
  <c r="HL49" i="25"/>
  <c r="GL49" i="25"/>
  <c r="HL50" i="25"/>
  <c r="AQ50" i="25"/>
  <c r="AA50" i="19" s="1"/>
  <c r="HK50" i="25"/>
  <c r="HN50" i="25" s="1"/>
  <c r="HO50" i="25" s="1"/>
  <c r="FK50" i="25"/>
  <c r="GK50" i="25"/>
  <c r="GN50" i="25" s="1"/>
  <c r="GO50" i="25" s="1"/>
  <c r="GL50" i="25"/>
  <c r="HL33" i="25"/>
  <c r="AQ33" i="25"/>
  <c r="GK33" i="25"/>
  <c r="GN33" i="25" s="1"/>
  <c r="GO33" i="25" s="1"/>
  <c r="GL33" i="25"/>
  <c r="HK33" i="25"/>
  <c r="HN33" i="25" s="1"/>
  <c r="HO33" i="25" s="1"/>
  <c r="FK33" i="25"/>
  <c r="HK48" i="25"/>
  <c r="HN48" i="25" s="1"/>
  <c r="HO48" i="25" s="1"/>
  <c r="AQ48" i="25"/>
  <c r="AA48" i="19" s="1"/>
  <c r="HL48" i="25"/>
  <c r="FK48" i="25"/>
  <c r="GK48" i="25"/>
  <c r="GL48" i="25"/>
  <c r="GK52" i="25"/>
  <c r="FK52" i="25"/>
  <c r="HK52" i="25"/>
  <c r="HN52" i="25" s="1"/>
  <c r="HO52" i="25" s="1"/>
  <c r="HL52" i="25"/>
  <c r="AQ52" i="25"/>
  <c r="AA52" i="19" s="1"/>
  <c r="GL52" i="25"/>
  <c r="FK31" i="25"/>
  <c r="AQ31" i="25"/>
  <c r="AA31" i="19" s="1"/>
  <c r="GL31" i="25"/>
  <c r="GK31" i="25"/>
  <c r="GN31" i="25" s="1"/>
  <c r="GO31" i="25" s="1"/>
  <c r="HK31" i="25"/>
  <c r="HL31" i="25"/>
  <c r="AQ28" i="25"/>
  <c r="AA28" i="19" s="1"/>
  <c r="FK28" i="25"/>
  <c r="HL28" i="25"/>
  <c r="HK28" i="25"/>
  <c r="GK28" i="25"/>
  <c r="GL28" i="25"/>
  <c r="HK37" i="25"/>
  <c r="FK37" i="25"/>
  <c r="AQ37" i="25"/>
  <c r="AA37" i="19" s="1"/>
  <c r="GK37" i="25"/>
  <c r="GN37" i="25" s="1"/>
  <c r="GO37" i="25" s="1"/>
  <c r="HL37" i="25"/>
  <c r="GL37" i="25"/>
  <c r="AQ35" i="25"/>
  <c r="AA35" i="19" s="1"/>
  <c r="GK35" i="25"/>
  <c r="GN35" i="25" s="1"/>
  <c r="GO35" i="25" s="1"/>
  <c r="FK35" i="25"/>
  <c r="HL35" i="25"/>
  <c r="HK35" i="25"/>
  <c r="GL35" i="25"/>
  <c r="AQ45" i="25"/>
  <c r="AA45" i="19" s="1"/>
  <c r="HK45" i="25"/>
  <c r="GK45" i="25"/>
  <c r="GN45" i="25" s="1"/>
  <c r="GO45" i="25" s="1"/>
  <c r="FK45" i="25"/>
  <c r="GL45" i="25"/>
  <c r="HL45" i="25"/>
  <c r="HL26" i="25"/>
  <c r="AQ26" i="25"/>
  <c r="AA26" i="19" s="1"/>
  <c r="GL26" i="25"/>
  <c r="FK26" i="25"/>
  <c r="HK26" i="25"/>
  <c r="GK26" i="25"/>
  <c r="GN26" i="25" s="1"/>
  <c r="GO26" i="25" s="1"/>
  <c r="FK29" i="25"/>
  <c r="HK29" i="25"/>
  <c r="AQ29" i="25"/>
  <c r="AA29" i="19" s="1"/>
  <c r="HL29" i="25"/>
  <c r="GL29" i="25"/>
  <c r="GK29" i="25"/>
  <c r="GN29" i="25" s="1"/>
  <c r="GO29" i="25" s="1"/>
  <c r="HK51" i="25"/>
  <c r="HL51" i="25"/>
  <c r="AQ51" i="25"/>
  <c r="AA51" i="19" s="1"/>
  <c r="GK51" i="25"/>
  <c r="GN51" i="25" s="1"/>
  <c r="GO51" i="25" s="1"/>
  <c r="GL51" i="25"/>
  <c r="FK51" i="25"/>
  <c r="GK46" i="25"/>
  <c r="GN46" i="25" s="1"/>
  <c r="GO46" i="25" s="1"/>
  <c r="FK46" i="25"/>
  <c r="AQ46" i="25"/>
  <c r="AA46" i="19" s="1"/>
  <c r="HK46" i="25"/>
  <c r="HL46" i="25"/>
  <c r="GL46" i="25"/>
  <c r="GL32" i="25"/>
  <c r="FK32" i="25"/>
  <c r="AQ32" i="25"/>
  <c r="AA32" i="19" s="1"/>
  <c r="HK32" i="25"/>
  <c r="HN32" i="25" s="1"/>
  <c r="HO32" i="25" s="1"/>
  <c r="HL32" i="25"/>
  <c r="GK32" i="25"/>
  <c r="AQ27" i="25"/>
  <c r="AA27" i="19" s="1"/>
  <c r="FK27" i="25"/>
  <c r="HK27" i="25"/>
  <c r="GL27" i="25"/>
  <c r="GK27" i="25"/>
  <c r="GN27" i="25" s="1"/>
  <c r="GO27" i="25" s="1"/>
  <c r="HL27" i="25"/>
  <c r="FK25" i="25"/>
  <c r="AQ25" i="25"/>
  <c r="AA25" i="19" s="1"/>
  <c r="HL25" i="25"/>
  <c r="HK25" i="25"/>
  <c r="GK25" i="25"/>
  <c r="GN25" i="25" s="1"/>
  <c r="GO25" i="25" s="1"/>
  <c r="GL25" i="25"/>
  <c r="AQ30" i="25"/>
  <c r="AA30" i="19" s="1"/>
  <c r="GL30" i="25"/>
  <c r="GK30" i="25"/>
  <c r="FK30" i="25"/>
  <c r="HK30" i="25"/>
  <c r="HL30" i="25"/>
  <c r="AG34" i="25"/>
  <c r="S34" i="19" s="1"/>
  <c r="JI34" i="25"/>
  <c r="NI34" i="25"/>
  <c r="LI34" i="25"/>
  <c r="KI34" i="25"/>
  <c r="MI34" i="25"/>
  <c r="OI34" i="25"/>
  <c r="AG51" i="25"/>
  <c r="S51" i="19" s="1"/>
  <c r="OI51" i="25"/>
  <c r="MI51" i="25"/>
  <c r="KI51" i="25"/>
  <c r="JI51" i="25"/>
  <c r="LI51" i="25"/>
  <c r="NI51" i="25"/>
  <c r="AG37" i="25"/>
  <c r="S37" i="19" s="1"/>
  <c r="JI37" i="25"/>
  <c r="NI37" i="25"/>
  <c r="KI37" i="25"/>
  <c r="MI37" i="25"/>
  <c r="OI37" i="25"/>
  <c r="LI37" i="25"/>
  <c r="PI51" i="25"/>
  <c r="EL51" i="25"/>
  <c r="EK51" i="25"/>
  <c r="EN51" i="25" s="1"/>
  <c r="PI32" i="25"/>
  <c r="EL32" i="25"/>
  <c r="EK32" i="25"/>
  <c r="EN32" i="25" s="1"/>
  <c r="AG48" i="25"/>
  <c r="S48" i="19" s="1"/>
  <c r="JI48" i="25"/>
  <c r="LI48" i="25"/>
  <c r="LK48" i="25" s="1"/>
  <c r="LL48" i="25" s="1"/>
  <c r="BV48" i="25" s="1"/>
  <c r="AZ48" i="25" s="1"/>
  <c r="NI48" i="25"/>
  <c r="NK48" i="25" s="1"/>
  <c r="NL48" i="25" s="1"/>
  <c r="BX48" i="25" s="1"/>
  <c r="BB48" i="25" s="1"/>
  <c r="OI48" i="25"/>
  <c r="MI48" i="25"/>
  <c r="MK48" i="25" s="1"/>
  <c r="ML48" i="25" s="1"/>
  <c r="BW48" i="25" s="1"/>
  <c r="BA48" i="25" s="1"/>
  <c r="KI48" i="25"/>
  <c r="KK48" i="25" s="1"/>
  <c r="KL48" i="25" s="1"/>
  <c r="BU48" i="25" s="1"/>
  <c r="AG41" i="25"/>
  <c r="S41" i="19" s="1"/>
  <c r="JI41" i="25"/>
  <c r="MI41" i="25"/>
  <c r="LI41" i="25"/>
  <c r="NI41" i="25"/>
  <c r="OI41" i="25"/>
  <c r="KI41" i="25"/>
  <c r="AG53" i="25"/>
  <c r="S53" i="19" s="1"/>
  <c r="OI53" i="25"/>
  <c r="MI53" i="25"/>
  <c r="LI53" i="25"/>
  <c r="JI53" i="25"/>
  <c r="KI53" i="25"/>
  <c r="NI53" i="25"/>
  <c r="AG29" i="25"/>
  <c r="S29" i="19" s="1"/>
  <c r="JI29" i="25"/>
  <c r="LI29" i="25"/>
  <c r="KI29" i="25"/>
  <c r="OI29" i="25"/>
  <c r="MI29" i="25"/>
  <c r="NI29" i="25"/>
  <c r="AG35" i="25"/>
  <c r="S35" i="19" s="1"/>
  <c r="JI35" i="25"/>
  <c r="KI35" i="25"/>
  <c r="LI35" i="25"/>
  <c r="NI35" i="25"/>
  <c r="OI35" i="25"/>
  <c r="MI35" i="25"/>
  <c r="NI54" i="25"/>
  <c r="MI54" i="25"/>
  <c r="OI54" i="25"/>
  <c r="JI54" i="25"/>
  <c r="KI54" i="25"/>
  <c r="LI54" i="25"/>
  <c r="EL40" i="25"/>
  <c r="EK40" i="25"/>
  <c r="PI40" i="25"/>
  <c r="PI38" i="25"/>
  <c r="EK38" i="25"/>
  <c r="EL38" i="25"/>
  <c r="PI39" i="25"/>
  <c r="EL39" i="25"/>
  <c r="EK39" i="25"/>
  <c r="PI36" i="25"/>
  <c r="EL36" i="25"/>
  <c r="EK36" i="25"/>
  <c r="EN36" i="25" s="1"/>
  <c r="EK44" i="25"/>
  <c r="EL44" i="25"/>
  <c r="PI44" i="25"/>
  <c r="PI34" i="25"/>
  <c r="EL34" i="25"/>
  <c r="EK34" i="25"/>
  <c r="EN34" i="25" s="1"/>
  <c r="MI60" i="25"/>
  <c r="OI60" i="25"/>
  <c r="KI60" i="25"/>
  <c r="LI60" i="25"/>
  <c r="JI60" i="25"/>
  <c r="NI60" i="25"/>
  <c r="MI58" i="25"/>
  <c r="KI58" i="25"/>
  <c r="JI58" i="25"/>
  <c r="NI58" i="25"/>
  <c r="LI58" i="25"/>
  <c r="OI58" i="25"/>
  <c r="OI59" i="25"/>
  <c r="LI59" i="25"/>
  <c r="NI59" i="25"/>
  <c r="JI59" i="25"/>
  <c r="MI59" i="25"/>
  <c r="KI59" i="25"/>
  <c r="AG30" i="25"/>
  <c r="S30" i="19" s="1"/>
  <c r="NI30" i="25"/>
  <c r="OI30" i="25"/>
  <c r="MI30" i="25"/>
  <c r="JI30" i="25"/>
  <c r="KI30" i="25"/>
  <c r="LI30" i="25"/>
  <c r="AG44" i="25"/>
  <c r="S44" i="19" s="1"/>
  <c r="OI44" i="25"/>
  <c r="NI44" i="25"/>
  <c r="LI44" i="25"/>
  <c r="JI44" i="25"/>
  <c r="MI44" i="25"/>
  <c r="KI44" i="25"/>
  <c r="AG36" i="25"/>
  <c r="S36" i="19" s="1"/>
  <c r="KI36" i="25"/>
  <c r="MI36" i="25"/>
  <c r="JI36" i="25"/>
  <c r="LI36" i="25"/>
  <c r="NI36" i="25"/>
  <c r="OI36" i="25"/>
  <c r="EL23" i="25"/>
  <c r="PI23" i="25"/>
  <c r="EK23" i="25"/>
  <c r="EL50" i="25"/>
  <c r="PI50" i="25"/>
  <c r="EK50" i="25"/>
  <c r="EN50" i="25" s="1"/>
  <c r="PI48" i="25"/>
  <c r="EK48" i="25"/>
  <c r="EL48" i="25"/>
  <c r="PI52" i="25"/>
  <c r="EL52" i="25"/>
  <c r="EK52" i="25"/>
  <c r="PI31" i="25"/>
  <c r="EL31" i="25"/>
  <c r="EK31" i="25"/>
  <c r="EN31" i="25" s="1"/>
  <c r="NI56" i="25"/>
  <c r="KI56" i="25"/>
  <c r="JI56" i="25"/>
  <c r="LI56" i="25"/>
  <c r="OI56" i="25"/>
  <c r="MI56" i="25"/>
  <c r="MI55" i="25"/>
  <c r="JI55" i="25"/>
  <c r="KI55" i="25"/>
  <c r="OI55" i="25"/>
  <c r="LI55" i="25"/>
  <c r="NI55" i="25"/>
  <c r="PI28" i="25"/>
  <c r="EL28" i="25"/>
  <c r="EK28" i="25"/>
  <c r="AG31" i="25"/>
  <c r="S31" i="19" s="1"/>
  <c r="LI31" i="25"/>
  <c r="JI31" i="25"/>
  <c r="KI31" i="25"/>
  <c r="MI31" i="25"/>
  <c r="NI31" i="25"/>
  <c r="OI31" i="25"/>
  <c r="AG33" i="25"/>
  <c r="S33" i="19" s="1"/>
  <c r="KI33" i="25"/>
  <c r="NI33" i="25"/>
  <c r="LI33" i="25"/>
  <c r="MI33" i="25"/>
  <c r="JI33" i="25"/>
  <c r="OI33" i="25"/>
  <c r="AG49" i="25"/>
  <c r="S49" i="19" s="1"/>
  <c r="OI49" i="25"/>
  <c r="JI49" i="25"/>
  <c r="MI49" i="25"/>
  <c r="LI49" i="25"/>
  <c r="NI49" i="25"/>
  <c r="KI49" i="25"/>
  <c r="EL47" i="25"/>
  <c r="PI47" i="25"/>
  <c r="EK47" i="25"/>
  <c r="EK49" i="25"/>
  <c r="EN49" i="25" s="1"/>
  <c r="PI49" i="25"/>
  <c r="EL49" i="25"/>
  <c r="PI33" i="25"/>
  <c r="EL33" i="25"/>
  <c r="EK33" i="25"/>
  <c r="AG50" i="25"/>
  <c r="S50" i="19" s="1"/>
  <c r="KI50" i="25"/>
  <c r="JI50" i="25"/>
  <c r="MI50" i="25"/>
  <c r="OI50" i="25"/>
  <c r="NI50" i="25"/>
  <c r="LI50" i="25"/>
  <c r="AG40" i="25"/>
  <c r="S40" i="19" s="1"/>
  <c r="JI40" i="25"/>
  <c r="NI40" i="25"/>
  <c r="KI40" i="25"/>
  <c r="OI40" i="25"/>
  <c r="MI40" i="25"/>
  <c r="LI40" i="25"/>
  <c r="AG45" i="25"/>
  <c r="S45" i="19" s="1"/>
  <c r="OI45" i="25"/>
  <c r="JI45" i="25"/>
  <c r="MI45" i="25"/>
  <c r="LI45" i="25"/>
  <c r="NI45" i="25"/>
  <c r="KI45" i="25"/>
  <c r="AG38" i="25"/>
  <c r="S38" i="19" s="1"/>
  <c r="OI38" i="25"/>
  <c r="LI38" i="25"/>
  <c r="MI38" i="25"/>
  <c r="KI38" i="25"/>
  <c r="NI38" i="25"/>
  <c r="JI38" i="25"/>
  <c r="AG39" i="25"/>
  <c r="S39" i="19" s="1"/>
  <c r="MI39" i="25"/>
  <c r="OI39" i="25"/>
  <c r="JI39" i="25"/>
  <c r="KI39" i="25"/>
  <c r="LI39" i="25"/>
  <c r="NI39" i="25"/>
  <c r="PI42" i="25"/>
  <c r="EK42" i="25"/>
  <c r="EL42" i="25"/>
  <c r="PI24" i="25"/>
  <c r="EL24" i="25"/>
  <c r="EK24" i="25"/>
  <c r="PI37" i="25"/>
  <c r="EL37" i="25"/>
  <c r="EK37" i="25"/>
  <c r="EN37" i="25" s="1"/>
  <c r="EK43" i="25"/>
  <c r="EL43" i="25"/>
  <c r="PI43" i="25"/>
  <c r="EL35" i="25"/>
  <c r="PI35" i="25"/>
  <c r="EK35" i="25"/>
  <c r="EN35" i="25" s="1"/>
  <c r="EK45" i="25"/>
  <c r="EN45" i="25" s="1"/>
  <c r="PI45" i="25"/>
  <c r="EL45" i="25"/>
  <c r="EK26" i="25"/>
  <c r="PI26" i="25"/>
  <c r="EL26" i="25"/>
  <c r="PI29" i="25"/>
  <c r="EK29" i="25"/>
  <c r="EN29" i="25" s="1"/>
  <c r="EL29" i="25"/>
  <c r="JI57" i="25"/>
  <c r="MI57" i="25"/>
  <c r="LI57" i="25"/>
  <c r="KI57" i="25"/>
  <c r="NI57" i="25"/>
  <c r="OI57" i="25"/>
  <c r="AG47" i="25"/>
  <c r="S47" i="19" s="1"/>
  <c r="KI47" i="25"/>
  <c r="LI47" i="25"/>
  <c r="OI47" i="25"/>
  <c r="NI47" i="25"/>
  <c r="JI47" i="25"/>
  <c r="MI47" i="25"/>
  <c r="AG32" i="25"/>
  <c r="S32" i="19" s="1"/>
  <c r="NI32" i="25"/>
  <c r="OI32" i="25"/>
  <c r="LI32" i="25"/>
  <c r="JI32" i="25"/>
  <c r="KI32" i="25"/>
  <c r="MI32" i="25"/>
  <c r="AG42" i="25"/>
  <c r="S42" i="19" s="1"/>
  <c r="OI42" i="25"/>
  <c r="MI42" i="25"/>
  <c r="LI42" i="25"/>
  <c r="NI42" i="25"/>
  <c r="JI42" i="25"/>
  <c r="KI42" i="25"/>
  <c r="AG46" i="25"/>
  <c r="S46" i="19" s="1"/>
  <c r="LI46" i="25"/>
  <c r="JI46" i="25"/>
  <c r="MI46" i="25"/>
  <c r="NI46" i="25"/>
  <c r="OI46" i="25"/>
  <c r="KI46" i="25"/>
  <c r="EL46" i="25"/>
  <c r="PI46" i="25"/>
  <c r="EK46" i="25"/>
  <c r="EK27" i="25"/>
  <c r="EL27" i="25"/>
  <c r="PI27" i="25"/>
  <c r="EK25" i="25"/>
  <c r="PI25" i="25"/>
  <c r="EL25" i="25"/>
  <c r="JI88" i="25"/>
  <c r="JK88" i="25" s="1"/>
  <c r="JL88" i="25" s="1"/>
  <c r="BT88" i="25" s="1"/>
  <c r="KI88" i="25"/>
  <c r="KK88" i="25" s="1"/>
  <c r="KL88" i="25" s="1"/>
  <c r="BU88" i="25" s="1"/>
  <c r="MI88" i="25"/>
  <c r="MK88" i="25" s="1"/>
  <c r="ML88" i="25" s="1"/>
  <c r="BW88" i="25" s="1"/>
  <c r="BA88" i="25" s="1"/>
  <c r="LI88" i="25"/>
  <c r="LK88" i="25" s="1"/>
  <c r="LL88" i="25" s="1"/>
  <c r="BV88" i="25" s="1"/>
  <c r="AZ88" i="25" s="1"/>
  <c r="NI88" i="25"/>
  <c r="NK88" i="25" s="1"/>
  <c r="NL88" i="25" s="1"/>
  <c r="BX88" i="25" s="1"/>
  <c r="BB88" i="25" s="1"/>
  <c r="OI88" i="25"/>
  <c r="AG88" i="25"/>
  <c r="S88" i="19" s="1"/>
  <c r="EL88" i="25"/>
  <c r="PI88" i="25"/>
  <c r="EK88" i="25"/>
  <c r="AG26" i="25"/>
  <c r="S26" i="19" s="1"/>
  <c r="NI26" i="25"/>
  <c r="MI26" i="25"/>
  <c r="LI26" i="25"/>
  <c r="JI26" i="25"/>
  <c r="OI26" i="25"/>
  <c r="KI26" i="25"/>
  <c r="PI30" i="25"/>
  <c r="EL30" i="25"/>
  <c r="EK30" i="25"/>
  <c r="AG43" i="25"/>
  <c r="S43" i="19" s="1"/>
  <c r="KI43" i="25"/>
  <c r="LI43" i="25"/>
  <c r="MI43" i="25"/>
  <c r="NI43" i="25"/>
  <c r="JI43" i="25"/>
  <c r="OI43" i="25"/>
  <c r="OI20" i="25"/>
  <c r="NI20" i="25"/>
  <c r="MI20" i="25"/>
  <c r="LI20" i="25"/>
  <c r="JI20" i="25"/>
  <c r="KI20" i="25"/>
  <c r="G45" i="3"/>
  <c r="M52" i="25"/>
  <c r="II52" i="25" s="1"/>
  <c r="IK52" i="25" s="1"/>
  <c r="IL52" i="25" s="1"/>
  <c r="IM52" i="25" s="1"/>
  <c r="E68" i="42"/>
  <c r="G68" i="3"/>
  <c r="F68" i="42"/>
  <c r="L53" i="25"/>
  <c r="H68" i="3"/>
  <c r="E69" i="42"/>
  <c r="G69" i="3"/>
  <c r="F69" i="42"/>
  <c r="H69" i="3"/>
  <c r="L54" i="25"/>
  <c r="H60" i="3"/>
  <c r="H57" i="3"/>
  <c r="AG20" i="25"/>
  <c r="S20" i="19" s="1"/>
  <c r="M28" i="25"/>
  <c r="II28" i="25" s="1"/>
  <c r="L41" i="25"/>
  <c r="H56" i="3"/>
  <c r="H61" i="3"/>
  <c r="E41" i="42"/>
  <c r="H54" i="3"/>
  <c r="F48" i="42"/>
  <c r="H48" i="3"/>
  <c r="F51" i="42"/>
  <c r="H51" i="3"/>
  <c r="F50" i="42"/>
  <c r="H50" i="3"/>
  <c r="H47" i="3"/>
  <c r="F47" i="42"/>
  <c r="F52" i="42"/>
  <c r="H52" i="3"/>
  <c r="F53" i="42"/>
  <c r="H53" i="3"/>
  <c r="E75" i="42"/>
  <c r="G75" i="3"/>
  <c r="L55" i="25"/>
  <c r="F70" i="42"/>
  <c r="H70" i="3"/>
  <c r="E73" i="42"/>
  <c r="G73" i="3"/>
  <c r="L62" i="25"/>
  <c r="F77" i="42"/>
  <c r="H77" i="3"/>
  <c r="F75" i="42"/>
  <c r="L60" i="25"/>
  <c r="H75" i="3"/>
  <c r="E72" i="42"/>
  <c r="G72" i="3"/>
  <c r="E71" i="42"/>
  <c r="G71" i="3"/>
  <c r="E77" i="42"/>
  <c r="G77" i="3"/>
  <c r="M62" i="25"/>
  <c r="II62" i="25" s="1"/>
  <c r="IK62" i="25" s="1"/>
  <c r="IL62" i="25" s="1"/>
  <c r="L59" i="25"/>
  <c r="F74" i="42"/>
  <c r="H74" i="3"/>
  <c r="L57" i="25"/>
  <c r="F72" i="42"/>
  <c r="H72" i="3"/>
  <c r="F71" i="42"/>
  <c r="L56" i="25"/>
  <c r="H71" i="3"/>
  <c r="F76" i="42"/>
  <c r="H76" i="3"/>
  <c r="L61" i="25"/>
  <c r="E74" i="42"/>
  <c r="G74" i="3"/>
  <c r="E76" i="42"/>
  <c r="G76" i="3"/>
  <c r="M61" i="25"/>
  <c r="II61" i="25" s="1"/>
  <c r="IK61" i="25" s="1"/>
  <c r="IL61" i="25" s="1"/>
  <c r="G70" i="3"/>
  <c r="E70" i="42"/>
  <c r="F73" i="42"/>
  <c r="L58" i="25"/>
  <c r="H73" i="3"/>
  <c r="AG57" i="25"/>
  <c r="S57" i="19" s="1"/>
  <c r="AG59" i="25"/>
  <c r="S59" i="19" s="1"/>
  <c r="AG60" i="25"/>
  <c r="S60" i="19" s="1"/>
  <c r="AG58" i="25"/>
  <c r="S58" i="19" s="1"/>
  <c r="AG56" i="25"/>
  <c r="S56" i="19" s="1"/>
  <c r="M21" i="25"/>
  <c r="L21" i="25"/>
  <c r="F36" i="42"/>
  <c r="G43" i="3"/>
  <c r="E37" i="42"/>
  <c r="G36" i="3"/>
  <c r="E35" i="42"/>
  <c r="M27" i="25"/>
  <c r="G42" i="3"/>
  <c r="L20" i="25"/>
  <c r="E38" i="42"/>
  <c r="F35" i="42"/>
  <c r="L22" i="25"/>
  <c r="F37" i="42"/>
  <c r="B33" i="18"/>
  <c r="D33" i="18" s="1"/>
  <c r="H46" i="3"/>
  <c r="F46" i="42"/>
  <c r="H45" i="3"/>
  <c r="F45" i="42"/>
  <c r="M24" i="25"/>
  <c r="G39" i="3"/>
  <c r="G35" i="3"/>
  <c r="M23" i="25"/>
  <c r="G41" i="3"/>
  <c r="AG54" i="25"/>
  <c r="S54" i="19" s="1"/>
  <c r="AG55" i="25"/>
  <c r="S55" i="19" s="1"/>
  <c r="M22" i="25"/>
  <c r="H43" i="3"/>
  <c r="F43" i="42"/>
  <c r="F44" i="42"/>
  <c r="H44" i="3"/>
  <c r="E40" i="42"/>
  <c r="M25" i="25"/>
  <c r="II25" i="25" s="1"/>
  <c r="G40" i="3"/>
  <c r="F49" i="42"/>
  <c r="H49" i="3"/>
  <c r="L103" i="25"/>
  <c r="FL103" i="25" s="1"/>
  <c r="M91" i="25"/>
  <c r="II91" i="25" s="1"/>
  <c r="IK91" i="25" s="1"/>
  <c r="IL91" i="25" s="1"/>
  <c r="L82" i="25"/>
  <c r="F97" i="42"/>
  <c r="F92" i="42"/>
  <c r="L77" i="25"/>
  <c r="H92" i="3"/>
  <c r="F86" i="42"/>
  <c r="H86" i="3"/>
  <c r="L71" i="25"/>
  <c r="F88" i="42"/>
  <c r="L73" i="25"/>
  <c r="H88" i="3"/>
  <c r="L92" i="25"/>
  <c r="FL92" i="25" s="1"/>
  <c r="L101" i="25"/>
  <c r="FL101" i="25" s="1"/>
  <c r="G78" i="3"/>
  <c r="E78" i="42"/>
  <c r="M63" i="25"/>
  <c r="II63" i="25" s="1"/>
  <c r="IK63" i="25" s="1"/>
  <c r="IL63" i="25" s="1"/>
  <c r="G91" i="3"/>
  <c r="E91" i="42"/>
  <c r="M76" i="25"/>
  <c r="II76" i="25" s="1"/>
  <c r="IK76" i="25" s="1"/>
  <c r="IL76" i="25" s="1"/>
  <c r="E89" i="42"/>
  <c r="G89" i="3"/>
  <c r="M74" i="25"/>
  <c r="II74" i="25" s="1"/>
  <c r="IK74" i="25" s="1"/>
  <c r="IL74" i="25" s="1"/>
  <c r="E84" i="42"/>
  <c r="G84" i="3"/>
  <c r="M69" i="25"/>
  <c r="II69" i="25" s="1"/>
  <c r="IK69" i="25" s="1"/>
  <c r="IL69" i="25" s="1"/>
  <c r="L93" i="25"/>
  <c r="FL93" i="25" s="1"/>
  <c r="F94" i="42"/>
  <c r="L79" i="25"/>
  <c r="F98" i="42"/>
  <c r="L83" i="25"/>
  <c r="L78" i="25"/>
  <c r="F93" i="42"/>
  <c r="F99" i="42"/>
  <c r="L84" i="25"/>
  <c r="M98" i="25"/>
  <c r="II98" i="25" s="1"/>
  <c r="IK98" i="25" s="1"/>
  <c r="IL98" i="25" s="1"/>
  <c r="L95" i="25"/>
  <c r="FL95" i="25" s="1"/>
  <c r="E81" i="42"/>
  <c r="G81" i="3"/>
  <c r="M66" i="25"/>
  <c r="II66" i="25" s="1"/>
  <c r="IK66" i="25" s="1"/>
  <c r="IL66" i="25" s="1"/>
  <c r="E79" i="42"/>
  <c r="G79" i="3"/>
  <c r="M64" i="25"/>
  <c r="II64" i="25" s="1"/>
  <c r="IK64" i="25" s="1"/>
  <c r="IL64" i="25" s="1"/>
  <c r="L91" i="25"/>
  <c r="FL91" i="25" s="1"/>
  <c r="M94" i="25"/>
  <c r="II94" i="25" s="1"/>
  <c r="IK94" i="25" s="1"/>
  <c r="IL94" i="25" s="1"/>
  <c r="E87" i="42"/>
  <c r="G87" i="3"/>
  <c r="M72" i="25"/>
  <c r="II72" i="25" s="1"/>
  <c r="IK72" i="25" s="1"/>
  <c r="IL72" i="25" s="1"/>
  <c r="E80" i="42"/>
  <c r="G80" i="3"/>
  <c r="M65" i="25"/>
  <c r="II65" i="25" s="1"/>
  <c r="IK65" i="25" s="1"/>
  <c r="IL65" i="25" s="1"/>
  <c r="E95" i="42"/>
  <c r="M80" i="25"/>
  <c r="II80" i="25" s="1"/>
  <c r="IK80" i="25" s="1"/>
  <c r="IL80" i="25" s="1"/>
  <c r="M97" i="25"/>
  <c r="II97" i="25" s="1"/>
  <c r="F78" i="42"/>
  <c r="H78" i="3"/>
  <c r="L63" i="25"/>
  <c r="F91" i="42"/>
  <c r="L76" i="25"/>
  <c r="H91" i="3"/>
  <c r="H89" i="3"/>
  <c r="L74" i="25"/>
  <c r="F89" i="42"/>
  <c r="F84" i="42"/>
  <c r="L69" i="25"/>
  <c r="H84" i="3"/>
  <c r="M90" i="25"/>
  <c r="II90" i="25" s="1"/>
  <c r="IK90" i="25" s="1"/>
  <c r="IL90" i="25" s="1"/>
  <c r="E85" i="42"/>
  <c r="G85" i="3"/>
  <c r="M70" i="25"/>
  <c r="II70" i="25" s="1"/>
  <c r="IK70" i="25" s="1"/>
  <c r="IL70" i="25" s="1"/>
  <c r="E100" i="42"/>
  <c r="M85" i="25"/>
  <c r="II85" i="25" s="1"/>
  <c r="IK85" i="25" s="1"/>
  <c r="IL85" i="25" s="1"/>
  <c r="E90" i="42"/>
  <c r="G90" i="3"/>
  <c r="M75" i="25"/>
  <c r="II75" i="25" s="1"/>
  <c r="IK75" i="25" s="1"/>
  <c r="IL75" i="25" s="1"/>
  <c r="L98" i="25"/>
  <c r="FL98" i="25" s="1"/>
  <c r="M99" i="25"/>
  <c r="II99" i="25" s="1"/>
  <c r="M100" i="25"/>
  <c r="II100" i="25" s="1"/>
  <c r="H81" i="3"/>
  <c r="F81" i="42"/>
  <c r="L66" i="25"/>
  <c r="F79" i="42"/>
  <c r="L64" i="25"/>
  <c r="H79" i="3"/>
  <c r="M96" i="25"/>
  <c r="II96" i="25" s="1"/>
  <c r="IK96" i="25" s="1"/>
  <c r="IL96" i="25" s="1"/>
  <c r="L94" i="25"/>
  <c r="FL94" i="25" s="1"/>
  <c r="F87" i="42"/>
  <c r="L72" i="25"/>
  <c r="H87" i="3"/>
  <c r="H80" i="3"/>
  <c r="L65" i="25"/>
  <c r="F80" i="42"/>
  <c r="F95" i="42"/>
  <c r="L80" i="25"/>
  <c r="L97" i="25"/>
  <c r="FL97" i="25" s="1"/>
  <c r="G82" i="3"/>
  <c r="E82" i="42"/>
  <c r="M67" i="25"/>
  <c r="II67" i="25" s="1"/>
  <c r="IK67" i="25" s="1"/>
  <c r="IL67" i="25" s="1"/>
  <c r="E96" i="42"/>
  <c r="M81" i="25"/>
  <c r="II81" i="25" s="1"/>
  <c r="IK81" i="25" s="1"/>
  <c r="IL81" i="25" s="1"/>
  <c r="M87" i="25"/>
  <c r="II87" i="25" s="1"/>
  <c r="IK87" i="25" s="1"/>
  <c r="IL87" i="25" s="1"/>
  <c r="G83" i="3"/>
  <c r="E83" i="42"/>
  <c r="M68" i="25"/>
  <c r="II68" i="25" s="1"/>
  <c r="IK68" i="25" s="1"/>
  <c r="IL68" i="25" s="1"/>
  <c r="L90" i="25"/>
  <c r="FL90" i="25" s="1"/>
  <c r="F85" i="42"/>
  <c r="L70" i="25"/>
  <c r="H85" i="3"/>
  <c r="L85" i="25"/>
  <c r="FL85" i="25" s="1"/>
  <c r="F100" i="42"/>
  <c r="F90" i="42"/>
  <c r="L75" i="25"/>
  <c r="H90" i="3"/>
  <c r="M102" i="25"/>
  <c r="II102" i="25" s="1"/>
  <c r="IK102" i="25" s="1"/>
  <c r="IL102" i="25" s="1"/>
  <c r="L99" i="25"/>
  <c r="FL99" i="25" s="1"/>
  <c r="L100" i="25"/>
  <c r="FL100" i="25" s="1"/>
  <c r="M89" i="25"/>
  <c r="II89" i="25" s="1"/>
  <c r="E101" i="42"/>
  <c r="M86" i="25"/>
  <c r="II86" i="25" s="1"/>
  <c r="IK86" i="25" s="1"/>
  <c r="IL86" i="25" s="1"/>
  <c r="M103" i="25"/>
  <c r="II103" i="25" s="1"/>
  <c r="IK103" i="25" s="1"/>
  <c r="IL103" i="25" s="1"/>
  <c r="L96" i="25"/>
  <c r="FL96" i="25" s="1"/>
  <c r="E97" i="42"/>
  <c r="M82" i="25"/>
  <c r="II82" i="25" s="1"/>
  <c r="IK82" i="25" s="1"/>
  <c r="IL82" i="25" s="1"/>
  <c r="G92" i="3"/>
  <c r="E92" i="42"/>
  <c r="M77" i="25"/>
  <c r="II77" i="25" s="1"/>
  <c r="IK77" i="25" s="1"/>
  <c r="IL77" i="25" s="1"/>
  <c r="G86" i="3"/>
  <c r="E86" i="42"/>
  <c r="M71" i="25"/>
  <c r="II71" i="25" s="1"/>
  <c r="IK71" i="25" s="1"/>
  <c r="IL71" i="25" s="1"/>
  <c r="E88" i="42"/>
  <c r="G88" i="3"/>
  <c r="M73" i="25"/>
  <c r="II73" i="25" s="1"/>
  <c r="IK73" i="25" s="1"/>
  <c r="IL73" i="25" s="1"/>
  <c r="M92" i="25"/>
  <c r="II92" i="25" s="1"/>
  <c r="IK92" i="25" s="1"/>
  <c r="IL92" i="25" s="1"/>
  <c r="M101" i="25"/>
  <c r="II101" i="25" s="1"/>
  <c r="IK101" i="25" s="1"/>
  <c r="IL101" i="25" s="1"/>
  <c r="F82" i="42"/>
  <c r="H82" i="3"/>
  <c r="L67" i="25"/>
  <c r="L81" i="25"/>
  <c r="F96" i="42"/>
  <c r="L87" i="25"/>
  <c r="FL87" i="25" s="1"/>
  <c r="F83" i="42"/>
  <c r="H83" i="3"/>
  <c r="L68" i="25"/>
  <c r="M93" i="25"/>
  <c r="II93" i="25" s="1"/>
  <c r="IK93" i="25" s="1"/>
  <c r="IL93" i="25" s="1"/>
  <c r="E94" i="42"/>
  <c r="M79" i="25"/>
  <c r="II79" i="25" s="1"/>
  <c r="IK79" i="25" s="1"/>
  <c r="IL79" i="25" s="1"/>
  <c r="E98" i="42"/>
  <c r="M83" i="25"/>
  <c r="II83" i="25" s="1"/>
  <c r="IK83" i="25" s="1"/>
  <c r="IL83" i="25" s="1"/>
  <c r="E93" i="42"/>
  <c r="M78" i="25"/>
  <c r="II78" i="25" s="1"/>
  <c r="IK78" i="25" s="1"/>
  <c r="IL78" i="25" s="1"/>
  <c r="E99" i="42"/>
  <c r="M84" i="25"/>
  <c r="II84" i="25" s="1"/>
  <c r="IK84" i="25" s="1"/>
  <c r="IL84" i="25" s="1"/>
  <c r="L102" i="25"/>
  <c r="FL102" i="25" s="1"/>
  <c r="M95" i="25"/>
  <c r="II95" i="25" s="1"/>
  <c r="IK95" i="25" s="1"/>
  <c r="IL95" i="25" s="1"/>
  <c r="L89" i="25"/>
  <c r="FL89" i="25" s="1"/>
  <c r="L86" i="25"/>
  <c r="FL86" i="25" s="1"/>
  <c r="F101" i="42"/>
  <c r="AA47" i="19"/>
  <c r="AA33" i="19"/>
  <c r="F41" i="42"/>
  <c r="H41" i="3"/>
  <c r="F40" i="42"/>
  <c r="H40" i="3"/>
  <c r="F39" i="42"/>
  <c r="H39" i="3"/>
  <c r="F42" i="42"/>
  <c r="H42" i="3"/>
  <c r="K8" i="20"/>
  <c r="I7" i="20"/>
  <c r="K7" i="20"/>
  <c r="I8" i="20"/>
  <c r="I6" i="20"/>
  <c r="J8" i="20"/>
  <c r="J6" i="20"/>
  <c r="J7" i="20"/>
  <c r="K6" i="20"/>
  <c r="JK48" i="25"/>
  <c r="JL48" i="25" s="1"/>
  <c r="BT48" i="25" s="1"/>
  <c r="AX48" i="25" s="1"/>
  <c r="II48" i="25"/>
  <c r="IK48" i="25" s="1"/>
  <c r="IL48" i="25" s="1"/>
  <c r="BS48" i="25" s="1"/>
  <c r="EN39" i="25"/>
  <c r="EN38" i="25"/>
  <c r="II50" i="25"/>
  <c r="II40" i="25"/>
  <c r="II26" i="25"/>
  <c r="II29" i="25"/>
  <c r="II45" i="25"/>
  <c r="II49" i="25"/>
  <c r="II39" i="25"/>
  <c r="II20" i="25"/>
  <c r="II34" i="25"/>
  <c r="II33" i="25"/>
  <c r="II37" i="25"/>
  <c r="II36" i="25"/>
  <c r="II32" i="25"/>
  <c r="II47" i="25"/>
  <c r="II42" i="25"/>
  <c r="II35" i="25"/>
  <c r="II38" i="25"/>
  <c r="II41" i="25"/>
  <c r="II31" i="25"/>
  <c r="II43" i="25"/>
  <c r="II44" i="25"/>
  <c r="II30" i="25"/>
  <c r="II46" i="25"/>
  <c r="EN26" i="25" l="1"/>
  <c r="CT68" i="25"/>
  <c r="AL68" i="25" s="1"/>
  <c r="FL68" i="25"/>
  <c r="CT65" i="25"/>
  <c r="AL65" i="25" s="1"/>
  <c r="FL65" i="25"/>
  <c r="CT70" i="25"/>
  <c r="AL70" i="25" s="1"/>
  <c r="FL70" i="25"/>
  <c r="CT80" i="25"/>
  <c r="AL80" i="25" s="1"/>
  <c r="V80" i="19" s="1"/>
  <c r="FL80" i="25"/>
  <c r="CT79" i="25"/>
  <c r="AL79" i="25" s="1"/>
  <c r="V79" i="19" s="1"/>
  <c r="FL79" i="25"/>
  <c r="EN28" i="25"/>
  <c r="EO28" i="25" s="1"/>
  <c r="CT41" i="25"/>
  <c r="AL41" i="25" s="1"/>
  <c r="FL41" i="25"/>
  <c r="CT64" i="25"/>
  <c r="AL64" i="25" s="1"/>
  <c r="FL64" i="25"/>
  <c r="CT76" i="25"/>
  <c r="AL76" i="25" s="1"/>
  <c r="FL76" i="25"/>
  <c r="CT78" i="25"/>
  <c r="AL78" i="25" s="1"/>
  <c r="V78" i="19" s="1"/>
  <c r="FL78" i="25"/>
  <c r="CT73" i="25"/>
  <c r="AL73" i="25" s="1"/>
  <c r="FL73" i="25"/>
  <c r="CT20" i="25"/>
  <c r="AL20" i="25" s="1"/>
  <c r="FL20" i="25"/>
  <c r="CT21" i="25"/>
  <c r="AL21" i="25" s="1"/>
  <c r="FL21" i="25"/>
  <c r="CT58" i="25"/>
  <c r="AL58" i="25" s="1"/>
  <c r="FL58" i="25"/>
  <c r="CT59" i="25"/>
  <c r="AL59" i="25" s="1"/>
  <c r="FL59" i="25"/>
  <c r="CT54" i="25"/>
  <c r="AL54" i="25" s="1"/>
  <c r="FL54" i="25"/>
  <c r="CT81" i="25"/>
  <c r="AL81" i="25" s="1"/>
  <c r="FL81" i="25"/>
  <c r="CT67" i="25"/>
  <c r="AL67" i="25" s="1"/>
  <c r="V67" i="19" s="1"/>
  <c r="FL67" i="25"/>
  <c r="CT72" i="25"/>
  <c r="AL72" i="25" s="1"/>
  <c r="FL72" i="25"/>
  <c r="CT74" i="25"/>
  <c r="AL74" i="25" s="1"/>
  <c r="FL74" i="25"/>
  <c r="CT84" i="25"/>
  <c r="AL84" i="25" s="1"/>
  <c r="FL84" i="25"/>
  <c r="CT83" i="25"/>
  <c r="AL83" i="25" s="1"/>
  <c r="V83" i="19" s="1"/>
  <c r="FL83" i="25"/>
  <c r="CT82" i="25"/>
  <c r="AL82" i="25" s="1"/>
  <c r="FL82" i="25"/>
  <c r="CT22" i="25"/>
  <c r="AL22" i="25" s="1"/>
  <c r="FL22" i="25"/>
  <c r="CT61" i="25"/>
  <c r="AL61" i="25" s="1"/>
  <c r="FL61" i="25"/>
  <c r="CT56" i="25"/>
  <c r="AL56" i="25" s="1"/>
  <c r="FL56" i="25"/>
  <c r="CT57" i="25"/>
  <c r="AL57" i="25" s="1"/>
  <c r="FL57" i="25"/>
  <c r="CT60" i="25"/>
  <c r="AL60" i="25" s="1"/>
  <c r="FL60" i="25"/>
  <c r="CT62" i="25"/>
  <c r="AL62" i="25" s="1"/>
  <c r="FL62" i="25"/>
  <c r="CT75" i="25"/>
  <c r="AL75" i="25" s="1"/>
  <c r="V75" i="19" s="1"/>
  <c r="FL75" i="25"/>
  <c r="CT66" i="25"/>
  <c r="AL66" i="25" s="1"/>
  <c r="FL66" i="25"/>
  <c r="CT69" i="25"/>
  <c r="AL69" i="25" s="1"/>
  <c r="FL69" i="25"/>
  <c r="CT63" i="25"/>
  <c r="AL63" i="25" s="1"/>
  <c r="FL63" i="25"/>
  <c r="CT71" i="25"/>
  <c r="AL71" i="25" s="1"/>
  <c r="FL71" i="25"/>
  <c r="CT77" i="25"/>
  <c r="AL77" i="25" s="1"/>
  <c r="FL77" i="25"/>
  <c r="CT55" i="25"/>
  <c r="AL55" i="25" s="1"/>
  <c r="FL55" i="25"/>
  <c r="CT53" i="25"/>
  <c r="AL53" i="25" s="1"/>
  <c r="FL53" i="25"/>
  <c r="IM82" i="25"/>
  <c r="BS82" i="25"/>
  <c r="IM103" i="25"/>
  <c r="BS103" i="25"/>
  <c r="K118" i="3" s="1"/>
  <c r="IK89" i="25"/>
  <c r="IL89" i="25" s="1"/>
  <c r="BS96" i="25"/>
  <c r="IM96" i="25"/>
  <c r="IK100" i="25"/>
  <c r="IL100" i="25" s="1"/>
  <c r="IK97" i="25"/>
  <c r="IL97" i="25" s="1"/>
  <c r="IM65" i="25"/>
  <c r="BS65" i="25"/>
  <c r="IM64" i="25"/>
  <c r="BS64" i="25"/>
  <c r="IM76" i="25"/>
  <c r="BS76" i="25"/>
  <c r="IM62" i="25"/>
  <c r="BS62" i="25"/>
  <c r="IM77" i="25"/>
  <c r="BS77" i="25"/>
  <c r="IM87" i="25"/>
  <c r="BS87" i="25"/>
  <c r="IM67" i="25"/>
  <c r="BS67" i="25"/>
  <c r="IM85" i="25"/>
  <c r="BS85" i="25"/>
  <c r="IM74" i="25"/>
  <c r="BS74" i="25"/>
  <c r="IM91" i="25"/>
  <c r="BS91" i="25"/>
  <c r="IM78" i="25"/>
  <c r="BS78" i="25"/>
  <c r="BS79" i="25"/>
  <c r="IM79" i="25"/>
  <c r="BS92" i="25"/>
  <c r="IM92" i="25"/>
  <c r="BS71" i="25"/>
  <c r="IM71" i="25"/>
  <c r="IM86" i="25"/>
  <c r="BS86" i="25"/>
  <c r="IM102" i="25"/>
  <c r="BS102" i="25"/>
  <c r="K117" i="3" s="1"/>
  <c r="IM68" i="25"/>
  <c r="BS68" i="25"/>
  <c r="IK99" i="25"/>
  <c r="IL99" i="25" s="1"/>
  <c r="IM75" i="25"/>
  <c r="BS75" i="25"/>
  <c r="IM90" i="25"/>
  <c r="BS90" i="25"/>
  <c r="BS80" i="25"/>
  <c r="IM80" i="25"/>
  <c r="BS94" i="25"/>
  <c r="IM94" i="25"/>
  <c r="IM98" i="25"/>
  <c r="BS98" i="25"/>
  <c r="IM69" i="25"/>
  <c r="BS69" i="25"/>
  <c r="IM95" i="25"/>
  <c r="BS95" i="25"/>
  <c r="BS84" i="25"/>
  <c r="IM84" i="25"/>
  <c r="IM83" i="25"/>
  <c r="BS83" i="25"/>
  <c r="IM93" i="25"/>
  <c r="BS93" i="25"/>
  <c r="IM101" i="25"/>
  <c r="BS101" i="25"/>
  <c r="IM73" i="25"/>
  <c r="BS73" i="25"/>
  <c r="IM81" i="25"/>
  <c r="BS81" i="25"/>
  <c r="IM70" i="25"/>
  <c r="BS70" i="25"/>
  <c r="IM72" i="25"/>
  <c r="BS72" i="25"/>
  <c r="BS66" i="25"/>
  <c r="IM66" i="25"/>
  <c r="IM63" i="25"/>
  <c r="BS63" i="25"/>
  <c r="IM61" i="25"/>
  <c r="BS61" i="25"/>
  <c r="AX88" i="25"/>
  <c r="BP88" i="25"/>
  <c r="BO88" i="25" s="1"/>
  <c r="FN88" i="25"/>
  <c r="FO88" i="25" s="1"/>
  <c r="BF88" i="25" s="1"/>
  <c r="AV88" i="25" s="1"/>
  <c r="HK87" i="25"/>
  <c r="HN87" i="25" s="1"/>
  <c r="HO87" i="25" s="1"/>
  <c r="AQ87" i="25"/>
  <c r="AA87" i="19" s="1"/>
  <c r="CT87" i="25"/>
  <c r="AL87" i="25" s="1"/>
  <c r="V87" i="19" s="1"/>
  <c r="GK87" i="25"/>
  <c r="FK87" i="25"/>
  <c r="GL87" i="25"/>
  <c r="HL87" i="25"/>
  <c r="HL103" i="25"/>
  <c r="AQ103" i="25"/>
  <c r="CT103" i="25"/>
  <c r="AL103" i="25" s="1"/>
  <c r="V103" i="19" s="1"/>
  <c r="HK103" i="25"/>
  <c r="FK103" i="25"/>
  <c r="GK103" i="25"/>
  <c r="GN103" i="25" s="1"/>
  <c r="GO103" i="25" s="1"/>
  <c r="GL103" i="25"/>
  <c r="EN24" i="25"/>
  <c r="EO24" i="25" s="1"/>
  <c r="CT96" i="25"/>
  <c r="AL96" i="25" s="1"/>
  <c r="AQ96" i="25"/>
  <c r="HL96" i="25"/>
  <c r="HK96" i="25"/>
  <c r="FK96" i="25"/>
  <c r="GL96" i="25"/>
  <c r="GK96" i="25"/>
  <c r="GN96" i="25" s="1"/>
  <c r="GO96" i="25" s="1"/>
  <c r="HK98" i="25"/>
  <c r="HL98" i="25"/>
  <c r="CT98" i="25"/>
  <c r="AL98" i="25" s="1"/>
  <c r="AQ98" i="25"/>
  <c r="AA98" i="19" s="1"/>
  <c r="FK98" i="25"/>
  <c r="GL98" i="25"/>
  <c r="GK98" i="25"/>
  <c r="GN98" i="25" s="1"/>
  <c r="GO98" i="25" s="1"/>
  <c r="AQ95" i="25"/>
  <c r="AA95" i="19" s="1"/>
  <c r="CT95" i="25"/>
  <c r="AL95" i="25" s="1"/>
  <c r="V95" i="19" s="1"/>
  <c r="HK95" i="25"/>
  <c r="HN95" i="25" s="1"/>
  <c r="HO95" i="25" s="1"/>
  <c r="HL95" i="25"/>
  <c r="GK95" i="25"/>
  <c r="FK95" i="25"/>
  <c r="GL95" i="25"/>
  <c r="CT90" i="25"/>
  <c r="AL90" i="25" s="1"/>
  <c r="V90" i="19" s="1"/>
  <c r="HK90" i="25"/>
  <c r="HN90" i="25" s="1"/>
  <c r="HO90" i="25" s="1"/>
  <c r="AQ90" i="25"/>
  <c r="AA90" i="19" s="1"/>
  <c r="HL90" i="25"/>
  <c r="GK90" i="25"/>
  <c r="GN90" i="25" s="1"/>
  <c r="GO90" i="25" s="1"/>
  <c r="FK90" i="25"/>
  <c r="GL90" i="25"/>
  <c r="CE88" i="25"/>
  <c r="GQ88" i="25"/>
  <c r="HK100" i="25"/>
  <c r="HN100" i="25" s="1"/>
  <c r="HO100" i="25" s="1"/>
  <c r="FK100" i="25"/>
  <c r="AQ100" i="25"/>
  <c r="CT100" i="25"/>
  <c r="AL100" i="25" s="1"/>
  <c r="V100" i="19" s="1"/>
  <c r="GK100" i="25"/>
  <c r="HL100" i="25"/>
  <c r="GL100" i="25"/>
  <c r="EN46" i="25"/>
  <c r="EN33" i="25"/>
  <c r="EO33" i="25" s="1"/>
  <c r="EN44" i="25"/>
  <c r="EO44" i="25" s="1"/>
  <c r="CT101" i="25"/>
  <c r="AL101" i="25" s="1"/>
  <c r="AQ101" i="25"/>
  <c r="AA101" i="19" s="1"/>
  <c r="HL101" i="25"/>
  <c r="GL101" i="25"/>
  <c r="FK101" i="25"/>
  <c r="HK101" i="25"/>
  <c r="GK101" i="25"/>
  <c r="GN101" i="25" s="1"/>
  <c r="GO101" i="25" s="1"/>
  <c r="HN88" i="25"/>
  <c r="HO88" i="25" s="1"/>
  <c r="GK102" i="25"/>
  <c r="GN102" i="25" s="1"/>
  <c r="GO102" i="25" s="1"/>
  <c r="FK102" i="25"/>
  <c r="CT102" i="25"/>
  <c r="AL102" i="25" s="1"/>
  <c r="V102" i="19" s="1"/>
  <c r="HK102" i="25"/>
  <c r="GL102" i="25"/>
  <c r="AQ102" i="25"/>
  <c r="AA102" i="19" s="1"/>
  <c r="HL102" i="25"/>
  <c r="HK99" i="25"/>
  <c r="HN99" i="25" s="1"/>
  <c r="HO99" i="25" s="1"/>
  <c r="FK99" i="25"/>
  <c r="GK99" i="25"/>
  <c r="AQ99" i="25"/>
  <c r="AA99" i="19" s="1"/>
  <c r="GL99" i="25"/>
  <c r="CT99" i="25"/>
  <c r="AL99" i="25" s="1"/>
  <c r="HL99" i="25"/>
  <c r="HK97" i="25"/>
  <c r="GL97" i="25"/>
  <c r="FK97" i="25"/>
  <c r="AQ97" i="25"/>
  <c r="AA97" i="19" s="1"/>
  <c r="CT97" i="25"/>
  <c r="AL97" i="25" s="1"/>
  <c r="V97" i="19" s="1"/>
  <c r="GK97" i="25"/>
  <c r="HL97" i="25"/>
  <c r="CT94" i="25"/>
  <c r="AL94" i="25" s="1"/>
  <c r="V94" i="19" s="1"/>
  <c r="GK94" i="25"/>
  <c r="GN94" i="25" s="1"/>
  <c r="GO94" i="25" s="1"/>
  <c r="FK94" i="25"/>
  <c r="AQ94" i="25"/>
  <c r="GL94" i="25"/>
  <c r="HL94" i="25"/>
  <c r="HK94" i="25"/>
  <c r="FK93" i="25"/>
  <c r="GL93" i="25"/>
  <c r="AQ93" i="25"/>
  <c r="AA93" i="19" s="1"/>
  <c r="CT93" i="25"/>
  <c r="AL93" i="25" s="1"/>
  <c r="V93" i="19" s="1"/>
  <c r="HK93" i="25"/>
  <c r="HN93" i="25" s="1"/>
  <c r="HO93" i="25" s="1"/>
  <c r="GK93" i="25"/>
  <c r="GN93" i="25" s="1"/>
  <c r="GO93" i="25" s="1"/>
  <c r="HL93" i="25"/>
  <c r="GL92" i="25"/>
  <c r="FK92" i="25"/>
  <c r="CT92" i="25"/>
  <c r="AL92" i="25" s="1"/>
  <c r="AQ92" i="25"/>
  <c r="AA92" i="19" s="1"/>
  <c r="GK92" i="25"/>
  <c r="GN92" i="25" s="1"/>
  <c r="GO92" i="25" s="1"/>
  <c r="HK92" i="25"/>
  <c r="HN92" i="25" s="1"/>
  <c r="HO92" i="25" s="1"/>
  <c r="HL92" i="25"/>
  <c r="GK91" i="25"/>
  <c r="HK91" i="25"/>
  <c r="FK91" i="25"/>
  <c r="AQ91" i="25"/>
  <c r="AA91" i="19" s="1"/>
  <c r="GL91" i="25"/>
  <c r="HL91" i="25"/>
  <c r="CT91" i="25"/>
  <c r="AL91" i="25" s="1"/>
  <c r="HK89" i="25"/>
  <c r="GL89" i="25"/>
  <c r="FK89" i="25"/>
  <c r="AQ89" i="25"/>
  <c r="CT89" i="25"/>
  <c r="AL89" i="25" s="1"/>
  <c r="V89" i="19" s="1"/>
  <c r="HL89" i="25"/>
  <c r="GK89" i="25"/>
  <c r="GN89" i="25" s="1"/>
  <c r="GO89" i="25" s="1"/>
  <c r="AQ86" i="25"/>
  <c r="GK86" i="25"/>
  <c r="GN86" i="25" s="1"/>
  <c r="GO86" i="25" s="1"/>
  <c r="FK86" i="25"/>
  <c r="GL86" i="25"/>
  <c r="HK86" i="25"/>
  <c r="CT86" i="25"/>
  <c r="AL86" i="25" s="1"/>
  <c r="V86" i="19" s="1"/>
  <c r="HL86" i="25"/>
  <c r="FK85" i="25"/>
  <c r="AQ85" i="25"/>
  <c r="GL85" i="25"/>
  <c r="HL85" i="25"/>
  <c r="GK85" i="25"/>
  <c r="GN85" i="25" s="1"/>
  <c r="GO85" i="25" s="1"/>
  <c r="CT85" i="25"/>
  <c r="AL85" i="25" s="1"/>
  <c r="HK85" i="25"/>
  <c r="EN48" i="25"/>
  <c r="EO48" i="25" s="1"/>
  <c r="EN52" i="25"/>
  <c r="EO52" i="25" s="1"/>
  <c r="HL66" i="25"/>
  <c r="AQ66" i="25"/>
  <c r="AA66" i="19" s="1"/>
  <c r="FK66" i="25"/>
  <c r="HK66" i="25"/>
  <c r="GL66" i="25"/>
  <c r="GK66" i="25"/>
  <c r="GN66" i="25" s="1"/>
  <c r="GO66" i="25" s="1"/>
  <c r="HK63" i="25"/>
  <c r="HL63" i="25"/>
  <c r="AQ63" i="25"/>
  <c r="FK63" i="25"/>
  <c r="GK63" i="25"/>
  <c r="GL63" i="25"/>
  <c r="HK77" i="25"/>
  <c r="HN77" i="25" s="1"/>
  <c r="HO77" i="25" s="1"/>
  <c r="FK77" i="25"/>
  <c r="AQ77" i="25"/>
  <c r="AA77" i="19" s="1"/>
  <c r="GK77" i="25"/>
  <c r="GN77" i="25" s="1"/>
  <c r="GO77" i="25" s="1"/>
  <c r="GL77" i="25"/>
  <c r="HL77" i="25"/>
  <c r="HK22" i="25"/>
  <c r="AQ22" i="25"/>
  <c r="AA22" i="19" s="1"/>
  <c r="FK22" i="25"/>
  <c r="HL22" i="25"/>
  <c r="GK22" i="25"/>
  <c r="GL22" i="25"/>
  <c r="AQ61" i="25"/>
  <c r="FK61" i="25"/>
  <c r="HK61" i="25"/>
  <c r="GL61" i="25"/>
  <c r="GK61" i="25"/>
  <c r="GN61" i="25" s="1"/>
  <c r="GO61" i="25" s="1"/>
  <c r="HL61" i="25"/>
  <c r="HN46" i="25"/>
  <c r="HO46" i="25" s="1"/>
  <c r="GQ26" i="25"/>
  <c r="CE26" i="25"/>
  <c r="GQ35" i="25"/>
  <c r="CE35" i="25"/>
  <c r="FN48" i="25"/>
  <c r="FO48" i="25" s="1"/>
  <c r="BF48" i="25" s="1"/>
  <c r="FN50" i="25"/>
  <c r="FO50" i="25" s="1"/>
  <c r="BF50" i="25" s="1"/>
  <c r="AV50" i="25" s="1"/>
  <c r="FN49" i="25"/>
  <c r="FO49" i="25" s="1"/>
  <c r="BF49" i="25" s="1"/>
  <c r="AV49" i="25" s="1"/>
  <c r="HN38" i="25"/>
  <c r="HO38" i="25" s="1"/>
  <c r="FN38" i="25"/>
  <c r="FO38" i="25" s="1"/>
  <c r="BF38" i="25" s="1"/>
  <c r="AV38" i="25" s="1"/>
  <c r="CE34" i="25"/>
  <c r="GQ34" i="25"/>
  <c r="FN40" i="25"/>
  <c r="FO40" i="25" s="1"/>
  <c r="BF40" i="25" s="1"/>
  <c r="AV40" i="25" s="1"/>
  <c r="EN42" i="25"/>
  <c r="EO42" i="25" s="1"/>
  <c r="EN43" i="25"/>
  <c r="EO43" i="25" s="1"/>
  <c r="HL70" i="25"/>
  <c r="HK70" i="25"/>
  <c r="AQ70" i="25"/>
  <c r="AA70" i="19" s="1"/>
  <c r="GK70" i="25"/>
  <c r="GN70" i="25" s="1"/>
  <c r="GO70" i="25" s="1"/>
  <c r="FK70" i="25"/>
  <c r="GL70" i="25"/>
  <c r="HK80" i="25"/>
  <c r="HN80" i="25" s="1"/>
  <c r="HO80" i="25" s="1"/>
  <c r="HL80" i="25"/>
  <c r="AQ80" i="25"/>
  <c r="GK80" i="25"/>
  <c r="GN80" i="25" s="1"/>
  <c r="GO80" i="25" s="1"/>
  <c r="FK80" i="25"/>
  <c r="GL80" i="25"/>
  <c r="AQ79" i="25"/>
  <c r="AA79" i="19" s="1"/>
  <c r="HK79" i="25"/>
  <c r="HN79" i="25" s="1"/>
  <c r="HO79" i="25" s="1"/>
  <c r="GK79" i="25"/>
  <c r="HL79" i="25"/>
  <c r="GL79" i="25"/>
  <c r="FK79" i="25"/>
  <c r="HK55" i="25"/>
  <c r="HL55" i="25"/>
  <c r="AQ55" i="25"/>
  <c r="AA55" i="19" s="1"/>
  <c r="GK55" i="25"/>
  <c r="GN55" i="25" s="1"/>
  <c r="GO55" i="25" s="1"/>
  <c r="GL55" i="25"/>
  <c r="FK55" i="25"/>
  <c r="AQ54" i="25"/>
  <c r="AA54" i="19" s="1"/>
  <c r="FK54" i="25"/>
  <c r="HL54" i="25"/>
  <c r="HK54" i="25"/>
  <c r="HN54" i="25" s="1"/>
  <c r="HO54" i="25" s="1"/>
  <c r="GL54" i="25"/>
  <c r="GK54" i="25"/>
  <c r="GN54" i="25" s="1"/>
  <c r="GO54" i="25" s="1"/>
  <c r="GN30" i="25"/>
  <c r="GO30" i="25" s="1"/>
  <c r="GQ25" i="25"/>
  <c r="CE25" i="25"/>
  <c r="FN25" i="25"/>
  <c r="FO25" i="25" s="1"/>
  <c r="BF25" i="25" s="1"/>
  <c r="AV25" i="25" s="1"/>
  <c r="HN27" i="25"/>
  <c r="HO27" i="25" s="1"/>
  <c r="HN51" i="25"/>
  <c r="HO51" i="25" s="1"/>
  <c r="HN26" i="25"/>
  <c r="HO26" i="25" s="1"/>
  <c r="GQ45" i="25"/>
  <c r="CE45" i="25"/>
  <c r="HN35" i="25"/>
  <c r="HO35" i="25" s="1"/>
  <c r="GN28" i="25"/>
  <c r="GO28" i="25" s="1"/>
  <c r="GN52" i="25"/>
  <c r="GO52" i="25" s="1"/>
  <c r="CF33" i="25"/>
  <c r="HQ33" i="25"/>
  <c r="CF50" i="25"/>
  <c r="HQ50" i="25"/>
  <c r="FN23" i="25"/>
  <c r="FO23" i="25" s="1"/>
  <c r="BF23" i="25" s="1"/>
  <c r="AV23" i="25" s="1"/>
  <c r="GQ47" i="25"/>
  <c r="CE47" i="25"/>
  <c r="CF47" i="25"/>
  <c r="HQ47" i="25"/>
  <c r="FN24" i="25"/>
  <c r="FO24" i="25" s="1"/>
  <c r="BF24" i="25" s="1"/>
  <c r="AV24" i="25" s="1"/>
  <c r="FN34" i="25"/>
  <c r="FO34" i="25" s="1"/>
  <c r="BF34" i="25" s="1"/>
  <c r="AV34" i="25" s="1"/>
  <c r="GQ39" i="25"/>
  <c r="CE39" i="25"/>
  <c r="CF39" i="25"/>
  <c r="HQ39" i="25"/>
  <c r="HQ40" i="25"/>
  <c r="CF40" i="25"/>
  <c r="FN42" i="25"/>
  <c r="FO42" i="25" s="1"/>
  <c r="BF42" i="25" s="1"/>
  <c r="AV42" i="25" s="1"/>
  <c r="AQ68" i="25"/>
  <c r="AA68" i="19" s="1"/>
  <c r="HL68" i="25"/>
  <c r="HK68" i="25"/>
  <c r="HN68" i="25" s="1"/>
  <c r="HO68" i="25" s="1"/>
  <c r="GL68" i="25"/>
  <c r="GK68" i="25"/>
  <c r="GN68" i="25" s="1"/>
  <c r="GO68" i="25" s="1"/>
  <c r="FK68" i="25"/>
  <c r="AQ75" i="25"/>
  <c r="AA75" i="19" s="1"/>
  <c r="HL75" i="25"/>
  <c r="HK75" i="25"/>
  <c r="GK75" i="25"/>
  <c r="GL75" i="25"/>
  <c r="FK75" i="25"/>
  <c r="FK65" i="25"/>
  <c r="AQ65" i="25"/>
  <c r="AA65" i="19" s="1"/>
  <c r="HL65" i="25"/>
  <c r="HK65" i="25"/>
  <c r="GL65" i="25"/>
  <c r="GK65" i="25"/>
  <c r="GN65" i="25" s="1"/>
  <c r="GO65" i="25" s="1"/>
  <c r="HK69" i="25"/>
  <c r="FK69" i="25"/>
  <c r="AQ69" i="25"/>
  <c r="AA69" i="19" s="1"/>
  <c r="GK69" i="25"/>
  <c r="GN69" i="25" s="1"/>
  <c r="GO69" i="25" s="1"/>
  <c r="HL69" i="25"/>
  <c r="GL69" i="25"/>
  <c r="HK71" i="25"/>
  <c r="HN71" i="25" s="1"/>
  <c r="HO71" i="25" s="1"/>
  <c r="HL71" i="25"/>
  <c r="AQ71" i="25"/>
  <c r="AA71" i="19" s="1"/>
  <c r="GK71" i="25"/>
  <c r="GL71" i="25"/>
  <c r="FK71" i="25"/>
  <c r="HK56" i="25"/>
  <c r="HN56" i="25" s="1"/>
  <c r="HO56" i="25" s="1"/>
  <c r="AQ56" i="25"/>
  <c r="AA56" i="19" s="1"/>
  <c r="FK56" i="25"/>
  <c r="HL56" i="25"/>
  <c r="GL56" i="25"/>
  <c r="GK56" i="25"/>
  <c r="HL60" i="25"/>
  <c r="AQ60" i="25"/>
  <c r="AA60" i="19" s="1"/>
  <c r="HK60" i="25"/>
  <c r="GK60" i="25"/>
  <c r="GL60" i="25"/>
  <c r="FK60" i="25"/>
  <c r="GN32" i="25"/>
  <c r="GO32" i="25" s="1"/>
  <c r="FN51" i="25"/>
  <c r="FO51" i="25" s="1"/>
  <c r="BF51" i="25" s="1"/>
  <c r="AV51" i="25" s="1"/>
  <c r="FN45" i="25"/>
  <c r="FO45" i="25" s="1"/>
  <c r="BF45" i="25" s="1"/>
  <c r="AV45" i="25" s="1"/>
  <c r="GQ31" i="25"/>
  <c r="CE31" i="25"/>
  <c r="FN33" i="25"/>
  <c r="FO33" i="25" s="1"/>
  <c r="BF33" i="25" s="1"/>
  <c r="AV33" i="25" s="1"/>
  <c r="GQ43" i="25"/>
  <c r="CE43" i="25"/>
  <c r="AQ81" i="25"/>
  <c r="AA81" i="19" s="1"/>
  <c r="FK81" i="25"/>
  <c r="HK81" i="25"/>
  <c r="HN81" i="25" s="1"/>
  <c r="HO81" i="25" s="1"/>
  <c r="HL81" i="25"/>
  <c r="GK81" i="25"/>
  <c r="GN81" i="25" s="1"/>
  <c r="GO81" i="25" s="1"/>
  <c r="GL81" i="25"/>
  <c r="HL64" i="25"/>
  <c r="HK64" i="25"/>
  <c r="HN64" i="25" s="1"/>
  <c r="HO64" i="25" s="1"/>
  <c r="AQ64" i="25"/>
  <c r="AA64" i="19" s="1"/>
  <c r="FK64" i="25"/>
  <c r="GL64" i="25"/>
  <c r="GK64" i="25"/>
  <c r="GN64" i="25" s="1"/>
  <c r="GO64" i="25" s="1"/>
  <c r="HK76" i="25"/>
  <c r="HN76" i="25" s="1"/>
  <c r="HO76" i="25" s="1"/>
  <c r="AQ76" i="25"/>
  <c r="AA76" i="19" s="1"/>
  <c r="GL76" i="25"/>
  <c r="GK76" i="25"/>
  <c r="GN76" i="25" s="1"/>
  <c r="GO76" i="25" s="1"/>
  <c r="FK76" i="25"/>
  <c r="HL76" i="25"/>
  <c r="FK78" i="25"/>
  <c r="HK78" i="25"/>
  <c r="HN78" i="25" s="1"/>
  <c r="HO78" i="25" s="1"/>
  <c r="HL78" i="25"/>
  <c r="AQ78" i="25"/>
  <c r="AA78" i="19" s="1"/>
  <c r="GL78" i="25"/>
  <c r="GK78" i="25"/>
  <c r="GN78" i="25" s="1"/>
  <c r="GO78" i="25" s="1"/>
  <c r="FK73" i="25"/>
  <c r="AQ73" i="25"/>
  <c r="GK73" i="25"/>
  <c r="GN73" i="25" s="1"/>
  <c r="GO73" i="25" s="1"/>
  <c r="HK73" i="25"/>
  <c r="HL73" i="25"/>
  <c r="GL73" i="25"/>
  <c r="HN25" i="25"/>
  <c r="HO25" i="25" s="1"/>
  <c r="FN27" i="25"/>
  <c r="FO27" i="25" s="1"/>
  <c r="BF27" i="25" s="1"/>
  <c r="AV27" i="25" s="1"/>
  <c r="HQ32" i="25"/>
  <c r="CF32" i="25"/>
  <c r="FN46" i="25"/>
  <c r="FO46" i="25" s="1"/>
  <c r="BF46" i="25" s="1"/>
  <c r="AV46" i="25" s="1"/>
  <c r="GQ51" i="25"/>
  <c r="CE51" i="25"/>
  <c r="CE29" i="25"/>
  <c r="GQ29" i="25"/>
  <c r="HN29" i="25"/>
  <c r="HO29" i="25" s="1"/>
  <c r="FN26" i="25"/>
  <c r="FO26" i="25" s="1"/>
  <c r="BF26" i="25" s="1"/>
  <c r="AV26" i="25" s="1"/>
  <c r="HN45" i="25"/>
  <c r="HO45" i="25" s="1"/>
  <c r="FN37" i="25"/>
  <c r="FO37" i="25" s="1"/>
  <c r="BF37" i="25" s="1"/>
  <c r="AV37" i="25" s="1"/>
  <c r="HN28" i="25"/>
  <c r="HO28" i="25" s="1"/>
  <c r="GQ49" i="25"/>
  <c r="CE49" i="25"/>
  <c r="GQ23" i="25"/>
  <c r="CE23" i="25"/>
  <c r="FN36" i="25"/>
  <c r="FO36" i="25" s="1"/>
  <c r="BF36" i="25" s="1"/>
  <c r="AV36" i="25" s="1"/>
  <c r="FN44" i="25"/>
  <c r="FO44" i="25" s="1"/>
  <c r="BF44" i="25" s="1"/>
  <c r="AV44" i="25" s="1"/>
  <c r="HQ44" i="25"/>
  <c r="CF44" i="25"/>
  <c r="HN43" i="25"/>
  <c r="HO43" i="25" s="1"/>
  <c r="CE42" i="25"/>
  <c r="GQ42" i="25"/>
  <c r="HK57" i="25"/>
  <c r="HN57" i="25" s="1"/>
  <c r="HO57" i="25" s="1"/>
  <c r="AQ57" i="25"/>
  <c r="AA57" i="19" s="1"/>
  <c r="HL57" i="25"/>
  <c r="FK57" i="25"/>
  <c r="GL57" i="25"/>
  <c r="GK57" i="25"/>
  <c r="GN57" i="25" s="1"/>
  <c r="GO57" i="25" s="1"/>
  <c r="AQ62" i="25"/>
  <c r="AA62" i="19" s="1"/>
  <c r="FK62" i="25"/>
  <c r="HK62" i="25"/>
  <c r="HN62" i="25" s="1"/>
  <c r="HO62" i="25" s="1"/>
  <c r="GL62" i="25"/>
  <c r="GK62" i="25"/>
  <c r="GN62" i="25" s="1"/>
  <c r="GO62" i="25" s="1"/>
  <c r="HL62" i="25"/>
  <c r="FN30" i="25"/>
  <c r="FO30" i="25" s="1"/>
  <c r="BF30" i="25" s="1"/>
  <c r="AV30" i="25" s="1"/>
  <c r="FN32" i="25"/>
  <c r="FO32" i="25" s="1"/>
  <c r="BF32" i="25" s="1"/>
  <c r="AV32" i="25" s="1"/>
  <c r="CE37" i="25"/>
  <c r="GQ37" i="25"/>
  <c r="FN28" i="25"/>
  <c r="FO28" i="25" s="1"/>
  <c r="BF28" i="25" s="1"/>
  <c r="AV28" i="25" s="1"/>
  <c r="FN52" i="25"/>
  <c r="FO52" i="25" s="1"/>
  <c r="BF52" i="25" s="1"/>
  <c r="AV52" i="25" s="1"/>
  <c r="FN47" i="25"/>
  <c r="FO47" i="25" s="1"/>
  <c r="BF47" i="25" s="1"/>
  <c r="AV47" i="25" s="1"/>
  <c r="GN36" i="25"/>
  <c r="GO36" i="25" s="1"/>
  <c r="FN39" i="25"/>
  <c r="FO39" i="25" s="1"/>
  <c r="BF39" i="25" s="1"/>
  <c r="AV39" i="25" s="1"/>
  <c r="FN43" i="25"/>
  <c r="FO43" i="25" s="1"/>
  <c r="BF43" i="25" s="1"/>
  <c r="AV43" i="25" s="1"/>
  <c r="EN27" i="25"/>
  <c r="EO27" i="25" s="1"/>
  <c r="AQ67" i="25"/>
  <c r="AA67" i="19" s="1"/>
  <c r="HK67" i="25"/>
  <c r="HL67" i="25"/>
  <c r="GL67" i="25"/>
  <c r="FK67" i="25"/>
  <c r="GK67" i="25"/>
  <c r="GN67" i="25" s="1"/>
  <c r="GO67" i="25" s="1"/>
  <c r="HK72" i="25"/>
  <c r="HN72" i="25" s="1"/>
  <c r="HO72" i="25" s="1"/>
  <c r="HL72" i="25"/>
  <c r="AQ72" i="25"/>
  <c r="FK72" i="25"/>
  <c r="GL72" i="25"/>
  <c r="GK72" i="25"/>
  <c r="GN72" i="25" s="1"/>
  <c r="GO72" i="25" s="1"/>
  <c r="AQ74" i="25"/>
  <c r="AA74" i="19" s="1"/>
  <c r="HL74" i="25"/>
  <c r="FK74" i="25"/>
  <c r="HK74" i="25"/>
  <c r="HN74" i="25" s="1"/>
  <c r="HO74" i="25" s="1"/>
  <c r="GK74" i="25"/>
  <c r="GN74" i="25" s="1"/>
  <c r="GO74" i="25" s="1"/>
  <c r="GL74" i="25"/>
  <c r="AQ84" i="25"/>
  <c r="AA84" i="19" s="1"/>
  <c r="HK84" i="25"/>
  <c r="FK84" i="25"/>
  <c r="GL84" i="25"/>
  <c r="HL84" i="25"/>
  <c r="GK84" i="25"/>
  <c r="GN84" i="25" s="1"/>
  <c r="GO84" i="25" s="1"/>
  <c r="HK83" i="25"/>
  <c r="AQ83" i="25"/>
  <c r="GK83" i="25"/>
  <c r="GL83" i="25"/>
  <c r="FK83" i="25"/>
  <c r="HL83" i="25"/>
  <c r="HL82" i="25"/>
  <c r="FK82" i="25"/>
  <c r="AQ82" i="25"/>
  <c r="AA82" i="19" s="1"/>
  <c r="HK82" i="25"/>
  <c r="HN82" i="25" s="1"/>
  <c r="HO82" i="25" s="1"/>
  <c r="GL82" i="25"/>
  <c r="GK82" i="25"/>
  <c r="GN82" i="25" s="1"/>
  <c r="GO82" i="25" s="1"/>
  <c r="AQ20" i="25"/>
  <c r="AA20" i="19" s="1"/>
  <c r="HK20" i="25"/>
  <c r="HN20" i="25" s="1"/>
  <c r="HO20" i="25" s="1"/>
  <c r="HL20" i="25"/>
  <c r="GL20" i="25"/>
  <c r="FK20" i="25"/>
  <c r="GK20" i="25"/>
  <c r="HK21" i="25"/>
  <c r="HL21" i="25"/>
  <c r="AQ21" i="25"/>
  <c r="AA21" i="19" s="1"/>
  <c r="GK21" i="25"/>
  <c r="GN21" i="25" s="1"/>
  <c r="GO21" i="25" s="1"/>
  <c r="FK21" i="25"/>
  <c r="GL21" i="25"/>
  <c r="HK58" i="25"/>
  <c r="AQ58" i="25"/>
  <c r="AA58" i="19" s="1"/>
  <c r="HL58" i="25"/>
  <c r="FK58" i="25"/>
  <c r="GK58" i="25"/>
  <c r="GN58" i="25" s="1"/>
  <c r="GO58" i="25" s="1"/>
  <c r="GL58" i="25"/>
  <c r="HL59" i="25"/>
  <c r="AQ59" i="25"/>
  <c r="AA59" i="19" s="1"/>
  <c r="HK59" i="25"/>
  <c r="FK59" i="25"/>
  <c r="GL59" i="25"/>
  <c r="GK59" i="25"/>
  <c r="GN59" i="25" s="1"/>
  <c r="GO59" i="25" s="1"/>
  <c r="FK41" i="25"/>
  <c r="AQ41" i="25"/>
  <c r="AA41" i="19" s="1"/>
  <c r="HK41" i="25"/>
  <c r="GK41" i="25"/>
  <c r="GN41" i="25" s="1"/>
  <c r="GO41" i="25" s="1"/>
  <c r="HL41" i="25"/>
  <c r="GL41" i="25"/>
  <c r="AQ53" i="25"/>
  <c r="AA53" i="19" s="1"/>
  <c r="GK53" i="25"/>
  <c r="FK53" i="25"/>
  <c r="HL53" i="25"/>
  <c r="HK53" i="25"/>
  <c r="GL53" i="25"/>
  <c r="HN30" i="25"/>
  <c r="HO30" i="25" s="1"/>
  <c r="GQ27" i="25"/>
  <c r="CE27" i="25"/>
  <c r="CE46" i="25"/>
  <c r="GQ46" i="25"/>
  <c r="FN29" i="25"/>
  <c r="FO29" i="25" s="1"/>
  <c r="BF29" i="25" s="1"/>
  <c r="AV29" i="25" s="1"/>
  <c r="FN35" i="25"/>
  <c r="FO35" i="25" s="1"/>
  <c r="BF35" i="25" s="1"/>
  <c r="AV35" i="25" s="1"/>
  <c r="HN37" i="25"/>
  <c r="HO37" i="25" s="1"/>
  <c r="HN31" i="25"/>
  <c r="HO31" i="25" s="1"/>
  <c r="FN31" i="25"/>
  <c r="FO31" i="25" s="1"/>
  <c r="BF31" i="25" s="1"/>
  <c r="AV31" i="25" s="1"/>
  <c r="CF52" i="25"/>
  <c r="HQ52" i="25"/>
  <c r="GN48" i="25"/>
  <c r="GO48" i="25" s="1"/>
  <c r="HQ48" i="25"/>
  <c r="CF48" i="25"/>
  <c r="GQ33" i="25"/>
  <c r="CE33" i="25"/>
  <c r="GQ50" i="25"/>
  <c r="CE50" i="25"/>
  <c r="HN49" i="25"/>
  <c r="HO49" i="25" s="1"/>
  <c r="HN23" i="25"/>
  <c r="HO23" i="25" s="1"/>
  <c r="HN36" i="25"/>
  <c r="HO36" i="25" s="1"/>
  <c r="GQ38" i="25"/>
  <c r="CE38" i="25"/>
  <c r="CE24" i="25"/>
  <c r="GQ24" i="25"/>
  <c r="CF24" i="25"/>
  <c r="HQ24" i="25"/>
  <c r="HN34" i="25"/>
  <c r="HO34" i="25" s="1"/>
  <c r="GN44" i="25"/>
  <c r="GO44" i="25" s="1"/>
  <c r="GN40" i="25"/>
  <c r="GO40" i="25" s="1"/>
  <c r="HQ42" i="25"/>
  <c r="CF42" i="25"/>
  <c r="BP48" i="25"/>
  <c r="MM48" i="25"/>
  <c r="DN48" i="25" s="1"/>
  <c r="DG48" i="25"/>
  <c r="LM48" i="25"/>
  <c r="DM48" i="25" s="1"/>
  <c r="DF48" i="25"/>
  <c r="NM48" i="25"/>
  <c r="DO48" i="25" s="1"/>
  <c r="DH48" i="25"/>
  <c r="PI86" i="25"/>
  <c r="EL86" i="25"/>
  <c r="EK86" i="25"/>
  <c r="EL87" i="25"/>
  <c r="PI87" i="25"/>
  <c r="EK87" i="25"/>
  <c r="EL67" i="25"/>
  <c r="PI67" i="25"/>
  <c r="EK67" i="25"/>
  <c r="EN67" i="25" s="1"/>
  <c r="OI82" i="25"/>
  <c r="MI82" i="25"/>
  <c r="MK82" i="25" s="1"/>
  <c r="ML82" i="25" s="1"/>
  <c r="BW82" i="25" s="1"/>
  <c r="BA82" i="25" s="1"/>
  <c r="JI82" i="25"/>
  <c r="JK82" i="25" s="1"/>
  <c r="JL82" i="25" s="1"/>
  <c r="BT82" i="25" s="1"/>
  <c r="LI82" i="25"/>
  <c r="LK82" i="25" s="1"/>
  <c r="LL82" i="25" s="1"/>
  <c r="BV82" i="25" s="1"/>
  <c r="AZ82" i="25" s="1"/>
  <c r="KI82" i="25"/>
  <c r="NI82" i="25"/>
  <c r="NK82" i="25" s="1"/>
  <c r="NL82" i="25" s="1"/>
  <c r="BX82" i="25" s="1"/>
  <c r="BB82" i="25" s="1"/>
  <c r="AG82" i="25"/>
  <c r="S82" i="19" s="1"/>
  <c r="KI103" i="25"/>
  <c r="KK103" i="25" s="1"/>
  <c r="KL103" i="25" s="1"/>
  <c r="BU103" i="25" s="1"/>
  <c r="M118" i="3" s="1"/>
  <c r="OI103" i="25"/>
  <c r="JI103" i="25"/>
  <c r="JK103" i="25" s="1"/>
  <c r="JL103" i="25" s="1"/>
  <c r="BT103" i="25" s="1"/>
  <c r="L118" i="3" s="1"/>
  <c r="MI103" i="25"/>
  <c r="LI103" i="25"/>
  <c r="NI103" i="25"/>
  <c r="AG103" i="25"/>
  <c r="S103" i="19" s="1"/>
  <c r="JI89" i="25"/>
  <c r="JK89" i="25" s="1"/>
  <c r="JL89" i="25" s="1"/>
  <c r="BT89" i="25" s="1"/>
  <c r="LI89" i="25"/>
  <c r="LK89" i="25" s="1"/>
  <c r="LL89" i="25" s="1"/>
  <c r="BV89" i="25" s="1"/>
  <c r="AZ89" i="25" s="1"/>
  <c r="OI89" i="25"/>
  <c r="MI89" i="25"/>
  <c r="NI89" i="25"/>
  <c r="NK89" i="25" s="1"/>
  <c r="NL89" i="25" s="1"/>
  <c r="BX89" i="25" s="1"/>
  <c r="BB89" i="25" s="1"/>
  <c r="AG89" i="25"/>
  <c r="S89" i="19" s="1"/>
  <c r="KI89" i="25"/>
  <c r="KK89" i="25" s="1"/>
  <c r="KL89" i="25" s="1"/>
  <c r="BU89" i="25" s="1"/>
  <c r="PI85" i="25"/>
  <c r="EK85" i="25"/>
  <c r="EN85" i="25" s="1"/>
  <c r="EL85" i="25"/>
  <c r="EK97" i="25"/>
  <c r="EL97" i="25"/>
  <c r="PI97" i="25"/>
  <c r="PI72" i="25"/>
  <c r="EK72" i="25"/>
  <c r="EL72" i="25"/>
  <c r="OI96" i="25"/>
  <c r="JI96" i="25"/>
  <c r="JK96" i="25" s="1"/>
  <c r="JL96" i="25" s="1"/>
  <c r="BT96" i="25" s="1"/>
  <c r="AX96" i="25" s="1"/>
  <c r="LI96" i="25"/>
  <c r="MI96" i="25"/>
  <c r="MK96" i="25" s="1"/>
  <c r="ML96" i="25" s="1"/>
  <c r="BW96" i="25" s="1"/>
  <c r="BA96" i="25" s="1"/>
  <c r="KI96" i="25"/>
  <c r="KK96" i="25" s="1"/>
  <c r="KL96" i="25" s="1"/>
  <c r="BU96" i="25" s="1"/>
  <c r="NI96" i="25"/>
  <c r="NK96" i="25" s="1"/>
  <c r="NL96" i="25" s="1"/>
  <c r="BX96" i="25" s="1"/>
  <c r="BB96" i="25" s="1"/>
  <c r="AG96" i="25"/>
  <c r="S96" i="19" s="1"/>
  <c r="JI100" i="25"/>
  <c r="JK100" i="25" s="1"/>
  <c r="JL100" i="25" s="1"/>
  <c r="BT100" i="25" s="1"/>
  <c r="MI100" i="25"/>
  <c r="MK100" i="25" s="1"/>
  <c r="ML100" i="25" s="1"/>
  <c r="BW100" i="25" s="1"/>
  <c r="BA100" i="25" s="1"/>
  <c r="KI100" i="25"/>
  <c r="KK100" i="25" s="1"/>
  <c r="KL100" i="25" s="1"/>
  <c r="BU100" i="25" s="1"/>
  <c r="NI100" i="25"/>
  <c r="NK100" i="25" s="1"/>
  <c r="NL100" i="25" s="1"/>
  <c r="BX100" i="25" s="1"/>
  <c r="BB100" i="25" s="1"/>
  <c r="LI100" i="25"/>
  <c r="LK100" i="25" s="1"/>
  <c r="LL100" i="25" s="1"/>
  <c r="BV100" i="25" s="1"/>
  <c r="AZ100" i="25" s="1"/>
  <c r="OI100" i="25"/>
  <c r="AG100" i="25"/>
  <c r="S100" i="19" s="1"/>
  <c r="PI98" i="25"/>
  <c r="EK98" i="25"/>
  <c r="EL98" i="25"/>
  <c r="EK74" i="25"/>
  <c r="PI74" i="25"/>
  <c r="EL74" i="25"/>
  <c r="JI97" i="25"/>
  <c r="JK97" i="25" s="1"/>
  <c r="JL97" i="25" s="1"/>
  <c r="BT97" i="25" s="1"/>
  <c r="LI97" i="25"/>
  <c r="LK97" i="25" s="1"/>
  <c r="LL97" i="25" s="1"/>
  <c r="BV97" i="25" s="1"/>
  <c r="AZ97" i="25" s="1"/>
  <c r="MI97" i="25"/>
  <c r="OI97" i="25"/>
  <c r="NI97" i="25"/>
  <c r="NK97" i="25" s="1"/>
  <c r="NL97" i="25" s="1"/>
  <c r="BX97" i="25" s="1"/>
  <c r="BB97" i="25" s="1"/>
  <c r="KI97" i="25"/>
  <c r="KK97" i="25" s="1"/>
  <c r="KL97" i="25" s="1"/>
  <c r="BU97" i="25" s="1"/>
  <c r="AG97" i="25"/>
  <c r="S97" i="19" s="1"/>
  <c r="LI65" i="25"/>
  <c r="LK65" i="25" s="1"/>
  <c r="LL65" i="25" s="1"/>
  <c r="MI65" i="25"/>
  <c r="MK65" i="25" s="1"/>
  <c r="ML65" i="25" s="1"/>
  <c r="OI65" i="25"/>
  <c r="KI65" i="25"/>
  <c r="NI65" i="25"/>
  <c r="NK65" i="25" s="1"/>
  <c r="NL65" i="25" s="1"/>
  <c r="JI65" i="25"/>
  <c r="JK65" i="25" s="1"/>
  <c r="JL65" i="25" s="1"/>
  <c r="DH88" i="25"/>
  <c r="NM88" i="25"/>
  <c r="DO88" i="25" s="1"/>
  <c r="DJ88" i="25"/>
  <c r="DU88" i="25" s="1"/>
  <c r="OI64" i="25"/>
  <c r="MI64" i="25"/>
  <c r="MK64" i="25" s="1"/>
  <c r="ML64" i="25" s="1"/>
  <c r="JI64" i="25"/>
  <c r="KI64" i="25"/>
  <c r="KK64" i="25" s="1"/>
  <c r="KL64" i="25" s="1"/>
  <c r="BU64" i="25" s="1"/>
  <c r="LI64" i="25"/>
  <c r="LK64" i="25" s="1"/>
  <c r="LL64" i="25" s="1"/>
  <c r="NI64" i="25"/>
  <c r="NK64" i="25" s="1"/>
  <c r="NL64" i="25" s="1"/>
  <c r="LI98" i="25"/>
  <c r="OI98" i="25"/>
  <c r="JI98" i="25"/>
  <c r="JK98" i="25" s="1"/>
  <c r="JL98" i="25" s="1"/>
  <c r="BT98" i="25" s="1"/>
  <c r="AX98" i="25" s="1"/>
  <c r="MI98" i="25"/>
  <c r="MK98" i="25" s="1"/>
  <c r="ML98" i="25" s="1"/>
  <c r="BW98" i="25" s="1"/>
  <c r="BA98" i="25" s="1"/>
  <c r="NI98" i="25"/>
  <c r="NK98" i="25" s="1"/>
  <c r="NL98" i="25" s="1"/>
  <c r="BX98" i="25" s="1"/>
  <c r="BB98" i="25" s="1"/>
  <c r="KI98" i="25"/>
  <c r="KK98" i="25" s="1"/>
  <c r="KL98" i="25" s="1"/>
  <c r="BU98" i="25" s="1"/>
  <c r="AG98" i="25"/>
  <c r="S98" i="19" s="1"/>
  <c r="PI79" i="25"/>
  <c r="EL79" i="25"/>
  <c r="EK79" i="25"/>
  <c r="AG69" i="25"/>
  <c r="S69" i="19" s="1"/>
  <c r="JI69" i="25"/>
  <c r="JK69" i="25" s="1"/>
  <c r="JL69" i="25" s="1"/>
  <c r="MI69" i="25"/>
  <c r="NI69" i="25"/>
  <c r="NK69" i="25" s="1"/>
  <c r="NL69" i="25" s="1"/>
  <c r="KI69" i="25"/>
  <c r="KK69" i="25" s="1"/>
  <c r="KL69" i="25" s="1"/>
  <c r="BU69" i="25" s="1"/>
  <c r="OI69" i="25"/>
  <c r="LI69" i="25"/>
  <c r="LK69" i="25" s="1"/>
  <c r="LL69" i="25" s="1"/>
  <c r="PI101" i="25"/>
  <c r="EL101" i="25"/>
  <c r="EK101" i="25"/>
  <c r="AG23" i="25"/>
  <c r="LI23" i="25"/>
  <c r="LK23" i="25" s="1"/>
  <c r="LL23" i="25" s="1"/>
  <c r="BV23" i="25" s="1"/>
  <c r="AZ23" i="25" s="1"/>
  <c r="OI23" i="25"/>
  <c r="NI23" i="25"/>
  <c r="NK23" i="25" s="1"/>
  <c r="NL23" i="25" s="1"/>
  <c r="BX23" i="25" s="1"/>
  <c r="BB23" i="25" s="1"/>
  <c r="JI23" i="25"/>
  <c r="JK23" i="25" s="1"/>
  <c r="JL23" i="25" s="1"/>
  <c r="BT23" i="25" s="1"/>
  <c r="AX23" i="25" s="1"/>
  <c r="KI23" i="25"/>
  <c r="KK23" i="25" s="1"/>
  <c r="KL23" i="25" s="1"/>
  <c r="BU23" i="25" s="1"/>
  <c r="MI23" i="25"/>
  <c r="MK23" i="25" s="1"/>
  <c r="ML23" i="25" s="1"/>
  <c r="BW23" i="25" s="1"/>
  <c r="BA23" i="25" s="1"/>
  <c r="AG27" i="25"/>
  <c r="S27" i="19" s="1"/>
  <c r="LI27" i="25"/>
  <c r="LK27" i="25" s="1"/>
  <c r="LL27" i="25" s="1"/>
  <c r="BV27" i="25" s="1"/>
  <c r="AZ27" i="25" s="1"/>
  <c r="OI27" i="25"/>
  <c r="JI27" i="25"/>
  <c r="JK27" i="25" s="1"/>
  <c r="JL27" i="25" s="1"/>
  <c r="BT27" i="25" s="1"/>
  <c r="AX27" i="25" s="1"/>
  <c r="KI27" i="25"/>
  <c r="KK27" i="25" s="1"/>
  <c r="KL27" i="25" s="1"/>
  <c r="BU27" i="25" s="1"/>
  <c r="NI27" i="25"/>
  <c r="NK27" i="25" s="1"/>
  <c r="NL27" i="25" s="1"/>
  <c r="BX27" i="25" s="1"/>
  <c r="BB27" i="25" s="1"/>
  <c r="MI27" i="25"/>
  <c r="MK27" i="25" s="1"/>
  <c r="ML27" i="25" s="1"/>
  <c r="BW27" i="25" s="1"/>
  <c r="BA27" i="25" s="1"/>
  <c r="EL55" i="25"/>
  <c r="PI55" i="25"/>
  <c r="EK55" i="25"/>
  <c r="EK54" i="25"/>
  <c r="EL54" i="25"/>
  <c r="PI54" i="25"/>
  <c r="PK88" i="25"/>
  <c r="PL88" i="25" s="1"/>
  <c r="PK46" i="25"/>
  <c r="PL46" i="25" s="1"/>
  <c r="BK46" i="25" s="1"/>
  <c r="OK32" i="25"/>
  <c r="OL32" i="25" s="1"/>
  <c r="BI32" i="25" s="1"/>
  <c r="PK26" i="25"/>
  <c r="PL26" i="25" s="1"/>
  <c r="BK26" i="25" s="1"/>
  <c r="PK35" i="25"/>
  <c r="PL35" i="25" s="1"/>
  <c r="BK35" i="25" s="1"/>
  <c r="PK37" i="25"/>
  <c r="PL37" i="25" s="1"/>
  <c r="BK37" i="25" s="1"/>
  <c r="OK50" i="25"/>
  <c r="OL50" i="25" s="1"/>
  <c r="BI50" i="25" s="1"/>
  <c r="PK33" i="25"/>
  <c r="PL33" i="25" s="1"/>
  <c r="BK33" i="25" s="1"/>
  <c r="OK33" i="25"/>
  <c r="OL33" i="25" s="1"/>
  <c r="BI33" i="25" s="1"/>
  <c r="OK55" i="25"/>
  <c r="OL55" i="25" s="1"/>
  <c r="BI55" i="25" s="1"/>
  <c r="PK48" i="25"/>
  <c r="PL48" i="25" s="1"/>
  <c r="OK60" i="25"/>
  <c r="OL60" i="25" s="1"/>
  <c r="BI60" i="25" s="1"/>
  <c r="AW60" i="25" s="1"/>
  <c r="PK39" i="25"/>
  <c r="PL39" i="25" s="1"/>
  <c r="BK39" i="25" s="1"/>
  <c r="PK38" i="25"/>
  <c r="PL38" i="25" s="1"/>
  <c r="BK38" i="25" s="1"/>
  <c r="OK37" i="25"/>
  <c r="OL37" i="25" s="1"/>
  <c r="BI37" i="25" s="1"/>
  <c r="PI102" i="25"/>
  <c r="EL102" i="25"/>
  <c r="EK102" i="25"/>
  <c r="OI78" i="25"/>
  <c r="LI78" i="25"/>
  <c r="LK78" i="25" s="1"/>
  <c r="LL78" i="25" s="1"/>
  <c r="BV78" i="25" s="1"/>
  <c r="AZ78" i="25" s="1"/>
  <c r="MI78" i="25"/>
  <c r="JI78" i="25"/>
  <c r="JK78" i="25" s="1"/>
  <c r="JL78" i="25" s="1"/>
  <c r="BT78" i="25" s="1"/>
  <c r="KI78" i="25"/>
  <c r="KK78" i="25" s="1"/>
  <c r="KL78" i="25" s="1"/>
  <c r="BU78" i="25" s="1"/>
  <c r="NI78" i="25"/>
  <c r="NK78" i="25" s="1"/>
  <c r="NL78" i="25" s="1"/>
  <c r="BX78" i="25" s="1"/>
  <c r="BB78" i="25" s="1"/>
  <c r="AG78" i="25"/>
  <c r="S78" i="19" s="1"/>
  <c r="MI79" i="25"/>
  <c r="MK79" i="25" s="1"/>
  <c r="ML79" i="25" s="1"/>
  <c r="BW79" i="25" s="1"/>
  <c r="BA79" i="25" s="1"/>
  <c r="NI79" i="25"/>
  <c r="JI79" i="25"/>
  <c r="JK79" i="25" s="1"/>
  <c r="JL79" i="25" s="1"/>
  <c r="BT79" i="25" s="1"/>
  <c r="LI79" i="25"/>
  <c r="OI79" i="25"/>
  <c r="KI79" i="25"/>
  <c r="KK79" i="25" s="1"/>
  <c r="KL79" i="25" s="1"/>
  <c r="BU79" i="25" s="1"/>
  <c r="AG79" i="25"/>
  <c r="S79" i="19" s="1"/>
  <c r="EK68" i="25"/>
  <c r="PI68" i="25"/>
  <c r="EL68" i="25"/>
  <c r="LI92" i="25"/>
  <c r="LK92" i="25" s="1"/>
  <c r="LL92" i="25" s="1"/>
  <c r="BV92" i="25" s="1"/>
  <c r="AZ92" i="25" s="1"/>
  <c r="JI92" i="25"/>
  <c r="JK92" i="25" s="1"/>
  <c r="JL92" i="25" s="1"/>
  <c r="BT92" i="25" s="1"/>
  <c r="KI92" i="25"/>
  <c r="KK92" i="25" s="1"/>
  <c r="KL92" i="25" s="1"/>
  <c r="BU92" i="25" s="1"/>
  <c r="MI92" i="25"/>
  <c r="MK92" i="25" s="1"/>
  <c r="ML92" i="25" s="1"/>
  <c r="BW92" i="25" s="1"/>
  <c r="BA92" i="25" s="1"/>
  <c r="OI92" i="25"/>
  <c r="NI92" i="25"/>
  <c r="AG92" i="25"/>
  <c r="S92" i="19" s="1"/>
  <c r="MI77" i="25"/>
  <c r="MK77" i="25" s="1"/>
  <c r="ML77" i="25" s="1"/>
  <c r="BW77" i="25" s="1"/>
  <c r="BA77" i="25" s="1"/>
  <c r="KI77" i="25"/>
  <c r="KK77" i="25" s="1"/>
  <c r="KL77" i="25" s="1"/>
  <c r="BU77" i="25" s="1"/>
  <c r="NI77" i="25"/>
  <c r="JI77" i="25"/>
  <c r="JK77" i="25" s="1"/>
  <c r="JL77" i="25" s="1"/>
  <c r="BT77" i="25" s="1"/>
  <c r="OI77" i="25"/>
  <c r="LI77" i="25"/>
  <c r="LK77" i="25" s="1"/>
  <c r="LL77" i="25" s="1"/>
  <c r="BV77" i="25" s="1"/>
  <c r="AZ77" i="25" s="1"/>
  <c r="AG77" i="25"/>
  <c r="S77" i="19" s="1"/>
  <c r="PI99" i="25"/>
  <c r="EK99" i="25"/>
  <c r="EN99" i="25" s="1"/>
  <c r="EL99" i="25"/>
  <c r="EL75" i="25"/>
  <c r="PI75" i="25"/>
  <c r="EK75" i="25"/>
  <c r="EN75" i="25" s="1"/>
  <c r="PI90" i="25"/>
  <c r="EL90" i="25"/>
  <c r="EK90" i="25"/>
  <c r="NI87" i="25"/>
  <c r="NK87" i="25" s="1"/>
  <c r="NL87" i="25" s="1"/>
  <c r="BX87" i="25" s="1"/>
  <c r="BB87" i="25" s="1"/>
  <c r="MI87" i="25"/>
  <c r="MK87" i="25" s="1"/>
  <c r="ML87" i="25" s="1"/>
  <c r="BW87" i="25" s="1"/>
  <c r="BA87" i="25" s="1"/>
  <c r="OI87" i="25"/>
  <c r="JI87" i="25"/>
  <c r="JK87" i="25" s="1"/>
  <c r="JL87" i="25" s="1"/>
  <c r="BT87" i="25" s="1"/>
  <c r="KI87" i="25"/>
  <c r="KK87" i="25" s="1"/>
  <c r="KL87" i="25" s="1"/>
  <c r="BU87" i="25" s="1"/>
  <c r="LI87" i="25"/>
  <c r="LK87" i="25" s="1"/>
  <c r="LL87" i="25" s="1"/>
  <c r="BV87" i="25" s="1"/>
  <c r="AZ87" i="25" s="1"/>
  <c r="AG87" i="25"/>
  <c r="S87" i="19" s="1"/>
  <c r="AG67" i="25"/>
  <c r="S67" i="19" s="1"/>
  <c r="LI67" i="25"/>
  <c r="LK67" i="25" s="1"/>
  <c r="LL67" i="25" s="1"/>
  <c r="MI67" i="25"/>
  <c r="MK67" i="25" s="1"/>
  <c r="ML67" i="25" s="1"/>
  <c r="OI67" i="25"/>
  <c r="KI67" i="25"/>
  <c r="KK67" i="25" s="1"/>
  <c r="KL67" i="25" s="1"/>
  <c r="BU67" i="25" s="1"/>
  <c r="JI67" i="25"/>
  <c r="JK67" i="25" s="1"/>
  <c r="JL67" i="25" s="1"/>
  <c r="NI67" i="25"/>
  <c r="NK67" i="25" s="1"/>
  <c r="NL67" i="25" s="1"/>
  <c r="PI65" i="25"/>
  <c r="EK65" i="25"/>
  <c r="EL65" i="25"/>
  <c r="PI66" i="25"/>
  <c r="EL66" i="25"/>
  <c r="EK66" i="25"/>
  <c r="OI85" i="25"/>
  <c r="MI85" i="25"/>
  <c r="MK85" i="25" s="1"/>
  <c r="ML85" i="25" s="1"/>
  <c r="BW85" i="25" s="1"/>
  <c r="BA85" i="25" s="1"/>
  <c r="KI85" i="25"/>
  <c r="KK85" i="25" s="1"/>
  <c r="KL85" i="25" s="1"/>
  <c r="BU85" i="25" s="1"/>
  <c r="LI85" i="25"/>
  <c r="LK85" i="25" s="1"/>
  <c r="LL85" i="25" s="1"/>
  <c r="BV85" i="25" s="1"/>
  <c r="AZ85" i="25" s="1"/>
  <c r="NI85" i="25"/>
  <c r="NK85" i="25" s="1"/>
  <c r="NL85" i="25" s="1"/>
  <c r="BX85" i="25" s="1"/>
  <c r="JI85" i="25"/>
  <c r="JK85" i="25" s="1"/>
  <c r="JL85" i="25" s="1"/>
  <c r="BT85" i="25" s="1"/>
  <c r="AX85" i="25" s="1"/>
  <c r="AG85" i="25"/>
  <c r="S85" i="19" s="1"/>
  <c r="EK69" i="25"/>
  <c r="EL69" i="25"/>
  <c r="PI69" i="25"/>
  <c r="AA63" i="19"/>
  <c r="EL63" i="25"/>
  <c r="PI63" i="25"/>
  <c r="EK63" i="25"/>
  <c r="DG88" i="25"/>
  <c r="MM88" i="25"/>
  <c r="DN88" i="25" s="1"/>
  <c r="DF88" i="25"/>
  <c r="LM88" i="25"/>
  <c r="DM88" i="25" s="1"/>
  <c r="EL78" i="25"/>
  <c r="PI78" i="25"/>
  <c r="EK78" i="25"/>
  <c r="OI63" i="25"/>
  <c r="LI63" i="25"/>
  <c r="MI63" i="25"/>
  <c r="MK63" i="25" s="1"/>
  <c r="ML63" i="25" s="1"/>
  <c r="KI63" i="25"/>
  <c r="KK63" i="25" s="1"/>
  <c r="KL63" i="25" s="1"/>
  <c r="BU63" i="25" s="1"/>
  <c r="NI63" i="25"/>
  <c r="NK63" i="25" s="1"/>
  <c r="NL63" i="25" s="1"/>
  <c r="JI63" i="25"/>
  <c r="JK63" i="25" s="1"/>
  <c r="JL63" i="25" s="1"/>
  <c r="PI73" i="25"/>
  <c r="EK73" i="25"/>
  <c r="EN73" i="25" s="1"/>
  <c r="EL73" i="25"/>
  <c r="PK25" i="25"/>
  <c r="PL25" i="25" s="1"/>
  <c r="BK25" i="25" s="1"/>
  <c r="PK45" i="25"/>
  <c r="PL45" i="25" s="1"/>
  <c r="BK45" i="25" s="1"/>
  <c r="PK24" i="25"/>
  <c r="PL24" i="25" s="1"/>
  <c r="BK24" i="25" s="1"/>
  <c r="PK42" i="25"/>
  <c r="PL42" i="25" s="1"/>
  <c r="BK42" i="25" s="1"/>
  <c r="OK45" i="25"/>
  <c r="OL45" i="25" s="1"/>
  <c r="BI45" i="25" s="1"/>
  <c r="OK40" i="25"/>
  <c r="OL40" i="25" s="1"/>
  <c r="BI40" i="25" s="1"/>
  <c r="PK28" i="25"/>
  <c r="PL28" i="25" s="1"/>
  <c r="BK28" i="25" s="1"/>
  <c r="OK56" i="25"/>
  <c r="OL56" i="25" s="1"/>
  <c r="BI56" i="25" s="1"/>
  <c r="PK31" i="25"/>
  <c r="PL31" i="25" s="1"/>
  <c r="BK31" i="25" s="1"/>
  <c r="PK52" i="25"/>
  <c r="PL52" i="25" s="1"/>
  <c r="BK52" i="25" s="1"/>
  <c r="OK30" i="25"/>
  <c r="OL30" i="25" s="1"/>
  <c r="BI30" i="25" s="1"/>
  <c r="OK59" i="25"/>
  <c r="OL59" i="25" s="1"/>
  <c r="BI59" i="25" s="1"/>
  <c r="AW59" i="25" s="1"/>
  <c r="PK34" i="25"/>
  <c r="PL34" i="25" s="1"/>
  <c r="BK34" i="25" s="1"/>
  <c r="PK44" i="25"/>
  <c r="PL44" i="25" s="1"/>
  <c r="BK44" i="25" s="1"/>
  <c r="OK54" i="25"/>
  <c r="OL54" i="25" s="1"/>
  <c r="BI54" i="25" s="1"/>
  <c r="OK35" i="25"/>
  <c r="OL35" i="25" s="1"/>
  <c r="BI35" i="25" s="1"/>
  <c r="OK29" i="25"/>
  <c r="OL29" i="25" s="1"/>
  <c r="BI29" i="25" s="1"/>
  <c r="OK34" i="25"/>
  <c r="OL34" i="25" s="1"/>
  <c r="BI34" i="25" s="1"/>
  <c r="KM48" i="25"/>
  <c r="DL48" i="25" s="1"/>
  <c r="JM48" i="25"/>
  <c r="DK48" i="25" s="1"/>
  <c r="DD48" i="25"/>
  <c r="PI89" i="25"/>
  <c r="EK89" i="25"/>
  <c r="EL89" i="25"/>
  <c r="AG71" i="25"/>
  <c r="S71" i="19" s="1"/>
  <c r="MI71" i="25"/>
  <c r="MK71" i="25" s="1"/>
  <c r="ML71" i="25" s="1"/>
  <c r="NI71" i="25"/>
  <c r="NK71" i="25" s="1"/>
  <c r="NL71" i="25" s="1"/>
  <c r="JI71" i="25"/>
  <c r="JK71" i="25" s="1"/>
  <c r="JL71" i="25" s="1"/>
  <c r="LI71" i="25"/>
  <c r="LK71" i="25" s="1"/>
  <c r="LL71" i="25" s="1"/>
  <c r="KI71" i="25"/>
  <c r="KK71" i="25" s="1"/>
  <c r="KL71" i="25" s="1"/>
  <c r="BU71" i="25" s="1"/>
  <c r="OI71" i="25"/>
  <c r="JI86" i="25"/>
  <c r="JK86" i="25" s="1"/>
  <c r="JL86" i="25" s="1"/>
  <c r="BT86" i="25" s="1"/>
  <c r="LI86" i="25"/>
  <c r="OI86" i="25"/>
  <c r="KI86" i="25"/>
  <c r="MI86" i="25"/>
  <c r="MK86" i="25" s="1"/>
  <c r="ML86" i="25" s="1"/>
  <c r="BW86" i="25" s="1"/>
  <c r="BA86" i="25" s="1"/>
  <c r="NI86" i="25"/>
  <c r="AG86" i="25"/>
  <c r="S86" i="19" s="1"/>
  <c r="LI102" i="25"/>
  <c r="LK102" i="25" s="1"/>
  <c r="LL102" i="25" s="1"/>
  <c r="BV102" i="25" s="1"/>
  <c r="MI102" i="25"/>
  <c r="MK102" i="25" s="1"/>
  <c r="ML102" i="25" s="1"/>
  <c r="BW102" i="25" s="1"/>
  <c r="OI102" i="25"/>
  <c r="KI102" i="25"/>
  <c r="JI102" i="25"/>
  <c r="NI102" i="25"/>
  <c r="NK102" i="25" s="1"/>
  <c r="NL102" i="25" s="1"/>
  <c r="BX102" i="25" s="1"/>
  <c r="AG102" i="25"/>
  <c r="S102" i="19" s="1"/>
  <c r="PI70" i="25"/>
  <c r="EK70" i="25"/>
  <c r="EL70" i="25"/>
  <c r="JI68" i="25"/>
  <c r="KI68" i="25"/>
  <c r="KK68" i="25" s="1"/>
  <c r="KL68" i="25" s="1"/>
  <c r="BU68" i="25" s="1"/>
  <c r="LI68" i="25"/>
  <c r="LK68" i="25" s="1"/>
  <c r="LL68" i="25" s="1"/>
  <c r="MI68" i="25"/>
  <c r="MK68" i="25" s="1"/>
  <c r="ML68" i="25" s="1"/>
  <c r="NI68" i="25"/>
  <c r="NK68" i="25" s="1"/>
  <c r="NL68" i="25" s="1"/>
  <c r="OI68" i="25"/>
  <c r="EK80" i="25"/>
  <c r="PI80" i="25"/>
  <c r="EL80" i="25"/>
  <c r="EL94" i="25"/>
  <c r="EK94" i="25"/>
  <c r="EN94" i="25" s="1"/>
  <c r="PI94" i="25"/>
  <c r="KI99" i="25"/>
  <c r="KK99" i="25" s="1"/>
  <c r="KL99" i="25" s="1"/>
  <c r="BU99" i="25" s="1"/>
  <c r="NI99" i="25"/>
  <c r="NK99" i="25" s="1"/>
  <c r="NL99" i="25" s="1"/>
  <c r="BX99" i="25" s="1"/>
  <c r="OI99" i="25"/>
  <c r="MI99" i="25"/>
  <c r="MK99" i="25" s="1"/>
  <c r="ML99" i="25" s="1"/>
  <c r="BW99" i="25" s="1"/>
  <c r="BA99" i="25" s="1"/>
  <c r="LI99" i="25"/>
  <c r="LK99" i="25" s="1"/>
  <c r="LL99" i="25" s="1"/>
  <c r="BV99" i="25" s="1"/>
  <c r="AZ99" i="25" s="1"/>
  <c r="JI99" i="25"/>
  <c r="JK99" i="25" s="1"/>
  <c r="JL99" i="25" s="1"/>
  <c r="BT99" i="25" s="1"/>
  <c r="AX99" i="25" s="1"/>
  <c r="AG99" i="25"/>
  <c r="S99" i="19" s="1"/>
  <c r="KI75" i="25"/>
  <c r="KK75" i="25" s="1"/>
  <c r="KL75" i="25" s="1"/>
  <c r="BU75" i="25" s="1"/>
  <c r="MI75" i="25"/>
  <c r="MK75" i="25" s="1"/>
  <c r="ML75" i="25" s="1"/>
  <c r="BW75" i="25" s="1"/>
  <c r="BA75" i="25" s="1"/>
  <c r="OI75" i="25"/>
  <c r="NI75" i="25"/>
  <c r="NK75" i="25" s="1"/>
  <c r="NL75" i="25" s="1"/>
  <c r="BX75" i="25" s="1"/>
  <c r="LI75" i="25"/>
  <c r="LK75" i="25" s="1"/>
  <c r="LL75" i="25" s="1"/>
  <c r="BV75" i="25" s="1"/>
  <c r="AZ75" i="25" s="1"/>
  <c r="JI75" i="25"/>
  <c r="JK75" i="25" s="1"/>
  <c r="JL75" i="25" s="1"/>
  <c r="BT75" i="25" s="1"/>
  <c r="AX75" i="25" s="1"/>
  <c r="AG75" i="25"/>
  <c r="S75" i="19" s="1"/>
  <c r="MI90" i="25"/>
  <c r="MK90" i="25" s="1"/>
  <c r="ML90" i="25" s="1"/>
  <c r="BW90" i="25" s="1"/>
  <c r="KI90" i="25"/>
  <c r="KK90" i="25" s="1"/>
  <c r="KL90" i="25" s="1"/>
  <c r="BU90" i="25" s="1"/>
  <c r="LI90" i="25"/>
  <c r="LK90" i="25" s="1"/>
  <c r="LL90" i="25" s="1"/>
  <c r="BV90" i="25" s="1"/>
  <c r="AZ90" i="25" s="1"/>
  <c r="OI90" i="25"/>
  <c r="AG90" i="25"/>
  <c r="S90" i="19" s="1"/>
  <c r="JI90" i="25"/>
  <c r="JK90" i="25" s="1"/>
  <c r="JL90" i="25" s="1"/>
  <c r="BT90" i="25" s="1"/>
  <c r="AX90" i="25" s="1"/>
  <c r="NI90" i="25"/>
  <c r="KI80" i="25"/>
  <c r="KK80" i="25" s="1"/>
  <c r="KL80" i="25" s="1"/>
  <c r="BU80" i="25" s="1"/>
  <c r="JI80" i="25"/>
  <c r="JK80" i="25" s="1"/>
  <c r="JL80" i="25" s="1"/>
  <c r="BT80" i="25" s="1"/>
  <c r="AX80" i="25" s="1"/>
  <c r="LI80" i="25"/>
  <c r="LK80" i="25" s="1"/>
  <c r="LL80" i="25" s="1"/>
  <c r="BV80" i="25" s="1"/>
  <c r="NI80" i="25"/>
  <c r="NK80" i="25" s="1"/>
  <c r="NL80" i="25" s="1"/>
  <c r="BX80" i="25" s="1"/>
  <c r="BB80" i="25" s="1"/>
  <c r="OI80" i="25"/>
  <c r="MI80" i="25"/>
  <c r="MK80" i="25" s="1"/>
  <c r="ML80" i="25" s="1"/>
  <c r="BW80" i="25" s="1"/>
  <c r="BA80" i="25" s="1"/>
  <c r="AG80" i="25"/>
  <c r="S80" i="19" s="1"/>
  <c r="JI94" i="25"/>
  <c r="JK94" i="25" s="1"/>
  <c r="JL94" i="25" s="1"/>
  <c r="BT94" i="25" s="1"/>
  <c r="LI94" i="25"/>
  <c r="LK94" i="25" s="1"/>
  <c r="LL94" i="25" s="1"/>
  <c r="BV94" i="25" s="1"/>
  <c r="AZ94" i="25" s="1"/>
  <c r="AG94" i="25"/>
  <c r="S94" i="19" s="1"/>
  <c r="MI94" i="25"/>
  <c r="MK94" i="25" s="1"/>
  <c r="ML94" i="25" s="1"/>
  <c r="BW94" i="25" s="1"/>
  <c r="BA94" i="25" s="1"/>
  <c r="OI94" i="25"/>
  <c r="KI94" i="25"/>
  <c r="KK94" i="25" s="1"/>
  <c r="KL94" i="25" s="1"/>
  <c r="BU94" i="25" s="1"/>
  <c r="NI94" i="25"/>
  <c r="NK94" i="25" s="1"/>
  <c r="NL94" i="25" s="1"/>
  <c r="BX94" i="25" s="1"/>
  <c r="BB94" i="25" s="1"/>
  <c r="DD88" i="25"/>
  <c r="JM88" i="25"/>
  <c r="DK88" i="25" s="1"/>
  <c r="PI91" i="25"/>
  <c r="EK91" i="25"/>
  <c r="EL91" i="25"/>
  <c r="EL95" i="25"/>
  <c r="EK95" i="25"/>
  <c r="PI95" i="25"/>
  <c r="PI84" i="25"/>
  <c r="EL84" i="25"/>
  <c r="EK84" i="25"/>
  <c r="PI83" i="25"/>
  <c r="EL83" i="25"/>
  <c r="EK83" i="25"/>
  <c r="EN83" i="25" s="1"/>
  <c r="EL93" i="25"/>
  <c r="PI93" i="25"/>
  <c r="EK93" i="25"/>
  <c r="EN93" i="25" s="1"/>
  <c r="MI76" i="25"/>
  <c r="MK76" i="25" s="1"/>
  <c r="ML76" i="25" s="1"/>
  <c r="BW76" i="25" s="1"/>
  <c r="BA76" i="25" s="1"/>
  <c r="OI76" i="25"/>
  <c r="JI76" i="25"/>
  <c r="JK76" i="25" s="1"/>
  <c r="JL76" i="25" s="1"/>
  <c r="BT76" i="25" s="1"/>
  <c r="LI76" i="25"/>
  <c r="LK76" i="25" s="1"/>
  <c r="LL76" i="25" s="1"/>
  <c r="BV76" i="25" s="1"/>
  <c r="AZ76" i="25" s="1"/>
  <c r="KI76" i="25"/>
  <c r="NI76" i="25"/>
  <c r="NK76" i="25" s="1"/>
  <c r="NL76" i="25" s="1"/>
  <c r="BX76" i="25" s="1"/>
  <c r="BB76" i="25" s="1"/>
  <c r="AG76" i="25"/>
  <c r="S76" i="19" s="1"/>
  <c r="EL82" i="25"/>
  <c r="EK82" i="25"/>
  <c r="EN82" i="25" s="1"/>
  <c r="PI82" i="25"/>
  <c r="PI103" i="25"/>
  <c r="EL103" i="25"/>
  <c r="EK103" i="25"/>
  <c r="EN103" i="25" s="1"/>
  <c r="EK58" i="25"/>
  <c r="PI58" i="25"/>
  <c r="EL58" i="25"/>
  <c r="OI61" i="25"/>
  <c r="NI61" i="25"/>
  <c r="NK61" i="25" s="1"/>
  <c r="NL61" i="25" s="1"/>
  <c r="LI61" i="25"/>
  <c r="LK61" i="25" s="1"/>
  <c r="LL61" i="25" s="1"/>
  <c r="KI61" i="25"/>
  <c r="KK61" i="25" s="1"/>
  <c r="KL61" i="25" s="1"/>
  <c r="BU61" i="25" s="1"/>
  <c r="JI61" i="25"/>
  <c r="JK61" i="25" s="1"/>
  <c r="JL61" i="25" s="1"/>
  <c r="MI61" i="25"/>
  <c r="MK61" i="25" s="1"/>
  <c r="ML61" i="25" s="1"/>
  <c r="EK59" i="25"/>
  <c r="PI59" i="25"/>
  <c r="EL59" i="25"/>
  <c r="EK41" i="25"/>
  <c r="PI41" i="25"/>
  <c r="EL41" i="25"/>
  <c r="PI53" i="25"/>
  <c r="EL53" i="25"/>
  <c r="EK53" i="25"/>
  <c r="OK88" i="25"/>
  <c r="OL88" i="25" s="1"/>
  <c r="BI88" i="25" s="1"/>
  <c r="AW88" i="25" s="1"/>
  <c r="OK42" i="25"/>
  <c r="OL42" i="25" s="1"/>
  <c r="BI42" i="25" s="1"/>
  <c r="OK47" i="25"/>
  <c r="OL47" i="25" s="1"/>
  <c r="BI47" i="25" s="1"/>
  <c r="OK57" i="25"/>
  <c r="OL57" i="25" s="1"/>
  <c r="BI57" i="25" s="1"/>
  <c r="PK29" i="25"/>
  <c r="PL29" i="25" s="1"/>
  <c r="BK29" i="25" s="1"/>
  <c r="OK39" i="25"/>
  <c r="OL39" i="25" s="1"/>
  <c r="BI39" i="25" s="1"/>
  <c r="OK38" i="25"/>
  <c r="OL38" i="25" s="1"/>
  <c r="BI38" i="25" s="1"/>
  <c r="PK47" i="25"/>
  <c r="PL47" i="25" s="1"/>
  <c r="BK47" i="25" s="1"/>
  <c r="OK49" i="25"/>
  <c r="OL49" i="25" s="1"/>
  <c r="BI49" i="25" s="1"/>
  <c r="PK23" i="25"/>
  <c r="PL23" i="25" s="1"/>
  <c r="BK23" i="25" s="1"/>
  <c r="OK58" i="25"/>
  <c r="OL58" i="25" s="1"/>
  <c r="BI58" i="25" s="1"/>
  <c r="AW58" i="25" s="1"/>
  <c r="PK40" i="25"/>
  <c r="PL40" i="25" s="1"/>
  <c r="BK40" i="25" s="1"/>
  <c r="OK41" i="25"/>
  <c r="OL41" i="25" s="1"/>
  <c r="BI41" i="25" s="1"/>
  <c r="OK48" i="25"/>
  <c r="OL48" i="25" s="1"/>
  <c r="BI48" i="25" s="1"/>
  <c r="AW48" i="25" s="1"/>
  <c r="PK51" i="25"/>
  <c r="PL51" i="25" s="1"/>
  <c r="BK51" i="25" s="1"/>
  <c r="IM48" i="25"/>
  <c r="DJ48" i="25" s="1"/>
  <c r="MI95" i="25"/>
  <c r="NI95" i="25"/>
  <c r="NK95" i="25" s="1"/>
  <c r="NL95" i="25" s="1"/>
  <c r="BX95" i="25" s="1"/>
  <c r="BB95" i="25" s="1"/>
  <c r="OI95" i="25"/>
  <c r="LI95" i="25"/>
  <c r="LK95" i="25" s="1"/>
  <c r="LL95" i="25" s="1"/>
  <c r="BV95" i="25" s="1"/>
  <c r="AZ95" i="25" s="1"/>
  <c r="KI95" i="25"/>
  <c r="KK95" i="25" s="1"/>
  <c r="KL95" i="25" s="1"/>
  <c r="BU95" i="25" s="1"/>
  <c r="JI95" i="25"/>
  <c r="JK95" i="25" s="1"/>
  <c r="JL95" i="25" s="1"/>
  <c r="BT95" i="25" s="1"/>
  <c r="AG95" i="25"/>
  <c r="S95" i="19" s="1"/>
  <c r="NI84" i="25"/>
  <c r="NK84" i="25" s="1"/>
  <c r="NL84" i="25" s="1"/>
  <c r="BX84" i="25" s="1"/>
  <c r="OI84" i="25"/>
  <c r="MI84" i="25"/>
  <c r="MK84" i="25" s="1"/>
  <c r="ML84" i="25" s="1"/>
  <c r="BW84" i="25" s="1"/>
  <c r="BA84" i="25" s="1"/>
  <c r="LI84" i="25"/>
  <c r="LK84" i="25" s="1"/>
  <c r="LL84" i="25" s="1"/>
  <c r="BV84" i="25" s="1"/>
  <c r="AZ84" i="25" s="1"/>
  <c r="KI84" i="25"/>
  <c r="KK84" i="25" s="1"/>
  <c r="KL84" i="25" s="1"/>
  <c r="BU84" i="25" s="1"/>
  <c r="JI84" i="25"/>
  <c r="AG84" i="25"/>
  <c r="S84" i="19" s="1"/>
  <c r="KI83" i="25"/>
  <c r="OI83" i="25"/>
  <c r="MI83" i="25"/>
  <c r="LI83" i="25"/>
  <c r="LK83" i="25" s="1"/>
  <c r="LL83" i="25" s="1"/>
  <c r="BV83" i="25" s="1"/>
  <c r="AZ83" i="25" s="1"/>
  <c r="NI83" i="25"/>
  <c r="NK83" i="25" s="1"/>
  <c r="NL83" i="25" s="1"/>
  <c r="BX83" i="25" s="1"/>
  <c r="BB83" i="25" s="1"/>
  <c r="JI83" i="25"/>
  <c r="JK83" i="25" s="1"/>
  <c r="JL83" i="25" s="1"/>
  <c r="BT83" i="25" s="1"/>
  <c r="AG83" i="25"/>
  <c r="S83" i="19" s="1"/>
  <c r="OI93" i="25"/>
  <c r="LI93" i="25"/>
  <c r="LK93" i="25" s="1"/>
  <c r="LL93" i="25" s="1"/>
  <c r="BV93" i="25" s="1"/>
  <c r="AZ93" i="25" s="1"/>
  <c r="JI93" i="25"/>
  <c r="JK93" i="25" s="1"/>
  <c r="JL93" i="25" s="1"/>
  <c r="BT93" i="25" s="1"/>
  <c r="KI93" i="25"/>
  <c r="MI93" i="25"/>
  <c r="MK93" i="25" s="1"/>
  <c r="ML93" i="25" s="1"/>
  <c r="BW93" i="25" s="1"/>
  <c r="BA93" i="25" s="1"/>
  <c r="NI93" i="25"/>
  <c r="NK93" i="25" s="1"/>
  <c r="NL93" i="25" s="1"/>
  <c r="BX93" i="25" s="1"/>
  <c r="BB93" i="25" s="1"/>
  <c r="AG93" i="25"/>
  <c r="S93" i="19" s="1"/>
  <c r="PI81" i="25"/>
  <c r="EL81" i="25"/>
  <c r="EK81" i="25"/>
  <c r="MI101" i="25"/>
  <c r="MK101" i="25" s="1"/>
  <c r="ML101" i="25" s="1"/>
  <c r="BW101" i="25" s="1"/>
  <c r="BA101" i="25" s="1"/>
  <c r="KI101" i="25"/>
  <c r="KK101" i="25" s="1"/>
  <c r="KL101" i="25" s="1"/>
  <c r="BU101" i="25" s="1"/>
  <c r="LI101" i="25"/>
  <c r="LK101" i="25" s="1"/>
  <c r="LL101" i="25" s="1"/>
  <c r="BV101" i="25" s="1"/>
  <c r="AZ101" i="25" s="1"/>
  <c r="NI101" i="25"/>
  <c r="NK101" i="25" s="1"/>
  <c r="NL101" i="25" s="1"/>
  <c r="BX101" i="25" s="1"/>
  <c r="BB101" i="25" s="1"/>
  <c r="OI101" i="25"/>
  <c r="JI101" i="25"/>
  <c r="JK101" i="25" s="1"/>
  <c r="JL101" i="25" s="1"/>
  <c r="BT101" i="25" s="1"/>
  <c r="AG101" i="25"/>
  <c r="S101" i="19" s="1"/>
  <c r="MI73" i="25"/>
  <c r="MK73" i="25" s="1"/>
  <c r="ML73" i="25" s="1"/>
  <c r="BW73" i="25" s="1"/>
  <c r="BA73" i="25" s="1"/>
  <c r="JI73" i="25"/>
  <c r="JK73" i="25" s="1"/>
  <c r="JL73" i="25" s="1"/>
  <c r="BT73" i="25" s="1"/>
  <c r="NI73" i="25"/>
  <c r="KI73" i="25"/>
  <c r="KK73" i="25" s="1"/>
  <c r="KL73" i="25" s="1"/>
  <c r="BU73" i="25" s="1"/>
  <c r="LI73" i="25"/>
  <c r="LK73" i="25" s="1"/>
  <c r="LL73" i="25" s="1"/>
  <c r="BV73" i="25" s="1"/>
  <c r="AZ73" i="25" s="1"/>
  <c r="OI73" i="25"/>
  <c r="AG73" i="25"/>
  <c r="S73" i="19" s="1"/>
  <c r="EL96" i="25"/>
  <c r="PI96" i="25"/>
  <c r="EK96" i="25"/>
  <c r="EN96" i="25" s="1"/>
  <c r="EK100" i="25"/>
  <c r="PI100" i="25"/>
  <c r="EL100" i="25"/>
  <c r="JI81" i="25"/>
  <c r="JK81" i="25" s="1"/>
  <c r="JL81" i="25" s="1"/>
  <c r="BT81" i="25" s="1"/>
  <c r="OI81" i="25"/>
  <c r="MI81" i="25"/>
  <c r="MK81" i="25" s="1"/>
  <c r="ML81" i="25" s="1"/>
  <c r="BW81" i="25" s="1"/>
  <c r="BA81" i="25" s="1"/>
  <c r="LI81" i="25"/>
  <c r="LK81" i="25" s="1"/>
  <c r="LL81" i="25" s="1"/>
  <c r="BV81" i="25" s="1"/>
  <c r="AZ81" i="25" s="1"/>
  <c r="NI81" i="25"/>
  <c r="NK81" i="25" s="1"/>
  <c r="NL81" i="25" s="1"/>
  <c r="BX81" i="25" s="1"/>
  <c r="BB81" i="25" s="1"/>
  <c r="KI81" i="25"/>
  <c r="KK81" i="25" s="1"/>
  <c r="KL81" i="25" s="1"/>
  <c r="BU81" i="25" s="1"/>
  <c r="AG81" i="25"/>
  <c r="S81" i="19" s="1"/>
  <c r="EK64" i="25"/>
  <c r="PI64" i="25"/>
  <c r="EL64" i="25"/>
  <c r="AG70" i="25"/>
  <c r="S70" i="19" s="1"/>
  <c r="OI70" i="25"/>
  <c r="KI70" i="25"/>
  <c r="KK70" i="25" s="1"/>
  <c r="KL70" i="25" s="1"/>
  <c r="BU70" i="25" s="1"/>
  <c r="MI70" i="25"/>
  <c r="MK70" i="25" s="1"/>
  <c r="ML70" i="25" s="1"/>
  <c r="LI70" i="25"/>
  <c r="LK70" i="25" s="1"/>
  <c r="LL70" i="25" s="1"/>
  <c r="JI70" i="25"/>
  <c r="JK70" i="25" s="1"/>
  <c r="JL70" i="25" s="1"/>
  <c r="NI70" i="25"/>
  <c r="NK70" i="25" s="1"/>
  <c r="NL70" i="25" s="1"/>
  <c r="EK76" i="25"/>
  <c r="EN76" i="25" s="1"/>
  <c r="EL76" i="25"/>
  <c r="PI76" i="25"/>
  <c r="KI72" i="25"/>
  <c r="KK72" i="25" s="1"/>
  <c r="KL72" i="25" s="1"/>
  <c r="BU72" i="25" s="1"/>
  <c r="JI72" i="25"/>
  <c r="JK72" i="25" s="1"/>
  <c r="JL72" i="25" s="1"/>
  <c r="BT72" i="25" s="1"/>
  <c r="AX72" i="25" s="1"/>
  <c r="MI72" i="25"/>
  <c r="MK72" i="25" s="1"/>
  <c r="ML72" i="25" s="1"/>
  <c r="BW72" i="25" s="1"/>
  <c r="NI72" i="25"/>
  <c r="NK72" i="25" s="1"/>
  <c r="NL72" i="25" s="1"/>
  <c r="BX72" i="25" s="1"/>
  <c r="BB72" i="25" s="1"/>
  <c r="OI72" i="25"/>
  <c r="LI72" i="25"/>
  <c r="AG72" i="25"/>
  <c r="S72" i="19" s="1"/>
  <c r="KM88" i="25"/>
  <c r="DL88" i="25" s="1"/>
  <c r="KI66" i="25"/>
  <c r="KK66" i="25" s="1"/>
  <c r="KL66" i="25" s="1"/>
  <c r="BU66" i="25" s="1"/>
  <c r="JI66" i="25"/>
  <c r="JK66" i="25" s="1"/>
  <c r="JL66" i="25" s="1"/>
  <c r="LI66" i="25"/>
  <c r="LK66" i="25" s="1"/>
  <c r="LL66" i="25" s="1"/>
  <c r="OI66" i="25"/>
  <c r="MI66" i="25"/>
  <c r="MK66" i="25" s="1"/>
  <c r="ML66" i="25" s="1"/>
  <c r="NI66" i="25"/>
  <c r="LI74" i="25"/>
  <c r="LK74" i="25" s="1"/>
  <c r="LL74" i="25" s="1"/>
  <c r="BV74" i="25" s="1"/>
  <c r="AZ74" i="25" s="1"/>
  <c r="JI74" i="25"/>
  <c r="JK74" i="25" s="1"/>
  <c r="JL74" i="25" s="1"/>
  <c r="BT74" i="25" s="1"/>
  <c r="OI74" i="25"/>
  <c r="MI74" i="25"/>
  <c r="MK74" i="25" s="1"/>
  <c r="ML74" i="25" s="1"/>
  <c r="BW74" i="25" s="1"/>
  <c r="BA74" i="25" s="1"/>
  <c r="NI74" i="25"/>
  <c r="NK74" i="25" s="1"/>
  <c r="NL74" i="25" s="1"/>
  <c r="BX74" i="25" s="1"/>
  <c r="BB74" i="25" s="1"/>
  <c r="KI74" i="25"/>
  <c r="KK74" i="25" s="1"/>
  <c r="KL74" i="25" s="1"/>
  <c r="BU74" i="25" s="1"/>
  <c r="AG74" i="25"/>
  <c r="S74" i="19" s="1"/>
  <c r="PI92" i="25"/>
  <c r="EK92" i="25"/>
  <c r="EL92" i="25"/>
  <c r="PI71" i="25"/>
  <c r="EL71" i="25"/>
  <c r="EK71" i="25"/>
  <c r="EL77" i="25"/>
  <c r="EK77" i="25"/>
  <c r="PI77" i="25"/>
  <c r="KI91" i="25"/>
  <c r="KK91" i="25" s="1"/>
  <c r="KL91" i="25" s="1"/>
  <c r="BU91" i="25" s="1"/>
  <c r="MI91" i="25"/>
  <c r="MK91" i="25" s="1"/>
  <c r="ML91" i="25" s="1"/>
  <c r="BW91" i="25" s="1"/>
  <c r="BA91" i="25" s="1"/>
  <c r="NI91" i="25"/>
  <c r="NK91" i="25" s="1"/>
  <c r="NL91" i="25" s="1"/>
  <c r="BX91" i="25" s="1"/>
  <c r="BB91" i="25" s="1"/>
  <c r="LI91" i="25"/>
  <c r="LK91" i="25" s="1"/>
  <c r="LL91" i="25" s="1"/>
  <c r="BV91" i="25" s="1"/>
  <c r="AZ91" i="25" s="1"/>
  <c r="OI91" i="25"/>
  <c r="JI91" i="25"/>
  <c r="JK91" i="25" s="1"/>
  <c r="JL91" i="25" s="1"/>
  <c r="BT91" i="25" s="1"/>
  <c r="AG91" i="25"/>
  <c r="S91" i="19" s="1"/>
  <c r="AG25" i="25"/>
  <c r="S25" i="19" s="1"/>
  <c r="JI25" i="25"/>
  <c r="JK25" i="25" s="1"/>
  <c r="JL25" i="25" s="1"/>
  <c r="BT25" i="25" s="1"/>
  <c r="AX25" i="25" s="1"/>
  <c r="KI25" i="25"/>
  <c r="KK25" i="25" s="1"/>
  <c r="KL25" i="25" s="1"/>
  <c r="BU25" i="25" s="1"/>
  <c r="OI25" i="25"/>
  <c r="MI25" i="25"/>
  <c r="MK25" i="25" s="1"/>
  <c r="ML25" i="25" s="1"/>
  <c r="BW25" i="25" s="1"/>
  <c r="BA25" i="25" s="1"/>
  <c r="NI25" i="25"/>
  <c r="NK25" i="25" s="1"/>
  <c r="NL25" i="25" s="1"/>
  <c r="BX25" i="25" s="1"/>
  <c r="BB25" i="25" s="1"/>
  <c r="LI25" i="25"/>
  <c r="LK25" i="25" s="1"/>
  <c r="LL25" i="25" s="1"/>
  <c r="BV25" i="25" s="1"/>
  <c r="AZ25" i="25" s="1"/>
  <c r="AG24" i="25"/>
  <c r="S24" i="19" s="1"/>
  <c r="LI24" i="25"/>
  <c r="JI24" i="25"/>
  <c r="JK24" i="25" s="1"/>
  <c r="JL24" i="25" s="1"/>
  <c r="BT24" i="25" s="1"/>
  <c r="OI24" i="25"/>
  <c r="MI24" i="25"/>
  <c r="MK24" i="25" s="1"/>
  <c r="ML24" i="25" s="1"/>
  <c r="BW24" i="25" s="1"/>
  <c r="BA24" i="25" s="1"/>
  <c r="KI24" i="25"/>
  <c r="KK24" i="25" s="1"/>
  <c r="KL24" i="25" s="1"/>
  <c r="BU24" i="25" s="1"/>
  <c r="NI24" i="25"/>
  <c r="NK24" i="25" s="1"/>
  <c r="NL24" i="25" s="1"/>
  <c r="BX24" i="25" s="1"/>
  <c r="BB24" i="25" s="1"/>
  <c r="PI61" i="25"/>
  <c r="EL61" i="25"/>
  <c r="EK61" i="25"/>
  <c r="PI56" i="25"/>
  <c r="EK56" i="25"/>
  <c r="EL56" i="25"/>
  <c r="PI57" i="25"/>
  <c r="EL57" i="25"/>
  <c r="EK57" i="25"/>
  <c r="JI62" i="25"/>
  <c r="JK62" i="25" s="1"/>
  <c r="JL62" i="25" s="1"/>
  <c r="NI62" i="25"/>
  <c r="NK62" i="25" s="1"/>
  <c r="NL62" i="25" s="1"/>
  <c r="LI62" i="25"/>
  <c r="LK62" i="25" s="1"/>
  <c r="LL62" i="25" s="1"/>
  <c r="KI62" i="25"/>
  <c r="KK62" i="25" s="1"/>
  <c r="KL62" i="25" s="1"/>
  <c r="BU62" i="25" s="1"/>
  <c r="OI62" i="25"/>
  <c r="MI62" i="25"/>
  <c r="MK62" i="25" s="1"/>
  <c r="ML62" i="25" s="1"/>
  <c r="EK60" i="25"/>
  <c r="EL60" i="25"/>
  <c r="PI60" i="25"/>
  <c r="PI62" i="25"/>
  <c r="EL62" i="25"/>
  <c r="EK62" i="25"/>
  <c r="AG28" i="25"/>
  <c r="S28" i="19" s="1"/>
  <c r="MI28" i="25"/>
  <c r="LI28" i="25"/>
  <c r="LK28" i="25" s="1"/>
  <c r="LL28" i="25" s="1"/>
  <c r="BV28" i="25" s="1"/>
  <c r="AZ28" i="25" s="1"/>
  <c r="JI28" i="25"/>
  <c r="JK28" i="25" s="1"/>
  <c r="JL28" i="25" s="1"/>
  <c r="BT28" i="25" s="1"/>
  <c r="KI28" i="25"/>
  <c r="KK28" i="25" s="1"/>
  <c r="KL28" i="25" s="1"/>
  <c r="BU28" i="25" s="1"/>
  <c r="NI28" i="25"/>
  <c r="NK28" i="25" s="1"/>
  <c r="NL28" i="25" s="1"/>
  <c r="BX28" i="25" s="1"/>
  <c r="BB28" i="25" s="1"/>
  <c r="OI28" i="25"/>
  <c r="AG52" i="25"/>
  <c r="S52" i="19" s="1"/>
  <c r="NI52" i="25"/>
  <c r="NK52" i="25" s="1"/>
  <c r="NL52" i="25" s="1"/>
  <c r="BX52" i="25" s="1"/>
  <c r="BB52" i="25" s="1"/>
  <c r="MI52" i="25"/>
  <c r="MK52" i="25" s="1"/>
  <c r="ML52" i="25" s="1"/>
  <c r="BW52" i="25" s="1"/>
  <c r="BA52" i="25" s="1"/>
  <c r="LI52" i="25"/>
  <c r="LK52" i="25" s="1"/>
  <c r="LL52" i="25" s="1"/>
  <c r="BV52" i="25" s="1"/>
  <c r="AZ52" i="25" s="1"/>
  <c r="KI52" i="25"/>
  <c r="KK52" i="25" s="1"/>
  <c r="KL52" i="25" s="1"/>
  <c r="BU52" i="25" s="1"/>
  <c r="JI52" i="25"/>
  <c r="JK52" i="25" s="1"/>
  <c r="JL52" i="25" s="1"/>
  <c r="BT52" i="25" s="1"/>
  <c r="AX52" i="25" s="1"/>
  <c r="OI52" i="25"/>
  <c r="OK43" i="25"/>
  <c r="OL43" i="25" s="1"/>
  <c r="BI43" i="25" s="1"/>
  <c r="PK30" i="25"/>
  <c r="PL30" i="25" s="1"/>
  <c r="BK30" i="25" s="1"/>
  <c r="OK26" i="25"/>
  <c r="OL26" i="25" s="1"/>
  <c r="BI26" i="25" s="1"/>
  <c r="PK27" i="25"/>
  <c r="PL27" i="25" s="1"/>
  <c r="BK27" i="25" s="1"/>
  <c r="OK46" i="25"/>
  <c r="OL46" i="25" s="1"/>
  <c r="BI46" i="25" s="1"/>
  <c r="PK43" i="25"/>
  <c r="PL43" i="25" s="1"/>
  <c r="BK43" i="25" s="1"/>
  <c r="PK49" i="25"/>
  <c r="PL49" i="25" s="1"/>
  <c r="BK49" i="25" s="1"/>
  <c r="OK31" i="25"/>
  <c r="OL31" i="25" s="1"/>
  <c r="BI31" i="25" s="1"/>
  <c r="PK50" i="25"/>
  <c r="PL50" i="25" s="1"/>
  <c r="BK50" i="25" s="1"/>
  <c r="OK36" i="25"/>
  <c r="OL36" i="25" s="1"/>
  <c r="BI36" i="25" s="1"/>
  <c r="OK44" i="25"/>
  <c r="OL44" i="25" s="1"/>
  <c r="BI44" i="25" s="1"/>
  <c r="PK36" i="25"/>
  <c r="PL36" i="25" s="1"/>
  <c r="BK36" i="25" s="1"/>
  <c r="OK53" i="25"/>
  <c r="OL53" i="25" s="1"/>
  <c r="BI53" i="25" s="1"/>
  <c r="PK32" i="25"/>
  <c r="PL32" i="25" s="1"/>
  <c r="BK32" i="25" s="1"/>
  <c r="OK51" i="25"/>
  <c r="OL51" i="25" s="1"/>
  <c r="BI51" i="25" s="1"/>
  <c r="PI22" i="25"/>
  <c r="EL22" i="25"/>
  <c r="EK22" i="25"/>
  <c r="NI21" i="25"/>
  <c r="NK21" i="25" s="1"/>
  <c r="NL21" i="25" s="1"/>
  <c r="BX21" i="25" s="1"/>
  <c r="BB21" i="25" s="1"/>
  <c r="MI21" i="25"/>
  <c r="MK21" i="25" s="1"/>
  <c r="ML21" i="25" s="1"/>
  <c r="BW21" i="25" s="1"/>
  <c r="BA21" i="25" s="1"/>
  <c r="OI21" i="25"/>
  <c r="JI21" i="25"/>
  <c r="LI22" i="25"/>
  <c r="LK22" i="25" s="1"/>
  <c r="LL22" i="25" s="1"/>
  <c r="BV22" i="25" s="1"/>
  <c r="AZ22" i="25" s="1"/>
  <c r="OI22" i="25"/>
  <c r="JI22" i="25"/>
  <c r="JK22" i="25" s="1"/>
  <c r="JL22" i="25" s="1"/>
  <c r="MI22" i="25"/>
  <c r="MK22" i="25" s="1"/>
  <c r="ML22" i="25" s="1"/>
  <c r="BW22" i="25" s="1"/>
  <c r="BA22" i="25" s="1"/>
  <c r="NI22" i="25"/>
  <c r="NK22" i="25" s="1"/>
  <c r="NL22" i="25" s="1"/>
  <c r="BX22" i="25" s="1"/>
  <c r="BB22" i="25" s="1"/>
  <c r="KI22" i="25"/>
  <c r="KK22" i="25" s="1"/>
  <c r="KL22" i="25" s="1"/>
  <c r="BU22" i="25" s="1"/>
  <c r="EL21" i="25"/>
  <c r="PI21" i="25"/>
  <c r="EK21" i="25"/>
  <c r="PI20" i="25"/>
  <c r="EK20" i="25"/>
  <c r="EL20" i="25"/>
  <c r="OK20" i="25"/>
  <c r="OL20" i="25" s="1"/>
  <c r="BI20" i="25" s="1"/>
  <c r="X54" i="19"/>
  <c r="X48" i="19"/>
  <c r="EO49" i="25"/>
  <c r="EO51" i="25"/>
  <c r="X49" i="19"/>
  <c r="X51" i="19"/>
  <c r="X50" i="19"/>
  <c r="EO50" i="25"/>
  <c r="X52" i="19"/>
  <c r="AG21" i="25"/>
  <c r="AG22" i="25"/>
  <c r="EO29" i="25"/>
  <c r="EO35" i="25"/>
  <c r="EO37" i="25"/>
  <c r="EO32" i="25"/>
  <c r="X36" i="19"/>
  <c r="EO38" i="25"/>
  <c r="X31" i="19"/>
  <c r="X26" i="19"/>
  <c r="X43" i="19"/>
  <c r="X45" i="19"/>
  <c r="X46" i="19"/>
  <c r="X34" i="19"/>
  <c r="EO36" i="25"/>
  <c r="X38" i="19"/>
  <c r="X41" i="19"/>
  <c r="EO31" i="25"/>
  <c r="EO26" i="25"/>
  <c r="X24" i="19"/>
  <c r="EO45" i="25"/>
  <c r="EO46" i="25"/>
  <c r="EO34" i="25"/>
  <c r="X44" i="19"/>
  <c r="X39" i="19"/>
  <c r="X28" i="19"/>
  <c r="X29" i="19"/>
  <c r="X33" i="19"/>
  <c r="X35" i="19"/>
  <c r="X37" i="19"/>
  <c r="X42" i="19"/>
  <c r="X32" i="19"/>
  <c r="X27" i="19"/>
  <c r="EO39" i="25"/>
  <c r="EN23" i="25"/>
  <c r="AG61" i="25"/>
  <c r="S61" i="19" s="1"/>
  <c r="AA61" i="19"/>
  <c r="AG62" i="25"/>
  <c r="S62" i="19" s="1"/>
  <c r="AG65" i="25"/>
  <c r="S65" i="19" s="1"/>
  <c r="AG63" i="25"/>
  <c r="S63" i="19" s="1"/>
  <c r="AG68" i="25"/>
  <c r="S68" i="19" s="1"/>
  <c r="AG64" i="25"/>
  <c r="S64" i="19" s="1"/>
  <c r="AG66" i="25"/>
  <c r="S66" i="19" s="1"/>
  <c r="NN48" i="25"/>
  <c r="MN48" i="25"/>
  <c r="II23" i="25"/>
  <c r="IK23" i="25" s="1"/>
  <c r="IL23" i="25" s="1"/>
  <c r="BS23" i="25" s="1"/>
  <c r="II24" i="25"/>
  <c r="IK24" i="25" s="1"/>
  <c r="IL24" i="25" s="1"/>
  <c r="BS24" i="25" s="1"/>
  <c r="II27" i="25"/>
  <c r="IK27" i="25" s="1"/>
  <c r="IL27" i="25" s="1"/>
  <c r="BS27" i="25" s="1"/>
  <c r="II22" i="25"/>
  <c r="IK22" i="25" s="1"/>
  <c r="IL22" i="25" s="1"/>
  <c r="BS22" i="25" s="1"/>
  <c r="J55" i="3"/>
  <c r="J54" i="3"/>
  <c r="J59" i="3"/>
  <c r="J67" i="3"/>
  <c r="J64" i="3"/>
  <c r="J60" i="3"/>
  <c r="J65" i="3"/>
  <c r="J61" i="3"/>
  <c r="J53" i="3"/>
  <c r="W35" i="42"/>
  <c r="Q35" i="42"/>
  <c r="LK79" i="25"/>
  <c r="LL79" i="25" s="1"/>
  <c r="BV79" i="25" s="1"/>
  <c r="AZ79" i="25" s="1"/>
  <c r="NK79" i="25"/>
  <c r="NL79" i="25" s="1"/>
  <c r="BX79" i="25" s="1"/>
  <c r="BB79" i="25" s="1"/>
  <c r="V81" i="19"/>
  <c r="KK65" i="25"/>
  <c r="KL65" i="25" s="1"/>
  <c r="BU65" i="25" s="1"/>
  <c r="LK72" i="25"/>
  <c r="LL72" i="25" s="1"/>
  <c r="BV72" i="25" s="1"/>
  <c r="AZ72" i="25" s="1"/>
  <c r="LK98" i="25"/>
  <c r="LL98" i="25" s="1"/>
  <c r="BV98" i="25" s="1"/>
  <c r="V77" i="19"/>
  <c r="AA103" i="19"/>
  <c r="AA86" i="19"/>
  <c r="JK84" i="25"/>
  <c r="JL84" i="25" s="1"/>
  <c r="BT84" i="25" s="1"/>
  <c r="AX84" i="25" s="1"/>
  <c r="KK93" i="25"/>
  <c r="KL93" i="25" s="1"/>
  <c r="BU93" i="25" s="1"/>
  <c r="NK92" i="25"/>
  <c r="NL92" i="25" s="1"/>
  <c r="BX92" i="25" s="1"/>
  <c r="BB92" i="25" s="1"/>
  <c r="NK103" i="25"/>
  <c r="NL103" i="25" s="1"/>
  <c r="BX103" i="25" s="1"/>
  <c r="V99" i="19"/>
  <c r="V85" i="19"/>
  <c r="AA85" i="19"/>
  <c r="EN97" i="25"/>
  <c r="AA72" i="19"/>
  <c r="V72" i="19"/>
  <c r="EN72" i="25"/>
  <c r="LK96" i="25"/>
  <c r="LL96" i="25" s="1"/>
  <c r="BV96" i="25" s="1"/>
  <c r="NK90" i="25"/>
  <c r="NL90" i="25" s="1"/>
  <c r="BX90" i="25" s="1"/>
  <c r="BB90" i="25" s="1"/>
  <c r="V91" i="19"/>
  <c r="EN91" i="25"/>
  <c r="EN88" i="25"/>
  <c r="EO88" i="25" s="1"/>
  <c r="V84" i="19"/>
  <c r="AA83" i="19"/>
  <c r="V82" i="19"/>
  <c r="MK95" i="25"/>
  <c r="ML95" i="25" s="1"/>
  <c r="BW95" i="25" s="1"/>
  <c r="BA95" i="25" s="1"/>
  <c r="MK78" i="25"/>
  <c r="ML78" i="25" s="1"/>
  <c r="BW78" i="25" s="1"/>
  <c r="BA78" i="25" s="1"/>
  <c r="EN68" i="25"/>
  <c r="NK73" i="25"/>
  <c r="NL73" i="25" s="1"/>
  <c r="BX73" i="25" s="1"/>
  <c r="BB73" i="25" s="1"/>
  <c r="NK77" i="25"/>
  <c r="NL77" i="25" s="1"/>
  <c r="BX77" i="25" s="1"/>
  <c r="BB77" i="25" s="1"/>
  <c r="KK82" i="25"/>
  <c r="KL82" i="25" s="1"/>
  <c r="BU82" i="25" s="1"/>
  <c r="V96" i="19"/>
  <c r="AA96" i="19"/>
  <c r="NK86" i="25"/>
  <c r="NL86" i="25" s="1"/>
  <c r="BX86" i="25" s="1"/>
  <c r="BB86" i="25" s="1"/>
  <c r="LK86" i="25"/>
  <c r="LL86" i="25" s="1"/>
  <c r="BV86" i="25" s="1"/>
  <c r="AZ86" i="25" s="1"/>
  <c r="KK86" i="25"/>
  <c r="KL86" i="25" s="1"/>
  <c r="BU86" i="25" s="1"/>
  <c r="V98" i="19"/>
  <c r="V74" i="19"/>
  <c r="MK97" i="25"/>
  <c r="ML97" i="25" s="1"/>
  <c r="BW97" i="25" s="1"/>
  <c r="BA97" i="25" s="1"/>
  <c r="AA73" i="19"/>
  <c r="V73" i="19"/>
  <c r="EN89" i="25"/>
  <c r="AA89" i="19"/>
  <c r="MK83" i="25"/>
  <c r="ML83" i="25" s="1"/>
  <c r="BW83" i="25" s="1"/>
  <c r="BA83" i="25" s="1"/>
  <c r="EN87" i="25"/>
  <c r="AA100" i="19"/>
  <c r="JK68" i="25"/>
  <c r="JL68" i="25" s="1"/>
  <c r="AA80" i="19"/>
  <c r="AA94" i="19"/>
  <c r="V76" i="19"/>
  <c r="JK64" i="25"/>
  <c r="JL64" i="25" s="1"/>
  <c r="NK66" i="25"/>
  <c r="NL66" i="25" s="1"/>
  <c r="MK69" i="25"/>
  <c r="ML69" i="25" s="1"/>
  <c r="KK76" i="25"/>
  <c r="KL76" i="25" s="1"/>
  <c r="BU76" i="25" s="1"/>
  <c r="LK63" i="25"/>
  <c r="LL63" i="25" s="1"/>
  <c r="V101" i="19"/>
  <c r="MK60" i="25"/>
  <c r="ML60" i="25" s="1"/>
  <c r="BW60" i="25" s="1"/>
  <c r="BA60" i="25" s="1"/>
  <c r="LK59" i="25"/>
  <c r="LL59" i="25" s="1"/>
  <c r="BV59" i="25" s="1"/>
  <c r="AZ59" i="25" s="1"/>
  <c r="KK57" i="25"/>
  <c r="KL57" i="25" s="1"/>
  <c r="BU57" i="25" s="1"/>
  <c r="NK57" i="25"/>
  <c r="NL57" i="25" s="1"/>
  <c r="BX57" i="25" s="1"/>
  <c r="BB57" i="25" s="1"/>
  <c r="MK56" i="25"/>
  <c r="ML56" i="25" s="1"/>
  <c r="BW56" i="25" s="1"/>
  <c r="BA56" i="25" s="1"/>
  <c r="LK56" i="25"/>
  <c r="LL56" i="25" s="1"/>
  <c r="BV56" i="25" s="1"/>
  <c r="AZ56" i="25" s="1"/>
  <c r="LK58" i="25"/>
  <c r="LL58" i="25" s="1"/>
  <c r="BV58" i="25" s="1"/>
  <c r="AZ58" i="25" s="1"/>
  <c r="JK58" i="25"/>
  <c r="JL58" i="25" s="1"/>
  <c r="BT58" i="25" s="1"/>
  <c r="JK60" i="25"/>
  <c r="JL60" i="25" s="1"/>
  <c r="BT60" i="25" s="1"/>
  <c r="LK60" i="25"/>
  <c r="LL60" i="25" s="1"/>
  <c r="BV60" i="25" s="1"/>
  <c r="AZ60" i="25" s="1"/>
  <c r="MK59" i="25"/>
  <c r="ML59" i="25" s="1"/>
  <c r="BW59" i="25" s="1"/>
  <c r="BA59" i="25" s="1"/>
  <c r="JK59" i="25"/>
  <c r="JL59" i="25" s="1"/>
  <c r="BT59" i="25" s="1"/>
  <c r="JK57" i="25"/>
  <c r="JL57" i="25" s="1"/>
  <c r="BT57" i="25" s="1"/>
  <c r="AX57" i="25" s="1"/>
  <c r="KK56" i="25"/>
  <c r="KL56" i="25" s="1"/>
  <c r="BU56" i="25" s="1"/>
  <c r="JK56" i="25"/>
  <c r="JL56" i="25" s="1"/>
  <c r="BT56" i="25" s="1"/>
  <c r="AX56" i="25" s="1"/>
  <c r="NK58" i="25"/>
  <c r="NL58" i="25" s="1"/>
  <c r="BX58" i="25" s="1"/>
  <c r="BB58" i="25" s="1"/>
  <c r="NK60" i="25"/>
  <c r="NL60" i="25" s="1"/>
  <c r="BX60" i="25" s="1"/>
  <c r="BB60" i="25" s="1"/>
  <c r="NK59" i="25"/>
  <c r="NL59" i="25" s="1"/>
  <c r="BX59" i="25" s="1"/>
  <c r="BB59" i="25" s="1"/>
  <c r="MK57" i="25"/>
  <c r="ML57" i="25" s="1"/>
  <c r="BW57" i="25" s="1"/>
  <c r="BA57" i="25" s="1"/>
  <c r="BS56" i="25"/>
  <c r="NK56" i="25"/>
  <c r="NL56" i="25" s="1"/>
  <c r="BX56" i="25" s="1"/>
  <c r="BB56" i="25" s="1"/>
  <c r="KK58" i="25"/>
  <c r="KL58" i="25" s="1"/>
  <c r="BU58" i="25" s="1"/>
  <c r="KK60" i="25"/>
  <c r="KL60" i="25" s="1"/>
  <c r="BU60" i="25" s="1"/>
  <c r="KK59" i="25"/>
  <c r="KL59" i="25" s="1"/>
  <c r="BU59" i="25" s="1"/>
  <c r="BS57" i="25"/>
  <c r="LK57" i="25"/>
  <c r="LL57" i="25" s="1"/>
  <c r="BV57" i="25" s="1"/>
  <c r="AZ57" i="25" s="1"/>
  <c r="MK58" i="25"/>
  <c r="ML58" i="25" s="1"/>
  <c r="BW58" i="25" s="1"/>
  <c r="BA58" i="25" s="1"/>
  <c r="MK54" i="25"/>
  <c r="ML54" i="25" s="1"/>
  <c r="BW54" i="25" s="1"/>
  <c r="BA54" i="25" s="1"/>
  <c r="NK55" i="25"/>
  <c r="NL55" i="25" s="1"/>
  <c r="BX55" i="25" s="1"/>
  <c r="BB55" i="25" s="1"/>
  <c r="JK54" i="25"/>
  <c r="JL54" i="25" s="1"/>
  <c r="BT54" i="25" s="1"/>
  <c r="BS54" i="25"/>
  <c r="KK55" i="25"/>
  <c r="KL55" i="25" s="1"/>
  <c r="BU55" i="25" s="1"/>
  <c r="MK55" i="25"/>
  <c r="ML55" i="25" s="1"/>
  <c r="BW55" i="25" s="1"/>
  <c r="BA55" i="25" s="1"/>
  <c r="LK54" i="25"/>
  <c r="LL54" i="25" s="1"/>
  <c r="BV54" i="25" s="1"/>
  <c r="AZ54" i="25" s="1"/>
  <c r="BS55" i="25"/>
  <c r="KK54" i="25"/>
  <c r="KL54" i="25" s="1"/>
  <c r="BU54" i="25" s="1"/>
  <c r="LK55" i="25"/>
  <c r="LL55" i="25" s="1"/>
  <c r="BV55" i="25" s="1"/>
  <c r="AZ55" i="25" s="1"/>
  <c r="NK54" i="25"/>
  <c r="NL54" i="25" s="1"/>
  <c r="BX54" i="25" s="1"/>
  <c r="BB54" i="25" s="1"/>
  <c r="JK55" i="25"/>
  <c r="JL55" i="25" s="1"/>
  <c r="BT55" i="25" s="1"/>
  <c r="AX55" i="25" s="1"/>
  <c r="EN30" i="25"/>
  <c r="EO30" i="25" s="1"/>
  <c r="EN40" i="25"/>
  <c r="X40" i="19" s="1"/>
  <c r="EN25" i="25"/>
  <c r="X25" i="19" s="1"/>
  <c r="EN47" i="25"/>
  <c r="EO47" i="25" s="1"/>
  <c r="KK46" i="25"/>
  <c r="KL46" i="25" s="1"/>
  <c r="BU46" i="25" s="1"/>
  <c r="KK30" i="25"/>
  <c r="KL30" i="25" s="1"/>
  <c r="BU30" i="25" s="1"/>
  <c r="NK51" i="25"/>
  <c r="NL51" i="25" s="1"/>
  <c r="BX51" i="25" s="1"/>
  <c r="BB51" i="25" s="1"/>
  <c r="NK44" i="25"/>
  <c r="NL44" i="25" s="1"/>
  <c r="BX44" i="25" s="1"/>
  <c r="BB44" i="25" s="1"/>
  <c r="NK43" i="25"/>
  <c r="NL43" i="25" s="1"/>
  <c r="BX43" i="25" s="1"/>
  <c r="BB43" i="25" s="1"/>
  <c r="NK31" i="25"/>
  <c r="NL31" i="25" s="1"/>
  <c r="BX31" i="25" s="1"/>
  <c r="BB31" i="25" s="1"/>
  <c r="JK41" i="25"/>
  <c r="JL41" i="25" s="1"/>
  <c r="BT41" i="25" s="1"/>
  <c r="AX41" i="25" s="1"/>
  <c r="LK24" i="25"/>
  <c r="LL24" i="25" s="1"/>
  <c r="BV24" i="25" s="1"/>
  <c r="AZ24" i="25" s="1"/>
  <c r="NK38" i="25"/>
  <c r="NL38" i="25" s="1"/>
  <c r="BX38" i="25" s="1"/>
  <c r="BB38" i="25" s="1"/>
  <c r="JK38" i="25"/>
  <c r="JL38" i="25" s="1"/>
  <c r="BT38" i="25" s="1"/>
  <c r="KK35" i="25"/>
  <c r="KL35" i="25" s="1"/>
  <c r="BU35" i="25" s="1"/>
  <c r="JK35" i="25"/>
  <c r="JL35" i="25" s="1"/>
  <c r="BT35" i="25" s="1"/>
  <c r="AX35" i="25" s="1"/>
  <c r="IK42" i="25"/>
  <c r="IL42" i="25" s="1"/>
  <c r="BS42" i="25" s="1"/>
  <c r="JK42" i="25"/>
  <c r="JL42" i="25" s="1"/>
  <c r="BT42" i="25" s="1"/>
  <c r="LK47" i="25"/>
  <c r="LL47" i="25" s="1"/>
  <c r="BV47" i="25" s="1"/>
  <c r="AZ47" i="25" s="1"/>
  <c r="NK47" i="25"/>
  <c r="NL47" i="25" s="1"/>
  <c r="BX47" i="25" s="1"/>
  <c r="BB47" i="25" s="1"/>
  <c r="LK32" i="25"/>
  <c r="LL32" i="25" s="1"/>
  <c r="BV32" i="25" s="1"/>
  <c r="AZ32" i="25" s="1"/>
  <c r="NK32" i="25"/>
  <c r="NL32" i="25" s="1"/>
  <c r="BX32" i="25" s="1"/>
  <c r="BB32" i="25" s="1"/>
  <c r="LK36" i="25"/>
  <c r="LL36" i="25" s="1"/>
  <c r="BV36" i="25" s="1"/>
  <c r="AZ36" i="25" s="1"/>
  <c r="NK37" i="25"/>
  <c r="NL37" i="25" s="1"/>
  <c r="BX37" i="25" s="1"/>
  <c r="BB37" i="25" s="1"/>
  <c r="LK33" i="25"/>
  <c r="LL33" i="25" s="1"/>
  <c r="BV33" i="25" s="1"/>
  <c r="AZ33" i="25" s="1"/>
  <c r="NK34" i="25"/>
  <c r="NL34" i="25" s="1"/>
  <c r="BX34" i="25" s="1"/>
  <c r="BB34" i="25" s="1"/>
  <c r="NK20" i="25"/>
  <c r="NL20" i="25" s="1"/>
  <c r="BX20" i="25" s="1"/>
  <c r="BB20" i="25" s="1"/>
  <c r="LK39" i="25"/>
  <c r="LL39" i="25" s="1"/>
  <c r="BV39" i="25" s="1"/>
  <c r="AZ39" i="25" s="1"/>
  <c r="NK39" i="25"/>
  <c r="NL39" i="25" s="1"/>
  <c r="BX39" i="25" s="1"/>
  <c r="BB39" i="25" s="1"/>
  <c r="IK49" i="25"/>
  <c r="IL49" i="25" s="1"/>
  <c r="BS49" i="25" s="1"/>
  <c r="MK49" i="25"/>
  <c r="ML49" i="25" s="1"/>
  <c r="BW49" i="25" s="1"/>
  <c r="BA49" i="25" s="1"/>
  <c r="NK45" i="25"/>
  <c r="NL45" i="25" s="1"/>
  <c r="BX45" i="25" s="1"/>
  <c r="BB45" i="25" s="1"/>
  <c r="JK45" i="25"/>
  <c r="JL45" i="25" s="1"/>
  <c r="BT45" i="25" s="1"/>
  <c r="AX45" i="25" s="1"/>
  <c r="JK29" i="25"/>
  <c r="JL29" i="25" s="1"/>
  <c r="BT29" i="25" s="1"/>
  <c r="AX29" i="25" s="1"/>
  <c r="LK29" i="25"/>
  <c r="LL29" i="25" s="1"/>
  <c r="BV29" i="25" s="1"/>
  <c r="AZ29" i="25" s="1"/>
  <c r="NK26" i="25"/>
  <c r="NL26" i="25" s="1"/>
  <c r="BX26" i="25" s="1"/>
  <c r="BB26" i="25" s="1"/>
  <c r="MK26" i="25"/>
  <c r="ML26" i="25" s="1"/>
  <c r="BW26" i="25" s="1"/>
  <c r="BA26" i="25" s="1"/>
  <c r="LK40" i="25"/>
  <c r="LL40" i="25" s="1"/>
  <c r="BV40" i="25" s="1"/>
  <c r="AZ40" i="25" s="1"/>
  <c r="JK40" i="25"/>
  <c r="JL40" i="25" s="1"/>
  <c r="BT40" i="25" s="1"/>
  <c r="JK53" i="25"/>
  <c r="JL53" i="25" s="1"/>
  <c r="BT53" i="25" s="1"/>
  <c r="AX53" i="25" s="1"/>
  <c r="MK53" i="25"/>
  <c r="ML53" i="25" s="1"/>
  <c r="BW53" i="25" s="1"/>
  <c r="BA53" i="25" s="1"/>
  <c r="NK50" i="25"/>
  <c r="NL50" i="25" s="1"/>
  <c r="BX50" i="25" s="1"/>
  <c r="BB50" i="25" s="1"/>
  <c r="JK50" i="25"/>
  <c r="JL50" i="25" s="1"/>
  <c r="BT50" i="25" s="1"/>
  <c r="AX50" i="25" s="1"/>
  <c r="JK46" i="25"/>
  <c r="JL46" i="25" s="1"/>
  <c r="BT46" i="25" s="1"/>
  <c r="AX46" i="25" s="1"/>
  <c r="KK51" i="25"/>
  <c r="KL51" i="25" s="1"/>
  <c r="BU51" i="25" s="1"/>
  <c r="KK44" i="25"/>
  <c r="KL44" i="25" s="1"/>
  <c r="BU44" i="25" s="1"/>
  <c r="JK43" i="25"/>
  <c r="JL43" i="25" s="1"/>
  <c r="BT43" i="25" s="1"/>
  <c r="AX43" i="25" s="1"/>
  <c r="IK31" i="25"/>
  <c r="IL31" i="25" s="1"/>
  <c r="BS31" i="25" s="1"/>
  <c r="NK41" i="25"/>
  <c r="NL41" i="25" s="1"/>
  <c r="BX41" i="25" s="1"/>
  <c r="BB41" i="25" s="1"/>
  <c r="IK38" i="25"/>
  <c r="IL38" i="25" s="1"/>
  <c r="BS38" i="25" s="1"/>
  <c r="KK38" i="25"/>
  <c r="KL38" i="25" s="1"/>
  <c r="BU38" i="25" s="1"/>
  <c r="IK35" i="25"/>
  <c r="IL35" i="25" s="1"/>
  <c r="BS35" i="25" s="1"/>
  <c r="LK35" i="25"/>
  <c r="LL35" i="25" s="1"/>
  <c r="BV35" i="25" s="1"/>
  <c r="AZ35" i="25" s="1"/>
  <c r="IK28" i="25"/>
  <c r="IL28" i="25" s="1"/>
  <c r="BS28" i="25" s="1"/>
  <c r="NK42" i="25"/>
  <c r="NL42" i="25" s="1"/>
  <c r="BX42" i="25" s="1"/>
  <c r="BB42" i="25" s="1"/>
  <c r="LK42" i="25"/>
  <c r="LL42" i="25" s="1"/>
  <c r="BV42" i="25" s="1"/>
  <c r="AZ42" i="25" s="1"/>
  <c r="MK47" i="25"/>
  <c r="ML47" i="25" s="1"/>
  <c r="BW47" i="25" s="1"/>
  <c r="BA47" i="25" s="1"/>
  <c r="JK47" i="25"/>
  <c r="JL47" i="25" s="1"/>
  <c r="BT47" i="25" s="1"/>
  <c r="AX47" i="25" s="1"/>
  <c r="IK32" i="25"/>
  <c r="IL32" i="25" s="1"/>
  <c r="BS32" i="25" s="1"/>
  <c r="KK32" i="25"/>
  <c r="KL32" i="25" s="1"/>
  <c r="BU32" i="25" s="1"/>
  <c r="KK36" i="25"/>
  <c r="KL36" i="25" s="1"/>
  <c r="BU36" i="25" s="1"/>
  <c r="MK37" i="25"/>
  <c r="ML37" i="25" s="1"/>
  <c r="BW37" i="25" s="1"/>
  <c r="BA37" i="25" s="1"/>
  <c r="NK33" i="25"/>
  <c r="NL33" i="25" s="1"/>
  <c r="BX33" i="25" s="1"/>
  <c r="BB33" i="25" s="1"/>
  <c r="KK34" i="25"/>
  <c r="KL34" i="25" s="1"/>
  <c r="BU34" i="25" s="1"/>
  <c r="KK20" i="25"/>
  <c r="KL20" i="25" s="1"/>
  <c r="BU20" i="25" s="1"/>
  <c r="JK39" i="25"/>
  <c r="JL39" i="25" s="1"/>
  <c r="BT39" i="25" s="1"/>
  <c r="AX39" i="25" s="1"/>
  <c r="KK39" i="25"/>
  <c r="KL39" i="25" s="1"/>
  <c r="BU39" i="25" s="1"/>
  <c r="NK49" i="25"/>
  <c r="NL49" i="25" s="1"/>
  <c r="BX49" i="25" s="1"/>
  <c r="BB49" i="25" s="1"/>
  <c r="JK49" i="25"/>
  <c r="JL49" i="25" s="1"/>
  <c r="BT49" i="25" s="1"/>
  <c r="AX49" i="25" s="1"/>
  <c r="IK45" i="25"/>
  <c r="IL45" i="25" s="1"/>
  <c r="BS45" i="25" s="1"/>
  <c r="LK45" i="25"/>
  <c r="LL45" i="25" s="1"/>
  <c r="BV45" i="25" s="1"/>
  <c r="AZ45" i="25" s="1"/>
  <c r="NK29" i="25"/>
  <c r="NL29" i="25" s="1"/>
  <c r="BX29" i="25" s="1"/>
  <c r="BB29" i="25" s="1"/>
  <c r="KK29" i="25"/>
  <c r="KL29" i="25" s="1"/>
  <c r="BU29" i="25" s="1"/>
  <c r="LK26" i="25"/>
  <c r="LL26" i="25" s="1"/>
  <c r="BV26" i="25" s="1"/>
  <c r="AZ26" i="25" s="1"/>
  <c r="IK40" i="25"/>
  <c r="IL40" i="25" s="1"/>
  <c r="BS40" i="25" s="1"/>
  <c r="MK40" i="25"/>
  <c r="ML40" i="25" s="1"/>
  <c r="BW40" i="25" s="1"/>
  <c r="BA40" i="25" s="1"/>
  <c r="BS53" i="25"/>
  <c r="NK53" i="25"/>
  <c r="NL53" i="25" s="1"/>
  <c r="BX53" i="25" s="1"/>
  <c r="BB53" i="25" s="1"/>
  <c r="MK50" i="25"/>
  <c r="ML50" i="25" s="1"/>
  <c r="BW50" i="25" s="1"/>
  <c r="BA50" i="25" s="1"/>
  <c r="LK50" i="25"/>
  <c r="LL50" i="25" s="1"/>
  <c r="BV50" i="25" s="1"/>
  <c r="AZ50" i="25" s="1"/>
  <c r="MK46" i="25"/>
  <c r="ML46" i="25" s="1"/>
  <c r="BW46" i="25" s="1"/>
  <c r="BA46" i="25" s="1"/>
  <c r="LK46" i="25"/>
  <c r="LL46" i="25" s="1"/>
  <c r="BV46" i="25" s="1"/>
  <c r="AZ46" i="25" s="1"/>
  <c r="JK30" i="25"/>
  <c r="JL30" i="25" s="1"/>
  <c r="BT30" i="25" s="1"/>
  <c r="AX30" i="25" s="1"/>
  <c r="NK30" i="25"/>
  <c r="NL30" i="25" s="1"/>
  <c r="BX30" i="25" s="1"/>
  <c r="BB30" i="25" s="1"/>
  <c r="MK51" i="25"/>
  <c r="ML51" i="25" s="1"/>
  <c r="BW51" i="25" s="1"/>
  <c r="BA51" i="25" s="1"/>
  <c r="JK51" i="25"/>
  <c r="JL51" i="25" s="1"/>
  <c r="BT51" i="25" s="1"/>
  <c r="AX51" i="25" s="1"/>
  <c r="LK44" i="25"/>
  <c r="LL44" i="25" s="1"/>
  <c r="BV44" i="25" s="1"/>
  <c r="AZ44" i="25" s="1"/>
  <c r="JK44" i="25"/>
  <c r="JL44" i="25" s="1"/>
  <c r="BT44" i="25" s="1"/>
  <c r="LK43" i="25"/>
  <c r="LL43" i="25" s="1"/>
  <c r="BV43" i="25" s="1"/>
  <c r="AZ43" i="25" s="1"/>
  <c r="MK43" i="25"/>
  <c r="ML43" i="25" s="1"/>
  <c r="BW43" i="25" s="1"/>
  <c r="BA43" i="25" s="1"/>
  <c r="JK31" i="25"/>
  <c r="JL31" i="25" s="1"/>
  <c r="BT31" i="25" s="1"/>
  <c r="AX31" i="25" s="1"/>
  <c r="MK31" i="25"/>
  <c r="ML31" i="25" s="1"/>
  <c r="BW31" i="25" s="1"/>
  <c r="BA31" i="25" s="1"/>
  <c r="IK41" i="25"/>
  <c r="IL41" i="25" s="1"/>
  <c r="BS41" i="25" s="1"/>
  <c r="MK41" i="25"/>
  <c r="ML41" i="25" s="1"/>
  <c r="BW41" i="25" s="1"/>
  <c r="BA41" i="25" s="1"/>
  <c r="IK25" i="25"/>
  <c r="IL25" i="25" s="1"/>
  <c r="BS25" i="25" s="1"/>
  <c r="LK38" i="25"/>
  <c r="LL38" i="25" s="1"/>
  <c r="BV38" i="25" s="1"/>
  <c r="AZ38" i="25" s="1"/>
  <c r="NK35" i="25"/>
  <c r="NL35" i="25" s="1"/>
  <c r="BX35" i="25" s="1"/>
  <c r="BB35" i="25" s="1"/>
  <c r="MK42" i="25"/>
  <c r="ML42" i="25" s="1"/>
  <c r="BW42" i="25" s="1"/>
  <c r="BA42" i="25" s="1"/>
  <c r="IK47" i="25"/>
  <c r="IL47" i="25" s="1"/>
  <c r="BS47" i="25" s="1"/>
  <c r="JK32" i="25"/>
  <c r="JL32" i="25" s="1"/>
  <c r="BT32" i="25" s="1"/>
  <c r="AX32" i="25" s="1"/>
  <c r="NK36" i="25"/>
  <c r="NL36" i="25" s="1"/>
  <c r="BX36" i="25" s="1"/>
  <c r="BB36" i="25" s="1"/>
  <c r="JK36" i="25"/>
  <c r="JL36" i="25" s="1"/>
  <c r="BT36" i="25" s="1"/>
  <c r="IK37" i="25"/>
  <c r="IL37" i="25" s="1"/>
  <c r="BS37" i="25" s="1"/>
  <c r="KK37" i="25"/>
  <c r="KL37" i="25" s="1"/>
  <c r="BU37" i="25" s="1"/>
  <c r="IK33" i="25"/>
  <c r="IL33" i="25" s="1"/>
  <c r="BS33" i="25" s="1"/>
  <c r="JK33" i="25"/>
  <c r="JL33" i="25" s="1"/>
  <c r="BT33" i="25" s="1"/>
  <c r="AX33" i="25" s="1"/>
  <c r="LK34" i="25"/>
  <c r="LL34" i="25" s="1"/>
  <c r="BV34" i="25" s="1"/>
  <c r="AZ34" i="25" s="1"/>
  <c r="MK34" i="25"/>
  <c r="ML34" i="25" s="1"/>
  <c r="BW34" i="25" s="1"/>
  <c r="BA34" i="25" s="1"/>
  <c r="MK20" i="25"/>
  <c r="ML20" i="25" s="1"/>
  <c r="BW20" i="25" s="1"/>
  <c r="BA20" i="25" s="1"/>
  <c r="JK20" i="25"/>
  <c r="JL20" i="25" s="1"/>
  <c r="BT20" i="25" s="1"/>
  <c r="AX20" i="25" s="1"/>
  <c r="MK39" i="25"/>
  <c r="ML39" i="25" s="1"/>
  <c r="BW39" i="25" s="1"/>
  <c r="BA39" i="25" s="1"/>
  <c r="LK49" i="25"/>
  <c r="LL49" i="25" s="1"/>
  <c r="BV49" i="25" s="1"/>
  <c r="AZ49" i="25" s="1"/>
  <c r="KK45" i="25"/>
  <c r="KL45" i="25" s="1"/>
  <c r="BU45" i="25" s="1"/>
  <c r="IK29" i="25"/>
  <c r="IL29" i="25" s="1"/>
  <c r="BS29" i="25" s="1"/>
  <c r="MK29" i="25"/>
  <c r="ML29" i="25" s="1"/>
  <c r="BW29" i="25" s="1"/>
  <c r="BA29" i="25" s="1"/>
  <c r="JK26" i="25"/>
  <c r="JL26" i="25" s="1"/>
  <c r="BT26" i="25" s="1"/>
  <c r="KK40" i="25"/>
  <c r="KL40" i="25" s="1"/>
  <c r="BU40" i="25" s="1"/>
  <c r="LK53" i="25"/>
  <c r="LL53" i="25" s="1"/>
  <c r="BV53" i="25" s="1"/>
  <c r="AZ53" i="25" s="1"/>
  <c r="KK50" i="25"/>
  <c r="KL50" i="25" s="1"/>
  <c r="BU50" i="25" s="1"/>
  <c r="IK46" i="25"/>
  <c r="IL46" i="25" s="1"/>
  <c r="BS46" i="25" s="1"/>
  <c r="NK46" i="25"/>
  <c r="NL46" i="25" s="1"/>
  <c r="BX46" i="25" s="1"/>
  <c r="BB46" i="25" s="1"/>
  <c r="LK30" i="25"/>
  <c r="LL30" i="25" s="1"/>
  <c r="BV30" i="25" s="1"/>
  <c r="AZ30" i="25" s="1"/>
  <c r="IK30" i="25"/>
  <c r="IL30" i="25" s="1"/>
  <c r="BS30" i="25" s="1"/>
  <c r="MK30" i="25"/>
  <c r="ML30" i="25" s="1"/>
  <c r="BW30" i="25" s="1"/>
  <c r="BA30" i="25" s="1"/>
  <c r="BS51" i="25"/>
  <c r="LK51" i="25"/>
  <c r="LL51" i="25" s="1"/>
  <c r="BV51" i="25" s="1"/>
  <c r="AZ51" i="25" s="1"/>
  <c r="IK44" i="25"/>
  <c r="IL44" i="25" s="1"/>
  <c r="BS44" i="25" s="1"/>
  <c r="MK44" i="25"/>
  <c r="ML44" i="25" s="1"/>
  <c r="BW44" i="25" s="1"/>
  <c r="BA44" i="25" s="1"/>
  <c r="IK43" i="25"/>
  <c r="IL43" i="25" s="1"/>
  <c r="BS43" i="25" s="1"/>
  <c r="KK43" i="25"/>
  <c r="KL43" i="25" s="1"/>
  <c r="BU43" i="25" s="1"/>
  <c r="LK31" i="25"/>
  <c r="LL31" i="25" s="1"/>
  <c r="BV31" i="25" s="1"/>
  <c r="AZ31" i="25" s="1"/>
  <c r="KK31" i="25"/>
  <c r="KL31" i="25" s="1"/>
  <c r="BU31" i="25" s="1"/>
  <c r="KK41" i="25"/>
  <c r="KL41" i="25" s="1"/>
  <c r="BU41" i="25" s="1"/>
  <c r="LK41" i="25"/>
  <c r="LL41" i="25" s="1"/>
  <c r="BV41" i="25" s="1"/>
  <c r="AZ41" i="25" s="1"/>
  <c r="MK38" i="25"/>
  <c r="ML38" i="25" s="1"/>
  <c r="BW38" i="25" s="1"/>
  <c r="BA38" i="25" s="1"/>
  <c r="MK35" i="25"/>
  <c r="ML35" i="25" s="1"/>
  <c r="BW35" i="25" s="1"/>
  <c r="BA35" i="25" s="1"/>
  <c r="MK28" i="25"/>
  <c r="ML28" i="25" s="1"/>
  <c r="BW28" i="25" s="1"/>
  <c r="BA28" i="25" s="1"/>
  <c r="KK42" i="25"/>
  <c r="KL42" i="25" s="1"/>
  <c r="BU42" i="25" s="1"/>
  <c r="KK47" i="25"/>
  <c r="KL47" i="25" s="1"/>
  <c r="BU47" i="25" s="1"/>
  <c r="MK32" i="25"/>
  <c r="ML32" i="25" s="1"/>
  <c r="BW32" i="25" s="1"/>
  <c r="BA32" i="25" s="1"/>
  <c r="IK36" i="25"/>
  <c r="IL36" i="25" s="1"/>
  <c r="BS36" i="25" s="1"/>
  <c r="MK36" i="25"/>
  <c r="ML36" i="25" s="1"/>
  <c r="BW36" i="25" s="1"/>
  <c r="BA36" i="25" s="1"/>
  <c r="JK37" i="25"/>
  <c r="JL37" i="25" s="1"/>
  <c r="BT37" i="25" s="1"/>
  <c r="AX37" i="25" s="1"/>
  <c r="LK37" i="25"/>
  <c r="LL37" i="25" s="1"/>
  <c r="BV37" i="25" s="1"/>
  <c r="AZ37" i="25" s="1"/>
  <c r="KK33" i="25"/>
  <c r="KL33" i="25" s="1"/>
  <c r="BU33" i="25" s="1"/>
  <c r="MK33" i="25"/>
  <c r="ML33" i="25" s="1"/>
  <c r="BW33" i="25" s="1"/>
  <c r="BA33" i="25" s="1"/>
  <c r="IK34" i="25"/>
  <c r="IL34" i="25" s="1"/>
  <c r="BS34" i="25" s="1"/>
  <c r="JK34" i="25"/>
  <c r="JL34" i="25" s="1"/>
  <c r="BT34" i="25" s="1"/>
  <c r="AX34" i="25" s="1"/>
  <c r="BS52" i="25"/>
  <c r="IK20" i="25"/>
  <c r="IL20" i="25" s="1"/>
  <c r="BS20" i="25" s="1"/>
  <c r="LK20" i="25"/>
  <c r="LL20" i="25" s="1"/>
  <c r="BV20" i="25" s="1"/>
  <c r="AZ20" i="25" s="1"/>
  <c r="IK39" i="25"/>
  <c r="IL39" i="25" s="1"/>
  <c r="BS39" i="25" s="1"/>
  <c r="KK49" i="25"/>
  <c r="KL49" i="25" s="1"/>
  <c r="BU49" i="25" s="1"/>
  <c r="MK45" i="25"/>
  <c r="ML45" i="25" s="1"/>
  <c r="BW45" i="25" s="1"/>
  <c r="BA45" i="25" s="1"/>
  <c r="IK26" i="25"/>
  <c r="IL26" i="25" s="1"/>
  <c r="BS26" i="25" s="1"/>
  <c r="KK26" i="25"/>
  <c r="KL26" i="25" s="1"/>
  <c r="BU26" i="25" s="1"/>
  <c r="NK40" i="25"/>
  <c r="NL40" i="25" s="1"/>
  <c r="BX40" i="25" s="1"/>
  <c r="BB40" i="25" s="1"/>
  <c r="KK53" i="25"/>
  <c r="KL53" i="25" s="1"/>
  <c r="BU53" i="25" s="1"/>
  <c r="IK50" i="25"/>
  <c r="IL50" i="25" s="1"/>
  <c r="BS50" i="25" s="1"/>
  <c r="I9" i="20"/>
  <c r="K9" i="20"/>
  <c r="J9" i="20"/>
  <c r="L63" i="3"/>
  <c r="O63" i="3"/>
  <c r="N63" i="3"/>
  <c r="P63" i="3"/>
  <c r="Q37" i="42" l="1"/>
  <c r="S22" i="19"/>
  <c r="W36" i="42"/>
  <c r="S21" i="19"/>
  <c r="Q38" i="42"/>
  <c r="S23" i="19"/>
  <c r="J58" i="3"/>
  <c r="Q39" i="42"/>
  <c r="BB103" i="25"/>
  <c r="P118" i="3"/>
  <c r="BB102" i="25"/>
  <c r="P117" i="3"/>
  <c r="BA102" i="25"/>
  <c r="O117" i="3"/>
  <c r="AZ102" i="25"/>
  <c r="N117" i="3"/>
  <c r="CC33" i="25"/>
  <c r="BE33" i="25"/>
  <c r="CC43" i="25"/>
  <c r="BE43" i="25"/>
  <c r="CC44" i="25"/>
  <c r="BE44" i="25"/>
  <c r="CC26" i="25"/>
  <c r="BE26" i="25"/>
  <c r="I41" i="3" s="1"/>
  <c r="CC24" i="25"/>
  <c r="BE24" i="25"/>
  <c r="I39" i="3" s="1"/>
  <c r="CC28" i="25"/>
  <c r="BE28" i="25"/>
  <c r="CC45" i="25"/>
  <c r="BE45" i="25"/>
  <c r="CC31" i="25"/>
  <c r="BE31" i="25"/>
  <c r="I46" i="3" s="1"/>
  <c r="CC35" i="25"/>
  <c r="BE35" i="25"/>
  <c r="I50" i="3" s="1"/>
  <c r="CC52" i="25"/>
  <c r="BE52" i="25"/>
  <c r="CC51" i="25"/>
  <c r="BE51" i="25"/>
  <c r="CC47" i="25"/>
  <c r="BE47" i="25"/>
  <c r="CC36" i="25"/>
  <c r="BE36" i="25"/>
  <c r="I51" i="3" s="1"/>
  <c r="CC37" i="25"/>
  <c r="BE37" i="25"/>
  <c r="I52" i="3" s="1"/>
  <c r="CC88" i="25"/>
  <c r="BE88" i="25"/>
  <c r="W39" i="42"/>
  <c r="CC32" i="25"/>
  <c r="BE32" i="25"/>
  <c r="I47" i="3" s="1"/>
  <c r="CC49" i="25"/>
  <c r="BE49" i="25"/>
  <c r="CC46" i="25"/>
  <c r="BE46" i="25"/>
  <c r="CC38" i="25"/>
  <c r="BE38" i="25"/>
  <c r="CC50" i="25"/>
  <c r="BE50" i="25"/>
  <c r="CC48" i="25"/>
  <c r="BE48" i="25"/>
  <c r="CC30" i="25"/>
  <c r="BE30" i="25"/>
  <c r="CC39" i="25"/>
  <c r="BE39" i="25"/>
  <c r="CC34" i="25"/>
  <c r="BE34" i="25"/>
  <c r="CC42" i="25"/>
  <c r="BE42" i="25"/>
  <c r="CC29" i="25"/>
  <c r="BE29" i="25"/>
  <c r="AB29" i="19" s="1"/>
  <c r="CC27" i="25"/>
  <c r="BE27" i="25"/>
  <c r="I42" i="3" s="1"/>
  <c r="IM100" i="25"/>
  <c r="DJ100" i="25" s="1"/>
  <c r="BS100" i="25"/>
  <c r="BP100" i="25" s="1"/>
  <c r="BO100" i="25" s="1"/>
  <c r="IM89" i="25"/>
  <c r="DJ89" i="25" s="1"/>
  <c r="DU89" i="25" s="1"/>
  <c r="BS89" i="25"/>
  <c r="IM99" i="25"/>
  <c r="DJ99" i="25" s="1"/>
  <c r="DU99" i="25" s="1"/>
  <c r="BS99" i="25"/>
  <c r="IM97" i="25"/>
  <c r="DJ97" i="25" s="1"/>
  <c r="DU97" i="25" s="1"/>
  <c r="BS97" i="25"/>
  <c r="BP97" i="25" s="1"/>
  <c r="BO97" i="25" s="1"/>
  <c r="AX83" i="25"/>
  <c r="AX86" i="25"/>
  <c r="BP86" i="25"/>
  <c r="BO86" i="25" s="1"/>
  <c r="AX92" i="25"/>
  <c r="BP92" i="25"/>
  <c r="BO92" i="25" s="1"/>
  <c r="AX73" i="25"/>
  <c r="BP73" i="25"/>
  <c r="BO73" i="25" s="1"/>
  <c r="AX93" i="25"/>
  <c r="BP93" i="25"/>
  <c r="BO93" i="25" s="1"/>
  <c r="BP80" i="25"/>
  <c r="BO80" i="25" s="1"/>
  <c r="AZ80" i="25"/>
  <c r="BP79" i="25"/>
  <c r="BO79" i="25" s="1"/>
  <c r="AX79" i="25"/>
  <c r="BP96" i="25"/>
  <c r="BO96" i="25" s="1"/>
  <c r="AZ96" i="25"/>
  <c r="AX91" i="25"/>
  <c r="BP91" i="25"/>
  <c r="BO91" i="25" s="1"/>
  <c r="AX74" i="25"/>
  <c r="BP74" i="25"/>
  <c r="BO74" i="25" s="1"/>
  <c r="AX76" i="25"/>
  <c r="BP76" i="25"/>
  <c r="BO76" i="25" s="1"/>
  <c r="BP90" i="25"/>
  <c r="BO90" i="25" s="1"/>
  <c r="BA90" i="25"/>
  <c r="BP75" i="25"/>
  <c r="BO75" i="25" s="1"/>
  <c r="BB75" i="25"/>
  <c r="BP85" i="25"/>
  <c r="BO85" i="25" s="1"/>
  <c r="BB85" i="25"/>
  <c r="AX97" i="25"/>
  <c r="AX82" i="25"/>
  <c r="BP82" i="25"/>
  <c r="BO82" i="25" s="1"/>
  <c r="AX89" i="25"/>
  <c r="BP98" i="25"/>
  <c r="BO98" i="25" s="1"/>
  <c r="AZ98" i="25"/>
  <c r="BP94" i="25"/>
  <c r="BO94" i="25" s="1"/>
  <c r="AX94" i="25"/>
  <c r="AX81" i="25"/>
  <c r="BP81" i="25"/>
  <c r="BO81" i="25" s="1"/>
  <c r="BP72" i="25"/>
  <c r="BO72" i="25" s="1"/>
  <c r="BA72" i="25"/>
  <c r="AX95" i="25"/>
  <c r="BP95" i="25"/>
  <c r="BO95" i="25" s="1"/>
  <c r="BP99" i="25"/>
  <c r="BO99" i="25" s="1"/>
  <c r="BB99" i="25"/>
  <c r="AX87" i="25"/>
  <c r="BP87" i="25"/>
  <c r="BO87" i="25" s="1"/>
  <c r="AX77" i="25"/>
  <c r="BP77" i="25"/>
  <c r="BO77" i="25" s="1"/>
  <c r="AX78" i="25"/>
  <c r="BP78" i="25"/>
  <c r="BO78" i="25" s="1"/>
  <c r="AX100" i="25"/>
  <c r="AX103" i="25"/>
  <c r="BP84" i="25"/>
  <c r="BO84" i="25" s="1"/>
  <c r="BB84" i="25"/>
  <c r="AX101" i="25"/>
  <c r="BP101" i="25"/>
  <c r="BO101" i="25" s="1"/>
  <c r="DD70" i="25"/>
  <c r="BT70" i="25"/>
  <c r="DF61" i="25"/>
  <c r="BV61" i="25"/>
  <c r="AZ61" i="25" s="1"/>
  <c r="AX59" i="25"/>
  <c r="BP59" i="25"/>
  <c r="BO59" i="25" s="1"/>
  <c r="DF69" i="25"/>
  <c r="BV69" i="25"/>
  <c r="AZ69" i="25" s="1"/>
  <c r="DF64" i="25"/>
  <c r="BV64" i="25"/>
  <c r="AZ64" i="25" s="1"/>
  <c r="DD68" i="25"/>
  <c r="BT68" i="25"/>
  <c r="AX68" i="25" s="1"/>
  <c r="DF71" i="25"/>
  <c r="BV71" i="25"/>
  <c r="AZ71" i="25" s="1"/>
  <c r="DF62" i="25"/>
  <c r="BV62" i="25"/>
  <c r="AZ62" i="25" s="1"/>
  <c r="DF66" i="25"/>
  <c r="BV66" i="25"/>
  <c r="AZ66" i="25" s="1"/>
  <c r="DF70" i="25"/>
  <c r="BV70" i="25"/>
  <c r="AZ70" i="25" s="1"/>
  <c r="DG61" i="25"/>
  <c r="BW61" i="25"/>
  <c r="BA61" i="25" s="1"/>
  <c r="DH61" i="25"/>
  <c r="BX61" i="25"/>
  <c r="BB61" i="25" s="1"/>
  <c r="DG71" i="25"/>
  <c r="BW71" i="25"/>
  <c r="BA71" i="25" s="1"/>
  <c r="DG63" i="25"/>
  <c r="BW63" i="25"/>
  <c r="BA63" i="25" s="1"/>
  <c r="DH69" i="25"/>
  <c r="BX69" i="25"/>
  <c r="BB69" i="25" s="1"/>
  <c r="DH65" i="25"/>
  <c r="BX65" i="25"/>
  <c r="BB65" i="25" s="1"/>
  <c r="DF65" i="25"/>
  <c r="BV65" i="25"/>
  <c r="AZ65" i="25" s="1"/>
  <c r="DD63" i="25"/>
  <c r="BT63" i="25"/>
  <c r="AX63" i="25" s="1"/>
  <c r="DG69" i="25"/>
  <c r="BW69" i="25"/>
  <c r="BA69" i="25" s="1"/>
  <c r="DD64" i="25"/>
  <c r="BT64" i="25"/>
  <c r="DH67" i="25"/>
  <c r="BX67" i="25"/>
  <c r="BB67" i="25" s="1"/>
  <c r="DG62" i="25"/>
  <c r="BW62" i="25"/>
  <c r="BA62" i="25" s="1"/>
  <c r="DH62" i="25"/>
  <c r="BX62" i="25"/>
  <c r="BB62" i="25" s="1"/>
  <c r="DD66" i="25"/>
  <c r="BT66" i="25"/>
  <c r="DG70" i="25"/>
  <c r="BW70" i="25"/>
  <c r="BA70" i="25" s="1"/>
  <c r="DD61" i="25"/>
  <c r="BT61" i="25"/>
  <c r="DH66" i="25"/>
  <c r="BX66" i="25"/>
  <c r="BB66" i="25" s="1"/>
  <c r="DF63" i="25"/>
  <c r="BV63" i="25"/>
  <c r="DD62" i="25"/>
  <c r="BT62" i="25"/>
  <c r="DG66" i="25"/>
  <c r="BW66" i="25"/>
  <c r="BA66" i="25" s="1"/>
  <c r="DH70" i="25"/>
  <c r="BX70" i="25"/>
  <c r="BB70" i="25" s="1"/>
  <c r="DG68" i="25"/>
  <c r="BW68" i="25"/>
  <c r="DD71" i="25"/>
  <c r="BT71" i="25"/>
  <c r="DH63" i="25"/>
  <c r="BX63" i="25"/>
  <c r="BB63" i="25" s="1"/>
  <c r="DG67" i="25"/>
  <c r="BW67" i="25"/>
  <c r="BA67" i="25" s="1"/>
  <c r="DD69" i="25"/>
  <c r="BT69" i="25"/>
  <c r="DH64" i="25"/>
  <c r="BX64" i="25"/>
  <c r="BB64" i="25" s="1"/>
  <c r="DG64" i="25"/>
  <c r="BW64" i="25"/>
  <c r="BA64" i="25" s="1"/>
  <c r="AX60" i="25"/>
  <c r="BP60" i="25"/>
  <c r="BO60" i="25" s="1"/>
  <c r="DH68" i="25"/>
  <c r="BX68" i="25"/>
  <c r="BB68" i="25" s="1"/>
  <c r="DF68" i="25"/>
  <c r="BV68" i="25"/>
  <c r="AZ68" i="25" s="1"/>
  <c r="DH71" i="25"/>
  <c r="BX71" i="25"/>
  <c r="BB71" i="25" s="1"/>
  <c r="DD67" i="25"/>
  <c r="BT67" i="25"/>
  <c r="DF67" i="25"/>
  <c r="BV67" i="25"/>
  <c r="AZ67" i="25" s="1"/>
  <c r="DD65" i="25"/>
  <c r="BT65" i="25"/>
  <c r="DG65" i="25"/>
  <c r="BW65" i="25"/>
  <c r="BA65" i="25" s="1"/>
  <c r="AX58" i="25"/>
  <c r="BP58" i="25"/>
  <c r="BO58" i="25" s="1"/>
  <c r="EN100" i="25"/>
  <c r="EO100" i="25" s="1"/>
  <c r="EN21" i="25"/>
  <c r="EN98" i="25"/>
  <c r="EN71" i="25"/>
  <c r="EO71" i="25" s="1"/>
  <c r="EN90" i="25"/>
  <c r="EO90" i="25" s="1"/>
  <c r="CF88" i="25"/>
  <c r="HQ88" i="25"/>
  <c r="FN100" i="25"/>
  <c r="FO100" i="25" s="1"/>
  <c r="BF100" i="25" s="1"/>
  <c r="AV100" i="25" s="1"/>
  <c r="GQ98" i="25"/>
  <c r="CE98" i="25"/>
  <c r="EN79" i="25"/>
  <c r="EN102" i="25"/>
  <c r="EO102" i="25" s="1"/>
  <c r="DV88" i="25"/>
  <c r="EN20" i="25"/>
  <c r="X20" i="19" s="1"/>
  <c r="EN54" i="25"/>
  <c r="EO54" i="25" s="1"/>
  <c r="GQ101" i="25"/>
  <c r="CE101" i="25"/>
  <c r="GN100" i="25"/>
  <c r="GO100" i="25" s="1"/>
  <c r="CF100" i="25"/>
  <c r="HQ100" i="25"/>
  <c r="FN90" i="25"/>
  <c r="FO90" i="25" s="1"/>
  <c r="BF90" i="25" s="1"/>
  <c r="AV90" i="25" s="1"/>
  <c r="HQ90" i="25"/>
  <c r="CF90" i="25"/>
  <c r="HQ95" i="25"/>
  <c r="CF95" i="25"/>
  <c r="FN96" i="25"/>
  <c r="FO96" i="25" s="1"/>
  <c r="BF96" i="25" s="1"/>
  <c r="AV96" i="25" s="1"/>
  <c r="GQ103" i="25"/>
  <c r="CE103" i="25"/>
  <c r="FN87" i="25"/>
  <c r="FO87" i="25" s="1"/>
  <c r="BF87" i="25" s="1"/>
  <c r="AV87" i="25" s="1"/>
  <c r="HQ87" i="25"/>
  <c r="CF87" i="25"/>
  <c r="EN84" i="25"/>
  <c r="EO84" i="25" s="1"/>
  <c r="EN86" i="25"/>
  <c r="EN65" i="25"/>
  <c r="EO65" i="25" s="1"/>
  <c r="HN101" i="25"/>
  <c r="HO101" i="25" s="1"/>
  <c r="GQ90" i="25"/>
  <c r="CE90" i="25"/>
  <c r="FN95" i="25"/>
  <c r="FO95" i="25" s="1"/>
  <c r="BF95" i="25" s="1"/>
  <c r="AV95" i="25" s="1"/>
  <c r="FN98" i="25"/>
  <c r="FO98" i="25" s="1"/>
  <c r="BF98" i="25" s="1"/>
  <c r="AV98" i="25" s="1"/>
  <c r="HN98" i="25"/>
  <c r="HO98" i="25" s="1"/>
  <c r="HN96" i="25"/>
  <c r="HO96" i="25" s="1"/>
  <c r="FN103" i="25"/>
  <c r="FO103" i="25" s="1"/>
  <c r="BF103" i="25" s="1"/>
  <c r="AV103" i="25" s="1"/>
  <c r="GN87" i="25"/>
  <c r="GO87" i="25" s="1"/>
  <c r="EN66" i="25"/>
  <c r="EO66" i="25" s="1"/>
  <c r="EN95" i="25"/>
  <c r="EO95" i="25" s="1"/>
  <c r="EN92" i="25"/>
  <c r="EO92" i="25" s="1"/>
  <c r="EN58" i="25"/>
  <c r="FN101" i="25"/>
  <c r="FO101" i="25" s="1"/>
  <c r="BF101" i="25" s="1"/>
  <c r="AV101" i="25" s="1"/>
  <c r="GN95" i="25"/>
  <c r="GO95" i="25" s="1"/>
  <c r="CE96" i="25"/>
  <c r="GQ96" i="25"/>
  <c r="HN103" i="25"/>
  <c r="HO103" i="25" s="1"/>
  <c r="FQ88" i="25"/>
  <c r="CK88" i="25" s="1"/>
  <c r="CD88" i="25"/>
  <c r="HN102" i="25"/>
  <c r="HO102" i="25" s="1"/>
  <c r="FN102" i="25"/>
  <c r="FO102" i="25" s="1"/>
  <c r="BF102" i="25" s="1"/>
  <c r="AV102" i="25" s="1"/>
  <c r="GQ102" i="25"/>
  <c r="CE102" i="25"/>
  <c r="GN99" i="25"/>
  <c r="GO99" i="25" s="1"/>
  <c r="FN99" i="25"/>
  <c r="FO99" i="25" s="1"/>
  <c r="BF99" i="25" s="1"/>
  <c r="AV99" i="25" s="1"/>
  <c r="CF99" i="25"/>
  <c r="HQ99" i="25"/>
  <c r="FN97" i="25"/>
  <c r="FO97" i="25" s="1"/>
  <c r="BF97" i="25" s="1"/>
  <c r="GN97" i="25"/>
  <c r="GO97" i="25" s="1"/>
  <c r="HN97" i="25"/>
  <c r="HO97" i="25" s="1"/>
  <c r="HN94" i="25"/>
  <c r="HO94" i="25" s="1"/>
  <c r="FN94" i="25"/>
  <c r="FO94" i="25" s="1"/>
  <c r="BF94" i="25" s="1"/>
  <c r="AV94" i="25" s="1"/>
  <c r="GQ94" i="25"/>
  <c r="CE94" i="25"/>
  <c r="GQ93" i="25"/>
  <c r="CE93" i="25"/>
  <c r="HQ93" i="25"/>
  <c r="CF93" i="25"/>
  <c r="FN93" i="25"/>
  <c r="FO93" i="25" s="1"/>
  <c r="BF93" i="25" s="1"/>
  <c r="AV93" i="25" s="1"/>
  <c r="CF92" i="25"/>
  <c r="HQ92" i="25"/>
  <c r="FN92" i="25"/>
  <c r="FO92" i="25" s="1"/>
  <c r="BF92" i="25" s="1"/>
  <c r="AV92" i="25" s="1"/>
  <c r="GQ92" i="25"/>
  <c r="CE92" i="25"/>
  <c r="FN91" i="25"/>
  <c r="FO91" i="25" s="1"/>
  <c r="BF91" i="25" s="1"/>
  <c r="AV91" i="25" s="1"/>
  <c r="GN91" i="25"/>
  <c r="GO91" i="25" s="1"/>
  <c r="HN91" i="25"/>
  <c r="HO91" i="25" s="1"/>
  <c r="CE89" i="25"/>
  <c r="GQ89" i="25"/>
  <c r="FN89" i="25"/>
  <c r="FO89" i="25" s="1"/>
  <c r="BF89" i="25" s="1"/>
  <c r="HN89" i="25"/>
  <c r="HO89" i="25" s="1"/>
  <c r="FN86" i="25"/>
  <c r="FO86" i="25" s="1"/>
  <c r="BF86" i="25" s="1"/>
  <c r="AV86" i="25" s="1"/>
  <c r="GQ86" i="25"/>
  <c r="CE86" i="25"/>
  <c r="HN86" i="25"/>
  <c r="HO86" i="25" s="1"/>
  <c r="HN85" i="25"/>
  <c r="HO85" i="25" s="1"/>
  <c r="CE85" i="25"/>
  <c r="GQ85" i="25"/>
  <c r="FN85" i="25"/>
  <c r="FO85" i="25" s="1"/>
  <c r="BF85" i="25" s="1"/>
  <c r="AV85" i="25" s="1"/>
  <c r="AW46" i="25"/>
  <c r="EN63" i="25"/>
  <c r="EO63" i="25" s="1"/>
  <c r="EN62" i="25"/>
  <c r="EN77" i="25"/>
  <c r="BP50" i="25"/>
  <c r="BO50" i="25" s="1"/>
  <c r="EN53" i="25"/>
  <c r="EO53" i="25" s="1"/>
  <c r="CF25" i="25"/>
  <c r="HQ25" i="25"/>
  <c r="HQ26" i="25"/>
  <c r="CF26" i="25"/>
  <c r="CF38" i="25"/>
  <c r="HQ38" i="25"/>
  <c r="CD50" i="25"/>
  <c r="FQ50" i="25"/>
  <c r="CK50" i="25" s="1"/>
  <c r="CD36" i="25"/>
  <c r="FQ36" i="25"/>
  <c r="CK36" i="25" s="1"/>
  <c r="HQ45" i="25"/>
  <c r="CF45" i="25"/>
  <c r="CE40" i="25"/>
  <c r="GQ40" i="25"/>
  <c r="CF29" i="25"/>
  <c r="HQ29" i="25"/>
  <c r="CE30" i="25"/>
  <c r="GQ30" i="25"/>
  <c r="GQ48" i="25"/>
  <c r="CE48" i="25"/>
  <c r="FQ52" i="25"/>
  <c r="CK52" i="25" s="1"/>
  <c r="CD52" i="25"/>
  <c r="CF28" i="25"/>
  <c r="HQ28" i="25"/>
  <c r="CE52" i="25"/>
  <c r="GQ52" i="25"/>
  <c r="HQ34" i="25"/>
  <c r="CF34" i="25"/>
  <c r="GQ32" i="25"/>
  <c r="CE32" i="25"/>
  <c r="CD24" i="25"/>
  <c r="CB24" i="25" s="1"/>
  <c r="FQ24" i="25"/>
  <c r="CK24" i="25" s="1"/>
  <c r="GQ28" i="25"/>
  <c r="CE28" i="25"/>
  <c r="HQ27" i="25"/>
  <c r="CF27" i="25"/>
  <c r="HQ46" i="25"/>
  <c r="CF46" i="25"/>
  <c r="CF23" i="25"/>
  <c r="HQ23" i="25"/>
  <c r="GQ59" i="25"/>
  <c r="CE59" i="25"/>
  <c r="CE84" i="25"/>
  <c r="GQ84" i="25"/>
  <c r="FQ30" i="25"/>
  <c r="CK30" i="25" s="1"/>
  <c r="CD30" i="25"/>
  <c r="FN76" i="25"/>
  <c r="FO76" i="25" s="1"/>
  <c r="BF76" i="25" s="1"/>
  <c r="AV76" i="25" s="1"/>
  <c r="FQ33" i="25"/>
  <c r="CK33" i="25" s="1"/>
  <c r="CD33" i="25"/>
  <c r="CB33" i="25" s="1"/>
  <c r="FN65" i="25"/>
  <c r="FO65" i="25" s="1"/>
  <c r="BF65" i="25" s="1"/>
  <c r="AV65" i="25" s="1"/>
  <c r="CD23" i="25"/>
  <c r="FQ23" i="25"/>
  <c r="CK23" i="25" s="1"/>
  <c r="CF51" i="25"/>
  <c r="HQ51" i="25"/>
  <c r="FQ25" i="25"/>
  <c r="CK25" i="25" s="1"/>
  <c r="CD25" i="25"/>
  <c r="FN70" i="25"/>
  <c r="FO70" i="25" s="1"/>
  <c r="BF70" i="25" s="1"/>
  <c r="AV70" i="25" s="1"/>
  <c r="FQ40" i="25"/>
  <c r="CK40" i="25" s="1"/>
  <c r="CD40" i="25"/>
  <c r="CE77" i="25"/>
  <c r="GQ77" i="25"/>
  <c r="HN66" i="25"/>
  <c r="HO66" i="25" s="1"/>
  <c r="AW43" i="25"/>
  <c r="GQ41" i="25"/>
  <c r="CE41" i="25"/>
  <c r="GQ82" i="25"/>
  <c r="CE82" i="25"/>
  <c r="HQ74" i="25"/>
  <c r="CF74" i="25"/>
  <c r="CD39" i="25"/>
  <c r="FQ39" i="25"/>
  <c r="CK39" i="25" s="1"/>
  <c r="CD44" i="25"/>
  <c r="FQ44" i="25"/>
  <c r="CK44" i="25" s="1"/>
  <c r="FQ46" i="25"/>
  <c r="CK46" i="25" s="1"/>
  <c r="CD46" i="25"/>
  <c r="FN73" i="25"/>
  <c r="FO73" i="25" s="1"/>
  <c r="BF73" i="25" s="1"/>
  <c r="AV73" i="25" s="1"/>
  <c r="CF76" i="25"/>
  <c r="HQ76" i="25"/>
  <c r="CF71" i="25"/>
  <c r="HQ71" i="25"/>
  <c r="HN75" i="25"/>
  <c r="HO75" i="25" s="1"/>
  <c r="BP56" i="25"/>
  <c r="BO56" i="25" s="1"/>
  <c r="AW42" i="25"/>
  <c r="AY44" i="25"/>
  <c r="AW32" i="25"/>
  <c r="FQ35" i="25"/>
  <c r="CK35" i="25" s="1"/>
  <c r="CD35" i="25"/>
  <c r="HN53" i="25"/>
  <c r="HO53" i="25" s="1"/>
  <c r="HN41" i="25"/>
  <c r="HO41" i="25" s="1"/>
  <c r="FN21" i="25"/>
  <c r="FO21" i="25" s="1"/>
  <c r="BF21" i="25" s="1"/>
  <c r="AV21" i="25" s="1"/>
  <c r="HN21" i="25"/>
  <c r="HO21" i="25" s="1"/>
  <c r="GN83" i="25"/>
  <c r="GO83" i="25" s="1"/>
  <c r="FN74" i="25"/>
  <c r="FO74" i="25" s="1"/>
  <c r="BF74" i="25" s="1"/>
  <c r="AV74" i="25" s="1"/>
  <c r="HQ72" i="25"/>
  <c r="CF72" i="25"/>
  <c r="CE36" i="25"/>
  <c r="GQ36" i="25"/>
  <c r="CD28" i="25"/>
  <c r="FQ28" i="25"/>
  <c r="CK28" i="25" s="1"/>
  <c r="FN62" i="25"/>
  <c r="FO62" i="25" s="1"/>
  <c r="BF62" i="25" s="1"/>
  <c r="AV62" i="25" s="1"/>
  <c r="FN57" i="25"/>
  <c r="FO57" i="25" s="1"/>
  <c r="BF57" i="25" s="1"/>
  <c r="AV57" i="25" s="1"/>
  <c r="FQ27" i="25"/>
  <c r="CK27" i="25" s="1"/>
  <c r="CD27" i="25"/>
  <c r="HN73" i="25"/>
  <c r="HO73" i="25" s="1"/>
  <c r="GQ78" i="25"/>
  <c r="CE78" i="25"/>
  <c r="HQ78" i="25"/>
  <c r="CF78" i="25"/>
  <c r="CE76" i="25"/>
  <c r="GQ76" i="25"/>
  <c r="GQ64" i="25"/>
  <c r="CE64" i="25"/>
  <c r="HQ64" i="25"/>
  <c r="CF64" i="25"/>
  <c r="GN60" i="25"/>
  <c r="GO60" i="25" s="1"/>
  <c r="GN56" i="25"/>
  <c r="GO56" i="25" s="1"/>
  <c r="GN71" i="25"/>
  <c r="GO71" i="25" s="1"/>
  <c r="FN69" i="25"/>
  <c r="FO69" i="25" s="1"/>
  <c r="BF69" i="25" s="1"/>
  <c r="AV69" i="25" s="1"/>
  <c r="HN65" i="25"/>
  <c r="HO65" i="25" s="1"/>
  <c r="FN75" i="25"/>
  <c r="FO75" i="25" s="1"/>
  <c r="BF75" i="25" s="1"/>
  <c r="AV75" i="25" s="1"/>
  <c r="HQ54" i="25"/>
  <c r="CF54" i="25"/>
  <c r="FN55" i="25"/>
  <c r="FO55" i="25" s="1"/>
  <c r="BF55" i="25" s="1"/>
  <c r="GQ70" i="25"/>
  <c r="CE70" i="25"/>
  <c r="FQ38" i="25"/>
  <c r="CK38" i="25" s="1"/>
  <c r="CD38" i="25"/>
  <c r="HN61" i="25"/>
  <c r="HO61" i="25" s="1"/>
  <c r="GN22" i="25"/>
  <c r="GO22" i="25" s="1"/>
  <c r="HN22" i="25"/>
  <c r="HO22" i="25" s="1"/>
  <c r="GN63" i="25"/>
  <c r="GO63" i="25" s="1"/>
  <c r="HN63" i="25"/>
  <c r="HO63" i="25" s="1"/>
  <c r="FN66" i="25"/>
  <c r="FO66" i="25" s="1"/>
  <c r="BF66" i="25" s="1"/>
  <c r="AV66" i="25" s="1"/>
  <c r="AY51" i="25"/>
  <c r="CE44" i="25"/>
  <c r="GQ44" i="25"/>
  <c r="FN82" i="25"/>
  <c r="FO82" i="25" s="1"/>
  <c r="BF82" i="25" s="1"/>
  <c r="AV82" i="25" s="1"/>
  <c r="HN84" i="25"/>
  <c r="HO84" i="25" s="1"/>
  <c r="FQ47" i="25"/>
  <c r="CK47" i="25" s="1"/>
  <c r="CD47" i="25"/>
  <c r="CF62" i="25"/>
  <c r="HQ62" i="25"/>
  <c r="HQ43" i="25"/>
  <c r="CF43" i="25"/>
  <c r="CD37" i="25"/>
  <c r="FQ37" i="25"/>
  <c r="CK37" i="25" s="1"/>
  <c r="BP25" i="25"/>
  <c r="BO25" i="25" s="1"/>
  <c r="EN70" i="25"/>
  <c r="EO70" i="25" s="1"/>
  <c r="EN74" i="25"/>
  <c r="EO74" i="25" s="1"/>
  <c r="EN57" i="25"/>
  <c r="EO57" i="25" s="1"/>
  <c r="AW45" i="25"/>
  <c r="FN59" i="25"/>
  <c r="FO59" i="25" s="1"/>
  <c r="BF59" i="25" s="1"/>
  <c r="AV59" i="25" s="1"/>
  <c r="CE21" i="25"/>
  <c r="GQ21" i="25"/>
  <c r="GN20" i="25"/>
  <c r="GO20" i="25" s="1"/>
  <c r="HQ20" i="25"/>
  <c r="CF20" i="25"/>
  <c r="CF82" i="25"/>
  <c r="HQ82" i="25"/>
  <c r="FN72" i="25"/>
  <c r="FO72" i="25" s="1"/>
  <c r="BF72" i="25" s="1"/>
  <c r="AV72" i="25" s="1"/>
  <c r="GQ67" i="25"/>
  <c r="CE67" i="25"/>
  <c r="HN67" i="25"/>
  <c r="HO67" i="25" s="1"/>
  <c r="FQ43" i="25"/>
  <c r="CK43" i="25" s="1"/>
  <c r="CD43" i="25"/>
  <c r="FQ32" i="25"/>
  <c r="CK32" i="25" s="1"/>
  <c r="CD32" i="25"/>
  <c r="GQ62" i="25"/>
  <c r="CE62" i="25"/>
  <c r="CE73" i="25"/>
  <c r="GQ73" i="25"/>
  <c r="FN78" i="25"/>
  <c r="FO78" i="25" s="1"/>
  <c r="BF78" i="25" s="1"/>
  <c r="AV78" i="25" s="1"/>
  <c r="CF81" i="25"/>
  <c r="HQ81" i="25"/>
  <c r="FQ51" i="25"/>
  <c r="CK51" i="25" s="1"/>
  <c r="CD51" i="25"/>
  <c r="HN60" i="25"/>
  <c r="HO60" i="25" s="1"/>
  <c r="CF56" i="25"/>
  <c r="HQ56" i="25"/>
  <c r="HN69" i="25"/>
  <c r="HO69" i="25" s="1"/>
  <c r="HQ68" i="25"/>
  <c r="CF68" i="25"/>
  <c r="FQ42" i="25"/>
  <c r="CK42" i="25" s="1"/>
  <c r="CD42" i="25"/>
  <c r="CF35" i="25"/>
  <c r="HQ35" i="25"/>
  <c r="HN55" i="25"/>
  <c r="HO55" i="25" s="1"/>
  <c r="GN79" i="25"/>
  <c r="GO79" i="25" s="1"/>
  <c r="FN80" i="25"/>
  <c r="FO80" i="25" s="1"/>
  <c r="BF80" i="25" s="1"/>
  <c r="AV80" i="25" s="1"/>
  <c r="CF80" i="25"/>
  <c r="HQ80" i="25"/>
  <c r="FQ49" i="25"/>
  <c r="CK49" i="25" s="1"/>
  <c r="CD49" i="25"/>
  <c r="AV48" i="25"/>
  <c r="FN61" i="25"/>
  <c r="FO61" i="25" s="1"/>
  <c r="BF61" i="25" s="1"/>
  <c r="FN77" i="25"/>
  <c r="FO77" i="25" s="1"/>
  <c r="BF77" i="25" s="1"/>
  <c r="AV77" i="25" s="1"/>
  <c r="FN63" i="25"/>
  <c r="FO63" i="25" s="1"/>
  <c r="BF63" i="25" s="1"/>
  <c r="AV63" i="25" s="1"/>
  <c r="GQ66" i="25"/>
  <c r="CE66" i="25"/>
  <c r="CF31" i="25"/>
  <c r="HQ31" i="25"/>
  <c r="HQ30" i="25"/>
  <c r="CF30" i="25"/>
  <c r="GN53" i="25"/>
  <c r="GO53" i="25" s="1"/>
  <c r="FN58" i="25"/>
  <c r="FO58" i="25" s="1"/>
  <c r="BF58" i="25" s="1"/>
  <c r="AV58" i="25" s="1"/>
  <c r="GQ72" i="25"/>
  <c r="CE72" i="25"/>
  <c r="HQ57" i="25"/>
  <c r="CF57" i="25"/>
  <c r="FQ26" i="25"/>
  <c r="CK26" i="25" s="1"/>
  <c r="CD26" i="25"/>
  <c r="CE81" i="25"/>
  <c r="GQ81" i="25"/>
  <c r="FQ45" i="25"/>
  <c r="CK45" i="25" s="1"/>
  <c r="CD45" i="25"/>
  <c r="FN56" i="25"/>
  <c r="FO56" i="25" s="1"/>
  <c r="BF56" i="25" s="1"/>
  <c r="AV56" i="25" s="1"/>
  <c r="CE68" i="25"/>
  <c r="GQ68" i="25"/>
  <c r="BP39" i="25"/>
  <c r="BO39" i="25" s="1"/>
  <c r="BP52" i="25"/>
  <c r="BO52" i="25" s="1"/>
  <c r="EN80" i="25"/>
  <c r="EO80" i="25" s="1"/>
  <c r="EN78" i="25"/>
  <c r="EN64" i="25"/>
  <c r="EO64" i="25" s="1"/>
  <c r="EN81" i="25"/>
  <c r="EO81" i="25" s="1"/>
  <c r="EN56" i="25"/>
  <c r="EO56" i="25" s="1"/>
  <c r="AY47" i="25"/>
  <c r="AW35" i="25"/>
  <c r="AY39" i="25"/>
  <c r="AY35" i="25"/>
  <c r="HQ36" i="25"/>
  <c r="CF36" i="25"/>
  <c r="CF49" i="25"/>
  <c r="HQ49" i="25"/>
  <c r="CD31" i="25"/>
  <c r="FQ31" i="25"/>
  <c r="CK31" i="25" s="1"/>
  <c r="HQ37" i="25"/>
  <c r="CF37" i="25"/>
  <c r="CD29" i="25"/>
  <c r="FQ29" i="25"/>
  <c r="CK29" i="25" s="1"/>
  <c r="FN53" i="25"/>
  <c r="FO53" i="25" s="1"/>
  <c r="BF53" i="25" s="1"/>
  <c r="FN41" i="25"/>
  <c r="FO41" i="25" s="1"/>
  <c r="BF41" i="25" s="1"/>
  <c r="HN59" i="25"/>
  <c r="HO59" i="25" s="1"/>
  <c r="CE58" i="25"/>
  <c r="GQ58" i="25"/>
  <c r="HN58" i="25"/>
  <c r="HO58" i="25" s="1"/>
  <c r="FN20" i="25"/>
  <c r="FO20" i="25" s="1"/>
  <c r="BF20" i="25" s="1"/>
  <c r="AV20" i="25" s="1"/>
  <c r="FN83" i="25"/>
  <c r="FO83" i="25" s="1"/>
  <c r="BF83" i="25" s="1"/>
  <c r="AV83" i="25" s="1"/>
  <c r="HN83" i="25"/>
  <c r="HO83" i="25" s="1"/>
  <c r="FN84" i="25"/>
  <c r="FO84" i="25" s="1"/>
  <c r="BF84" i="25" s="1"/>
  <c r="AV84" i="25" s="1"/>
  <c r="GQ74" i="25"/>
  <c r="CE74" i="25"/>
  <c r="FN67" i="25"/>
  <c r="FO67" i="25" s="1"/>
  <c r="BF67" i="25" s="1"/>
  <c r="AV67" i="25" s="1"/>
  <c r="CE57" i="25"/>
  <c r="GQ57" i="25"/>
  <c r="FN64" i="25"/>
  <c r="FO64" i="25" s="1"/>
  <c r="BF64" i="25" s="1"/>
  <c r="AV64" i="25" s="1"/>
  <c r="FN81" i="25"/>
  <c r="FO81" i="25" s="1"/>
  <c r="BF81" i="25" s="1"/>
  <c r="AV81" i="25" s="1"/>
  <c r="FN60" i="25"/>
  <c r="FO60" i="25" s="1"/>
  <c r="BF60" i="25" s="1"/>
  <c r="AV60" i="25" s="1"/>
  <c r="FN71" i="25"/>
  <c r="FO71" i="25" s="1"/>
  <c r="BF71" i="25" s="1"/>
  <c r="AV71" i="25" s="1"/>
  <c r="CE69" i="25"/>
  <c r="GQ69" i="25"/>
  <c r="GQ65" i="25"/>
  <c r="CE65" i="25"/>
  <c r="GN75" i="25"/>
  <c r="GO75" i="25" s="1"/>
  <c r="FN68" i="25"/>
  <c r="FO68" i="25" s="1"/>
  <c r="BF68" i="25" s="1"/>
  <c r="AV68" i="25" s="1"/>
  <c r="CD34" i="25"/>
  <c r="FQ34" i="25"/>
  <c r="CK34" i="25" s="1"/>
  <c r="GQ54" i="25"/>
  <c r="CE54" i="25"/>
  <c r="FN54" i="25"/>
  <c r="FO54" i="25" s="1"/>
  <c r="BF54" i="25" s="1"/>
  <c r="GQ55" i="25"/>
  <c r="CE55" i="25"/>
  <c r="FN79" i="25"/>
  <c r="FO79" i="25" s="1"/>
  <c r="BF79" i="25" s="1"/>
  <c r="AV79" i="25" s="1"/>
  <c r="HQ79" i="25"/>
  <c r="CF79" i="25"/>
  <c r="GQ80" i="25"/>
  <c r="CE80" i="25"/>
  <c r="HN70" i="25"/>
  <c r="HO70" i="25" s="1"/>
  <c r="FQ48" i="25"/>
  <c r="CK48" i="25" s="1"/>
  <c r="CD48" i="25"/>
  <c r="CE61" i="25"/>
  <c r="GQ61" i="25"/>
  <c r="FN22" i="25"/>
  <c r="FO22" i="25" s="1"/>
  <c r="BF22" i="25" s="1"/>
  <c r="AV22" i="25" s="1"/>
  <c r="CF77" i="25"/>
  <c r="HQ77" i="25"/>
  <c r="AW20" i="25"/>
  <c r="BP42" i="25"/>
  <c r="AX42" i="25"/>
  <c r="DE48" i="25"/>
  <c r="BK48" i="25"/>
  <c r="AY48" i="25" s="1"/>
  <c r="AT48" i="25" s="1"/>
  <c r="AK48" i="25" s="1"/>
  <c r="BP28" i="25"/>
  <c r="AX28" i="25"/>
  <c r="AW36" i="25"/>
  <c r="BP27" i="25"/>
  <c r="BO27" i="25" s="1"/>
  <c r="BP29" i="25"/>
  <c r="BP45" i="25"/>
  <c r="BP35" i="25"/>
  <c r="BP24" i="25"/>
  <c r="BO24" i="25" s="1"/>
  <c r="AX24" i="25"/>
  <c r="BP40" i="25"/>
  <c r="AX40" i="25"/>
  <c r="AW51" i="25"/>
  <c r="AY36" i="25"/>
  <c r="AY29" i="25"/>
  <c r="AW34" i="25"/>
  <c r="AW54" i="25"/>
  <c r="AY34" i="25"/>
  <c r="AY52" i="25"/>
  <c r="AY28" i="25"/>
  <c r="AY42" i="25"/>
  <c r="AY45" i="25"/>
  <c r="AW37" i="25"/>
  <c r="AW33" i="25"/>
  <c r="AY37" i="25"/>
  <c r="AY26" i="25"/>
  <c r="AY46" i="25"/>
  <c r="DE88" i="25"/>
  <c r="BK88" i="25"/>
  <c r="AY88" i="25" s="1"/>
  <c r="AT88" i="25" s="1"/>
  <c r="AK88" i="25" s="1"/>
  <c r="BP51" i="25"/>
  <c r="BP20" i="25"/>
  <c r="BO20" i="25" s="1"/>
  <c r="BP34" i="25"/>
  <c r="BP37" i="25"/>
  <c r="BP47" i="25"/>
  <c r="BP41" i="25"/>
  <c r="BP53" i="25"/>
  <c r="BP23" i="25"/>
  <c r="BO23" i="25" s="1"/>
  <c r="BP32" i="25"/>
  <c r="BP38" i="25"/>
  <c r="AX38" i="25"/>
  <c r="BP57" i="25"/>
  <c r="BT22" i="25"/>
  <c r="L37" i="3" s="1"/>
  <c r="AY32" i="25"/>
  <c r="AW31" i="25"/>
  <c r="AY43" i="25"/>
  <c r="AW26" i="25"/>
  <c r="DI48" i="25"/>
  <c r="AW41" i="25"/>
  <c r="AW38" i="25"/>
  <c r="AW57" i="25"/>
  <c r="AY24" i="25"/>
  <c r="AY33" i="25"/>
  <c r="BO48" i="25"/>
  <c r="BP33" i="25"/>
  <c r="BP54" i="25"/>
  <c r="AX54" i="25"/>
  <c r="AW56" i="25"/>
  <c r="BP43" i="25"/>
  <c r="BP30" i="25"/>
  <c r="BP46" i="25"/>
  <c r="BP26" i="25"/>
  <c r="BO26" i="25" s="1"/>
  <c r="AX26" i="25"/>
  <c r="BP36" i="25"/>
  <c r="AX36" i="25"/>
  <c r="BP44" i="25"/>
  <c r="AX44" i="25"/>
  <c r="BP31" i="25"/>
  <c r="BP49" i="25"/>
  <c r="BP55" i="25"/>
  <c r="AW53" i="25"/>
  <c r="AW44" i="25"/>
  <c r="AY50" i="25"/>
  <c r="AY49" i="25"/>
  <c r="AY27" i="25"/>
  <c r="AY30" i="25"/>
  <c r="AY40" i="25"/>
  <c r="AY23" i="25"/>
  <c r="AW49" i="25"/>
  <c r="AW39" i="25"/>
  <c r="AW47" i="25"/>
  <c r="AW29" i="25"/>
  <c r="AW30" i="25"/>
  <c r="AY31" i="25"/>
  <c r="AW40" i="25"/>
  <c r="AY25" i="25"/>
  <c r="AY38" i="25"/>
  <c r="AW55" i="25"/>
  <c r="AW50" i="25"/>
  <c r="AT50" i="25" s="1"/>
  <c r="AK50" i="25" s="1"/>
  <c r="DV48" i="25"/>
  <c r="EN60" i="25"/>
  <c r="EN61" i="25"/>
  <c r="EO61" i="25" s="1"/>
  <c r="EN69" i="25"/>
  <c r="EO69" i="25" s="1"/>
  <c r="EN59" i="25"/>
  <c r="EO59" i="25" s="1"/>
  <c r="W38" i="42"/>
  <c r="EN41" i="25"/>
  <c r="EO41" i="25" s="1"/>
  <c r="EN22" i="25"/>
  <c r="EO22" i="25" s="1"/>
  <c r="OM51" i="25"/>
  <c r="EQ88" i="25"/>
  <c r="CJ88" i="25" s="1"/>
  <c r="PM50" i="25"/>
  <c r="OM31" i="25"/>
  <c r="PM30" i="25"/>
  <c r="OM48" i="25"/>
  <c r="DC48" i="25"/>
  <c r="PM23" i="25"/>
  <c r="OM57" i="25"/>
  <c r="PM45" i="25"/>
  <c r="OM37" i="25"/>
  <c r="OM33" i="25"/>
  <c r="PM37" i="25"/>
  <c r="PM35" i="25"/>
  <c r="OM35" i="25"/>
  <c r="OM43" i="25"/>
  <c r="OM53" i="25"/>
  <c r="OM46" i="25"/>
  <c r="PM27" i="25"/>
  <c r="PM44" i="25"/>
  <c r="PM31" i="25"/>
  <c r="PM38" i="25"/>
  <c r="OM55" i="25"/>
  <c r="OM32" i="25"/>
  <c r="PM51" i="25"/>
  <c r="OM58" i="25"/>
  <c r="OM39" i="25"/>
  <c r="PM29" i="25"/>
  <c r="PM34" i="25"/>
  <c r="OM56" i="25"/>
  <c r="PM42" i="25"/>
  <c r="OM60" i="25"/>
  <c r="PM46" i="25"/>
  <c r="DJ52" i="25"/>
  <c r="NM24" i="25"/>
  <c r="DH24" i="25"/>
  <c r="IM30" i="25"/>
  <c r="DJ30" i="25" s="1"/>
  <c r="DC30" i="25"/>
  <c r="LM34" i="25"/>
  <c r="DM34" i="25" s="1"/>
  <c r="DF34" i="25"/>
  <c r="MM41" i="25"/>
  <c r="DN41" i="25" s="1"/>
  <c r="DG41" i="25"/>
  <c r="MM50" i="25"/>
  <c r="DN50" i="25" s="1"/>
  <c r="DG50" i="25"/>
  <c r="MM52" i="25"/>
  <c r="DN52" i="25" s="1"/>
  <c r="DG52" i="25"/>
  <c r="IM38" i="25"/>
  <c r="DJ38" i="25" s="1"/>
  <c r="DC38" i="25"/>
  <c r="LM40" i="25"/>
  <c r="DM40" i="25" s="1"/>
  <c r="DF40" i="25"/>
  <c r="LM39" i="25"/>
  <c r="DM39" i="25" s="1"/>
  <c r="DF39" i="25"/>
  <c r="LM25" i="25"/>
  <c r="DM25" i="25" s="1"/>
  <c r="DF25" i="25"/>
  <c r="NM40" i="25"/>
  <c r="DO40" i="25" s="1"/>
  <c r="DH40" i="25"/>
  <c r="LM37" i="25"/>
  <c r="DM37" i="25" s="1"/>
  <c r="DF37" i="25"/>
  <c r="MM35" i="25"/>
  <c r="DN35" i="25" s="1"/>
  <c r="DG35" i="25"/>
  <c r="IM43" i="25"/>
  <c r="DJ43" i="25" s="1"/>
  <c r="DC43" i="25"/>
  <c r="IM27" i="25"/>
  <c r="DJ27" i="25" s="1"/>
  <c r="IM29" i="25"/>
  <c r="DJ29" i="25" s="1"/>
  <c r="DC29" i="25"/>
  <c r="JM52" i="25"/>
  <c r="DK52" i="25" s="1"/>
  <c r="DD52" i="25"/>
  <c r="NM36" i="25"/>
  <c r="DO36" i="25" s="1"/>
  <c r="DH36" i="25"/>
  <c r="JM28" i="25"/>
  <c r="DK28" i="25" s="1"/>
  <c r="DD28" i="25"/>
  <c r="MM31" i="25"/>
  <c r="DN31" i="25" s="1"/>
  <c r="DG31" i="25"/>
  <c r="NM30" i="25"/>
  <c r="DO30" i="25" s="1"/>
  <c r="DH30" i="25"/>
  <c r="DJ53" i="25"/>
  <c r="DC53" i="25"/>
  <c r="IM23" i="25"/>
  <c r="DJ23" i="25" s="1"/>
  <c r="NM33" i="25"/>
  <c r="DO33" i="25" s="1"/>
  <c r="DH33" i="25"/>
  <c r="NM42" i="25"/>
  <c r="DO42" i="25" s="1"/>
  <c r="DH42" i="25"/>
  <c r="KM25" i="25"/>
  <c r="DL25" i="25" s="1"/>
  <c r="DE25" i="25"/>
  <c r="JM53" i="25"/>
  <c r="DK53" i="25" s="1"/>
  <c r="DD53" i="25"/>
  <c r="KM26" i="25"/>
  <c r="DL26" i="25" s="1"/>
  <c r="DE26" i="25"/>
  <c r="KM49" i="25"/>
  <c r="DL49" i="25" s="1"/>
  <c r="DE49" i="25"/>
  <c r="KM52" i="25"/>
  <c r="DL52" i="25" s="1"/>
  <c r="DE52" i="25"/>
  <c r="MM33" i="25"/>
  <c r="DN33" i="25" s="1"/>
  <c r="DG33" i="25"/>
  <c r="JM37" i="25"/>
  <c r="DK37" i="25" s="1"/>
  <c r="DD37" i="25"/>
  <c r="KM47" i="25"/>
  <c r="DL47" i="25" s="1"/>
  <c r="DE47" i="25"/>
  <c r="MM38" i="25"/>
  <c r="DN38" i="25" s="1"/>
  <c r="DG38" i="25"/>
  <c r="KM31" i="25"/>
  <c r="DL31" i="25" s="1"/>
  <c r="DE31" i="25"/>
  <c r="MM44" i="25"/>
  <c r="DN44" i="25" s="1"/>
  <c r="DG44" i="25"/>
  <c r="MM30" i="25"/>
  <c r="DN30" i="25" s="1"/>
  <c r="DG30" i="25"/>
  <c r="NM46" i="25"/>
  <c r="DO46" i="25" s="1"/>
  <c r="DH46" i="25"/>
  <c r="KM40" i="25"/>
  <c r="DL40" i="25" s="1"/>
  <c r="DE40" i="25"/>
  <c r="KM45" i="25"/>
  <c r="DL45" i="25" s="1"/>
  <c r="DE45" i="25"/>
  <c r="MM34" i="25"/>
  <c r="DN34" i="25" s="1"/>
  <c r="DG34" i="25"/>
  <c r="KM37" i="25"/>
  <c r="DL37" i="25" s="1"/>
  <c r="DE37" i="25"/>
  <c r="JM32" i="25"/>
  <c r="DK32" i="25" s="1"/>
  <c r="DD32" i="25"/>
  <c r="NM35" i="25"/>
  <c r="DO35" i="25" s="1"/>
  <c r="DH35" i="25"/>
  <c r="MM24" i="25"/>
  <c r="DG24" i="25"/>
  <c r="JM31" i="25"/>
  <c r="DK31" i="25" s="1"/>
  <c r="DD31" i="25"/>
  <c r="LM44" i="25"/>
  <c r="DM44" i="25" s="1"/>
  <c r="DF44" i="25"/>
  <c r="JM30" i="25"/>
  <c r="DK30" i="25" s="1"/>
  <c r="DD30" i="25"/>
  <c r="LM50" i="25"/>
  <c r="DM50" i="25" s="1"/>
  <c r="DF50" i="25"/>
  <c r="MM40" i="25"/>
  <c r="DN40" i="25" s="1"/>
  <c r="DG40" i="25"/>
  <c r="NM29" i="25"/>
  <c r="DO29" i="25" s="1"/>
  <c r="DH29" i="25"/>
  <c r="JM49" i="25"/>
  <c r="DK49" i="25" s="1"/>
  <c r="DD49" i="25"/>
  <c r="MM37" i="25"/>
  <c r="DN37" i="25" s="1"/>
  <c r="DG37" i="25"/>
  <c r="JM47" i="25"/>
  <c r="DK47" i="25" s="1"/>
  <c r="DD47" i="25"/>
  <c r="LM28" i="25"/>
  <c r="DM28" i="25" s="1"/>
  <c r="DF28" i="25"/>
  <c r="KM38" i="25"/>
  <c r="DL38" i="25" s="1"/>
  <c r="DE38" i="25"/>
  <c r="JM24" i="25"/>
  <c r="DK24" i="25" s="1"/>
  <c r="DD24" i="25"/>
  <c r="KM44" i="25"/>
  <c r="DL44" i="25" s="1"/>
  <c r="DE44" i="25"/>
  <c r="JM50" i="25"/>
  <c r="DK50" i="25" s="1"/>
  <c r="DD50" i="25"/>
  <c r="JM40" i="25"/>
  <c r="DK40" i="25" s="1"/>
  <c r="DD40" i="25"/>
  <c r="LM29" i="25"/>
  <c r="DM29" i="25" s="1"/>
  <c r="DF29" i="25"/>
  <c r="JM23" i="25"/>
  <c r="DK23" i="25" s="1"/>
  <c r="DD23" i="25"/>
  <c r="NM39" i="25"/>
  <c r="DO39" i="25" s="1"/>
  <c r="DH39" i="25"/>
  <c r="NM34" i="25"/>
  <c r="DO34" i="25" s="1"/>
  <c r="DH34" i="25"/>
  <c r="LM36" i="25"/>
  <c r="DM36" i="25" s="1"/>
  <c r="DF36" i="25"/>
  <c r="LM47" i="25"/>
  <c r="DM47" i="25" s="1"/>
  <c r="DF47" i="25"/>
  <c r="NM28" i="25"/>
  <c r="DO28" i="25" s="1"/>
  <c r="DH28" i="25"/>
  <c r="NM38" i="25"/>
  <c r="DO38" i="25" s="1"/>
  <c r="DH38" i="25"/>
  <c r="LM24" i="25"/>
  <c r="DM24" i="25" s="1"/>
  <c r="DF24" i="25"/>
  <c r="NM44" i="25"/>
  <c r="DO44" i="25" s="1"/>
  <c r="DH44" i="25"/>
  <c r="KM46" i="25"/>
  <c r="DL46" i="25" s="1"/>
  <c r="DE46" i="25"/>
  <c r="KM54" i="25"/>
  <c r="DL54" i="25" s="1"/>
  <c r="KM55" i="25"/>
  <c r="DL55" i="25" s="1"/>
  <c r="MM54" i="25"/>
  <c r="DN54" i="25" s="1"/>
  <c r="DG54" i="25"/>
  <c r="DJ57" i="25"/>
  <c r="DU57" i="25" s="1"/>
  <c r="DC57" i="25"/>
  <c r="KM58" i="25"/>
  <c r="DL58" i="25" s="1"/>
  <c r="NM59" i="25"/>
  <c r="DO59" i="25" s="1"/>
  <c r="DH59" i="25"/>
  <c r="JM56" i="25"/>
  <c r="DK56" i="25" s="1"/>
  <c r="DD56" i="25"/>
  <c r="MM59" i="25"/>
  <c r="DN59" i="25" s="1"/>
  <c r="DG59" i="25"/>
  <c r="LM58" i="25"/>
  <c r="DM58" i="25" s="1"/>
  <c r="DF58" i="25"/>
  <c r="KM57" i="25"/>
  <c r="DL57" i="25" s="1"/>
  <c r="DJ76" i="25"/>
  <c r="DU76" i="25" s="1"/>
  <c r="DG76" i="25"/>
  <c r="MM76" i="25"/>
  <c r="DN76" i="25" s="1"/>
  <c r="KM74" i="25"/>
  <c r="DL74" i="25" s="1"/>
  <c r="DJ80" i="25"/>
  <c r="DU80" i="25" s="1"/>
  <c r="DF80" i="25"/>
  <c r="LM80" i="25"/>
  <c r="DM80" i="25" s="1"/>
  <c r="DH87" i="25"/>
  <c r="NM87" i="25"/>
  <c r="DO87" i="25" s="1"/>
  <c r="DD89" i="25"/>
  <c r="JM89" i="25"/>
  <c r="DK89" i="25" s="1"/>
  <c r="DH83" i="25"/>
  <c r="NM83" i="25"/>
  <c r="DO83" i="25" s="1"/>
  <c r="DD97" i="25"/>
  <c r="JM97" i="25"/>
  <c r="DK97" i="25" s="1"/>
  <c r="DF86" i="25"/>
  <c r="LM86" i="25"/>
  <c r="DM86" i="25" s="1"/>
  <c r="DJ82" i="25"/>
  <c r="DV82" i="25" s="1"/>
  <c r="KM82" i="25"/>
  <c r="DL82" i="25" s="1"/>
  <c r="DF77" i="25"/>
  <c r="LM77" i="25"/>
  <c r="DM77" i="25" s="1"/>
  <c r="DG73" i="25"/>
  <c r="MM73" i="25"/>
  <c r="DN73" i="25" s="1"/>
  <c r="DG78" i="25"/>
  <c r="MM78" i="25"/>
  <c r="DN78" i="25" s="1"/>
  <c r="DF78" i="25"/>
  <c r="LM78" i="25"/>
  <c r="DM78" i="25" s="1"/>
  <c r="DJ95" i="25"/>
  <c r="DU95" i="25" s="1"/>
  <c r="DH90" i="25"/>
  <c r="NM90" i="25"/>
  <c r="DO90" i="25" s="1"/>
  <c r="KM90" i="25"/>
  <c r="DL90" i="25" s="1"/>
  <c r="DD99" i="25"/>
  <c r="JM99" i="25"/>
  <c r="DK99" i="25" s="1"/>
  <c r="DH99" i="25"/>
  <c r="NM99" i="25"/>
  <c r="DO99" i="25" s="1"/>
  <c r="DD96" i="25"/>
  <c r="JM96" i="25"/>
  <c r="DK96" i="25" s="1"/>
  <c r="DD92" i="25"/>
  <c r="JM92" i="25"/>
  <c r="DK92" i="25" s="1"/>
  <c r="KM93" i="25"/>
  <c r="DL93" i="25" s="1"/>
  <c r="DG93" i="25"/>
  <c r="MM93" i="25"/>
  <c r="DN93" i="25" s="1"/>
  <c r="DG84" i="25"/>
  <c r="MM84" i="25"/>
  <c r="DN84" i="25" s="1"/>
  <c r="DH91" i="25"/>
  <c r="NM91" i="25"/>
  <c r="DO91" i="25" s="1"/>
  <c r="KM98" i="25"/>
  <c r="DL98" i="25" s="1"/>
  <c r="DJ98" i="25"/>
  <c r="DV98" i="25" s="1"/>
  <c r="DD94" i="25"/>
  <c r="JM94" i="25"/>
  <c r="DK94" i="25" s="1"/>
  <c r="DJ72" i="25"/>
  <c r="DV72" i="25" s="1"/>
  <c r="DD72" i="25"/>
  <c r="JM72" i="25"/>
  <c r="DK72" i="25" s="1"/>
  <c r="DJ85" i="25"/>
  <c r="DV85" i="25" s="1"/>
  <c r="DG85" i="25"/>
  <c r="MM85" i="25"/>
  <c r="DN85" i="25" s="1"/>
  <c r="DD75" i="25"/>
  <c r="JM75" i="25"/>
  <c r="DK75" i="25" s="1"/>
  <c r="DH100" i="25"/>
  <c r="NM100" i="25"/>
  <c r="DO100" i="25" s="1"/>
  <c r="DG81" i="25"/>
  <c r="MM81" i="25"/>
  <c r="DN81" i="25" s="1"/>
  <c r="DH101" i="25"/>
  <c r="NM101" i="25"/>
  <c r="DO101" i="25" s="1"/>
  <c r="DH79" i="25"/>
  <c r="NM79" i="25"/>
  <c r="DO79" i="25" s="1"/>
  <c r="DJ79" i="25"/>
  <c r="DV79" i="25" s="1"/>
  <c r="PK57" i="25"/>
  <c r="PL57" i="25" s="1"/>
  <c r="BK57" i="25" s="1"/>
  <c r="AY57" i="25" s="1"/>
  <c r="PK77" i="25"/>
  <c r="PL77" i="25" s="1"/>
  <c r="OK74" i="25"/>
  <c r="OL74" i="25" s="1"/>
  <c r="OK93" i="25"/>
  <c r="OL93" i="25" s="1"/>
  <c r="BI93" i="25" s="1"/>
  <c r="AW93" i="25" s="1"/>
  <c r="PK41" i="25"/>
  <c r="PL41" i="25" s="1"/>
  <c r="PK58" i="25"/>
  <c r="PL58" i="25" s="1"/>
  <c r="EO82" i="25"/>
  <c r="OK76" i="25"/>
  <c r="OL76" i="25" s="1"/>
  <c r="EO91" i="25"/>
  <c r="OK94" i="25"/>
  <c r="OL94" i="25" s="1"/>
  <c r="BI94" i="25" s="1"/>
  <c r="AW94" i="25" s="1"/>
  <c r="EO94" i="25"/>
  <c r="OK78" i="25"/>
  <c r="OL78" i="25" s="1"/>
  <c r="OK98" i="25"/>
  <c r="OL98" i="25" s="1"/>
  <c r="BI98" i="25" s="1"/>
  <c r="AW98" i="25" s="1"/>
  <c r="DI88" i="25"/>
  <c r="PK98" i="25"/>
  <c r="PL98" i="25" s="1"/>
  <c r="EO72" i="25"/>
  <c r="EO97" i="25"/>
  <c r="PK67" i="25"/>
  <c r="PL67" i="25" s="1"/>
  <c r="BK67" i="25" s="1"/>
  <c r="AY67" i="25" s="1"/>
  <c r="IM50" i="25"/>
  <c r="DJ50" i="25" s="1"/>
  <c r="DC50" i="25"/>
  <c r="KM33" i="25"/>
  <c r="DL33" i="25" s="1"/>
  <c r="DE33" i="25"/>
  <c r="LM31" i="25"/>
  <c r="DM31" i="25" s="1"/>
  <c r="DF31" i="25"/>
  <c r="JM26" i="25"/>
  <c r="DK26" i="25" s="1"/>
  <c r="DD26" i="25"/>
  <c r="IM37" i="25"/>
  <c r="DJ37" i="25" s="1"/>
  <c r="DC37" i="25"/>
  <c r="MM43" i="25"/>
  <c r="DN43" i="25" s="1"/>
  <c r="DG43" i="25"/>
  <c r="IM40" i="25"/>
  <c r="DJ40" i="25" s="1"/>
  <c r="DC40" i="25"/>
  <c r="KM36" i="25"/>
  <c r="DL36" i="25" s="1"/>
  <c r="DE36" i="25"/>
  <c r="NM41" i="25"/>
  <c r="DO41" i="25" s="1"/>
  <c r="DH41" i="25"/>
  <c r="JM29" i="25"/>
  <c r="DK29" i="25" s="1"/>
  <c r="DD29" i="25"/>
  <c r="NM32" i="25"/>
  <c r="DO32" i="25" s="1"/>
  <c r="DH32" i="25"/>
  <c r="JM55" i="25"/>
  <c r="DK55" i="25" s="1"/>
  <c r="DD55" i="25"/>
  <c r="DJ54" i="25"/>
  <c r="DC54" i="25"/>
  <c r="KM59" i="25"/>
  <c r="DL59" i="25" s="1"/>
  <c r="NM60" i="25"/>
  <c r="DO60" i="25" s="1"/>
  <c r="DH60" i="25"/>
  <c r="LM60" i="25"/>
  <c r="DM60" i="25" s="1"/>
  <c r="DF60" i="25"/>
  <c r="LM59" i="25"/>
  <c r="DM59" i="25" s="1"/>
  <c r="DF59" i="25"/>
  <c r="DH76" i="25"/>
  <c r="NM76" i="25"/>
  <c r="DO76" i="25" s="1"/>
  <c r="DG74" i="25"/>
  <c r="MM74" i="25"/>
  <c r="DN74" i="25" s="1"/>
  <c r="DG80" i="25"/>
  <c r="MM80" i="25"/>
  <c r="DN80" i="25" s="1"/>
  <c r="DF87" i="25"/>
  <c r="LM87" i="25"/>
  <c r="DM87" i="25" s="1"/>
  <c r="DD87" i="25"/>
  <c r="JM87" i="25"/>
  <c r="DK87" i="25" s="1"/>
  <c r="DD83" i="25"/>
  <c r="JM83" i="25"/>
  <c r="DK83" i="25" s="1"/>
  <c r="DG83" i="25"/>
  <c r="MM83" i="25"/>
  <c r="DN83" i="25" s="1"/>
  <c r="DG97" i="25"/>
  <c r="MM97" i="25"/>
  <c r="DN97" i="25" s="1"/>
  <c r="DF97" i="25"/>
  <c r="LM97" i="25"/>
  <c r="DM97" i="25" s="1"/>
  <c r="DJ86" i="25"/>
  <c r="DH86" i="25"/>
  <c r="NM86" i="25"/>
  <c r="DO86" i="25" s="1"/>
  <c r="DH82" i="25"/>
  <c r="NM82" i="25"/>
  <c r="DO82" i="25" s="1"/>
  <c r="DF82" i="25"/>
  <c r="LM82" i="25"/>
  <c r="DM82" i="25" s="1"/>
  <c r="DD77" i="25"/>
  <c r="JM77" i="25"/>
  <c r="DK77" i="25" s="1"/>
  <c r="DH73" i="25"/>
  <c r="NM73" i="25"/>
  <c r="DO73" i="25" s="1"/>
  <c r="DD78" i="25"/>
  <c r="JM78" i="25"/>
  <c r="DK78" i="25" s="1"/>
  <c r="DH78" i="25"/>
  <c r="NM78" i="25"/>
  <c r="DO78" i="25" s="1"/>
  <c r="KM95" i="25"/>
  <c r="DL95" i="25" s="1"/>
  <c r="DG90" i="25"/>
  <c r="MM90" i="25"/>
  <c r="DN90" i="25" s="1"/>
  <c r="DF99" i="25"/>
  <c r="LM99" i="25"/>
  <c r="DM99" i="25" s="1"/>
  <c r="KM96" i="25"/>
  <c r="DL96" i="25" s="1"/>
  <c r="DG96" i="25"/>
  <c r="MM96" i="25"/>
  <c r="DN96" i="25" s="1"/>
  <c r="DH103" i="25"/>
  <c r="NM103" i="25"/>
  <c r="DO103" i="25" s="1"/>
  <c r="DJ92" i="25"/>
  <c r="DU92" i="25" s="1"/>
  <c r="DF92" i="25"/>
  <c r="LM92" i="25"/>
  <c r="DM92" i="25" s="1"/>
  <c r="DD93" i="25"/>
  <c r="JM93" i="25"/>
  <c r="DK93" i="25" s="1"/>
  <c r="DF84" i="25"/>
  <c r="LM84" i="25"/>
  <c r="DM84" i="25" s="1"/>
  <c r="KM84" i="25"/>
  <c r="DL84" i="25" s="1"/>
  <c r="KM91" i="25"/>
  <c r="DL91" i="25" s="1"/>
  <c r="DD91" i="25"/>
  <c r="JM91" i="25"/>
  <c r="DK91" i="25" s="1"/>
  <c r="DF98" i="25"/>
  <c r="LM98" i="25"/>
  <c r="DM98" i="25" s="1"/>
  <c r="DD98" i="25"/>
  <c r="JM98" i="25"/>
  <c r="DK98" i="25" s="1"/>
  <c r="KM94" i="25"/>
  <c r="DL94" i="25" s="1"/>
  <c r="DF94" i="25"/>
  <c r="LM94" i="25"/>
  <c r="DM94" i="25" s="1"/>
  <c r="DG72" i="25"/>
  <c r="MM72" i="25"/>
  <c r="DN72" i="25" s="1"/>
  <c r="KM85" i="25"/>
  <c r="DL85" i="25" s="1"/>
  <c r="KM75" i="25"/>
  <c r="DL75" i="25" s="1"/>
  <c r="DH75" i="25"/>
  <c r="NM75" i="25"/>
  <c r="DO75" i="25" s="1"/>
  <c r="DF100" i="25"/>
  <c r="LM100" i="25"/>
  <c r="DM100" i="25" s="1"/>
  <c r="KM81" i="25"/>
  <c r="DL81" i="25" s="1"/>
  <c r="DJ81" i="25"/>
  <c r="DG102" i="25"/>
  <c r="MM102" i="25"/>
  <c r="DN102" i="25" s="1"/>
  <c r="DF101" i="25"/>
  <c r="LM101" i="25"/>
  <c r="DM101" i="25" s="1"/>
  <c r="DD101" i="25"/>
  <c r="JM101" i="25"/>
  <c r="DK101" i="25" s="1"/>
  <c r="DG79" i="25"/>
  <c r="MM79" i="25"/>
  <c r="DN79" i="25" s="1"/>
  <c r="DD79" i="25"/>
  <c r="JM79" i="25"/>
  <c r="DK79" i="25" s="1"/>
  <c r="IM24" i="25"/>
  <c r="DJ24" i="25" s="1"/>
  <c r="PM32" i="25"/>
  <c r="OM36" i="25"/>
  <c r="PM43" i="25"/>
  <c r="OM26" i="25"/>
  <c r="OK28" i="25"/>
  <c r="OL28" i="25" s="1"/>
  <c r="BI28" i="25" s="1"/>
  <c r="AW28" i="25" s="1"/>
  <c r="OK25" i="25"/>
  <c r="OL25" i="25" s="1"/>
  <c r="BI25" i="25" s="1"/>
  <c r="OK66" i="25"/>
  <c r="OL66" i="25" s="1"/>
  <c r="BI66" i="25" s="1"/>
  <c r="AW66" i="25" s="1"/>
  <c r="OK72" i="25"/>
  <c r="OL72" i="25" s="1"/>
  <c r="BI72" i="25" s="1"/>
  <c r="AW72" i="25" s="1"/>
  <c r="PK76" i="25"/>
  <c r="PL76" i="25" s="1"/>
  <c r="BK76" i="25" s="1"/>
  <c r="AY76" i="25" s="1"/>
  <c r="EO76" i="25"/>
  <c r="PK64" i="25"/>
  <c r="PL64" i="25" s="1"/>
  <c r="BK64" i="25" s="1"/>
  <c r="AY64" i="25" s="1"/>
  <c r="EO96" i="25"/>
  <c r="PK96" i="25"/>
  <c r="PL96" i="25" s="1"/>
  <c r="BK96" i="25" s="1"/>
  <c r="AY96" i="25" s="1"/>
  <c r="OK73" i="25"/>
  <c r="OL73" i="25" s="1"/>
  <c r="BI73" i="25" s="1"/>
  <c r="AW73" i="25" s="1"/>
  <c r="OK101" i="25"/>
  <c r="OL101" i="25" s="1"/>
  <c r="BI101" i="25" s="1"/>
  <c r="AW101" i="25" s="1"/>
  <c r="PK81" i="25"/>
  <c r="PL81" i="25" s="1"/>
  <c r="BK81" i="25" s="1"/>
  <c r="AY81" i="25" s="1"/>
  <c r="OK84" i="25"/>
  <c r="OL84" i="25" s="1"/>
  <c r="BI84" i="25" s="1"/>
  <c r="AW84" i="25" s="1"/>
  <c r="OM41" i="25"/>
  <c r="OM49" i="25"/>
  <c r="OM47" i="25"/>
  <c r="OM88" i="25"/>
  <c r="OK61" i="25"/>
  <c r="OL61" i="25" s="1"/>
  <c r="BI61" i="25" s="1"/>
  <c r="AW61" i="25" s="1"/>
  <c r="EO93" i="25"/>
  <c r="PK80" i="25"/>
  <c r="PL80" i="25" s="1"/>
  <c r="BK80" i="25" s="1"/>
  <c r="AY80" i="25" s="1"/>
  <c r="OK68" i="25"/>
  <c r="OL68" i="25" s="1"/>
  <c r="OK71" i="25"/>
  <c r="OL71" i="25" s="1"/>
  <c r="BI71" i="25" s="1"/>
  <c r="AW71" i="25" s="1"/>
  <c r="OM34" i="25"/>
  <c r="OM29" i="25"/>
  <c r="OM54" i="25"/>
  <c r="OM30" i="25"/>
  <c r="AC30" i="19"/>
  <c r="PM52" i="25"/>
  <c r="PM28" i="25"/>
  <c r="OM40" i="25"/>
  <c r="PM25" i="25"/>
  <c r="EO73" i="25"/>
  <c r="EO78" i="25"/>
  <c r="PK63" i="25"/>
  <c r="PL63" i="25" s="1"/>
  <c r="PK69" i="25"/>
  <c r="PL69" i="25" s="1"/>
  <c r="BK69" i="25" s="1"/>
  <c r="AY69" i="25" s="1"/>
  <c r="PK66" i="25"/>
  <c r="PL66" i="25" s="1"/>
  <c r="BK66" i="25" s="1"/>
  <c r="AY66" i="25" s="1"/>
  <c r="PK65" i="25"/>
  <c r="PL65" i="25" s="1"/>
  <c r="BK65" i="25" s="1"/>
  <c r="AY65" i="25" s="1"/>
  <c r="EO75" i="25"/>
  <c r="EO99" i="25"/>
  <c r="OK79" i="25"/>
  <c r="OL79" i="25" s="1"/>
  <c r="OM50" i="25"/>
  <c r="PM26" i="25"/>
  <c r="PM88" i="25"/>
  <c r="PK54" i="25"/>
  <c r="PL54" i="25" s="1"/>
  <c r="BK54" i="25" s="1"/>
  <c r="AY54" i="25" s="1"/>
  <c r="OK23" i="25"/>
  <c r="OL23" i="25" s="1"/>
  <c r="BI23" i="25" s="1"/>
  <c r="OK69" i="25"/>
  <c r="OL69" i="25" s="1"/>
  <c r="BI69" i="25" s="1"/>
  <c r="AW69" i="25" s="1"/>
  <c r="DC88" i="25"/>
  <c r="OK97" i="25"/>
  <c r="OL97" i="25" s="1"/>
  <c r="BI97" i="25" s="1"/>
  <c r="PK74" i="25"/>
  <c r="PL74" i="25" s="1"/>
  <c r="BK74" i="25" s="1"/>
  <c r="AY74" i="25" s="1"/>
  <c r="EO85" i="25"/>
  <c r="EO87" i="25"/>
  <c r="IM26" i="25"/>
  <c r="DJ26" i="25" s="1"/>
  <c r="DC26" i="25"/>
  <c r="KM42" i="25"/>
  <c r="DL42" i="25" s="1"/>
  <c r="DE42" i="25"/>
  <c r="IM46" i="25"/>
  <c r="DJ46" i="25" s="1"/>
  <c r="DC46" i="25"/>
  <c r="LM38" i="25"/>
  <c r="DM38" i="25" s="1"/>
  <c r="DF38" i="25"/>
  <c r="NM27" i="25"/>
  <c r="DO27" i="25" s="1"/>
  <c r="DH27" i="25"/>
  <c r="NM49" i="25"/>
  <c r="DO49" i="25" s="1"/>
  <c r="DH49" i="25"/>
  <c r="IM28" i="25"/>
  <c r="DJ28" i="25" s="1"/>
  <c r="NM50" i="25"/>
  <c r="DO50" i="25" s="1"/>
  <c r="DH50" i="25"/>
  <c r="LM33" i="25"/>
  <c r="DM33" i="25" s="1"/>
  <c r="DF33" i="25"/>
  <c r="JM35" i="25"/>
  <c r="DK35" i="25" s="1"/>
  <c r="DD35" i="25"/>
  <c r="JM41" i="25"/>
  <c r="DK41" i="25" s="1"/>
  <c r="DD41" i="25"/>
  <c r="DJ55" i="25"/>
  <c r="DC55" i="25"/>
  <c r="DJ58" i="25"/>
  <c r="DV58" i="25" s="1"/>
  <c r="DC58" i="25"/>
  <c r="NM56" i="25"/>
  <c r="DO56" i="25" s="1"/>
  <c r="DH56" i="25"/>
  <c r="KM56" i="25"/>
  <c r="DL56" i="25" s="1"/>
  <c r="LM56" i="25"/>
  <c r="DM56" i="25" s="1"/>
  <c r="DF56" i="25"/>
  <c r="DF76" i="25"/>
  <c r="LM76" i="25"/>
  <c r="DM76" i="25" s="1"/>
  <c r="KM80" i="25"/>
  <c r="DL80" i="25" s="1"/>
  <c r="KM53" i="25"/>
  <c r="DL53" i="25" s="1"/>
  <c r="MM45" i="25"/>
  <c r="DN45" i="25" s="1"/>
  <c r="DG45" i="25"/>
  <c r="JM34" i="25"/>
  <c r="DK34" i="25" s="1"/>
  <c r="DD34" i="25"/>
  <c r="IM36" i="25"/>
  <c r="DJ36" i="25" s="1"/>
  <c r="DC36" i="25"/>
  <c r="MM28" i="25"/>
  <c r="DN28" i="25" s="1"/>
  <c r="DG28" i="25"/>
  <c r="LM41" i="25"/>
  <c r="DM41" i="25" s="1"/>
  <c r="DF41" i="25"/>
  <c r="KM43" i="25"/>
  <c r="DL43" i="25" s="1"/>
  <c r="DE43" i="25"/>
  <c r="LM51" i="25"/>
  <c r="DM51" i="25" s="1"/>
  <c r="DF51" i="25"/>
  <c r="LM30" i="25"/>
  <c r="DM30" i="25" s="1"/>
  <c r="DF30" i="25"/>
  <c r="KM50" i="25"/>
  <c r="DL50" i="25" s="1"/>
  <c r="DE50" i="25"/>
  <c r="MM29" i="25"/>
  <c r="DN29" i="25" s="1"/>
  <c r="DG29" i="25"/>
  <c r="LM49" i="25"/>
  <c r="DM49" i="25" s="1"/>
  <c r="DF49" i="25"/>
  <c r="LM52" i="25"/>
  <c r="DM52" i="25" s="1"/>
  <c r="DF52" i="25"/>
  <c r="JM33" i="25"/>
  <c r="DK33" i="25" s="1"/>
  <c r="DD33" i="25"/>
  <c r="JM36" i="25"/>
  <c r="DK36" i="25" s="1"/>
  <c r="DD36" i="25"/>
  <c r="MM42" i="25"/>
  <c r="DN42" i="25" s="1"/>
  <c r="DG42" i="25"/>
  <c r="JM25" i="25"/>
  <c r="DK25" i="25" s="1"/>
  <c r="DD25" i="25"/>
  <c r="IM41" i="25"/>
  <c r="DJ41" i="25" s="1"/>
  <c r="DC41" i="25"/>
  <c r="LM43" i="25"/>
  <c r="DM43" i="25" s="1"/>
  <c r="DF43" i="25"/>
  <c r="MM51" i="25"/>
  <c r="DN51" i="25" s="1"/>
  <c r="DG51" i="25"/>
  <c r="LM46" i="25"/>
  <c r="DM46" i="25" s="1"/>
  <c r="DF46" i="25"/>
  <c r="NM53" i="25"/>
  <c r="DO53" i="25" s="1"/>
  <c r="DH53" i="25"/>
  <c r="LM26" i="25"/>
  <c r="DM26" i="25" s="1"/>
  <c r="DF26" i="25"/>
  <c r="IM45" i="25"/>
  <c r="DJ45" i="25" s="1"/>
  <c r="DC45" i="25"/>
  <c r="KM39" i="25"/>
  <c r="DL39" i="25" s="1"/>
  <c r="DE39" i="25"/>
  <c r="KM34" i="25"/>
  <c r="DL34" i="25" s="1"/>
  <c r="DE34" i="25"/>
  <c r="KM32" i="25"/>
  <c r="DL32" i="25" s="1"/>
  <c r="DE32" i="25"/>
  <c r="LM42" i="25"/>
  <c r="DM42" i="25" s="1"/>
  <c r="DF42" i="25"/>
  <c r="LM35" i="25"/>
  <c r="DM35" i="25" s="1"/>
  <c r="DF35" i="25"/>
  <c r="MM25" i="25"/>
  <c r="DG25" i="25"/>
  <c r="IM31" i="25"/>
  <c r="DJ31" i="25" s="1"/>
  <c r="DC31" i="25"/>
  <c r="JM27" i="25"/>
  <c r="DK27" i="25" s="1"/>
  <c r="DD27" i="25"/>
  <c r="MM53" i="25"/>
  <c r="DN53" i="25" s="1"/>
  <c r="DG53" i="25"/>
  <c r="MM26" i="25"/>
  <c r="DG26" i="25"/>
  <c r="JM45" i="25"/>
  <c r="DK45" i="25" s="1"/>
  <c r="DD45" i="25"/>
  <c r="MM49" i="25"/>
  <c r="DN49" i="25" s="1"/>
  <c r="DG49" i="25"/>
  <c r="LM32" i="25"/>
  <c r="DM32" i="25" s="1"/>
  <c r="DF32" i="25"/>
  <c r="IM42" i="25"/>
  <c r="DJ42" i="25" s="1"/>
  <c r="DC42" i="25"/>
  <c r="KM35" i="25"/>
  <c r="DL35" i="25" s="1"/>
  <c r="DE35" i="25"/>
  <c r="NM25" i="25"/>
  <c r="DH25" i="25"/>
  <c r="NM31" i="25"/>
  <c r="DO31" i="25" s="1"/>
  <c r="DH31" i="25"/>
  <c r="KM30" i="25"/>
  <c r="DL30" i="25" s="1"/>
  <c r="DE30" i="25"/>
  <c r="NM54" i="25"/>
  <c r="DO54" i="25" s="1"/>
  <c r="DH54" i="25"/>
  <c r="LM54" i="25"/>
  <c r="DM54" i="25" s="1"/>
  <c r="DF54" i="25"/>
  <c r="JM54" i="25"/>
  <c r="DK54" i="25" s="1"/>
  <c r="DD54" i="25"/>
  <c r="MM58" i="25"/>
  <c r="DN58" i="25" s="1"/>
  <c r="DG58" i="25"/>
  <c r="DJ59" i="25"/>
  <c r="DU59" i="25" s="1"/>
  <c r="DC59" i="25"/>
  <c r="DJ56" i="25"/>
  <c r="DU56" i="25" s="1"/>
  <c r="DC56" i="25"/>
  <c r="DJ60" i="25"/>
  <c r="DV60" i="25" s="1"/>
  <c r="DC60" i="25"/>
  <c r="JM57" i="25"/>
  <c r="DK57" i="25" s="1"/>
  <c r="DD57" i="25"/>
  <c r="JM60" i="25"/>
  <c r="DK60" i="25" s="1"/>
  <c r="DD60" i="25"/>
  <c r="MM56" i="25"/>
  <c r="DN56" i="25" s="1"/>
  <c r="DG56" i="25"/>
  <c r="MM60" i="25"/>
  <c r="DN60" i="25" s="1"/>
  <c r="DG60" i="25"/>
  <c r="DD76" i="25"/>
  <c r="JM76" i="25"/>
  <c r="DK76" i="25" s="1"/>
  <c r="DH74" i="25"/>
  <c r="NM74" i="25"/>
  <c r="DO74" i="25" s="1"/>
  <c r="DF74" i="25"/>
  <c r="LM74" i="25"/>
  <c r="DM74" i="25" s="1"/>
  <c r="DH80" i="25"/>
  <c r="NM80" i="25"/>
  <c r="DO80" i="25" s="1"/>
  <c r="DG87" i="25"/>
  <c r="MM87" i="25"/>
  <c r="DN87" i="25" s="1"/>
  <c r="KM87" i="25"/>
  <c r="DL87" i="25" s="1"/>
  <c r="DH89" i="25"/>
  <c r="NM89" i="25"/>
  <c r="DO89" i="25" s="1"/>
  <c r="KM89" i="25"/>
  <c r="DL89" i="25" s="1"/>
  <c r="DJ83" i="25"/>
  <c r="DU83" i="25" s="1"/>
  <c r="KM97" i="25"/>
  <c r="DL97" i="25" s="1"/>
  <c r="DG86" i="25"/>
  <c r="MM86" i="25"/>
  <c r="DN86" i="25" s="1"/>
  <c r="DD86" i="25"/>
  <c r="JM86" i="25"/>
  <c r="DK86" i="25" s="1"/>
  <c r="DD82" i="25"/>
  <c r="JM82" i="25"/>
  <c r="DK82" i="25" s="1"/>
  <c r="KM77" i="25"/>
  <c r="DL77" i="25" s="1"/>
  <c r="DH77" i="25"/>
  <c r="NM77" i="25"/>
  <c r="DO77" i="25" s="1"/>
  <c r="DF73" i="25"/>
  <c r="LM73" i="25"/>
  <c r="DM73" i="25" s="1"/>
  <c r="KM73" i="25"/>
  <c r="DL73" i="25" s="1"/>
  <c r="DJ78" i="25"/>
  <c r="DV78" i="25" s="1"/>
  <c r="DH95" i="25"/>
  <c r="NM95" i="25"/>
  <c r="DO95" i="25" s="1"/>
  <c r="DD95" i="25"/>
  <c r="JM95" i="25"/>
  <c r="DK95" i="25" s="1"/>
  <c r="DD90" i="25"/>
  <c r="JM90" i="25"/>
  <c r="DK90" i="25" s="1"/>
  <c r="KM99" i="25"/>
  <c r="DL99" i="25" s="1"/>
  <c r="DJ96" i="25"/>
  <c r="DV96" i="25" s="1"/>
  <c r="DF96" i="25"/>
  <c r="LM96" i="25"/>
  <c r="DM96" i="25" s="1"/>
  <c r="KM103" i="25"/>
  <c r="DL103" i="25" s="1"/>
  <c r="DH92" i="25"/>
  <c r="NM92" i="25"/>
  <c r="DO92" i="25" s="1"/>
  <c r="KM92" i="25"/>
  <c r="DL92" i="25" s="1"/>
  <c r="DJ93" i="25"/>
  <c r="DU93" i="25" s="1"/>
  <c r="DH84" i="25"/>
  <c r="NM84" i="25"/>
  <c r="DO84" i="25" s="1"/>
  <c r="DJ84" i="25"/>
  <c r="DV84" i="25" s="1"/>
  <c r="DJ91" i="25"/>
  <c r="DV91" i="25" s="1"/>
  <c r="DF91" i="25"/>
  <c r="LM91" i="25"/>
  <c r="DM91" i="25" s="1"/>
  <c r="V92" i="19"/>
  <c r="DH98" i="25"/>
  <c r="NM98" i="25"/>
  <c r="DO98" i="25" s="1"/>
  <c r="DG94" i="25"/>
  <c r="MM94" i="25"/>
  <c r="DN94" i="25" s="1"/>
  <c r="DH94" i="25"/>
  <c r="NM94" i="25"/>
  <c r="DO94" i="25" s="1"/>
  <c r="KM72" i="25"/>
  <c r="DL72" i="25" s="1"/>
  <c r="DH85" i="25"/>
  <c r="NM85" i="25"/>
  <c r="DO85" i="25" s="1"/>
  <c r="DF75" i="25"/>
  <c r="LM75" i="25"/>
  <c r="DM75" i="25" s="1"/>
  <c r="DG75" i="25"/>
  <c r="MM75" i="25"/>
  <c r="DN75" i="25" s="1"/>
  <c r="DD100" i="25"/>
  <c r="JM100" i="25"/>
  <c r="DK100" i="25" s="1"/>
  <c r="DH81" i="25"/>
  <c r="NM81" i="25"/>
  <c r="DO81" i="25" s="1"/>
  <c r="DF81" i="25"/>
  <c r="LM81" i="25"/>
  <c r="DM81" i="25" s="1"/>
  <c r="DF102" i="25"/>
  <c r="LM102" i="25"/>
  <c r="DM102" i="25" s="1"/>
  <c r="DJ101" i="25"/>
  <c r="DV101" i="25" s="1"/>
  <c r="KM101" i="25"/>
  <c r="DL101" i="25" s="1"/>
  <c r="KM79" i="25"/>
  <c r="DL79" i="25" s="1"/>
  <c r="Q36" i="42"/>
  <c r="LM23" i="25"/>
  <c r="DM23" i="25" s="1"/>
  <c r="DF23" i="25"/>
  <c r="OK52" i="25"/>
  <c r="OL52" i="25" s="1"/>
  <c r="BI52" i="25" s="1"/>
  <c r="K67" i="3" s="1"/>
  <c r="PK62" i="25"/>
  <c r="PL62" i="25" s="1"/>
  <c r="BK62" i="25" s="1"/>
  <c r="AY62" i="25" s="1"/>
  <c r="PK61" i="25"/>
  <c r="PL61" i="25" s="1"/>
  <c r="OK24" i="25"/>
  <c r="OL24" i="25" s="1"/>
  <c r="BI24" i="25" s="1"/>
  <c r="EO77" i="25"/>
  <c r="OK81" i="25"/>
  <c r="OL81" i="25" s="1"/>
  <c r="BI81" i="25" s="1"/>
  <c r="AW81" i="25" s="1"/>
  <c r="PK100" i="25"/>
  <c r="PL100" i="25" s="1"/>
  <c r="BK100" i="25" s="1"/>
  <c r="AY100" i="25" s="1"/>
  <c r="OK83" i="25"/>
  <c r="OL83" i="25" s="1"/>
  <c r="BI83" i="25" s="1"/>
  <c r="AW83" i="25" s="1"/>
  <c r="PK53" i="25"/>
  <c r="PL53" i="25" s="1"/>
  <c r="PK103" i="25"/>
  <c r="PL103" i="25" s="1"/>
  <c r="PK95" i="25"/>
  <c r="PL95" i="25" s="1"/>
  <c r="BK95" i="25" s="1"/>
  <c r="AY95" i="25" s="1"/>
  <c r="OK99" i="25"/>
  <c r="OL99" i="25" s="1"/>
  <c r="PK70" i="25"/>
  <c r="PL70" i="25" s="1"/>
  <c r="OK86" i="25"/>
  <c r="OL86" i="25" s="1"/>
  <c r="BI86" i="25" s="1"/>
  <c r="AW86" i="25" s="1"/>
  <c r="PK89" i="25"/>
  <c r="PL89" i="25" s="1"/>
  <c r="PK73" i="25"/>
  <c r="PL73" i="25" s="1"/>
  <c r="BK73" i="25" s="1"/>
  <c r="AY73" i="25" s="1"/>
  <c r="OK85" i="25"/>
  <c r="OL85" i="25" s="1"/>
  <c r="BI85" i="25" s="1"/>
  <c r="AW85" i="25" s="1"/>
  <c r="OK67" i="25"/>
  <c r="OL67" i="25" s="1"/>
  <c r="OK87" i="25"/>
  <c r="OL87" i="25" s="1"/>
  <c r="PK75" i="25"/>
  <c r="PL75" i="25" s="1"/>
  <c r="BK75" i="25" s="1"/>
  <c r="AY75" i="25" s="1"/>
  <c r="OK92" i="25"/>
  <c r="OL92" i="25" s="1"/>
  <c r="BI92" i="25" s="1"/>
  <c r="AW92" i="25" s="1"/>
  <c r="PK68" i="25"/>
  <c r="PL68" i="25" s="1"/>
  <c r="OK27" i="25"/>
  <c r="OL27" i="25" s="1"/>
  <c r="BI27" i="25" s="1"/>
  <c r="PK79" i="25"/>
  <c r="PL79" i="25" s="1"/>
  <c r="OK100" i="25"/>
  <c r="OL100" i="25" s="1"/>
  <c r="OK96" i="25"/>
  <c r="OL96" i="25" s="1"/>
  <c r="BI96" i="25" s="1"/>
  <c r="AW96" i="25" s="1"/>
  <c r="PK72" i="25"/>
  <c r="PL72" i="25" s="1"/>
  <c r="BK72" i="25" s="1"/>
  <c r="AY72" i="25" s="1"/>
  <c r="PK97" i="25"/>
  <c r="PL97" i="25" s="1"/>
  <c r="BK97" i="25" s="1"/>
  <c r="AY97" i="25" s="1"/>
  <c r="PK85" i="25"/>
  <c r="PL85" i="25" s="1"/>
  <c r="EO86" i="25"/>
  <c r="PK86" i="25"/>
  <c r="PL86" i="25" s="1"/>
  <c r="BK86" i="25" s="1"/>
  <c r="AY86" i="25" s="1"/>
  <c r="IM39" i="25"/>
  <c r="DJ39" i="25" s="1"/>
  <c r="DC39" i="25"/>
  <c r="MM36" i="25"/>
  <c r="DN36" i="25" s="1"/>
  <c r="DG36" i="25"/>
  <c r="IM44" i="25"/>
  <c r="DJ44" i="25" s="1"/>
  <c r="DC44" i="25"/>
  <c r="MM23" i="25"/>
  <c r="DG23" i="25"/>
  <c r="IM47" i="25"/>
  <c r="DJ47" i="25" s="1"/>
  <c r="DC47" i="25"/>
  <c r="JM51" i="25"/>
  <c r="DK51" i="25" s="1"/>
  <c r="DD51" i="25"/>
  <c r="LM45" i="25"/>
  <c r="DM45" i="25" s="1"/>
  <c r="DF45" i="25"/>
  <c r="MM47" i="25"/>
  <c r="DN47" i="25" s="1"/>
  <c r="DG47" i="25"/>
  <c r="KM51" i="25"/>
  <c r="DL51" i="25" s="1"/>
  <c r="DE51" i="25"/>
  <c r="KM23" i="25"/>
  <c r="DL23" i="25" s="1"/>
  <c r="DE23" i="25"/>
  <c r="JM42" i="25"/>
  <c r="DK42" i="25" s="1"/>
  <c r="DD42" i="25"/>
  <c r="NM51" i="25"/>
  <c r="DO51" i="25" s="1"/>
  <c r="DH51" i="25"/>
  <c r="NM23" i="25"/>
  <c r="DH23" i="25"/>
  <c r="IM34" i="25"/>
  <c r="DJ34" i="25" s="1"/>
  <c r="DC34" i="25"/>
  <c r="MM32" i="25"/>
  <c r="DN32" i="25" s="1"/>
  <c r="DG32" i="25"/>
  <c r="KM41" i="25"/>
  <c r="DL41" i="25" s="1"/>
  <c r="DJ51" i="25"/>
  <c r="DC51" i="25"/>
  <c r="LM53" i="25"/>
  <c r="DM53" i="25" s="1"/>
  <c r="DF53" i="25"/>
  <c r="MM39" i="25"/>
  <c r="DN39" i="25" s="1"/>
  <c r="DG39" i="25"/>
  <c r="IM33" i="25"/>
  <c r="DJ33" i="25" s="1"/>
  <c r="DC33" i="25"/>
  <c r="IM25" i="25"/>
  <c r="DJ25" i="25" s="1"/>
  <c r="JM44" i="25"/>
  <c r="DK44" i="25" s="1"/>
  <c r="DD44" i="25"/>
  <c r="MM46" i="25"/>
  <c r="DN46" i="25" s="1"/>
  <c r="DG46" i="25"/>
  <c r="KM29" i="25"/>
  <c r="DL29" i="25" s="1"/>
  <c r="DE29" i="25"/>
  <c r="JM39" i="25"/>
  <c r="DK39" i="25" s="1"/>
  <c r="DD39" i="25"/>
  <c r="IM32" i="25"/>
  <c r="DJ32" i="25" s="1"/>
  <c r="DC32" i="25"/>
  <c r="IM35" i="25"/>
  <c r="DJ35" i="25" s="1"/>
  <c r="DC35" i="25"/>
  <c r="JM43" i="25"/>
  <c r="DK43" i="25" s="1"/>
  <c r="DD43" i="25"/>
  <c r="JM46" i="25"/>
  <c r="DK46" i="25" s="1"/>
  <c r="DD46" i="25"/>
  <c r="NM26" i="25"/>
  <c r="DH26" i="25"/>
  <c r="NM45" i="25"/>
  <c r="DO45" i="25" s="1"/>
  <c r="DH45" i="25"/>
  <c r="IM49" i="25"/>
  <c r="DJ49" i="25" s="1"/>
  <c r="DC49" i="25"/>
  <c r="NM52" i="25"/>
  <c r="DO52" i="25" s="1"/>
  <c r="DH52" i="25"/>
  <c r="NM37" i="25"/>
  <c r="DO37" i="25" s="1"/>
  <c r="DH37" i="25"/>
  <c r="NM47" i="25"/>
  <c r="DO47" i="25" s="1"/>
  <c r="DH47" i="25"/>
  <c r="KM28" i="25"/>
  <c r="DL28" i="25" s="1"/>
  <c r="DE28" i="25"/>
  <c r="JM38" i="25"/>
  <c r="DK38" i="25" s="1"/>
  <c r="DD38" i="25"/>
  <c r="KM24" i="25"/>
  <c r="DL24" i="25" s="1"/>
  <c r="DE24" i="25"/>
  <c r="NM43" i="25"/>
  <c r="DO43" i="25" s="1"/>
  <c r="DH43" i="25"/>
  <c r="MM27" i="25"/>
  <c r="DN27" i="25" s="1"/>
  <c r="DG27" i="25"/>
  <c r="LM55" i="25"/>
  <c r="DM55" i="25" s="1"/>
  <c r="DF55" i="25"/>
  <c r="MM55" i="25"/>
  <c r="DN55" i="25" s="1"/>
  <c r="DG55" i="25"/>
  <c r="NM55" i="25"/>
  <c r="DO55" i="25" s="1"/>
  <c r="DH55" i="25"/>
  <c r="LM57" i="25"/>
  <c r="DM57" i="25" s="1"/>
  <c r="DF57" i="25"/>
  <c r="KM60" i="25"/>
  <c r="DL60" i="25" s="1"/>
  <c r="MM57" i="25"/>
  <c r="DN57" i="25" s="1"/>
  <c r="DG57" i="25"/>
  <c r="NM58" i="25"/>
  <c r="DO58" i="25" s="1"/>
  <c r="DH58" i="25"/>
  <c r="JM59" i="25"/>
  <c r="DK59" i="25" s="1"/>
  <c r="DD59" i="25"/>
  <c r="JM58" i="25"/>
  <c r="DK58" i="25" s="1"/>
  <c r="DD58" i="25"/>
  <c r="NM57" i="25"/>
  <c r="DO57" i="25" s="1"/>
  <c r="DH57" i="25"/>
  <c r="KM76" i="25"/>
  <c r="DL76" i="25" s="1"/>
  <c r="DD74" i="25"/>
  <c r="JM74" i="25"/>
  <c r="DK74" i="25" s="1"/>
  <c r="DJ74" i="25"/>
  <c r="DU74" i="25" s="1"/>
  <c r="DD80" i="25"/>
  <c r="JM80" i="25"/>
  <c r="DK80" i="25" s="1"/>
  <c r="DJ87" i="25"/>
  <c r="DV87" i="25" s="1"/>
  <c r="DF89" i="25"/>
  <c r="LM89" i="25"/>
  <c r="DM89" i="25" s="1"/>
  <c r="DF83" i="25"/>
  <c r="LM83" i="25"/>
  <c r="DM83" i="25" s="1"/>
  <c r="DH97" i="25"/>
  <c r="NM97" i="25"/>
  <c r="DO97" i="25" s="1"/>
  <c r="KM86" i="25"/>
  <c r="DL86" i="25" s="1"/>
  <c r="DG82" i="25"/>
  <c r="MM82" i="25"/>
  <c r="DN82" i="25" s="1"/>
  <c r="DJ77" i="25"/>
  <c r="DV77" i="25" s="1"/>
  <c r="DG77" i="25"/>
  <c r="MM77" i="25"/>
  <c r="DN77" i="25" s="1"/>
  <c r="DJ73" i="25"/>
  <c r="DV73" i="25" s="1"/>
  <c r="DD73" i="25"/>
  <c r="JM73" i="25"/>
  <c r="DK73" i="25" s="1"/>
  <c r="KM78" i="25"/>
  <c r="DL78" i="25" s="1"/>
  <c r="DF95" i="25"/>
  <c r="LM95" i="25"/>
  <c r="DM95" i="25" s="1"/>
  <c r="DG95" i="25"/>
  <c r="MM95" i="25"/>
  <c r="DN95" i="25" s="1"/>
  <c r="DJ90" i="25"/>
  <c r="DU90" i="25" s="1"/>
  <c r="DF90" i="25"/>
  <c r="LM90" i="25"/>
  <c r="DM90" i="25" s="1"/>
  <c r="DG99" i="25"/>
  <c r="MM99" i="25"/>
  <c r="DN99" i="25" s="1"/>
  <c r="DH96" i="25"/>
  <c r="NM96" i="25"/>
  <c r="DO96" i="25" s="1"/>
  <c r="DD103" i="25"/>
  <c r="JM103" i="25"/>
  <c r="DK103" i="25" s="1"/>
  <c r="DG92" i="25"/>
  <c r="MM92" i="25"/>
  <c r="DN92" i="25" s="1"/>
  <c r="DH93" i="25"/>
  <c r="NM93" i="25"/>
  <c r="DO93" i="25" s="1"/>
  <c r="DF93" i="25"/>
  <c r="LM93" i="25"/>
  <c r="DM93" i="25" s="1"/>
  <c r="DD84" i="25"/>
  <c r="JM84" i="25"/>
  <c r="DK84" i="25" s="1"/>
  <c r="DG91" i="25"/>
  <c r="MM91" i="25"/>
  <c r="DN91" i="25" s="1"/>
  <c r="DG98" i="25"/>
  <c r="MM98" i="25"/>
  <c r="DN98" i="25" s="1"/>
  <c r="DF72" i="25"/>
  <c r="LM72" i="25"/>
  <c r="DM72" i="25" s="1"/>
  <c r="DH72" i="25"/>
  <c r="NM72" i="25"/>
  <c r="DO72" i="25" s="1"/>
  <c r="DF85" i="25"/>
  <c r="LM85" i="25"/>
  <c r="DM85" i="25" s="1"/>
  <c r="DD85" i="25"/>
  <c r="JM85" i="25"/>
  <c r="DK85" i="25" s="1"/>
  <c r="DJ75" i="25"/>
  <c r="DU75" i="25" s="1"/>
  <c r="DG100" i="25"/>
  <c r="MM100" i="25"/>
  <c r="DN100" i="25" s="1"/>
  <c r="KM100" i="25"/>
  <c r="DL100" i="25" s="1"/>
  <c r="DD81" i="25"/>
  <c r="JM81" i="25"/>
  <c r="DK81" i="25" s="1"/>
  <c r="DH102" i="25"/>
  <c r="NM102" i="25"/>
  <c r="DO102" i="25" s="1"/>
  <c r="DG101" i="25"/>
  <c r="MM101" i="25"/>
  <c r="DN101" i="25" s="1"/>
  <c r="DF79" i="25"/>
  <c r="LM79" i="25"/>
  <c r="DM79" i="25" s="1"/>
  <c r="KM27" i="25"/>
  <c r="DL27" i="25" s="1"/>
  <c r="DE27" i="25"/>
  <c r="LM27" i="25"/>
  <c r="DM27" i="25" s="1"/>
  <c r="DF27" i="25"/>
  <c r="PM36" i="25"/>
  <c r="OM44" i="25"/>
  <c r="PM49" i="25"/>
  <c r="PK60" i="25"/>
  <c r="PL60" i="25" s="1"/>
  <c r="BK60" i="25" s="1"/>
  <c r="AY60" i="25" s="1"/>
  <c r="AT60" i="25" s="1"/>
  <c r="AK60" i="25" s="1"/>
  <c r="OK62" i="25"/>
  <c r="OL62" i="25" s="1"/>
  <c r="BI62" i="25" s="1"/>
  <c r="AW62" i="25" s="1"/>
  <c r="PK56" i="25"/>
  <c r="PL56" i="25" s="1"/>
  <c r="BK56" i="25" s="1"/>
  <c r="AY56" i="25" s="1"/>
  <c r="OK91" i="25"/>
  <c r="OL91" i="25" s="1"/>
  <c r="BI91" i="25" s="1"/>
  <c r="AW91" i="25" s="1"/>
  <c r="PK71" i="25"/>
  <c r="PL71" i="25" s="1"/>
  <c r="BK71" i="25" s="1"/>
  <c r="AY71" i="25" s="1"/>
  <c r="PK92" i="25"/>
  <c r="PL92" i="25" s="1"/>
  <c r="OK70" i="25"/>
  <c r="OL70" i="25" s="1"/>
  <c r="BI70" i="25" s="1"/>
  <c r="AW70" i="25" s="1"/>
  <c r="OK95" i="25"/>
  <c r="OL95" i="25" s="1"/>
  <c r="BI95" i="25" s="1"/>
  <c r="AW95" i="25" s="1"/>
  <c r="PM40" i="25"/>
  <c r="PM47" i="25"/>
  <c r="OM38" i="25"/>
  <c r="OM42" i="25"/>
  <c r="PK59" i="25"/>
  <c r="PL59" i="25" s="1"/>
  <c r="BK59" i="25" s="1"/>
  <c r="AY59" i="25" s="1"/>
  <c r="AT59" i="25" s="1"/>
  <c r="AK59" i="25" s="1"/>
  <c r="EO103" i="25"/>
  <c r="PK82" i="25"/>
  <c r="PL82" i="25" s="1"/>
  <c r="BK82" i="25" s="1"/>
  <c r="AY82" i="25" s="1"/>
  <c r="PK93" i="25"/>
  <c r="PL93" i="25" s="1"/>
  <c r="EO83" i="25"/>
  <c r="PK83" i="25"/>
  <c r="PL83" i="25" s="1"/>
  <c r="BK83" i="25" s="1"/>
  <c r="PK84" i="25"/>
  <c r="PL84" i="25" s="1"/>
  <c r="BK84" i="25" s="1"/>
  <c r="AY84" i="25" s="1"/>
  <c r="PK91" i="25"/>
  <c r="PL91" i="25" s="1"/>
  <c r="BK91" i="25" s="1"/>
  <c r="AY91" i="25" s="1"/>
  <c r="OK80" i="25"/>
  <c r="OL80" i="25" s="1"/>
  <c r="OK90" i="25"/>
  <c r="OL90" i="25" s="1"/>
  <c r="BI90" i="25" s="1"/>
  <c r="AW90" i="25" s="1"/>
  <c r="OK75" i="25"/>
  <c r="OL75" i="25" s="1"/>
  <c r="PK94" i="25"/>
  <c r="PL94" i="25" s="1"/>
  <c r="BK94" i="25" s="1"/>
  <c r="AY94" i="25" s="1"/>
  <c r="OK102" i="25"/>
  <c r="OL102" i="25" s="1"/>
  <c r="BI102" i="25" s="1"/>
  <c r="AW102" i="25" s="1"/>
  <c r="EO89" i="25"/>
  <c r="OM59" i="25"/>
  <c r="OM45" i="25"/>
  <c r="PM24" i="25"/>
  <c r="OK63" i="25"/>
  <c r="OL63" i="25" s="1"/>
  <c r="BI63" i="25" s="1"/>
  <c r="AW63" i="25" s="1"/>
  <c r="PK78" i="25"/>
  <c r="PL78" i="25" s="1"/>
  <c r="BK78" i="25" s="1"/>
  <c r="AY78" i="25" s="1"/>
  <c r="PK90" i="25"/>
  <c r="PL90" i="25" s="1"/>
  <c r="PK99" i="25"/>
  <c r="PL99" i="25" s="1"/>
  <c r="OK77" i="25"/>
  <c r="OL77" i="25" s="1"/>
  <c r="BI77" i="25" s="1"/>
  <c r="AW77" i="25" s="1"/>
  <c r="PK102" i="25"/>
  <c r="PL102" i="25" s="1"/>
  <c r="BK102" i="25" s="1"/>
  <c r="PM39" i="25"/>
  <c r="PM48" i="25"/>
  <c r="PM33" i="25"/>
  <c r="AC33" i="19"/>
  <c r="PK55" i="25"/>
  <c r="PL55" i="25" s="1"/>
  <c r="BK55" i="25" s="1"/>
  <c r="AY55" i="25" s="1"/>
  <c r="PK101" i="25"/>
  <c r="PL101" i="25" s="1"/>
  <c r="BK101" i="25" s="1"/>
  <c r="AY101" i="25" s="1"/>
  <c r="EO79" i="25"/>
  <c r="OK64" i="25"/>
  <c r="OL64" i="25" s="1"/>
  <c r="BI64" i="25" s="1"/>
  <c r="AW64" i="25" s="1"/>
  <c r="OK65" i="25"/>
  <c r="OL65" i="25" s="1"/>
  <c r="BI65" i="25" s="1"/>
  <c r="AW65" i="25" s="1"/>
  <c r="EO98" i="25"/>
  <c r="OK89" i="25"/>
  <c r="OL89" i="25" s="1"/>
  <c r="OK103" i="25"/>
  <c r="OL103" i="25" s="1"/>
  <c r="BI103" i="25" s="1"/>
  <c r="AW103" i="25" s="1"/>
  <c r="OK82" i="25"/>
  <c r="OL82" i="25" s="1"/>
  <c r="PK87" i="25"/>
  <c r="PL87" i="25" s="1"/>
  <c r="BK87" i="25" s="1"/>
  <c r="AY87" i="25" s="1"/>
  <c r="W37" i="42"/>
  <c r="NM21" i="25"/>
  <c r="DH21" i="25"/>
  <c r="MM21" i="25"/>
  <c r="DG21" i="25"/>
  <c r="MM22" i="25"/>
  <c r="DG22" i="25"/>
  <c r="JM22" i="25"/>
  <c r="DK22" i="25" s="1"/>
  <c r="DD22" i="25"/>
  <c r="OK22" i="25"/>
  <c r="OL22" i="25" s="1"/>
  <c r="OK21" i="25"/>
  <c r="OL21" i="25" s="1"/>
  <c r="BI21" i="25" s="1"/>
  <c r="KM22" i="25"/>
  <c r="DL22" i="25" s="1"/>
  <c r="NM22" i="25"/>
  <c r="DH22" i="25"/>
  <c r="PK21" i="25"/>
  <c r="PL21" i="25" s="1"/>
  <c r="BK21" i="25" s="1"/>
  <c r="PK22" i="25"/>
  <c r="PL22" i="25" s="1"/>
  <c r="IM22" i="25"/>
  <c r="DJ22" i="25" s="1"/>
  <c r="DV22" i="25" s="1"/>
  <c r="LM22" i="25"/>
  <c r="DM22" i="25" s="1"/>
  <c r="DF22" i="25"/>
  <c r="LM20" i="25"/>
  <c r="DM20" i="25" s="1"/>
  <c r="DF20" i="25"/>
  <c r="NM20" i="25"/>
  <c r="DH20" i="25"/>
  <c r="P35" i="3"/>
  <c r="IM20" i="25"/>
  <c r="DJ20" i="25" s="1"/>
  <c r="DC20" i="25"/>
  <c r="JM20" i="25"/>
  <c r="DK20" i="25" s="1"/>
  <c r="DD20" i="25"/>
  <c r="KM20" i="25"/>
  <c r="DL20" i="25" s="1"/>
  <c r="MM20" i="25"/>
  <c r="DG20" i="25"/>
  <c r="OM20" i="25"/>
  <c r="PK20" i="25"/>
  <c r="PL20" i="25" s="1"/>
  <c r="BK20" i="25" s="1"/>
  <c r="AY20" i="25" s="1"/>
  <c r="V71" i="19"/>
  <c r="I44" i="3"/>
  <c r="V69" i="19"/>
  <c r="X53" i="19"/>
  <c r="J63" i="3"/>
  <c r="NM69" i="25"/>
  <c r="DO69" i="25" s="1"/>
  <c r="LM69" i="25"/>
  <c r="DM69" i="25" s="1"/>
  <c r="DJ70" i="25"/>
  <c r="JM70" i="25"/>
  <c r="DK70" i="25" s="1"/>
  <c r="J39" i="3"/>
  <c r="J37" i="3"/>
  <c r="J51" i="3"/>
  <c r="J49" i="3"/>
  <c r="V70" i="19"/>
  <c r="EO67" i="25"/>
  <c r="EO68" i="25"/>
  <c r="DJ69" i="25"/>
  <c r="NM71" i="25"/>
  <c r="DO71" i="25" s="1"/>
  <c r="MM71" i="25"/>
  <c r="DN71" i="25" s="1"/>
  <c r="J43" i="3"/>
  <c r="J38" i="3"/>
  <c r="J48" i="3"/>
  <c r="J46" i="3"/>
  <c r="X67" i="19"/>
  <c r="X69" i="19"/>
  <c r="X66" i="19"/>
  <c r="X68" i="19"/>
  <c r="JM69" i="25"/>
  <c r="DK69" i="25" s="1"/>
  <c r="KM69" i="25"/>
  <c r="DL69" i="25" s="1"/>
  <c r="JM71" i="25"/>
  <c r="DK71" i="25" s="1"/>
  <c r="KM71" i="25"/>
  <c r="DL71" i="25" s="1"/>
  <c r="KM70" i="25"/>
  <c r="DL70" i="25" s="1"/>
  <c r="MM70" i="25"/>
  <c r="DN70" i="25" s="1"/>
  <c r="J42" i="3"/>
  <c r="J41" i="3"/>
  <c r="J44" i="3"/>
  <c r="J50" i="3"/>
  <c r="EO62" i="25"/>
  <c r="MM69" i="25"/>
  <c r="DN69" i="25" s="1"/>
  <c r="DJ71" i="25"/>
  <c r="LM71" i="25"/>
  <c r="DM71" i="25" s="1"/>
  <c r="LM70" i="25"/>
  <c r="DM70" i="25" s="1"/>
  <c r="NM70" i="25"/>
  <c r="DO70" i="25" s="1"/>
  <c r="J47" i="3"/>
  <c r="J52" i="3"/>
  <c r="X64" i="19"/>
  <c r="X71" i="19"/>
  <c r="X63" i="19"/>
  <c r="X65" i="19"/>
  <c r="X70" i="19"/>
  <c r="EQ50" i="25"/>
  <c r="CJ50" i="25" s="1"/>
  <c r="EQ52" i="25"/>
  <c r="CJ52" i="25" s="1"/>
  <c r="EQ49" i="25"/>
  <c r="CJ49" i="25" s="1"/>
  <c r="EQ48" i="25"/>
  <c r="CJ48" i="25" s="1"/>
  <c r="EO60" i="25"/>
  <c r="EO58" i="25"/>
  <c r="X56" i="19"/>
  <c r="EQ54" i="25"/>
  <c r="CJ54" i="25" s="1"/>
  <c r="EN55" i="25"/>
  <c r="EO55" i="25" s="1"/>
  <c r="X57" i="19"/>
  <c r="EQ51" i="25"/>
  <c r="CJ51" i="25" s="1"/>
  <c r="X55" i="19"/>
  <c r="EQ34" i="25"/>
  <c r="CJ34" i="25" s="1"/>
  <c r="EQ43" i="25"/>
  <c r="CJ43" i="25" s="1"/>
  <c r="EQ39" i="25"/>
  <c r="CJ39" i="25" s="1"/>
  <c r="EO21" i="25"/>
  <c r="X21" i="19"/>
  <c r="X22" i="19"/>
  <c r="EQ45" i="25"/>
  <c r="CJ45" i="25" s="1"/>
  <c r="EQ31" i="25"/>
  <c r="CJ31" i="25" s="1"/>
  <c r="EQ44" i="25"/>
  <c r="CJ44" i="25" s="1"/>
  <c r="EQ46" i="25"/>
  <c r="CJ46" i="25" s="1"/>
  <c r="EQ26" i="25"/>
  <c r="CJ26" i="25" s="1"/>
  <c r="EQ36" i="25"/>
  <c r="CJ36" i="25" s="1"/>
  <c r="EO23" i="25"/>
  <c r="EQ27" i="25"/>
  <c r="CJ27" i="25" s="1"/>
  <c r="EQ37" i="25"/>
  <c r="CJ37" i="25" s="1"/>
  <c r="EQ28" i="25"/>
  <c r="CJ28" i="25" s="1"/>
  <c r="EO40" i="25"/>
  <c r="EO25" i="25"/>
  <c r="EQ42" i="25"/>
  <c r="CJ42" i="25" s="1"/>
  <c r="EQ29" i="25"/>
  <c r="CJ29" i="25" s="1"/>
  <c r="X23" i="19"/>
  <c r="EQ32" i="25"/>
  <c r="CJ32" i="25" s="1"/>
  <c r="EQ33" i="25"/>
  <c r="CJ33" i="25" s="1"/>
  <c r="EQ24" i="25"/>
  <c r="CJ24" i="25" s="1"/>
  <c r="EQ38" i="25"/>
  <c r="CJ38" i="25" s="1"/>
  <c r="EQ35" i="25"/>
  <c r="CJ35" i="25" s="1"/>
  <c r="J36" i="3"/>
  <c r="MM62" i="25"/>
  <c r="DN62" i="25" s="1"/>
  <c r="JM61" i="25"/>
  <c r="DK61" i="25" s="1"/>
  <c r="KM61" i="25"/>
  <c r="DL61" i="25" s="1"/>
  <c r="LM62" i="25"/>
  <c r="DM62" i="25" s="1"/>
  <c r="MM61" i="25"/>
  <c r="DN61" i="25" s="1"/>
  <c r="JM62" i="25"/>
  <c r="DK62" i="25" s="1"/>
  <c r="KM62" i="25"/>
  <c r="DL62" i="25" s="1"/>
  <c r="NM61" i="25"/>
  <c r="DO61" i="25" s="1"/>
  <c r="LM61" i="25"/>
  <c r="DM61" i="25" s="1"/>
  <c r="NM62" i="25"/>
  <c r="DO62" i="25" s="1"/>
  <c r="DJ62" i="25"/>
  <c r="DJ61" i="25"/>
  <c r="V58" i="19"/>
  <c r="V64" i="19"/>
  <c r="V65" i="19"/>
  <c r="V59" i="19"/>
  <c r="V66" i="19"/>
  <c r="V68" i="19"/>
  <c r="V60" i="19"/>
  <c r="V63" i="19"/>
  <c r="DJ63" i="25"/>
  <c r="LM63" i="25"/>
  <c r="DM63" i="25" s="1"/>
  <c r="LM66" i="25"/>
  <c r="DM66" i="25" s="1"/>
  <c r="KM66" i="25"/>
  <c r="DL66" i="25" s="1"/>
  <c r="NM64" i="25"/>
  <c r="DO64" i="25" s="1"/>
  <c r="DJ68" i="25"/>
  <c r="MM68" i="25"/>
  <c r="DN68" i="25" s="1"/>
  <c r="JM67" i="25"/>
  <c r="DK67" i="25" s="1"/>
  <c r="DJ67" i="25"/>
  <c r="MM63" i="25"/>
  <c r="DN63" i="25" s="1"/>
  <c r="JM66" i="25"/>
  <c r="DK66" i="25" s="1"/>
  <c r="DJ66" i="25"/>
  <c r="LM64" i="25"/>
  <c r="DM64" i="25" s="1"/>
  <c r="JM64" i="25"/>
  <c r="DK64" i="25" s="1"/>
  <c r="NM68" i="25"/>
  <c r="DO68" i="25" s="1"/>
  <c r="JM68" i="25"/>
  <c r="DK68" i="25" s="1"/>
  <c r="LM67" i="25"/>
  <c r="DM67" i="25" s="1"/>
  <c r="NM67" i="25"/>
  <c r="DO67" i="25" s="1"/>
  <c r="NM65" i="25"/>
  <c r="DO65" i="25" s="1"/>
  <c r="MM65" i="25"/>
  <c r="DN65" i="25" s="1"/>
  <c r="JM63" i="25"/>
  <c r="DK63" i="25" s="1"/>
  <c r="NM63" i="25"/>
  <c r="DO63" i="25" s="1"/>
  <c r="NM66" i="25"/>
  <c r="DO66" i="25" s="1"/>
  <c r="MM64" i="25"/>
  <c r="DN64" i="25" s="1"/>
  <c r="DJ64" i="25"/>
  <c r="MM67" i="25"/>
  <c r="DN67" i="25" s="1"/>
  <c r="KM67" i="25"/>
  <c r="DL67" i="25" s="1"/>
  <c r="KM65" i="25"/>
  <c r="DL65" i="25" s="1"/>
  <c r="DJ65" i="25"/>
  <c r="KM63" i="25"/>
  <c r="DL63" i="25" s="1"/>
  <c r="MM66" i="25"/>
  <c r="DN66" i="25" s="1"/>
  <c r="KM64" i="25"/>
  <c r="DL64" i="25" s="1"/>
  <c r="LM68" i="25"/>
  <c r="DM68" i="25" s="1"/>
  <c r="KM68" i="25"/>
  <c r="DL68" i="25" s="1"/>
  <c r="LM65" i="25"/>
  <c r="DM65" i="25" s="1"/>
  <c r="JM65" i="25"/>
  <c r="DK65" i="25" s="1"/>
  <c r="DU48" i="25"/>
  <c r="NN40" i="25"/>
  <c r="MN45" i="25"/>
  <c r="MN36" i="25"/>
  <c r="MN42" i="25"/>
  <c r="MN43" i="25"/>
  <c r="NN53" i="25"/>
  <c r="NN42" i="25"/>
  <c r="MN53" i="25"/>
  <c r="NN32" i="25"/>
  <c r="NN38" i="25"/>
  <c r="NN51" i="25"/>
  <c r="MN32" i="25"/>
  <c r="MN35" i="25"/>
  <c r="MN44" i="25"/>
  <c r="MN34" i="25"/>
  <c r="NN36" i="25"/>
  <c r="MN51" i="25"/>
  <c r="MN46" i="25"/>
  <c r="MN40" i="25"/>
  <c r="MN52" i="25"/>
  <c r="MN37" i="25"/>
  <c r="NN52" i="25"/>
  <c r="NN47" i="25"/>
  <c r="MN38" i="25"/>
  <c r="NN46" i="25"/>
  <c r="NN35" i="25"/>
  <c r="MN41" i="25"/>
  <c r="NN49" i="25"/>
  <c r="MN49" i="25"/>
  <c r="NN34" i="25"/>
  <c r="NN37" i="25"/>
  <c r="NN43" i="25"/>
  <c r="MN33" i="25"/>
  <c r="MN39" i="25"/>
  <c r="NN33" i="25"/>
  <c r="MN47" i="25"/>
  <c r="NN41" i="25"/>
  <c r="NN45" i="25"/>
  <c r="NN39" i="25"/>
  <c r="NN44" i="25"/>
  <c r="NN54" i="25"/>
  <c r="MN54" i="25"/>
  <c r="V48" i="19"/>
  <c r="I63" i="3"/>
  <c r="I61" i="3"/>
  <c r="I60" i="3"/>
  <c r="I64" i="3"/>
  <c r="I65" i="3"/>
  <c r="I66" i="3"/>
  <c r="I59" i="3"/>
  <c r="I67" i="3"/>
  <c r="I53" i="3"/>
  <c r="I54" i="3"/>
  <c r="NN31" i="25"/>
  <c r="MN28" i="25"/>
  <c r="MN31" i="25"/>
  <c r="NN30" i="25"/>
  <c r="NN29" i="25"/>
  <c r="NN28" i="25"/>
  <c r="MN27" i="25"/>
  <c r="MN29" i="25"/>
  <c r="NN27" i="25"/>
  <c r="MN30" i="25"/>
  <c r="J66" i="3"/>
  <c r="K68" i="3"/>
  <c r="O68" i="3"/>
  <c r="L70" i="3"/>
  <c r="O70" i="3"/>
  <c r="L69" i="3"/>
  <c r="I58" i="3"/>
  <c r="N68" i="3"/>
  <c r="P68" i="3"/>
  <c r="P69" i="3"/>
  <c r="N70" i="3"/>
  <c r="K69" i="3"/>
  <c r="O69" i="3"/>
  <c r="M69" i="3"/>
  <c r="N69" i="3"/>
  <c r="P70" i="3"/>
  <c r="L68" i="3"/>
  <c r="K70" i="3"/>
  <c r="M70" i="3"/>
  <c r="O60" i="3"/>
  <c r="O59" i="3"/>
  <c r="P61" i="3"/>
  <c r="N64" i="3"/>
  <c r="N58" i="3"/>
  <c r="O65" i="3"/>
  <c r="L64" i="3"/>
  <c r="L54" i="3"/>
  <c r="L62" i="3"/>
  <c r="P57" i="3"/>
  <c r="P56" i="3"/>
  <c r="L65" i="3"/>
  <c r="P60" i="3"/>
  <c r="P54" i="3"/>
  <c r="P59" i="3"/>
  <c r="P55" i="3"/>
  <c r="M67" i="3"/>
  <c r="N56" i="3"/>
  <c r="N66" i="3"/>
  <c r="O54" i="3"/>
  <c r="L67" i="3"/>
  <c r="O57" i="3"/>
  <c r="O58" i="3"/>
  <c r="N59" i="3"/>
  <c r="O61" i="3"/>
  <c r="N65" i="3"/>
  <c r="O67" i="3"/>
  <c r="N57" i="3"/>
  <c r="N55" i="3"/>
  <c r="L60" i="3"/>
  <c r="N62" i="3"/>
  <c r="L56" i="3"/>
  <c r="P66" i="3"/>
  <c r="J57" i="3"/>
  <c r="M61" i="3"/>
  <c r="N67" i="3"/>
  <c r="L59" i="3"/>
  <c r="O66" i="3"/>
  <c r="N61" i="3"/>
  <c r="N60" i="3"/>
  <c r="L58" i="3"/>
  <c r="L55" i="3"/>
  <c r="P67" i="3"/>
  <c r="P62" i="3"/>
  <c r="J62" i="3"/>
  <c r="M63" i="3"/>
  <c r="O56" i="3"/>
  <c r="L66" i="3"/>
  <c r="O55" i="3"/>
  <c r="P64" i="3"/>
  <c r="O62" i="3"/>
  <c r="L61" i="3"/>
  <c r="P65" i="3"/>
  <c r="O64" i="3"/>
  <c r="N54" i="3"/>
  <c r="L57" i="3"/>
  <c r="P58" i="3"/>
  <c r="M66" i="3"/>
  <c r="L52" i="3"/>
  <c r="O53" i="3"/>
  <c r="N53" i="3"/>
  <c r="N52" i="3"/>
  <c r="O52" i="3"/>
  <c r="P53" i="3"/>
  <c r="L53" i="3"/>
  <c r="P52" i="3"/>
  <c r="LG21" i="25"/>
  <c r="JN21" i="25"/>
  <c r="KG21" i="25"/>
  <c r="AC37" i="19"/>
  <c r="M44" i="3"/>
  <c r="EN101" i="25"/>
  <c r="EO101" i="25" s="1"/>
  <c r="MK89" i="25"/>
  <c r="ML89" i="25" s="1"/>
  <c r="BW89" i="25" s="1"/>
  <c r="BA89" i="25" s="1"/>
  <c r="KK83" i="25"/>
  <c r="KL83" i="25" s="1"/>
  <c r="BU83" i="25" s="1"/>
  <c r="BP83" i="25" s="1"/>
  <c r="BO83" i="25" s="1"/>
  <c r="J83" i="3"/>
  <c r="J79" i="3"/>
  <c r="DV80" i="25"/>
  <c r="DV86" i="25"/>
  <c r="DU86" i="25"/>
  <c r="J78" i="3"/>
  <c r="LK103" i="25"/>
  <c r="LL103" i="25" s="1"/>
  <c r="BV103" i="25" s="1"/>
  <c r="MK103" i="25"/>
  <c r="ML103" i="25" s="1"/>
  <c r="BW103" i="25" s="1"/>
  <c r="DU85" i="25"/>
  <c r="DU81" i="25"/>
  <c r="DV81" i="25"/>
  <c r="KK102" i="25"/>
  <c r="KL102" i="25" s="1"/>
  <c r="BU102" i="25" s="1"/>
  <c r="M117" i="3" s="1"/>
  <c r="JK102" i="25"/>
  <c r="JL102" i="25" s="1"/>
  <c r="BT102" i="25" s="1"/>
  <c r="L117" i="3" s="1"/>
  <c r="J80" i="3"/>
  <c r="J81" i="3"/>
  <c r="J82" i="3"/>
  <c r="AD88" i="19"/>
  <c r="K72" i="3"/>
  <c r="K74" i="3"/>
  <c r="L74" i="3"/>
  <c r="L73" i="3"/>
  <c r="M73" i="3"/>
  <c r="O72" i="3"/>
  <c r="O73" i="3"/>
  <c r="O74" i="3"/>
  <c r="P71" i="3"/>
  <c r="P73" i="3"/>
  <c r="N71" i="3"/>
  <c r="DU60" i="25"/>
  <c r="K73" i="3"/>
  <c r="K75" i="3"/>
  <c r="K71" i="3"/>
  <c r="L75" i="3"/>
  <c r="L72" i="3"/>
  <c r="M75" i="3"/>
  <c r="P72" i="3"/>
  <c r="P74" i="3"/>
  <c r="M74" i="3"/>
  <c r="O75" i="3"/>
  <c r="P75" i="3"/>
  <c r="N74" i="3"/>
  <c r="N75" i="3"/>
  <c r="L71" i="3"/>
  <c r="M72" i="3"/>
  <c r="M71" i="3"/>
  <c r="O71" i="3"/>
  <c r="N72" i="3"/>
  <c r="N73" i="3"/>
  <c r="M52" i="3"/>
  <c r="O37" i="3"/>
  <c r="O45" i="3"/>
  <c r="N48" i="3"/>
  <c r="P51" i="3"/>
  <c r="P47" i="3"/>
  <c r="L51" i="3"/>
  <c r="P46" i="3"/>
  <c r="L45" i="3"/>
  <c r="O44" i="3"/>
  <c r="P43" i="3"/>
  <c r="P42" i="3"/>
  <c r="O40" i="3"/>
  <c r="P36" i="3"/>
  <c r="L39" i="3"/>
  <c r="L38" i="3"/>
  <c r="M47" i="3"/>
  <c r="O41" i="3"/>
  <c r="K41" i="3"/>
  <c r="M51" i="3"/>
  <c r="O39" i="3"/>
  <c r="K46" i="3"/>
  <c r="P45" i="3"/>
  <c r="O51" i="3"/>
  <c r="L48" i="3"/>
  <c r="O50" i="3"/>
  <c r="L46" i="3"/>
  <c r="N50" i="3"/>
  <c r="O42" i="3"/>
  <c r="L41" i="3"/>
  <c r="L43" i="3"/>
  <c r="N43" i="3"/>
  <c r="L44" i="3"/>
  <c r="M48" i="3"/>
  <c r="I45" i="3"/>
  <c r="M38" i="3"/>
  <c r="K39" i="3"/>
  <c r="I43" i="3"/>
  <c r="P37" i="3"/>
  <c r="L49" i="3"/>
  <c r="O46" i="3"/>
  <c r="N47" i="3"/>
  <c r="N45" i="3"/>
  <c r="O47" i="3"/>
  <c r="K45" i="3"/>
  <c r="P50" i="3"/>
  <c r="P49" i="3"/>
  <c r="P38" i="3"/>
  <c r="N38" i="3"/>
  <c r="N39" i="3"/>
  <c r="N41" i="3"/>
  <c r="L40" i="3"/>
  <c r="O36" i="3"/>
  <c r="P41" i="3"/>
  <c r="K50" i="3"/>
  <c r="M40" i="3"/>
  <c r="M42" i="3"/>
  <c r="M39" i="3"/>
  <c r="M50" i="3"/>
  <c r="M45" i="3"/>
  <c r="K40" i="3"/>
  <c r="N49" i="3"/>
  <c r="N51" i="3"/>
  <c r="O48" i="3"/>
  <c r="O49" i="3"/>
  <c r="L50" i="3"/>
  <c r="N46" i="3"/>
  <c r="L47" i="3"/>
  <c r="P48" i="3"/>
  <c r="L35" i="3"/>
  <c r="P44" i="3"/>
  <c r="N40" i="3"/>
  <c r="N42" i="3"/>
  <c r="N44" i="3"/>
  <c r="O43" i="3"/>
  <c r="O35" i="3"/>
  <c r="L42" i="3"/>
  <c r="AV53" i="25" l="1"/>
  <c r="J68" i="3"/>
  <c r="AV55" i="25"/>
  <c r="J70" i="3"/>
  <c r="AV54" i="25"/>
  <c r="J69" i="3"/>
  <c r="AV41" i="25"/>
  <c r="J56" i="3"/>
  <c r="AB33" i="19"/>
  <c r="I48" i="3"/>
  <c r="Q117" i="3"/>
  <c r="R117" i="3" s="1"/>
  <c r="AZ103" i="25"/>
  <c r="N118" i="3"/>
  <c r="BA103" i="25"/>
  <c r="O118" i="3"/>
  <c r="DU98" i="25"/>
  <c r="DV83" i="25"/>
  <c r="DV90" i="25"/>
  <c r="DV74" i="25"/>
  <c r="DV100" i="25"/>
  <c r="DU100" i="25"/>
  <c r="AT81" i="25"/>
  <c r="AK81" i="25" s="1"/>
  <c r="CB50" i="25"/>
  <c r="DU73" i="25"/>
  <c r="AW97" i="25"/>
  <c r="CB47" i="25"/>
  <c r="DV95" i="25"/>
  <c r="AT35" i="25"/>
  <c r="AK35" i="25" s="1"/>
  <c r="CB52" i="25"/>
  <c r="AT46" i="25"/>
  <c r="AK46" i="25" s="1"/>
  <c r="CB42" i="25"/>
  <c r="CB39" i="25"/>
  <c r="DU79" i="25"/>
  <c r="AT20" i="25"/>
  <c r="AK20" i="25" s="1"/>
  <c r="CC65" i="25"/>
  <c r="BE65" i="25"/>
  <c r="AB65" i="19" s="1"/>
  <c r="CC71" i="25"/>
  <c r="BE71" i="25"/>
  <c r="CC59" i="25"/>
  <c r="BE59" i="25"/>
  <c r="CC53" i="25"/>
  <c r="BE53" i="25"/>
  <c r="CC60" i="25"/>
  <c r="BE60" i="25"/>
  <c r="CC70" i="25"/>
  <c r="BE70" i="25"/>
  <c r="CC95" i="25"/>
  <c r="BE95" i="25"/>
  <c r="AB27" i="19"/>
  <c r="BD27" i="25"/>
  <c r="AU27" i="25"/>
  <c r="AS27" i="25" s="1"/>
  <c r="AJ27" i="25" s="1"/>
  <c r="M42" i="42" s="1"/>
  <c r="AB47" i="19"/>
  <c r="BD47" i="25"/>
  <c r="BC47" i="25" s="1"/>
  <c r="AU47" i="25"/>
  <c r="AS47" i="25" s="1"/>
  <c r="AJ47" i="25" s="1"/>
  <c r="M62" i="42" s="1"/>
  <c r="DU82" i="25"/>
  <c r="CC69" i="25"/>
  <c r="BE69" i="25"/>
  <c r="CC86" i="25"/>
  <c r="BE86" i="25"/>
  <c r="AT29" i="25"/>
  <c r="AK29" i="25" s="1"/>
  <c r="CC57" i="25"/>
  <c r="BE57" i="25"/>
  <c r="AB57" i="19" s="1"/>
  <c r="CC54" i="25"/>
  <c r="BE54" i="25"/>
  <c r="I69" i="3" s="1"/>
  <c r="AB42" i="19"/>
  <c r="BD42" i="25"/>
  <c r="BC42" i="25" s="1"/>
  <c r="AU42" i="25"/>
  <c r="AS42" i="25" s="1"/>
  <c r="AJ42" i="25" s="1"/>
  <c r="M57" i="42" s="1"/>
  <c r="AB39" i="19"/>
  <c r="BD39" i="25"/>
  <c r="BC39" i="25" s="1"/>
  <c r="AU39" i="25"/>
  <c r="AS39" i="25" s="1"/>
  <c r="AJ39" i="25" s="1"/>
  <c r="M54" i="42" s="1"/>
  <c r="AB48" i="19"/>
  <c r="BD48" i="25"/>
  <c r="BC48" i="25" s="1"/>
  <c r="AU48" i="25"/>
  <c r="AS48" i="25" s="1"/>
  <c r="BD49" i="25"/>
  <c r="BC49" i="25" s="1"/>
  <c r="AU49" i="25"/>
  <c r="AS49" i="25" s="1"/>
  <c r="AJ49" i="25" s="1"/>
  <c r="M64" i="42" s="1"/>
  <c r="AB51" i="19"/>
  <c r="BD51" i="25"/>
  <c r="BC51" i="25" s="1"/>
  <c r="AU51" i="25"/>
  <c r="AS51" i="25" s="1"/>
  <c r="AJ51" i="25" s="1"/>
  <c r="M66" i="42" s="1"/>
  <c r="AB35" i="19"/>
  <c r="BD35" i="25"/>
  <c r="BC35" i="25" s="1"/>
  <c r="AU35" i="25"/>
  <c r="AS35" i="25" s="1"/>
  <c r="AJ35" i="25" s="1"/>
  <c r="M50" i="42" s="1"/>
  <c r="BD45" i="25"/>
  <c r="BC45" i="25" s="1"/>
  <c r="AU45" i="25"/>
  <c r="AS45" i="25" s="1"/>
  <c r="AJ45" i="25" s="1"/>
  <c r="M60" i="42" s="1"/>
  <c r="BD28" i="25"/>
  <c r="BC28" i="25" s="1"/>
  <c r="AB28" i="19"/>
  <c r="AU28" i="25"/>
  <c r="AS28" i="25" s="1"/>
  <c r="AJ28" i="25" s="1"/>
  <c r="M43" i="42" s="1"/>
  <c r="AB26" i="19"/>
  <c r="BD26" i="25"/>
  <c r="AR26" i="25" s="1"/>
  <c r="AM26" i="25" s="1"/>
  <c r="AO26" i="25" s="1"/>
  <c r="AI26" i="25" s="1"/>
  <c r="AU26" i="25"/>
  <c r="AS26" i="25" s="1"/>
  <c r="AJ26" i="25" s="1"/>
  <c r="M41" i="42" s="1"/>
  <c r="BD33" i="25"/>
  <c r="BC33" i="25" s="1"/>
  <c r="AU33" i="25"/>
  <c r="AS33" i="25" s="1"/>
  <c r="AJ33" i="25" s="1"/>
  <c r="M48" i="42" s="1"/>
  <c r="CC66" i="25"/>
  <c r="BE66" i="25"/>
  <c r="CC84" i="25"/>
  <c r="BE84" i="25"/>
  <c r="CC93" i="25"/>
  <c r="BE93" i="25"/>
  <c r="AB93" i="19" s="1"/>
  <c r="CC100" i="25"/>
  <c r="BE100" i="25"/>
  <c r="CC22" i="25"/>
  <c r="BE22" i="25"/>
  <c r="I37" i="3" s="1"/>
  <c r="CC81" i="25"/>
  <c r="BE81" i="25"/>
  <c r="AB81" i="19" s="1"/>
  <c r="AB50" i="19"/>
  <c r="BD50" i="25"/>
  <c r="BC50" i="25" s="1"/>
  <c r="AU50" i="25"/>
  <c r="AS50" i="25" s="1"/>
  <c r="AJ50" i="25" s="1"/>
  <c r="M65" i="42" s="1"/>
  <c r="BD37" i="25"/>
  <c r="BC37" i="25" s="1"/>
  <c r="AU37" i="25"/>
  <c r="AS37" i="25" s="1"/>
  <c r="AJ37" i="25" s="1"/>
  <c r="M52" i="42" s="1"/>
  <c r="CC64" i="25"/>
  <c r="BE64" i="25"/>
  <c r="CC98" i="25"/>
  <c r="BE98" i="25"/>
  <c r="CC103" i="25"/>
  <c r="BE103" i="25"/>
  <c r="CC85" i="25"/>
  <c r="BE85" i="25"/>
  <c r="AB85" i="19" s="1"/>
  <c r="CC75" i="25"/>
  <c r="BE75" i="25"/>
  <c r="CC97" i="25"/>
  <c r="BE97" i="25"/>
  <c r="AB97" i="19" s="1"/>
  <c r="CC91" i="25"/>
  <c r="BE91" i="25"/>
  <c r="DV76" i="25"/>
  <c r="DV75" i="25"/>
  <c r="CC25" i="25"/>
  <c r="CB25" i="25" s="1"/>
  <c r="BE25" i="25"/>
  <c r="CC58" i="25"/>
  <c r="BE58" i="25"/>
  <c r="CC63" i="25"/>
  <c r="BE63" i="25"/>
  <c r="CC67" i="25"/>
  <c r="BE67" i="25"/>
  <c r="CC83" i="25"/>
  <c r="BE83" i="25"/>
  <c r="CC77" i="25"/>
  <c r="BE77" i="25"/>
  <c r="AB77" i="19" s="1"/>
  <c r="CC78" i="25"/>
  <c r="BE78" i="25"/>
  <c r="CC76" i="25"/>
  <c r="BE76" i="25"/>
  <c r="CC72" i="25"/>
  <c r="BE72" i="25"/>
  <c r="CB44" i="25"/>
  <c r="AV89" i="25"/>
  <c r="AV97" i="25"/>
  <c r="BD38" i="25"/>
  <c r="BC38" i="25" s="1"/>
  <c r="AB38" i="19"/>
  <c r="AU38" i="25"/>
  <c r="AS38" i="25" s="1"/>
  <c r="AJ38" i="25" s="1"/>
  <c r="M53" i="42" s="1"/>
  <c r="AB49" i="19"/>
  <c r="AB88" i="19"/>
  <c r="BD88" i="25"/>
  <c r="AU88" i="25"/>
  <c r="AS88" i="25" s="1"/>
  <c r="AJ88" i="25" s="1"/>
  <c r="AB36" i="19"/>
  <c r="BD36" i="25"/>
  <c r="BC36" i="25" s="1"/>
  <c r="AU36" i="25"/>
  <c r="AS36" i="25" s="1"/>
  <c r="AJ36" i="25" s="1"/>
  <c r="M51" i="42" s="1"/>
  <c r="AB45" i="19"/>
  <c r="CC21" i="25"/>
  <c r="BE21" i="25"/>
  <c r="CC62" i="25"/>
  <c r="BE62" i="25"/>
  <c r="CC79" i="25"/>
  <c r="BE79" i="25"/>
  <c r="CC89" i="25"/>
  <c r="BE89" i="25"/>
  <c r="AB89" i="19" s="1"/>
  <c r="CC87" i="25"/>
  <c r="BE87" i="25"/>
  <c r="CC99" i="25"/>
  <c r="BE99" i="25"/>
  <c r="CC102" i="25"/>
  <c r="BE102" i="25"/>
  <c r="BD46" i="25"/>
  <c r="BC46" i="25" s="1"/>
  <c r="AB46" i="19"/>
  <c r="AU46" i="25"/>
  <c r="AS46" i="25" s="1"/>
  <c r="AJ46" i="25" s="1"/>
  <c r="M61" i="42" s="1"/>
  <c r="CC101" i="25"/>
  <c r="BE101" i="25"/>
  <c r="AB101" i="19" s="1"/>
  <c r="CC40" i="25"/>
  <c r="CB40" i="25" s="1"/>
  <c r="BE40" i="25"/>
  <c r="CC23" i="25"/>
  <c r="BE23" i="25"/>
  <c r="CC55" i="25"/>
  <c r="BE55" i="25"/>
  <c r="CC68" i="25"/>
  <c r="BE68" i="25"/>
  <c r="CC73" i="25"/>
  <c r="BE73" i="25"/>
  <c r="CC96" i="25"/>
  <c r="BE96" i="25"/>
  <c r="CC94" i="25"/>
  <c r="BE94" i="25"/>
  <c r="CC82" i="25"/>
  <c r="BE82" i="25"/>
  <c r="CC41" i="25"/>
  <c r="BE41" i="25"/>
  <c r="CC61" i="25"/>
  <c r="BE61" i="25"/>
  <c r="AB61" i="19" s="1"/>
  <c r="CC56" i="25"/>
  <c r="BE56" i="25"/>
  <c r="CC80" i="25"/>
  <c r="BE80" i="25"/>
  <c r="CB30" i="25"/>
  <c r="AV61" i="25"/>
  <c r="CC74" i="25"/>
  <c r="BE74" i="25"/>
  <c r="AB69" i="19"/>
  <c r="CC92" i="25"/>
  <c r="BE92" i="25"/>
  <c r="CC90" i="25"/>
  <c r="BE90" i="25"/>
  <c r="BD29" i="25"/>
  <c r="BC29" i="25" s="1"/>
  <c r="AU29" i="25"/>
  <c r="AS29" i="25" s="1"/>
  <c r="AJ29" i="25" s="1"/>
  <c r="M44" i="42" s="1"/>
  <c r="AB34" i="19"/>
  <c r="BD34" i="25"/>
  <c r="BC34" i="25" s="1"/>
  <c r="AU34" i="25"/>
  <c r="AS34" i="25" s="1"/>
  <c r="AJ34" i="25" s="1"/>
  <c r="M49" i="42" s="1"/>
  <c r="BD30" i="25"/>
  <c r="BC30" i="25" s="1"/>
  <c r="AB30" i="19"/>
  <c r="AU30" i="25"/>
  <c r="AS30" i="25" s="1"/>
  <c r="AJ30" i="25" s="1"/>
  <c r="M45" i="42" s="1"/>
  <c r="AB37" i="19"/>
  <c r="AB32" i="19"/>
  <c r="BD32" i="25"/>
  <c r="BC32" i="25" s="1"/>
  <c r="AU32" i="25"/>
  <c r="AS32" i="25" s="1"/>
  <c r="AJ32" i="25" s="1"/>
  <c r="M47" i="42" s="1"/>
  <c r="AB52" i="19"/>
  <c r="BD52" i="25"/>
  <c r="AU52" i="25"/>
  <c r="AS52" i="25" s="1"/>
  <c r="AJ52" i="25" s="1"/>
  <c r="M67" i="42" s="1"/>
  <c r="AB31" i="19"/>
  <c r="BD31" i="25"/>
  <c r="BC31" i="25" s="1"/>
  <c r="AU31" i="25"/>
  <c r="AS31" i="25" s="1"/>
  <c r="AJ31" i="25" s="1"/>
  <c r="M46" i="42" s="1"/>
  <c r="BD24" i="25"/>
  <c r="AB24" i="19"/>
  <c r="AU24" i="25"/>
  <c r="AS24" i="25" s="1"/>
  <c r="AJ24" i="25" s="1"/>
  <c r="M39" i="42" s="1"/>
  <c r="AB44" i="19"/>
  <c r="BD44" i="25"/>
  <c r="BC44" i="25" s="1"/>
  <c r="AU44" i="25"/>
  <c r="AS44" i="25" s="1"/>
  <c r="AJ44" i="25" s="1"/>
  <c r="M59" i="42" s="1"/>
  <c r="AB43" i="19"/>
  <c r="BD43" i="25"/>
  <c r="BC43" i="25" s="1"/>
  <c r="AU43" i="25"/>
  <c r="AS43" i="25" s="1"/>
  <c r="AJ43" i="25" s="1"/>
  <c r="M58" i="42" s="1"/>
  <c r="DV97" i="25"/>
  <c r="AT39" i="25"/>
  <c r="AK39" i="25" s="1"/>
  <c r="CB36" i="25"/>
  <c r="AX102" i="25"/>
  <c r="AT102" i="25" s="1"/>
  <c r="BP102" i="25"/>
  <c r="BO102" i="25" s="1"/>
  <c r="BP103" i="25"/>
  <c r="BO103" i="25" s="1"/>
  <c r="AY83" i="25"/>
  <c r="AT83" i="25" s="1"/>
  <c r="AK83" i="25" s="1"/>
  <c r="BP89" i="25"/>
  <c r="BO89" i="25" s="1"/>
  <c r="AY102" i="25"/>
  <c r="AX69" i="25"/>
  <c r="BP69" i="25"/>
  <c r="BO69" i="25" s="1"/>
  <c r="BP68" i="25"/>
  <c r="BO68" i="25" s="1"/>
  <c r="BA68" i="25"/>
  <c r="BP63" i="25"/>
  <c r="BO63" i="25" s="1"/>
  <c r="AZ63" i="25"/>
  <c r="AX61" i="25"/>
  <c r="BP61" i="25"/>
  <c r="BO61" i="25" s="1"/>
  <c r="AX66" i="25"/>
  <c r="BP66" i="25"/>
  <c r="BO66" i="25" s="1"/>
  <c r="AX64" i="25"/>
  <c r="BP64" i="25"/>
  <c r="BO64" i="25" s="1"/>
  <c r="AX65" i="25"/>
  <c r="AT65" i="25" s="1"/>
  <c r="AK65" i="25" s="1"/>
  <c r="BP65" i="25"/>
  <c r="BO65" i="25" s="1"/>
  <c r="AX67" i="25"/>
  <c r="BP67" i="25"/>
  <c r="BO67" i="25" s="1"/>
  <c r="AX71" i="25"/>
  <c r="BP71" i="25"/>
  <c r="BO71" i="25" s="1"/>
  <c r="AX62" i="25"/>
  <c r="AT62" i="25" s="1"/>
  <c r="AK62" i="25" s="1"/>
  <c r="BP62" i="25"/>
  <c r="BO62" i="25" s="1"/>
  <c r="AX70" i="25"/>
  <c r="BP70" i="25"/>
  <c r="BO70" i="25" s="1"/>
  <c r="AT64" i="25"/>
  <c r="AK64" i="25" s="1"/>
  <c r="DV92" i="25"/>
  <c r="DU84" i="25"/>
  <c r="CB32" i="25"/>
  <c r="DU96" i="25"/>
  <c r="AT51" i="25"/>
  <c r="AK51" i="25" s="1"/>
  <c r="DU87" i="25"/>
  <c r="DU101" i="25"/>
  <c r="DB49" i="25"/>
  <c r="AX49" i="19" s="1"/>
  <c r="CB29" i="25"/>
  <c r="DU58" i="25"/>
  <c r="DU78" i="25"/>
  <c r="EO20" i="25"/>
  <c r="EQ20" i="25" s="1"/>
  <c r="CJ20" i="25" s="1"/>
  <c r="DV89" i="25"/>
  <c r="DU91" i="25"/>
  <c r="DV93" i="25"/>
  <c r="DB35" i="25"/>
  <c r="AX35" i="19" s="1"/>
  <c r="DU77" i="25"/>
  <c r="AT42" i="25"/>
  <c r="AK42" i="25" s="1"/>
  <c r="CB88" i="25"/>
  <c r="GQ95" i="25"/>
  <c r="CE95" i="25"/>
  <c r="HQ96" i="25"/>
  <c r="CF96" i="25"/>
  <c r="HQ101" i="25"/>
  <c r="CF101" i="25"/>
  <c r="CF103" i="25"/>
  <c r="HQ103" i="25"/>
  <c r="GQ87" i="25"/>
  <c r="CE87" i="25"/>
  <c r="HQ98" i="25"/>
  <c r="CF98" i="25"/>
  <c r="CD101" i="25"/>
  <c r="FQ101" i="25"/>
  <c r="CK101" i="25" s="1"/>
  <c r="CD98" i="25"/>
  <c r="FQ98" i="25"/>
  <c r="CK98" i="25" s="1"/>
  <c r="CD87" i="25"/>
  <c r="FQ87" i="25"/>
  <c r="CK87" i="25" s="1"/>
  <c r="CD100" i="25"/>
  <c r="FQ100" i="25"/>
  <c r="CK100" i="25" s="1"/>
  <c r="DU72" i="25"/>
  <c r="CB49" i="25"/>
  <c r="FQ96" i="25"/>
  <c r="CK96" i="25" s="1"/>
  <c r="CD96" i="25"/>
  <c r="DB88" i="25"/>
  <c r="AX88" i="19" s="1"/>
  <c r="AT28" i="25"/>
  <c r="AK28" i="25" s="1"/>
  <c r="DB48" i="25"/>
  <c r="AX48" i="19" s="1"/>
  <c r="AT47" i="25"/>
  <c r="AK47" i="25" s="1"/>
  <c r="AT36" i="25"/>
  <c r="AK36" i="25" s="1"/>
  <c r="CD103" i="25"/>
  <c r="FQ103" i="25"/>
  <c r="CK103" i="25" s="1"/>
  <c r="GQ100" i="25"/>
  <c r="CE100" i="25"/>
  <c r="AT95" i="25"/>
  <c r="AK95" i="25" s="1"/>
  <c r="CB45" i="25"/>
  <c r="CD95" i="25"/>
  <c r="FQ95" i="25"/>
  <c r="CK95" i="25" s="1"/>
  <c r="CD90" i="25"/>
  <c r="FQ90" i="25"/>
  <c r="CK90" i="25" s="1"/>
  <c r="CF102" i="25"/>
  <c r="HQ102" i="25"/>
  <c r="CD102" i="25"/>
  <c r="FQ102" i="25"/>
  <c r="CK102" i="25" s="1"/>
  <c r="DV99" i="25"/>
  <c r="GQ99" i="25"/>
  <c r="CE99" i="25"/>
  <c r="FQ99" i="25"/>
  <c r="CK99" i="25" s="1"/>
  <c r="CD99" i="25"/>
  <c r="CF97" i="25"/>
  <c r="HQ97" i="25"/>
  <c r="FQ97" i="25"/>
  <c r="CK97" i="25" s="1"/>
  <c r="CD97" i="25"/>
  <c r="CE97" i="25"/>
  <c r="GQ97" i="25"/>
  <c r="CF94" i="25"/>
  <c r="HQ94" i="25"/>
  <c r="FQ94" i="25"/>
  <c r="CK94" i="25" s="1"/>
  <c r="CD94" i="25"/>
  <c r="CD93" i="25"/>
  <c r="FQ93" i="25"/>
  <c r="CK93" i="25" s="1"/>
  <c r="FQ92" i="25"/>
  <c r="CK92" i="25" s="1"/>
  <c r="CD92" i="25"/>
  <c r="CB92" i="25" s="1"/>
  <c r="CE91" i="25"/>
  <c r="GQ91" i="25"/>
  <c r="CF91" i="25"/>
  <c r="HQ91" i="25"/>
  <c r="FQ91" i="25"/>
  <c r="CK91" i="25" s="1"/>
  <c r="CD91" i="25"/>
  <c r="HQ89" i="25"/>
  <c r="CF89" i="25"/>
  <c r="CD89" i="25"/>
  <c r="FQ89" i="25"/>
  <c r="CK89" i="25" s="1"/>
  <c r="FQ86" i="25"/>
  <c r="CK86" i="25" s="1"/>
  <c r="CD86" i="25"/>
  <c r="CF86" i="25"/>
  <c r="HQ86" i="25"/>
  <c r="HQ85" i="25"/>
  <c r="CF85" i="25"/>
  <c r="FQ85" i="25"/>
  <c r="CK85" i="25" s="1"/>
  <c r="CD85" i="25"/>
  <c r="CU88" i="25"/>
  <c r="CV88" i="25"/>
  <c r="CI88" i="25"/>
  <c r="CB35" i="25"/>
  <c r="AT33" i="25"/>
  <c r="AK33" i="25" s="1"/>
  <c r="AT34" i="25"/>
  <c r="AK34" i="25" s="1"/>
  <c r="AT43" i="25"/>
  <c r="AK43" i="25" s="1"/>
  <c r="AT30" i="25"/>
  <c r="AK30" i="25" s="1"/>
  <c r="CB37" i="25"/>
  <c r="CB34" i="25"/>
  <c r="CB26" i="25"/>
  <c r="AT56" i="25"/>
  <c r="AK56" i="25" s="1"/>
  <c r="CB48" i="25"/>
  <c r="CD60" i="25"/>
  <c r="FQ60" i="25"/>
  <c r="CK60" i="25" s="1"/>
  <c r="HQ60" i="25"/>
  <c r="CF60" i="25"/>
  <c r="HQ55" i="25"/>
  <c r="CF55" i="25"/>
  <c r="CF84" i="25"/>
  <c r="HQ84" i="25"/>
  <c r="CF63" i="25"/>
  <c r="HQ63" i="25"/>
  <c r="FQ22" i="25"/>
  <c r="CK22" i="25" s="1"/>
  <c r="CD22" i="25"/>
  <c r="CF58" i="25"/>
  <c r="HQ58" i="25"/>
  <c r="FQ80" i="25"/>
  <c r="CK80" i="25" s="1"/>
  <c r="CD80" i="25"/>
  <c r="CB80" i="25" s="1"/>
  <c r="GQ63" i="25"/>
  <c r="CE63" i="25"/>
  <c r="CF61" i="25"/>
  <c r="HQ61" i="25"/>
  <c r="HQ65" i="25"/>
  <c r="CF65" i="25"/>
  <c r="HQ41" i="25"/>
  <c r="CF41" i="25"/>
  <c r="GQ53" i="25"/>
  <c r="CE53" i="25"/>
  <c r="CF22" i="25"/>
  <c r="HQ22" i="25"/>
  <c r="CE56" i="25"/>
  <c r="GQ56" i="25"/>
  <c r="CI27" i="25"/>
  <c r="CU27" i="25"/>
  <c r="CD68" i="25"/>
  <c r="CB68" i="25" s="1"/>
  <c r="FQ68" i="25"/>
  <c r="CK68" i="25" s="1"/>
  <c r="CD64" i="25"/>
  <c r="CB64" i="25" s="1"/>
  <c r="FQ64" i="25"/>
  <c r="CK64" i="25" s="1"/>
  <c r="CF83" i="25"/>
  <c r="HQ83" i="25"/>
  <c r="CD56" i="25"/>
  <c r="FQ56" i="25"/>
  <c r="CK56" i="25" s="1"/>
  <c r="GQ79" i="25"/>
  <c r="CE79" i="25"/>
  <c r="GQ20" i="25"/>
  <c r="CE20" i="25"/>
  <c r="GQ71" i="25"/>
  <c r="CE71" i="25"/>
  <c r="CE60" i="25"/>
  <c r="GQ60" i="25"/>
  <c r="GQ83" i="25"/>
  <c r="CE83" i="25"/>
  <c r="CF53" i="25"/>
  <c r="HQ53" i="25"/>
  <c r="FQ73" i="25"/>
  <c r="CK73" i="25" s="1"/>
  <c r="CD73" i="25"/>
  <c r="FQ70" i="25"/>
  <c r="CK70" i="25" s="1"/>
  <c r="CD70" i="25"/>
  <c r="CB27" i="25"/>
  <c r="CI35" i="25"/>
  <c r="CU35" i="25"/>
  <c r="CV32" i="25"/>
  <c r="CU32" i="25"/>
  <c r="CI32" i="25"/>
  <c r="CV38" i="25"/>
  <c r="CU38" i="25"/>
  <c r="CI38" i="25"/>
  <c r="CV44" i="25"/>
  <c r="CU44" i="25"/>
  <c r="CI44" i="25"/>
  <c r="CI39" i="25"/>
  <c r="CV39" i="25"/>
  <c r="CU39" i="25"/>
  <c r="CU49" i="25"/>
  <c r="CV49" i="25"/>
  <c r="CI49" i="25"/>
  <c r="DI49" i="25"/>
  <c r="DB51" i="25"/>
  <c r="AX51" i="19" s="1"/>
  <c r="AT69" i="25"/>
  <c r="AK69" i="25" s="1"/>
  <c r="AT57" i="25"/>
  <c r="AK57" i="25" s="1"/>
  <c r="AT32" i="25"/>
  <c r="AK32" i="25" s="1"/>
  <c r="CD79" i="25"/>
  <c r="FQ79" i="25"/>
  <c r="CK79" i="25" s="1"/>
  <c r="FQ54" i="25"/>
  <c r="CK54" i="25" s="1"/>
  <c r="CU54" i="25" s="1"/>
  <c r="CD54" i="25"/>
  <c r="FQ71" i="25"/>
  <c r="CK71" i="25" s="1"/>
  <c r="CD71" i="25"/>
  <c r="FQ20" i="25"/>
  <c r="CK20" i="25" s="1"/>
  <c r="CD20" i="25"/>
  <c r="FQ41" i="25"/>
  <c r="CK41" i="25" s="1"/>
  <c r="CD41" i="25"/>
  <c r="CD63" i="25"/>
  <c r="FQ63" i="25"/>
  <c r="CK63" i="25" s="1"/>
  <c r="FQ61" i="25"/>
  <c r="CK61" i="25" s="1"/>
  <c r="CD61" i="25"/>
  <c r="CI43" i="25"/>
  <c r="FQ59" i="25"/>
  <c r="CK59" i="25" s="1"/>
  <c r="CD59" i="25"/>
  <c r="CB43" i="25"/>
  <c r="FQ66" i="25"/>
  <c r="CK66" i="25" s="1"/>
  <c r="CD66" i="25"/>
  <c r="CE22" i="25"/>
  <c r="GQ22" i="25"/>
  <c r="HQ73" i="25"/>
  <c r="CF73" i="25"/>
  <c r="CV27" i="25"/>
  <c r="FQ62" i="25"/>
  <c r="CK62" i="25" s="1"/>
  <c r="CD62" i="25"/>
  <c r="FQ21" i="25"/>
  <c r="CK21" i="25" s="1"/>
  <c r="CD21" i="25"/>
  <c r="CV35" i="25"/>
  <c r="CF75" i="25"/>
  <c r="HQ75" i="25"/>
  <c r="HQ66" i="25"/>
  <c r="CF66" i="25"/>
  <c r="CB51" i="25"/>
  <c r="FQ65" i="25"/>
  <c r="CK65" i="25" s="1"/>
  <c r="CD65" i="25"/>
  <c r="FQ76" i="25"/>
  <c r="CK76" i="25" s="1"/>
  <c r="CD76" i="25"/>
  <c r="CB28" i="25"/>
  <c r="DU22" i="25"/>
  <c r="CU24" i="25"/>
  <c r="CV24" i="25"/>
  <c r="CI24" i="25"/>
  <c r="CI29" i="25"/>
  <c r="CV29" i="25"/>
  <c r="CU29" i="25"/>
  <c r="CI28" i="25"/>
  <c r="CU28" i="25"/>
  <c r="CU36" i="25"/>
  <c r="CI36" i="25"/>
  <c r="CU31" i="25"/>
  <c r="CI31" i="25"/>
  <c r="CV31" i="25"/>
  <c r="CU43" i="25"/>
  <c r="CV43" i="25"/>
  <c r="CI51" i="25"/>
  <c r="CU51" i="25"/>
  <c r="CV54" i="25"/>
  <c r="CU52" i="25"/>
  <c r="CI52" i="25"/>
  <c r="CV52" i="25"/>
  <c r="DB34" i="25"/>
  <c r="AX34" i="19" s="1"/>
  <c r="AW52" i="25"/>
  <c r="AT52" i="25" s="1"/>
  <c r="AK52" i="25" s="1"/>
  <c r="AT38" i="25"/>
  <c r="AK38" i="25" s="1"/>
  <c r="AR39" i="25"/>
  <c r="AM39" i="25" s="1"/>
  <c r="AO39" i="25" s="1"/>
  <c r="AI39" i="25" s="1"/>
  <c r="AT37" i="25"/>
  <c r="AK37" i="25" s="1"/>
  <c r="CF70" i="25"/>
  <c r="HQ70" i="25"/>
  <c r="GQ75" i="25"/>
  <c r="CE75" i="25"/>
  <c r="FQ81" i="25"/>
  <c r="CK81" i="25" s="1"/>
  <c r="CD81" i="25"/>
  <c r="CB81" i="25" s="1"/>
  <c r="FQ67" i="25"/>
  <c r="CK67" i="25" s="1"/>
  <c r="CD67" i="25"/>
  <c r="FQ84" i="25"/>
  <c r="CK84" i="25" s="1"/>
  <c r="CD84" i="25"/>
  <c r="HQ59" i="25"/>
  <c r="CF59" i="25"/>
  <c r="CD58" i="25"/>
  <c r="FQ58" i="25"/>
  <c r="CK58" i="25" s="1"/>
  <c r="CF69" i="25"/>
  <c r="HQ69" i="25"/>
  <c r="CV51" i="25"/>
  <c r="CD78" i="25"/>
  <c r="CB78" i="25" s="1"/>
  <c r="FQ78" i="25"/>
  <c r="CK78" i="25" s="1"/>
  <c r="CF67" i="25"/>
  <c r="HQ67" i="25"/>
  <c r="CD82" i="25"/>
  <c r="CB82" i="25" s="1"/>
  <c r="FQ82" i="25"/>
  <c r="CK82" i="25" s="1"/>
  <c r="CB46" i="25"/>
  <c r="CV36" i="25"/>
  <c r="CV46" i="25"/>
  <c r="CU46" i="25"/>
  <c r="CI46" i="25"/>
  <c r="CV48" i="25"/>
  <c r="CU48" i="25"/>
  <c r="CI48" i="25"/>
  <c r="CV33" i="25"/>
  <c r="CU33" i="25"/>
  <c r="CI33" i="25"/>
  <c r="CV42" i="25"/>
  <c r="CU42" i="25"/>
  <c r="CI42" i="25"/>
  <c r="CV37" i="25"/>
  <c r="CI37" i="25"/>
  <c r="CU37" i="25"/>
  <c r="CV26" i="25"/>
  <c r="CI26" i="25"/>
  <c r="CU26" i="25"/>
  <c r="CI45" i="25"/>
  <c r="CU45" i="25"/>
  <c r="CV45" i="25"/>
  <c r="CU34" i="25"/>
  <c r="CI34" i="25"/>
  <c r="CV34" i="25"/>
  <c r="CV50" i="25"/>
  <c r="CU50" i="25"/>
  <c r="CI50" i="25"/>
  <c r="AT45" i="25"/>
  <c r="AK45" i="25" s="1"/>
  <c r="FQ83" i="25"/>
  <c r="CK83" i="25" s="1"/>
  <c r="CD83" i="25"/>
  <c r="FQ53" i="25"/>
  <c r="CK53" i="25" s="1"/>
  <c r="CD53" i="25"/>
  <c r="CB31" i="25"/>
  <c r="FQ77" i="25"/>
  <c r="CK77" i="25" s="1"/>
  <c r="CD77" i="25"/>
  <c r="CD72" i="25"/>
  <c r="CB72" i="25" s="1"/>
  <c r="FQ72" i="25"/>
  <c r="CK72" i="25" s="1"/>
  <c r="FQ55" i="25"/>
  <c r="CK55" i="25" s="1"/>
  <c r="CD55" i="25"/>
  <c r="CD75" i="25"/>
  <c r="FQ75" i="25"/>
  <c r="CK75" i="25" s="1"/>
  <c r="FQ69" i="25"/>
  <c r="CK69" i="25" s="1"/>
  <c r="CD69" i="25"/>
  <c r="FQ57" i="25"/>
  <c r="CK57" i="25" s="1"/>
  <c r="CD57" i="25"/>
  <c r="CV28" i="25"/>
  <c r="FQ74" i="25"/>
  <c r="CK74" i="25" s="1"/>
  <c r="CD74" i="25"/>
  <c r="CB74" i="25" s="1"/>
  <c r="CF21" i="25"/>
  <c r="HQ21" i="25"/>
  <c r="CB23" i="25"/>
  <c r="CB38" i="25"/>
  <c r="DC80" i="25"/>
  <c r="BI80" i="25"/>
  <c r="AW80" i="25" s="1"/>
  <c r="AT80" i="25" s="1"/>
  <c r="AK80" i="25" s="1"/>
  <c r="DE92" i="25"/>
  <c r="BK92" i="25"/>
  <c r="AY92" i="25" s="1"/>
  <c r="AT92" i="25" s="1"/>
  <c r="AK92" i="25" s="1"/>
  <c r="DC87" i="25"/>
  <c r="BI87" i="25"/>
  <c r="AW87" i="25" s="1"/>
  <c r="AT87" i="25" s="1"/>
  <c r="AK87" i="25" s="1"/>
  <c r="DE89" i="25"/>
  <c r="BK89" i="25"/>
  <c r="AY89" i="25" s="1"/>
  <c r="AW24" i="25"/>
  <c r="AT24" i="25" s="1"/>
  <c r="AK24" i="25" s="1"/>
  <c r="AT97" i="25"/>
  <c r="AK97" i="25" s="1"/>
  <c r="DC79" i="25"/>
  <c r="BI79" i="25"/>
  <c r="AW79" i="25" s="1"/>
  <c r="DE63" i="25"/>
  <c r="BK63" i="25"/>
  <c r="AY63" i="25" s="1"/>
  <c r="AT71" i="25"/>
  <c r="AK71" i="25" s="1"/>
  <c r="DC78" i="25"/>
  <c r="BI78" i="25"/>
  <c r="AW78" i="25" s="1"/>
  <c r="AT78" i="25" s="1"/>
  <c r="AK78" i="25" s="1"/>
  <c r="DE41" i="25"/>
  <c r="DB41" i="25" s="1"/>
  <c r="AX41" i="19" s="1"/>
  <c r="BK41" i="25"/>
  <c r="AC41" i="19" s="1"/>
  <c r="DE77" i="25"/>
  <c r="BK77" i="25"/>
  <c r="AY77" i="25" s="1"/>
  <c r="AT77" i="25" s="1"/>
  <c r="AK77" i="25" s="1"/>
  <c r="BO55" i="25"/>
  <c r="BO44" i="25"/>
  <c r="BO57" i="25"/>
  <c r="BO37" i="25"/>
  <c r="BO51" i="25"/>
  <c r="AR51" i="25"/>
  <c r="AM51" i="25" s="1"/>
  <c r="AO51" i="25" s="1"/>
  <c r="AI51" i="25" s="1"/>
  <c r="AR29" i="25"/>
  <c r="AM29" i="25" s="1"/>
  <c r="AO29" i="25" s="1"/>
  <c r="AI29" i="25" s="1"/>
  <c r="BO29" i="25"/>
  <c r="BO42" i="25"/>
  <c r="DC89" i="25"/>
  <c r="BI89" i="25"/>
  <c r="AW89" i="25" s="1"/>
  <c r="DE90" i="25"/>
  <c r="BK90" i="25"/>
  <c r="AY90" i="25" s="1"/>
  <c r="AT90" i="25" s="1"/>
  <c r="AK90" i="25" s="1"/>
  <c r="DE79" i="25"/>
  <c r="BK79" i="25"/>
  <c r="AY79" i="25" s="1"/>
  <c r="DC67" i="25"/>
  <c r="BI67" i="25"/>
  <c r="AW67" i="25" s="1"/>
  <c r="AT86" i="25"/>
  <c r="AK86" i="25" s="1"/>
  <c r="DE61" i="25"/>
  <c r="BK61" i="25"/>
  <c r="AY61" i="25" s="1"/>
  <c r="DC68" i="25"/>
  <c r="BI68" i="25"/>
  <c r="AW68" i="25" s="1"/>
  <c r="AT101" i="25"/>
  <c r="AK101" i="25" s="1"/>
  <c r="DE98" i="25"/>
  <c r="BK98" i="25"/>
  <c r="AY98" i="25" s="1"/>
  <c r="AT98" i="25" s="1"/>
  <c r="AK98" i="25" s="1"/>
  <c r="AT94" i="25"/>
  <c r="AK94" i="25" s="1"/>
  <c r="DC76" i="25"/>
  <c r="BI76" i="25"/>
  <c r="AW76" i="25" s="1"/>
  <c r="AT76" i="25" s="1"/>
  <c r="AK76" i="25" s="1"/>
  <c r="BO49" i="25"/>
  <c r="BO46" i="25"/>
  <c r="BO54" i="25"/>
  <c r="AT26" i="25"/>
  <c r="AK26" i="25" s="1"/>
  <c r="BP22" i="25"/>
  <c r="BO22" i="25" s="1"/>
  <c r="AX22" i="25"/>
  <c r="BO53" i="25"/>
  <c r="BO28" i="25"/>
  <c r="DI62" i="25"/>
  <c r="DE22" i="25"/>
  <c r="BK22" i="25"/>
  <c r="AY22" i="25" s="1"/>
  <c r="DC22" i="25"/>
  <c r="BI22" i="25"/>
  <c r="DC75" i="25"/>
  <c r="BI75" i="25"/>
  <c r="DI99" i="25"/>
  <c r="DE68" i="25"/>
  <c r="BK68" i="25"/>
  <c r="AY68" i="25" s="1"/>
  <c r="DE70" i="25"/>
  <c r="BK70" i="25"/>
  <c r="AY70" i="25" s="1"/>
  <c r="AT70" i="25" s="1"/>
  <c r="AK70" i="25" s="1"/>
  <c r="DC99" i="25"/>
  <c r="BI99" i="25"/>
  <c r="AW99" i="25" s="1"/>
  <c r="DE103" i="25"/>
  <c r="BK103" i="25"/>
  <c r="AY103" i="25" s="1"/>
  <c r="AT103" i="25" s="1"/>
  <c r="DE53" i="25"/>
  <c r="DB53" i="25" s="1"/>
  <c r="AX53" i="19" s="1"/>
  <c r="BK53" i="25"/>
  <c r="AT73" i="25"/>
  <c r="AK73" i="25" s="1"/>
  <c r="AT72" i="25"/>
  <c r="AK72" i="25" s="1"/>
  <c r="DC74" i="25"/>
  <c r="BI74" i="25"/>
  <c r="AT55" i="25"/>
  <c r="AK55" i="25" s="1"/>
  <c r="BO31" i="25"/>
  <c r="AR31" i="25"/>
  <c r="AM31" i="25" s="1"/>
  <c r="AO31" i="25" s="1"/>
  <c r="AI31" i="25" s="1"/>
  <c r="BO36" i="25"/>
  <c r="BO30" i="25"/>
  <c r="BO33" i="25"/>
  <c r="BO38" i="25"/>
  <c r="AR38" i="25"/>
  <c r="AM38" i="25" s="1"/>
  <c r="AO38" i="25" s="1"/>
  <c r="AI38" i="25" s="1"/>
  <c r="BO41" i="25"/>
  <c r="BO34" i="25"/>
  <c r="AT40" i="25"/>
  <c r="AK40" i="25" s="1"/>
  <c r="BO35" i="25"/>
  <c r="DI71" i="25"/>
  <c r="DC82" i="25"/>
  <c r="BI82" i="25"/>
  <c r="DE99" i="25"/>
  <c r="BK99" i="25"/>
  <c r="AY99" i="25" s="1"/>
  <c r="DE93" i="25"/>
  <c r="BK93" i="25"/>
  <c r="AY93" i="25" s="1"/>
  <c r="AT93" i="25" s="1"/>
  <c r="AK93" i="25" s="1"/>
  <c r="AT91" i="25"/>
  <c r="AK91" i="25" s="1"/>
  <c r="DE85" i="25"/>
  <c r="BK85" i="25"/>
  <c r="AY85" i="25" s="1"/>
  <c r="AT85" i="25" s="1"/>
  <c r="AK85" i="25" s="1"/>
  <c r="DC100" i="25"/>
  <c r="BI100" i="25"/>
  <c r="AW100" i="25" s="1"/>
  <c r="AT100" i="25" s="1"/>
  <c r="AK100" i="25" s="1"/>
  <c r="AW27" i="25"/>
  <c r="AT27" i="25" s="1"/>
  <c r="AK27" i="25" s="1"/>
  <c r="AW23" i="25"/>
  <c r="AT23" i="25" s="1"/>
  <c r="AK23" i="25" s="1"/>
  <c r="AT84" i="25"/>
  <c r="AK84" i="25" s="1"/>
  <c r="AT96" i="25"/>
  <c r="AK96" i="25" s="1"/>
  <c r="AT66" i="25"/>
  <c r="AK66" i="25" s="1"/>
  <c r="AW25" i="25"/>
  <c r="AT25" i="25" s="1"/>
  <c r="AK25" i="25" s="1"/>
  <c r="DE58" i="25"/>
  <c r="DB58" i="25" s="1"/>
  <c r="AX58" i="19" s="1"/>
  <c r="BK58" i="25"/>
  <c r="AY58" i="25" s="1"/>
  <c r="AT58" i="25" s="1"/>
  <c r="AK58" i="25" s="1"/>
  <c r="AT49" i="25"/>
  <c r="AK49" i="25" s="1"/>
  <c r="AT44" i="25"/>
  <c r="AK44" i="25" s="1"/>
  <c r="BO43" i="25"/>
  <c r="AT31" i="25"/>
  <c r="AK31" i="25" s="1"/>
  <c r="BO32" i="25"/>
  <c r="BO47" i="25"/>
  <c r="AR47" i="25"/>
  <c r="AM47" i="25" s="1"/>
  <c r="AO47" i="25" s="1"/>
  <c r="AI47" i="25" s="1"/>
  <c r="AT54" i="25"/>
  <c r="AK54" i="25" s="1"/>
  <c r="BO40" i="25"/>
  <c r="BO45" i="25"/>
  <c r="DI68" i="25"/>
  <c r="DI87" i="25"/>
  <c r="DI58" i="25"/>
  <c r="DI40" i="25"/>
  <c r="DI75" i="25"/>
  <c r="DI100" i="25"/>
  <c r="EQ53" i="25"/>
  <c r="CJ53" i="25" s="1"/>
  <c r="DI64" i="25"/>
  <c r="DV56" i="25"/>
  <c r="EQ41" i="25"/>
  <c r="CJ41" i="25" s="1"/>
  <c r="DI35" i="25"/>
  <c r="DB33" i="25"/>
  <c r="AX33" i="19" s="1"/>
  <c r="DB32" i="25"/>
  <c r="AX32" i="19" s="1"/>
  <c r="DI33" i="25"/>
  <c r="DI34" i="25"/>
  <c r="DB40" i="25"/>
  <c r="AX40" i="19" s="1"/>
  <c r="DI32" i="25"/>
  <c r="DI74" i="25"/>
  <c r="DI51" i="25"/>
  <c r="DI42" i="25"/>
  <c r="DD102" i="25"/>
  <c r="JM102" i="25"/>
  <c r="DK102" i="25" s="1"/>
  <c r="OM103" i="25"/>
  <c r="PM83" i="25"/>
  <c r="OM83" i="25"/>
  <c r="DC83" i="25"/>
  <c r="PM96" i="25"/>
  <c r="DE96" i="25"/>
  <c r="OM63" i="25"/>
  <c r="DC63" i="25"/>
  <c r="OM102" i="25"/>
  <c r="OM95" i="25"/>
  <c r="DC95" i="25"/>
  <c r="OM70" i="25"/>
  <c r="DC70" i="25"/>
  <c r="PM71" i="25"/>
  <c r="DE71" i="25"/>
  <c r="PM72" i="25"/>
  <c r="DE72" i="25"/>
  <c r="PM75" i="25"/>
  <c r="DE75" i="25"/>
  <c r="OM81" i="25"/>
  <c r="DC81" i="25"/>
  <c r="OM97" i="25"/>
  <c r="DC97" i="25"/>
  <c r="PM66" i="25"/>
  <c r="DE66" i="25"/>
  <c r="PM80" i="25"/>
  <c r="DE80" i="25"/>
  <c r="PM81" i="25"/>
  <c r="DE81" i="25"/>
  <c r="OM66" i="25"/>
  <c r="DC66" i="25"/>
  <c r="OM28" i="25"/>
  <c r="DC28" i="25"/>
  <c r="DB28" i="25" s="1"/>
  <c r="AX28" i="19" s="1"/>
  <c r="OM98" i="25"/>
  <c r="DC98" i="25"/>
  <c r="PM56" i="25"/>
  <c r="DE56" i="25"/>
  <c r="DB56" i="25" s="1"/>
  <c r="AX56" i="19" s="1"/>
  <c r="PM62" i="25"/>
  <c r="DE62" i="25"/>
  <c r="OM101" i="25"/>
  <c r="DC101" i="25"/>
  <c r="PM76" i="25"/>
  <c r="DE76" i="25"/>
  <c r="OM25" i="25"/>
  <c r="DC25" i="25"/>
  <c r="DB25" i="25" s="1"/>
  <c r="AX25" i="19" s="1"/>
  <c r="DC94" i="25"/>
  <c r="DJ94" i="25"/>
  <c r="DI94" i="25" s="1"/>
  <c r="EQ101" i="25"/>
  <c r="CJ101" i="25" s="1"/>
  <c r="OM62" i="25"/>
  <c r="AC62" i="19"/>
  <c r="DC62" i="25"/>
  <c r="OM96" i="25"/>
  <c r="DC96" i="25"/>
  <c r="OM85" i="25"/>
  <c r="DC85" i="25"/>
  <c r="OM71" i="25"/>
  <c r="DC71" i="25"/>
  <c r="OM77" i="25"/>
  <c r="DC77" i="25"/>
  <c r="OM90" i="25"/>
  <c r="DC90" i="25"/>
  <c r="PM60" i="25"/>
  <c r="DE60" i="25"/>
  <c r="DB60" i="25" s="1"/>
  <c r="AX60" i="19" s="1"/>
  <c r="PM86" i="25"/>
  <c r="DE86" i="25"/>
  <c r="OM92" i="25"/>
  <c r="DC92" i="25"/>
  <c r="OM86" i="25"/>
  <c r="DC86" i="25"/>
  <c r="PM95" i="25"/>
  <c r="DE95" i="25"/>
  <c r="OM69" i="25"/>
  <c r="DC69" i="25"/>
  <c r="OM73" i="25"/>
  <c r="DC73" i="25"/>
  <c r="PM64" i="25"/>
  <c r="DE64" i="25"/>
  <c r="PM67" i="25"/>
  <c r="DE67" i="25"/>
  <c r="OM94" i="25"/>
  <c r="PM57" i="25"/>
  <c r="DE57" i="25"/>
  <c r="DB57" i="25" s="1"/>
  <c r="AX57" i="19" s="1"/>
  <c r="PM78" i="25"/>
  <c r="DE78" i="25"/>
  <c r="OM91" i="25"/>
  <c r="DC91" i="25"/>
  <c r="PM100" i="25"/>
  <c r="DE100" i="25"/>
  <c r="OM24" i="25"/>
  <c r="AC24" i="19"/>
  <c r="DC24" i="25"/>
  <c r="DB24" i="25" s="1"/>
  <c r="AX24" i="19" s="1"/>
  <c r="PM54" i="25"/>
  <c r="DE54" i="25"/>
  <c r="DB54" i="25" s="1"/>
  <c r="AX54" i="19" s="1"/>
  <c r="PM65" i="25"/>
  <c r="DE65" i="25"/>
  <c r="PM69" i="25"/>
  <c r="DE69" i="25"/>
  <c r="OM61" i="25"/>
  <c r="DC61" i="25"/>
  <c r="OM84" i="25"/>
  <c r="DC84" i="25"/>
  <c r="OM93" i="25"/>
  <c r="DC93" i="25"/>
  <c r="DC102" i="25"/>
  <c r="DJ102" i="25"/>
  <c r="DV102" i="25" s="1"/>
  <c r="DG103" i="25"/>
  <c r="MM103" i="25"/>
  <c r="DN103" i="25" s="1"/>
  <c r="I74" i="3"/>
  <c r="I86" i="3"/>
  <c r="EQ89" i="25"/>
  <c r="CJ89" i="25" s="1"/>
  <c r="EQ103" i="25"/>
  <c r="CJ103" i="25" s="1"/>
  <c r="NN23" i="25"/>
  <c r="DO23" i="25"/>
  <c r="DI47" i="25"/>
  <c r="DI44" i="25"/>
  <c r="DI39" i="25"/>
  <c r="EQ74" i="25"/>
  <c r="CJ74" i="25" s="1"/>
  <c r="DI97" i="25"/>
  <c r="DB31" i="25"/>
  <c r="AX31" i="19" s="1"/>
  <c r="EQ87" i="25"/>
  <c r="CJ87" i="25" s="1"/>
  <c r="EQ99" i="25"/>
  <c r="CJ99" i="25" s="1"/>
  <c r="EQ100" i="25"/>
  <c r="CJ100" i="25" s="1"/>
  <c r="EQ92" i="25"/>
  <c r="CJ92" i="25" s="1"/>
  <c r="DB37" i="25"/>
  <c r="AX37" i="19" s="1"/>
  <c r="DB50" i="25"/>
  <c r="AX50" i="19" s="1"/>
  <c r="EQ80" i="25"/>
  <c r="CJ80" i="25" s="1"/>
  <c r="DI82" i="25"/>
  <c r="DI57" i="25"/>
  <c r="DI53" i="25"/>
  <c r="DI29" i="25"/>
  <c r="DI43" i="25"/>
  <c r="DI30" i="25"/>
  <c r="DI52" i="25"/>
  <c r="DE102" i="25"/>
  <c r="KM102" i="25"/>
  <c r="DL102" i="25" s="1"/>
  <c r="DC103" i="25"/>
  <c r="DJ103" i="25"/>
  <c r="DV103" i="25" s="1"/>
  <c r="DI66" i="25"/>
  <c r="EQ25" i="25"/>
  <c r="CJ25" i="25" s="1"/>
  <c r="I73" i="3"/>
  <c r="I84" i="3"/>
  <c r="PM87" i="25"/>
  <c r="OM65" i="25"/>
  <c r="PM101" i="25"/>
  <c r="PM102" i="25"/>
  <c r="PM94" i="25"/>
  <c r="PM91" i="25"/>
  <c r="PM84" i="25"/>
  <c r="EQ83" i="25"/>
  <c r="CJ83" i="25" s="1"/>
  <c r="PM82" i="25"/>
  <c r="PM59" i="25"/>
  <c r="EQ81" i="25"/>
  <c r="CJ81" i="25" s="1"/>
  <c r="PM97" i="25"/>
  <c r="PM79" i="25"/>
  <c r="OM27" i="25"/>
  <c r="EQ102" i="25"/>
  <c r="CJ102" i="25" s="1"/>
  <c r="OM67" i="25"/>
  <c r="PM73" i="25"/>
  <c r="DI84" i="25"/>
  <c r="DI93" i="25"/>
  <c r="DE73" i="25"/>
  <c r="DI56" i="25"/>
  <c r="DI31" i="25"/>
  <c r="DI55" i="25"/>
  <c r="EQ85" i="25"/>
  <c r="CJ85" i="25" s="1"/>
  <c r="PM74" i="25"/>
  <c r="OM23" i="25"/>
  <c r="EQ75" i="25"/>
  <c r="CJ75" i="25" s="1"/>
  <c r="PM63" i="25"/>
  <c r="EQ76" i="25"/>
  <c r="CJ76" i="25" s="1"/>
  <c r="OM72" i="25"/>
  <c r="DI81" i="25"/>
  <c r="DC65" i="25"/>
  <c r="DE91" i="25"/>
  <c r="DI54" i="25"/>
  <c r="DI37" i="25"/>
  <c r="DI50" i="25"/>
  <c r="PM98" i="25"/>
  <c r="OM78" i="25"/>
  <c r="EQ82" i="25"/>
  <c r="CJ82" i="25" s="1"/>
  <c r="PM41" i="25"/>
  <c r="OM74" i="25"/>
  <c r="PM77" i="25"/>
  <c r="DI85" i="25"/>
  <c r="DI72" i="25"/>
  <c r="DI98" i="25"/>
  <c r="DI80" i="25"/>
  <c r="DI76" i="25"/>
  <c r="DC23" i="25"/>
  <c r="DB23" i="25" s="1"/>
  <c r="AX23" i="19" s="1"/>
  <c r="DC27" i="25"/>
  <c r="DB27" i="25" s="1"/>
  <c r="AX27" i="19" s="1"/>
  <c r="DB38" i="25"/>
  <c r="AX38" i="19" s="1"/>
  <c r="DF103" i="25"/>
  <c r="LM103" i="25"/>
  <c r="DM103" i="25" s="1"/>
  <c r="DE83" i="25"/>
  <c r="KM83" i="25"/>
  <c r="DL83" i="25" s="1"/>
  <c r="DI83" i="25" s="1"/>
  <c r="DG89" i="25"/>
  <c r="MM89" i="25"/>
  <c r="DN89" i="25" s="1"/>
  <c r="DI89" i="25" s="1"/>
  <c r="DI67" i="25"/>
  <c r="DI61" i="25"/>
  <c r="EQ40" i="25"/>
  <c r="CJ40" i="25" s="1"/>
  <c r="I38" i="3"/>
  <c r="I72" i="3"/>
  <c r="DI69" i="25"/>
  <c r="EQ98" i="25"/>
  <c r="CJ98" i="25" s="1"/>
  <c r="EQ84" i="25"/>
  <c r="CJ84" i="25" s="1"/>
  <c r="NN26" i="25"/>
  <c r="DO26" i="25"/>
  <c r="MN23" i="25"/>
  <c r="DN23" i="25"/>
  <c r="EQ77" i="25"/>
  <c r="CJ77" i="25" s="1"/>
  <c r="DE101" i="25"/>
  <c r="DI96" i="25"/>
  <c r="DI78" i="25"/>
  <c r="DB42" i="25"/>
  <c r="AX42" i="19" s="1"/>
  <c r="DB45" i="25"/>
  <c r="AX45" i="19" s="1"/>
  <c r="DB36" i="25"/>
  <c r="AX36" i="19" s="1"/>
  <c r="DB46" i="25"/>
  <c r="AX46" i="19" s="1"/>
  <c r="DB26" i="25"/>
  <c r="AX26" i="19" s="1"/>
  <c r="EQ78" i="25"/>
  <c r="CJ78" i="25" s="1"/>
  <c r="EQ93" i="25"/>
  <c r="CJ93" i="25" s="1"/>
  <c r="DI92" i="25"/>
  <c r="DE59" i="25"/>
  <c r="DB59" i="25" s="1"/>
  <c r="AX59" i="19" s="1"/>
  <c r="EQ97" i="25"/>
  <c r="CJ97" i="25" s="1"/>
  <c r="EQ91" i="25"/>
  <c r="CJ91" i="25" s="1"/>
  <c r="DC72" i="25"/>
  <c r="DE74" i="25"/>
  <c r="MN24" i="25"/>
  <c r="DN24" i="25"/>
  <c r="DI27" i="25"/>
  <c r="DI38" i="25"/>
  <c r="NN24" i="25"/>
  <c r="DO24" i="25"/>
  <c r="DI65" i="25"/>
  <c r="DI63" i="25"/>
  <c r="DI70" i="25"/>
  <c r="OM82" i="25"/>
  <c r="OM89" i="25"/>
  <c r="OM64" i="25"/>
  <c r="EQ79" i="25"/>
  <c r="CJ79" i="25" s="1"/>
  <c r="PM55" i="25"/>
  <c r="PM99" i="25"/>
  <c r="PM90" i="25"/>
  <c r="OM75" i="25"/>
  <c r="OM80" i="25"/>
  <c r="EQ95" i="25"/>
  <c r="CJ95" i="25" s="1"/>
  <c r="PM93" i="25"/>
  <c r="PM92" i="25"/>
  <c r="DI90" i="25"/>
  <c r="DI73" i="25"/>
  <c r="DI77" i="25"/>
  <c r="DB47" i="25"/>
  <c r="AX47" i="19" s="1"/>
  <c r="DB44" i="25"/>
  <c r="AX44" i="19" s="1"/>
  <c r="DB39" i="25"/>
  <c r="AX39" i="19" s="1"/>
  <c r="EQ86" i="25"/>
  <c r="CJ86" i="25" s="1"/>
  <c r="PM85" i="25"/>
  <c r="OM100" i="25"/>
  <c r="PM68" i="25"/>
  <c r="OM87" i="25"/>
  <c r="PM89" i="25"/>
  <c r="PM70" i="25"/>
  <c r="OM99" i="25"/>
  <c r="PM103" i="25"/>
  <c r="PM53" i="25"/>
  <c r="PM61" i="25"/>
  <c r="OM52" i="25"/>
  <c r="DI101" i="25"/>
  <c r="DI91" i="25"/>
  <c r="DE97" i="25"/>
  <c r="DE87" i="25"/>
  <c r="DI60" i="25"/>
  <c r="DI59" i="25"/>
  <c r="NN25" i="25"/>
  <c r="DO25" i="25"/>
  <c r="MN26" i="25"/>
  <c r="DN26" i="25"/>
  <c r="MN25" i="25"/>
  <c r="DN25" i="25"/>
  <c r="DI25" i="25" s="1"/>
  <c r="DI45" i="25"/>
  <c r="DI41" i="25"/>
  <c r="DI36" i="25"/>
  <c r="DI28" i="25"/>
  <c r="DI46" i="25"/>
  <c r="OM79" i="25"/>
  <c r="EQ73" i="25"/>
  <c r="CJ73" i="25" s="1"/>
  <c r="OM68" i="25"/>
  <c r="AC88" i="19"/>
  <c r="EQ96" i="25"/>
  <c r="CJ96" i="25" s="1"/>
  <c r="DE94" i="25"/>
  <c r="DE84" i="25"/>
  <c r="DI86" i="25"/>
  <c r="DC64" i="25"/>
  <c r="EQ72" i="25"/>
  <c r="CJ72" i="25" s="1"/>
  <c r="EQ90" i="25"/>
  <c r="CJ90" i="25" s="1"/>
  <c r="EQ94" i="25"/>
  <c r="CJ94" i="25" s="1"/>
  <c r="OM76" i="25"/>
  <c r="PM58" i="25"/>
  <c r="DI79" i="25"/>
  <c r="DI95" i="25"/>
  <c r="DE82" i="25"/>
  <c r="DE55" i="25"/>
  <c r="DB55" i="25" s="1"/>
  <c r="AX55" i="19" s="1"/>
  <c r="DB29" i="25"/>
  <c r="AX29" i="19" s="1"/>
  <c r="DB43" i="25"/>
  <c r="AX43" i="19" s="1"/>
  <c r="DB30" i="25"/>
  <c r="AX30" i="19" s="1"/>
  <c r="DC52" i="25"/>
  <c r="DB52" i="25" s="1"/>
  <c r="AX52" i="19" s="1"/>
  <c r="LH21" i="25"/>
  <c r="LI21" i="25" s="1"/>
  <c r="LK21" i="25" s="1"/>
  <c r="LL21" i="25" s="1"/>
  <c r="BV21" i="25" s="1"/>
  <c r="AZ21" i="25" s="1"/>
  <c r="KH21" i="25"/>
  <c r="KI21" i="25" s="1"/>
  <c r="KK21" i="25" s="1"/>
  <c r="KL21" i="25" s="1"/>
  <c r="BU21" i="25" s="1"/>
  <c r="AY21" i="25" s="1"/>
  <c r="PM21" i="25"/>
  <c r="OM22" i="25"/>
  <c r="MN21" i="25"/>
  <c r="DN21" i="25"/>
  <c r="PM22" i="25"/>
  <c r="NN22" i="25"/>
  <c r="DO22" i="25"/>
  <c r="OM21" i="25"/>
  <c r="AC21" i="19"/>
  <c r="MN22" i="25"/>
  <c r="DN22" i="25"/>
  <c r="NN21" i="25"/>
  <c r="DO21" i="25"/>
  <c r="PM20" i="25"/>
  <c r="DE20" i="25"/>
  <c r="DB20" i="25" s="1"/>
  <c r="AX20" i="19" s="1"/>
  <c r="MN20" i="25"/>
  <c r="DN20" i="25"/>
  <c r="NN20" i="25"/>
  <c r="DO20" i="25"/>
  <c r="K44" i="3"/>
  <c r="Q44" i="3" s="1"/>
  <c r="R44" i="3" s="1"/>
  <c r="J74" i="3"/>
  <c r="J71" i="3"/>
  <c r="J77" i="3"/>
  <c r="J72" i="3"/>
  <c r="J76" i="3"/>
  <c r="J75" i="3"/>
  <c r="J73" i="3"/>
  <c r="AC57" i="19"/>
  <c r="J35" i="3"/>
  <c r="M77" i="3"/>
  <c r="DU71" i="25"/>
  <c r="DV71" i="25"/>
  <c r="I76" i="3"/>
  <c r="EQ70" i="25"/>
  <c r="CJ70" i="25" s="1"/>
  <c r="I85" i="3"/>
  <c r="EQ62" i="25"/>
  <c r="CJ62" i="25" s="1"/>
  <c r="DU69" i="25"/>
  <c r="DV69" i="25"/>
  <c r="DU70" i="25"/>
  <c r="DV70" i="25"/>
  <c r="J45" i="3"/>
  <c r="Q45" i="3" s="1"/>
  <c r="R45" i="3" s="1"/>
  <c r="EQ71" i="25"/>
  <c r="CJ71" i="25" s="1"/>
  <c r="EQ68" i="25"/>
  <c r="CJ68" i="25" s="1"/>
  <c r="EQ67" i="25"/>
  <c r="CJ67" i="25" s="1"/>
  <c r="J40" i="3"/>
  <c r="I49" i="3"/>
  <c r="X62" i="19"/>
  <c r="X61" i="19"/>
  <c r="AC54" i="19"/>
  <c r="EQ63" i="25"/>
  <c r="CJ63" i="25" s="1"/>
  <c r="EQ61" i="25"/>
  <c r="CJ61" i="25" s="1"/>
  <c r="M76" i="3"/>
  <c r="EQ65" i="25"/>
  <c r="CJ65" i="25" s="1"/>
  <c r="EQ64" i="25"/>
  <c r="CJ64" i="25" s="1"/>
  <c r="AC69" i="19"/>
  <c r="EQ69" i="25"/>
  <c r="CJ69" i="25" s="1"/>
  <c r="AC71" i="19"/>
  <c r="J84" i="3"/>
  <c r="J85" i="3"/>
  <c r="J86" i="3"/>
  <c r="EQ66" i="25"/>
  <c r="CJ66" i="25" s="1"/>
  <c r="DV59" i="25"/>
  <c r="M64" i="3"/>
  <c r="AC43" i="19"/>
  <c r="M60" i="3"/>
  <c r="EQ21" i="25"/>
  <c r="CJ21" i="25" s="1"/>
  <c r="EQ55" i="25"/>
  <c r="CJ55" i="25" s="1"/>
  <c r="I70" i="3"/>
  <c r="Q70" i="3" s="1"/>
  <c r="R70" i="3" s="1"/>
  <c r="EQ56" i="25"/>
  <c r="CJ56" i="25" s="1"/>
  <c r="I71" i="3"/>
  <c r="EQ60" i="25"/>
  <c r="CJ60" i="25" s="1"/>
  <c r="I75" i="3"/>
  <c r="EQ59" i="25"/>
  <c r="CJ59" i="25" s="1"/>
  <c r="X60" i="19"/>
  <c r="X59" i="19"/>
  <c r="EQ58" i="25"/>
  <c r="CJ58" i="25" s="1"/>
  <c r="X58" i="19"/>
  <c r="DV57" i="25"/>
  <c r="AC50" i="19"/>
  <c r="EQ57" i="25"/>
  <c r="CJ57" i="25" s="1"/>
  <c r="V56" i="19"/>
  <c r="M55" i="3"/>
  <c r="M62" i="3"/>
  <c r="EQ30" i="25"/>
  <c r="CJ30" i="25" s="1"/>
  <c r="X30" i="19"/>
  <c r="EQ47" i="25"/>
  <c r="CJ47" i="25" s="1"/>
  <c r="X47" i="19"/>
  <c r="EQ22" i="25"/>
  <c r="CJ22" i="25" s="1"/>
  <c r="EQ23" i="25"/>
  <c r="CJ23" i="25" s="1"/>
  <c r="V57" i="19"/>
  <c r="M53" i="3"/>
  <c r="I36" i="3"/>
  <c r="AC56" i="19"/>
  <c r="AC64" i="19"/>
  <c r="DV61" i="25"/>
  <c r="DU61" i="25"/>
  <c r="DU62" i="25"/>
  <c r="DV62" i="25"/>
  <c r="V61" i="19"/>
  <c r="P76" i="3"/>
  <c r="L77" i="3"/>
  <c r="K76" i="3"/>
  <c r="K77" i="3"/>
  <c r="O76" i="3"/>
  <c r="L76" i="3"/>
  <c r="N76" i="3"/>
  <c r="AC60" i="19"/>
  <c r="P77" i="3"/>
  <c r="AC59" i="19"/>
  <c r="V62" i="19"/>
  <c r="N77" i="3"/>
  <c r="O77" i="3"/>
  <c r="AC66" i="19"/>
  <c r="M54" i="3"/>
  <c r="DU68" i="25"/>
  <c r="DV68" i="25"/>
  <c r="DV65" i="25"/>
  <c r="DU65" i="25"/>
  <c r="DV64" i="25"/>
  <c r="DU64" i="25"/>
  <c r="DV67" i="25"/>
  <c r="DU67" i="25"/>
  <c r="DV66" i="25"/>
  <c r="DU66" i="25"/>
  <c r="DV63" i="25"/>
  <c r="DU63" i="25"/>
  <c r="I78" i="3"/>
  <c r="I83" i="3"/>
  <c r="AC65" i="19"/>
  <c r="I82" i="3"/>
  <c r="I80" i="3"/>
  <c r="I79" i="3"/>
  <c r="I81" i="3"/>
  <c r="Q69" i="3"/>
  <c r="R69" i="3" s="1"/>
  <c r="Q67" i="3"/>
  <c r="R67" i="3" s="1"/>
  <c r="AC32" i="19"/>
  <c r="AC34" i="19"/>
  <c r="K64" i="3"/>
  <c r="AC49" i="19"/>
  <c r="K66" i="3"/>
  <c r="AC51" i="19"/>
  <c r="K61" i="3"/>
  <c r="Q61" i="3" s="1"/>
  <c r="R61" i="3" s="1"/>
  <c r="AC46" i="19"/>
  <c r="K59" i="3"/>
  <c r="AC44" i="19"/>
  <c r="U63" i="42"/>
  <c r="M59" i="3"/>
  <c r="I62" i="3"/>
  <c r="K63" i="3"/>
  <c r="Q63" i="3" s="1"/>
  <c r="R63" i="3" s="1"/>
  <c r="AC48" i="19"/>
  <c r="K60" i="3"/>
  <c r="AC45" i="19"/>
  <c r="K62" i="3"/>
  <c r="AC47" i="19"/>
  <c r="M65" i="3"/>
  <c r="K53" i="3"/>
  <c r="AC38" i="19"/>
  <c r="AC36" i="19"/>
  <c r="AC35" i="19"/>
  <c r="K57" i="3"/>
  <c r="AC42" i="19"/>
  <c r="I55" i="3"/>
  <c r="K56" i="3"/>
  <c r="M57" i="3"/>
  <c r="K54" i="3"/>
  <c r="AC39" i="19"/>
  <c r="K55" i="3"/>
  <c r="AC40" i="19"/>
  <c r="I57" i="3"/>
  <c r="M58" i="3"/>
  <c r="AC31" i="19"/>
  <c r="AC26" i="19"/>
  <c r="IH21" i="25"/>
  <c r="IN21" i="25" s="1"/>
  <c r="AC28" i="19"/>
  <c r="AC27" i="19"/>
  <c r="AC20" i="19"/>
  <c r="AC23" i="19"/>
  <c r="AC29" i="19"/>
  <c r="AC25" i="19"/>
  <c r="K58" i="3"/>
  <c r="K65" i="3"/>
  <c r="AD48" i="19"/>
  <c r="Q50" i="3"/>
  <c r="R50" i="3" s="1"/>
  <c r="AD44" i="19"/>
  <c r="AD33" i="19"/>
  <c r="AD41" i="19"/>
  <c r="AD45" i="19"/>
  <c r="AD34" i="19"/>
  <c r="JK21" i="25"/>
  <c r="JL21" i="25" s="1"/>
  <c r="BT21" i="25" s="1"/>
  <c r="AX21" i="25" s="1"/>
  <c r="K82" i="3"/>
  <c r="AD96" i="19"/>
  <c r="AD78" i="19"/>
  <c r="O86" i="3"/>
  <c r="AD81" i="19"/>
  <c r="AD72" i="19"/>
  <c r="K87" i="3"/>
  <c r="K79" i="3"/>
  <c r="N79" i="3"/>
  <c r="K81" i="3"/>
  <c r="M84" i="3"/>
  <c r="M89" i="3"/>
  <c r="P91" i="3"/>
  <c r="O78" i="3"/>
  <c r="M80" i="3"/>
  <c r="N87" i="3"/>
  <c r="N81" i="3"/>
  <c r="P84" i="3"/>
  <c r="N89" i="3"/>
  <c r="P90" i="3"/>
  <c r="K80" i="3"/>
  <c r="AD94" i="19"/>
  <c r="AD85" i="19"/>
  <c r="N80" i="3"/>
  <c r="M87" i="3"/>
  <c r="O84" i="3"/>
  <c r="L91" i="3"/>
  <c r="AD91" i="19"/>
  <c r="L82" i="3"/>
  <c r="O85" i="3"/>
  <c r="N88" i="3"/>
  <c r="O92" i="3"/>
  <c r="P88" i="3"/>
  <c r="M88" i="3"/>
  <c r="M92" i="3"/>
  <c r="AD77" i="19"/>
  <c r="K92" i="3"/>
  <c r="P83" i="3"/>
  <c r="L83" i="3"/>
  <c r="AD87" i="19"/>
  <c r="M82" i="3"/>
  <c r="L85" i="3"/>
  <c r="N85" i="3"/>
  <c r="K88" i="3"/>
  <c r="AD73" i="19"/>
  <c r="L88" i="3"/>
  <c r="L92" i="3"/>
  <c r="O83" i="3"/>
  <c r="P81" i="3"/>
  <c r="L84" i="3"/>
  <c r="O89" i="3"/>
  <c r="N91" i="3"/>
  <c r="AD76" i="19"/>
  <c r="K91" i="3"/>
  <c r="AD84" i="19"/>
  <c r="AD99" i="19"/>
  <c r="M85" i="3"/>
  <c r="AD95" i="19"/>
  <c r="K86" i="3"/>
  <c r="N86" i="3"/>
  <c r="AD97" i="19"/>
  <c r="K83" i="3"/>
  <c r="N90" i="3"/>
  <c r="O80" i="3"/>
  <c r="L81" i="3"/>
  <c r="M91" i="3"/>
  <c r="L78" i="3"/>
  <c r="AD79" i="19"/>
  <c r="M90" i="3"/>
  <c r="L87" i="3"/>
  <c r="P87" i="3"/>
  <c r="AD80" i="19"/>
  <c r="P79" i="3"/>
  <c r="M81" i="3"/>
  <c r="K84" i="3"/>
  <c r="AD74" i="19"/>
  <c r="K89" i="3"/>
  <c r="M78" i="3"/>
  <c r="L90" i="3"/>
  <c r="O87" i="3"/>
  <c r="O90" i="3"/>
  <c r="K90" i="3"/>
  <c r="AD75" i="19"/>
  <c r="P80" i="3"/>
  <c r="L80" i="3"/>
  <c r="AD98" i="19"/>
  <c r="O79" i="3"/>
  <c r="L79" i="3"/>
  <c r="O81" i="3"/>
  <c r="N84" i="3"/>
  <c r="P89" i="3"/>
  <c r="L89" i="3"/>
  <c r="O91" i="3"/>
  <c r="P78" i="3"/>
  <c r="DU94" i="25"/>
  <c r="AD93" i="19"/>
  <c r="N82" i="3"/>
  <c r="P82" i="3"/>
  <c r="O88" i="3"/>
  <c r="L86" i="3"/>
  <c r="P92" i="3"/>
  <c r="M83" i="3"/>
  <c r="O82" i="3"/>
  <c r="P85" i="3"/>
  <c r="AD90" i="19"/>
  <c r="M86" i="3"/>
  <c r="N92" i="3"/>
  <c r="AD82" i="19"/>
  <c r="AD86" i="19"/>
  <c r="AD83" i="19"/>
  <c r="N83" i="3"/>
  <c r="AD92" i="19"/>
  <c r="K85" i="3"/>
  <c r="P86" i="3"/>
  <c r="M79" i="3"/>
  <c r="N78" i="3"/>
  <c r="K78" i="3"/>
  <c r="DV55" i="25"/>
  <c r="DU55" i="25"/>
  <c r="DV54" i="25"/>
  <c r="DU54" i="25"/>
  <c r="DV27" i="25"/>
  <c r="DU27" i="25"/>
  <c r="DU36" i="25"/>
  <c r="DV36" i="25"/>
  <c r="DU52" i="25"/>
  <c r="DV52" i="25"/>
  <c r="DU34" i="25"/>
  <c r="DV34" i="25"/>
  <c r="DU39" i="25"/>
  <c r="DV39" i="25"/>
  <c r="DV45" i="25"/>
  <c r="DU45" i="25"/>
  <c r="DV53" i="25"/>
  <c r="DU53" i="25"/>
  <c r="DU42" i="25"/>
  <c r="DV42" i="25"/>
  <c r="DV35" i="25"/>
  <c r="DU35" i="25"/>
  <c r="DU30" i="25"/>
  <c r="DV30" i="25"/>
  <c r="DU31" i="25"/>
  <c r="DV31" i="25"/>
  <c r="DV25" i="25"/>
  <c r="DU25" i="25"/>
  <c r="DV26" i="25"/>
  <c r="DU26" i="25"/>
  <c r="DU47" i="25"/>
  <c r="DV47" i="25"/>
  <c r="DV46" i="25"/>
  <c r="DU46" i="25"/>
  <c r="DU28" i="25"/>
  <c r="DV28" i="25"/>
  <c r="DV23" i="25"/>
  <c r="DU23" i="25"/>
  <c r="DV51" i="25"/>
  <c r="DU51" i="25"/>
  <c r="DU40" i="25"/>
  <c r="DV40" i="25"/>
  <c r="DV49" i="25"/>
  <c r="DU49" i="25"/>
  <c r="DU50" i="25"/>
  <c r="DV50" i="25"/>
  <c r="DV24" i="25"/>
  <c r="DU24" i="25"/>
  <c r="DU38" i="25"/>
  <c r="DV38" i="25"/>
  <c r="DV44" i="25"/>
  <c r="DU44" i="25"/>
  <c r="DV33" i="25"/>
  <c r="DU33" i="25"/>
  <c r="DV41" i="25"/>
  <c r="DU41" i="25"/>
  <c r="DV37" i="25"/>
  <c r="DU37" i="25"/>
  <c r="DV43" i="25"/>
  <c r="DU43" i="25"/>
  <c r="DU32" i="25"/>
  <c r="DV32" i="25"/>
  <c r="DV29" i="25"/>
  <c r="DU29" i="25"/>
  <c r="DU20" i="25"/>
  <c r="DV20" i="25"/>
  <c r="K52" i="3"/>
  <c r="K38" i="3"/>
  <c r="K51" i="3"/>
  <c r="M46" i="3"/>
  <c r="N37" i="3"/>
  <c r="K43" i="3"/>
  <c r="P40" i="3"/>
  <c r="N35" i="3"/>
  <c r="K49" i="3"/>
  <c r="M49" i="3"/>
  <c r="P39" i="3"/>
  <c r="K42" i="3"/>
  <c r="M43" i="3"/>
  <c r="M35" i="3"/>
  <c r="M41" i="3"/>
  <c r="K47" i="3"/>
  <c r="O38" i="3"/>
  <c r="K48" i="3"/>
  <c r="K35" i="3"/>
  <c r="AB53" i="19" l="1"/>
  <c r="I68" i="3"/>
  <c r="Q68" i="3" s="1"/>
  <c r="R68" i="3" s="1"/>
  <c r="AY53" i="25"/>
  <c r="AT53" i="25" s="1"/>
  <c r="AK53" i="25" s="1"/>
  <c r="M68" i="3"/>
  <c r="AR42" i="25"/>
  <c r="AM42" i="25" s="1"/>
  <c r="AO42" i="25" s="1"/>
  <c r="AI42" i="25" s="1"/>
  <c r="AR50" i="25"/>
  <c r="AM50" i="25" s="1"/>
  <c r="AO50" i="25" s="1"/>
  <c r="AI50" i="25" s="1"/>
  <c r="AR45" i="25"/>
  <c r="AM45" i="25" s="1"/>
  <c r="AO45" i="25" s="1"/>
  <c r="AI45" i="25" s="1"/>
  <c r="AR43" i="25"/>
  <c r="AM43" i="25" s="1"/>
  <c r="AO43" i="25" s="1"/>
  <c r="AI43" i="25" s="1"/>
  <c r="AR49" i="25"/>
  <c r="AM49" i="25" s="1"/>
  <c r="AO49" i="25" s="1"/>
  <c r="AI49" i="25" s="1"/>
  <c r="AB41" i="19"/>
  <c r="I56" i="3"/>
  <c r="AY41" i="25"/>
  <c r="AT41" i="25" s="1"/>
  <c r="AK41" i="25" s="1"/>
  <c r="M56" i="3"/>
  <c r="AR36" i="25"/>
  <c r="AM36" i="25" s="1"/>
  <c r="AO36" i="25" s="1"/>
  <c r="AI36" i="25" s="1"/>
  <c r="AR28" i="25"/>
  <c r="AM28" i="25" s="1"/>
  <c r="AO28" i="25" s="1"/>
  <c r="AI28" i="25" s="1"/>
  <c r="AR35" i="25"/>
  <c r="AM35" i="25" s="1"/>
  <c r="AO35" i="25" s="1"/>
  <c r="AI35" i="25" s="1"/>
  <c r="AR34" i="25"/>
  <c r="AM34" i="25" s="1"/>
  <c r="AO34" i="25" s="1"/>
  <c r="AI34" i="25" s="1"/>
  <c r="AR33" i="25"/>
  <c r="AM33" i="25" s="1"/>
  <c r="AO33" i="25" s="1"/>
  <c r="AI33" i="25" s="1"/>
  <c r="AR30" i="25"/>
  <c r="AM30" i="25" s="1"/>
  <c r="AO30" i="25" s="1"/>
  <c r="AI30" i="25" s="1"/>
  <c r="M37" i="3"/>
  <c r="Q118" i="3"/>
  <c r="R118" i="3" s="1"/>
  <c r="AK103" i="25"/>
  <c r="O118" i="42" s="1"/>
  <c r="U118" i="42"/>
  <c r="AK102" i="25"/>
  <c r="O117" i="42" s="1"/>
  <c r="U117" i="42"/>
  <c r="CB62" i="25"/>
  <c r="AD89" i="19"/>
  <c r="AC67" i="19"/>
  <c r="DU103" i="25"/>
  <c r="AR32" i="25"/>
  <c r="AM32" i="25" s="1"/>
  <c r="AO32" i="25" s="1"/>
  <c r="AI32" i="25" s="1"/>
  <c r="AT67" i="25"/>
  <c r="AK67" i="25" s="1"/>
  <c r="AR46" i="25"/>
  <c r="AM46" i="25" s="1"/>
  <c r="AO46" i="25" s="1"/>
  <c r="AI46" i="25" s="1"/>
  <c r="AT61" i="25"/>
  <c r="AK61" i="25" s="1"/>
  <c r="AR44" i="25"/>
  <c r="AM44" i="25" s="1"/>
  <c r="AO44" i="25" s="1"/>
  <c r="AI44" i="25" s="1"/>
  <c r="CB77" i="25"/>
  <c r="CB54" i="25"/>
  <c r="DB22" i="25"/>
  <c r="AX22" i="19" s="1"/>
  <c r="AR48" i="25"/>
  <c r="AM48" i="25" s="1"/>
  <c r="AO48" i="25" s="1"/>
  <c r="AI48" i="25" s="1"/>
  <c r="CB93" i="25"/>
  <c r="CB55" i="25"/>
  <c r="CB79" i="25"/>
  <c r="CB69" i="25"/>
  <c r="AJ48" i="25"/>
  <c r="M63" i="42" s="1"/>
  <c r="S63" i="42"/>
  <c r="DB70" i="25"/>
  <c r="AX70" i="19" s="1"/>
  <c r="DB65" i="25"/>
  <c r="AX65" i="19" s="1"/>
  <c r="CB41" i="25"/>
  <c r="CB56" i="25"/>
  <c r="AC58" i="19"/>
  <c r="BC26" i="25"/>
  <c r="AT63" i="25"/>
  <c r="AK63" i="25" s="1"/>
  <c r="AR37" i="25"/>
  <c r="AM37" i="25" s="1"/>
  <c r="AO37" i="25" s="1"/>
  <c r="AI37" i="25" s="1"/>
  <c r="CB57" i="25"/>
  <c r="CB76" i="25"/>
  <c r="AT89" i="25"/>
  <c r="AK89" i="25" s="1"/>
  <c r="CI54" i="25"/>
  <c r="CB102" i="25"/>
  <c r="CB103" i="25"/>
  <c r="AB92" i="19"/>
  <c r="BD92" i="25"/>
  <c r="AU92" i="25"/>
  <c r="AS92" i="25" s="1"/>
  <c r="AJ92" i="25" s="1"/>
  <c r="BD41" i="25"/>
  <c r="AU41" i="25"/>
  <c r="BD94" i="25"/>
  <c r="AR94" i="25" s="1"/>
  <c r="AM94" i="25" s="1"/>
  <c r="AB94" i="19"/>
  <c r="AU94" i="25"/>
  <c r="AS94" i="25" s="1"/>
  <c r="AJ94" i="25" s="1"/>
  <c r="BD73" i="25"/>
  <c r="AU73" i="25"/>
  <c r="AS73" i="25" s="1"/>
  <c r="AJ73" i="25" s="1"/>
  <c r="AB55" i="19"/>
  <c r="BD55" i="25"/>
  <c r="BC55" i="25" s="1"/>
  <c r="AU55" i="25"/>
  <c r="AS55" i="25" s="1"/>
  <c r="AJ55" i="25" s="1"/>
  <c r="M70" i="42" s="1"/>
  <c r="AB40" i="19"/>
  <c r="BD40" i="25"/>
  <c r="AU40" i="25"/>
  <c r="AS40" i="25" s="1"/>
  <c r="AB87" i="19"/>
  <c r="BD87" i="25"/>
  <c r="AU87" i="25"/>
  <c r="AS87" i="25" s="1"/>
  <c r="AJ87" i="25" s="1"/>
  <c r="AB79" i="19"/>
  <c r="BD79" i="25"/>
  <c r="AU79" i="25"/>
  <c r="AS79" i="25" s="1"/>
  <c r="AJ79" i="25" s="1"/>
  <c r="BD21" i="25"/>
  <c r="BC21" i="25" s="1"/>
  <c r="AU21" i="25"/>
  <c r="AS21" i="25" s="1"/>
  <c r="AJ21" i="25" s="1"/>
  <c r="M36" i="42" s="1"/>
  <c r="AB73" i="19"/>
  <c r="AB76" i="19"/>
  <c r="BD76" i="25"/>
  <c r="AU76" i="25"/>
  <c r="AS76" i="25" s="1"/>
  <c r="BD77" i="25"/>
  <c r="AU77" i="25"/>
  <c r="AS77" i="25" s="1"/>
  <c r="AJ77" i="25" s="1"/>
  <c r="AB67" i="19"/>
  <c r="BD67" i="25"/>
  <c r="AU67" i="25"/>
  <c r="AS67" i="25" s="1"/>
  <c r="AJ67" i="25" s="1"/>
  <c r="AB58" i="19"/>
  <c r="BD58" i="25"/>
  <c r="AU58" i="25"/>
  <c r="AS58" i="25" s="1"/>
  <c r="AJ58" i="25" s="1"/>
  <c r="BD57" i="25"/>
  <c r="BC57" i="25" s="1"/>
  <c r="AU57" i="25"/>
  <c r="AS57" i="25" s="1"/>
  <c r="AJ57" i="25" s="1"/>
  <c r="BD86" i="25"/>
  <c r="BC86" i="25" s="1"/>
  <c r="AB86" i="19"/>
  <c r="AU86" i="25"/>
  <c r="AS86" i="25" s="1"/>
  <c r="AJ86" i="25" s="1"/>
  <c r="AB60" i="19"/>
  <c r="BD60" i="25"/>
  <c r="AR60" i="25" s="1"/>
  <c r="AM60" i="25" s="1"/>
  <c r="AO60" i="25" s="1"/>
  <c r="AI60" i="25" s="1"/>
  <c r="AU60" i="25"/>
  <c r="AS60" i="25" s="1"/>
  <c r="AJ60" i="25" s="1"/>
  <c r="AB71" i="19"/>
  <c r="BD71" i="25"/>
  <c r="BC71" i="25" s="1"/>
  <c r="AU71" i="25"/>
  <c r="AS71" i="25" s="1"/>
  <c r="AJ71" i="25" s="1"/>
  <c r="DB78" i="25"/>
  <c r="AX78" i="19" s="1"/>
  <c r="CB61" i="25"/>
  <c r="CB90" i="25"/>
  <c r="CB87" i="25"/>
  <c r="AB74" i="19"/>
  <c r="BD74" i="25"/>
  <c r="AU74" i="25"/>
  <c r="AS74" i="25" s="1"/>
  <c r="AJ74" i="25" s="1"/>
  <c r="AB80" i="19"/>
  <c r="BD80" i="25"/>
  <c r="AU80" i="25"/>
  <c r="AS80" i="25" s="1"/>
  <c r="AJ80" i="25" s="1"/>
  <c r="AB21" i="19"/>
  <c r="BD97" i="25"/>
  <c r="BC97" i="25" s="1"/>
  <c r="AU97" i="25"/>
  <c r="AS97" i="25" s="1"/>
  <c r="AJ97" i="25" s="1"/>
  <c r="BD85" i="25"/>
  <c r="AU85" i="25"/>
  <c r="AS85" i="25" s="1"/>
  <c r="AJ85" i="25" s="1"/>
  <c r="AB98" i="19"/>
  <c r="BD98" i="25"/>
  <c r="AU98" i="25"/>
  <c r="AS98" i="25" s="1"/>
  <c r="AJ98" i="25" s="1"/>
  <c r="BD22" i="25"/>
  <c r="AB22" i="19"/>
  <c r="AU22" i="25"/>
  <c r="AS22" i="25" s="1"/>
  <c r="AJ22" i="25" s="1"/>
  <c r="M37" i="42" s="1"/>
  <c r="BD93" i="25"/>
  <c r="AU93" i="25"/>
  <c r="AS93" i="25" s="1"/>
  <c r="AJ93" i="25" s="1"/>
  <c r="AB66" i="19"/>
  <c r="BD66" i="25"/>
  <c r="AR66" i="25" s="1"/>
  <c r="AM66" i="25" s="1"/>
  <c r="AO66" i="25" s="1"/>
  <c r="AI66" i="25" s="1"/>
  <c r="AU66" i="25"/>
  <c r="AS66" i="25" s="1"/>
  <c r="AJ66" i="25" s="1"/>
  <c r="BD70" i="25"/>
  <c r="AB70" i="19"/>
  <c r="AU70" i="25"/>
  <c r="AS70" i="25" s="1"/>
  <c r="AJ70" i="25" s="1"/>
  <c r="AB59" i="19"/>
  <c r="BD59" i="25"/>
  <c r="BC59" i="25" s="1"/>
  <c r="AU59" i="25"/>
  <c r="AS59" i="25" s="1"/>
  <c r="AJ59" i="25" s="1"/>
  <c r="CC20" i="25"/>
  <c r="CB20" i="25" s="1"/>
  <c r="BE20" i="25"/>
  <c r="I35" i="3" s="1"/>
  <c r="Q35" i="3" s="1"/>
  <c r="R35" i="3" s="1"/>
  <c r="AB90" i="19"/>
  <c r="BD90" i="25"/>
  <c r="AU90" i="25"/>
  <c r="AS90" i="25" s="1"/>
  <c r="AJ90" i="25" s="1"/>
  <c r="BD61" i="25"/>
  <c r="AU61" i="25"/>
  <c r="AS61" i="25" s="1"/>
  <c r="AJ61" i="25" s="1"/>
  <c r="AB82" i="19"/>
  <c r="BD82" i="25"/>
  <c r="AU82" i="25"/>
  <c r="AS82" i="25" s="1"/>
  <c r="AJ82" i="25" s="1"/>
  <c r="AB96" i="19"/>
  <c r="BD96" i="25"/>
  <c r="BC96" i="25" s="1"/>
  <c r="AU96" i="25"/>
  <c r="AS96" i="25" s="1"/>
  <c r="AJ96" i="25" s="1"/>
  <c r="AB68" i="19"/>
  <c r="BD68" i="25"/>
  <c r="AU68" i="25"/>
  <c r="AS68" i="25" s="1"/>
  <c r="AJ68" i="25" s="1"/>
  <c r="AB23" i="19"/>
  <c r="BD23" i="25"/>
  <c r="BC23" i="25" s="1"/>
  <c r="AU23" i="25"/>
  <c r="AS23" i="25" s="1"/>
  <c r="AJ23" i="25" s="1"/>
  <c r="M38" i="42" s="1"/>
  <c r="BD101" i="25"/>
  <c r="AR101" i="25" s="1"/>
  <c r="AM101" i="25" s="1"/>
  <c r="AO101" i="25" s="1"/>
  <c r="AI101" i="25" s="1"/>
  <c r="AU101" i="25"/>
  <c r="AS101" i="25" s="1"/>
  <c r="AJ101" i="25" s="1"/>
  <c r="AB99" i="19"/>
  <c r="BD99" i="25"/>
  <c r="AU99" i="25"/>
  <c r="AS99" i="25" s="1"/>
  <c r="AJ99" i="25" s="1"/>
  <c r="BD89" i="25"/>
  <c r="AU89" i="25"/>
  <c r="AS89" i="25" s="1"/>
  <c r="AJ89" i="25" s="1"/>
  <c r="BD62" i="25"/>
  <c r="AR62" i="25" s="1"/>
  <c r="AM62" i="25" s="1"/>
  <c r="AO62" i="25" s="1"/>
  <c r="AI62" i="25" s="1"/>
  <c r="AB62" i="19"/>
  <c r="AU62" i="25"/>
  <c r="AS62" i="25" s="1"/>
  <c r="AJ62" i="25" s="1"/>
  <c r="AB72" i="19"/>
  <c r="BD72" i="25"/>
  <c r="BC72" i="25" s="1"/>
  <c r="AU72" i="25"/>
  <c r="AS72" i="25" s="1"/>
  <c r="AJ72" i="25" s="1"/>
  <c r="BD78" i="25"/>
  <c r="AB78" i="19"/>
  <c r="AU78" i="25"/>
  <c r="AS78" i="25" s="1"/>
  <c r="AJ78" i="25" s="1"/>
  <c r="AB83" i="19"/>
  <c r="BD83" i="25"/>
  <c r="AR83" i="25" s="1"/>
  <c r="AM83" i="25" s="1"/>
  <c r="AO83" i="25" s="1"/>
  <c r="AI83" i="25" s="1"/>
  <c r="AU83" i="25"/>
  <c r="AS83" i="25" s="1"/>
  <c r="AJ83" i="25" s="1"/>
  <c r="AB63" i="19"/>
  <c r="BD63" i="25"/>
  <c r="AU63" i="25"/>
  <c r="AS63" i="25" s="1"/>
  <c r="AJ63" i="25" s="1"/>
  <c r="BD25" i="25"/>
  <c r="AR25" i="25" s="1"/>
  <c r="AM25" i="25" s="1"/>
  <c r="AO25" i="25" s="1"/>
  <c r="AI25" i="25" s="1"/>
  <c r="AU25" i="25"/>
  <c r="AS25" i="25" s="1"/>
  <c r="AJ25" i="25" s="1"/>
  <c r="M40" i="42" s="1"/>
  <c r="AB25" i="19"/>
  <c r="BD54" i="25"/>
  <c r="BC54" i="25" s="1"/>
  <c r="AB54" i="19"/>
  <c r="AU54" i="25"/>
  <c r="AS54" i="25" s="1"/>
  <c r="AJ54" i="25" s="1"/>
  <c r="M69" i="42" s="1"/>
  <c r="BD69" i="25"/>
  <c r="BC69" i="25" s="1"/>
  <c r="AU69" i="25"/>
  <c r="AS69" i="25" s="1"/>
  <c r="AJ69" i="25" s="1"/>
  <c r="BD53" i="25"/>
  <c r="AU53" i="25"/>
  <c r="AS53" i="25" s="1"/>
  <c r="AJ53" i="25" s="1"/>
  <c r="M68" i="42" s="1"/>
  <c r="BD65" i="25"/>
  <c r="BC65" i="25" s="1"/>
  <c r="AU65" i="25"/>
  <c r="AS65" i="25" s="1"/>
  <c r="AJ65" i="25" s="1"/>
  <c r="AB56" i="19"/>
  <c r="BD56" i="25"/>
  <c r="BC56" i="25" s="1"/>
  <c r="AU56" i="25"/>
  <c r="AS56" i="25" s="1"/>
  <c r="AJ56" i="25" s="1"/>
  <c r="BD102" i="25"/>
  <c r="AR102" i="25" s="1"/>
  <c r="AM102" i="25" s="1"/>
  <c r="AO102" i="25" s="1"/>
  <c r="AI102" i="25" s="1"/>
  <c r="AB102" i="19"/>
  <c r="AU102" i="25"/>
  <c r="AS102" i="25" s="1"/>
  <c r="AB91" i="19"/>
  <c r="BD91" i="25"/>
  <c r="AR91" i="25" s="1"/>
  <c r="AM91" i="25" s="1"/>
  <c r="AO91" i="25" s="1"/>
  <c r="AI91" i="25" s="1"/>
  <c r="AU91" i="25"/>
  <c r="AS91" i="25" s="1"/>
  <c r="AJ91" i="25" s="1"/>
  <c r="AB75" i="19"/>
  <c r="BD75" i="25"/>
  <c r="AU75" i="25"/>
  <c r="AS75" i="25" s="1"/>
  <c r="AB103" i="19"/>
  <c r="BD103" i="25"/>
  <c r="AU103" i="25"/>
  <c r="AS103" i="25" s="1"/>
  <c r="AB64" i="19"/>
  <c r="BD64" i="25"/>
  <c r="BC64" i="25" s="1"/>
  <c r="AU64" i="25"/>
  <c r="AS64" i="25" s="1"/>
  <c r="AJ64" i="25" s="1"/>
  <c r="BD81" i="25"/>
  <c r="BC81" i="25" s="1"/>
  <c r="AU81" i="25"/>
  <c r="AS81" i="25" s="1"/>
  <c r="AJ81" i="25" s="1"/>
  <c r="AB100" i="19"/>
  <c r="BD100" i="25"/>
  <c r="AU100" i="25"/>
  <c r="AS100" i="25" s="1"/>
  <c r="AJ100" i="25" s="1"/>
  <c r="AB84" i="19"/>
  <c r="BD84" i="25"/>
  <c r="BC84" i="25" s="1"/>
  <c r="AU84" i="25"/>
  <c r="AS84" i="25" s="1"/>
  <c r="AJ84" i="25" s="1"/>
  <c r="AB95" i="19"/>
  <c r="BD95" i="25"/>
  <c r="AR95" i="25" s="1"/>
  <c r="AM95" i="25" s="1"/>
  <c r="AO95" i="25" s="1"/>
  <c r="AI95" i="25" s="1"/>
  <c r="AU95" i="25"/>
  <c r="AS95" i="25" s="1"/>
  <c r="AJ95" i="25" s="1"/>
  <c r="CB94" i="25"/>
  <c r="CB100" i="25"/>
  <c r="CB96" i="25"/>
  <c r="DI26" i="25"/>
  <c r="CB97" i="25"/>
  <c r="DB82" i="25"/>
  <c r="AX82" i="19" s="1"/>
  <c r="DB96" i="25"/>
  <c r="AX96" i="19" s="1"/>
  <c r="DB79" i="25"/>
  <c r="AX79" i="19" s="1"/>
  <c r="AC68" i="19"/>
  <c r="DB93" i="25"/>
  <c r="AX93" i="19" s="1"/>
  <c r="CB21" i="25"/>
  <c r="CB59" i="25"/>
  <c r="CB70" i="25"/>
  <c r="CB71" i="25"/>
  <c r="DB87" i="25"/>
  <c r="AX87" i="19" s="1"/>
  <c r="Q73" i="3"/>
  <c r="R73" i="3" s="1"/>
  <c r="AC22" i="19"/>
  <c r="CB63" i="25"/>
  <c r="CB95" i="25"/>
  <c r="DB100" i="25"/>
  <c r="AX100" i="19" s="1"/>
  <c r="DB63" i="25"/>
  <c r="AX63" i="19" s="1"/>
  <c r="AR55" i="25"/>
  <c r="AM55" i="25" s="1"/>
  <c r="AO55" i="25" s="1"/>
  <c r="AI55" i="25" s="1"/>
  <c r="DU102" i="25"/>
  <c r="CB101" i="25"/>
  <c r="DI23" i="25"/>
  <c r="DB64" i="25"/>
  <c r="AX64" i="19" s="1"/>
  <c r="DB67" i="25"/>
  <c r="AX67" i="19" s="1"/>
  <c r="DB98" i="25"/>
  <c r="AX98" i="19" s="1"/>
  <c r="CB91" i="25"/>
  <c r="AC53" i="19"/>
  <c r="CB89" i="25"/>
  <c r="CB98" i="25"/>
  <c r="CB85" i="25"/>
  <c r="CB99" i="25"/>
  <c r="CB66" i="25"/>
  <c r="DB99" i="25"/>
  <c r="AX99" i="19" s="1"/>
  <c r="DB61" i="25"/>
  <c r="AX61" i="19" s="1"/>
  <c r="DB92" i="25"/>
  <c r="AX92" i="19" s="1"/>
  <c r="CB84" i="25"/>
  <c r="DB72" i="25"/>
  <c r="AX72" i="19" s="1"/>
  <c r="DB68" i="25"/>
  <c r="AX68" i="19" s="1"/>
  <c r="CB86" i="25"/>
  <c r="AR88" i="25"/>
  <c r="AM88" i="25" s="1"/>
  <c r="BC88" i="25"/>
  <c r="AC63" i="19"/>
  <c r="DB89" i="25"/>
  <c r="AX89" i="19" s="1"/>
  <c r="DB90" i="25"/>
  <c r="AX90" i="19" s="1"/>
  <c r="DB85" i="25"/>
  <c r="AX85" i="19" s="1"/>
  <c r="DB75" i="25"/>
  <c r="AX75" i="19" s="1"/>
  <c r="DB76" i="25"/>
  <c r="AX76" i="19" s="1"/>
  <c r="CI94" i="25"/>
  <c r="CV94" i="25"/>
  <c r="CU94" i="25"/>
  <c r="CU97" i="25"/>
  <c r="CI97" i="25"/>
  <c r="CV97" i="25"/>
  <c r="CU102" i="25"/>
  <c r="CV102" i="25"/>
  <c r="CI102" i="25"/>
  <c r="CI92" i="25"/>
  <c r="CU92" i="25"/>
  <c r="CV92" i="25"/>
  <c r="CI101" i="25"/>
  <c r="CU101" i="25"/>
  <c r="CV101" i="25"/>
  <c r="CV90" i="25"/>
  <c r="CU90" i="25"/>
  <c r="CI90" i="25"/>
  <c r="CV95" i="25"/>
  <c r="CI95" i="25"/>
  <c r="CU95" i="25"/>
  <c r="CU98" i="25"/>
  <c r="CV98" i="25"/>
  <c r="CI98" i="25"/>
  <c r="CV100" i="25"/>
  <c r="CU100" i="25"/>
  <c r="CI100" i="25"/>
  <c r="CV103" i="25"/>
  <c r="CU103" i="25"/>
  <c r="CI103" i="25"/>
  <c r="CU99" i="25"/>
  <c r="CV99" i="25"/>
  <c r="CI99" i="25"/>
  <c r="CV89" i="25"/>
  <c r="CU89" i="25"/>
  <c r="CI89" i="25"/>
  <c r="CI96" i="25"/>
  <c r="CV96" i="25"/>
  <c r="CU96" i="25"/>
  <c r="CI86" i="25"/>
  <c r="CU86" i="25"/>
  <c r="CV86" i="25"/>
  <c r="CU91" i="25"/>
  <c r="CV91" i="25"/>
  <c r="CI91" i="25"/>
  <c r="CI93" i="25"/>
  <c r="CU93" i="25"/>
  <c r="CV93" i="25"/>
  <c r="CV85" i="25"/>
  <c r="CU85" i="25"/>
  <c r="CI85" i="25"/>
  <c r="CI87" i="25"/>
  <c r="CU87" i="25"/>
  <c r="CV87" i="25"/>
  <c r="DB71" i="25"/>
  <c r="AX71" i="19" s="1"/>
  <c r="CB73" i="25"/>
  <c r="CB67" i="25"/>
  <c r="DB74" i="25"/>
  <c r="AX74" i="19" s="1"/>
  <c r="DB77" i="25"/>
  <c r="AX77" i="19" s="1"/>
  <c r="DB80" i="25"/>
  <c r="AX80" i="19" s="1"/>
  <c r="CV57" i="25"/>
  <c r="CU57" i="25"/>
  <c r="CI57" i="25"/>
  <c r="CI58" i="25"/>
  <c r="CU58" i="25"/>
  <c r="CV58" i="25"/>
  <c r="CU66" i="25"/>
  <c r="CV66" i="25"/>
  <c r="CI66" i="25"/>
  <c r="CI61" i="25"/>
  <c r="CU61" i="25"/>
  <c r="CV61" i="25"/>
  <c r="CU67" i="25"/>
  <c r="CV67" i="25"/>
  <c r="CI67" i="25"/>
  <c r="CV62" i="25"/>
  <c r="CU62" i="25"/>
  <c r="CI62" i="25"/>
  <c r="CV40" i="25"/>
  <c r="CU40" i="25"/>
  <c r="CI40" i="25"/>
  <c r="CI25" i="25"/>
  <c r="CV25" i="25"/>
  <c r="CU25" i="25"/>
  <c r="CV80" i="25"/>
  <c r="CU80" i="25"/>
  <c r="CI80" i="25"/>
  <c r="CV53" i="25"/>
  <c r="CU53" i="25"/>
  <c r="CI53" i="25"/>
  <c r="BC73" i="25"/>
  <c r="AR73" i="25"/>
  <c r="AM73" i="25" s="1"/>
  <c r="AO73" i="25" s="1"/>
  <c r="AI73" i="25" s="1"/>
  <c r="CI84" i="25"/>
  <c r="CU81" i="25"/>
  <c r="BC52" i="25"/>
  <c r="AR52" i="25"/>
  <c r="AM52" i="25" s="1"/>
  <c r="AO52" i="25" s="1"/>
  <c r="AI52" i="25" s="1"/>
  <c r="CI65" i="25"/>
  <c r="CV20" i="25"/>
  <c r="CB60" i="25"/>
  <c r="CV47" i="25"/>
  <c r="CU47" i="25"/>
  <c r="CI47" i="25"/>
  <c r="CI60" i="25"/>
  <c r="CV60" i="25"/>
  <c r="CU60" i="25"/>
  <c r="CV21" i="25"/>
  <c r="CI21" i="25"/>
  <c r="CU21" i="25"/>
  <c r="CU64" i="25"/>
  <c r="CI64" i="25"/>
  <c r="CV64" i="25"/>
  <c r="CI63" i="25"/>
  <c r="CU63" i="25"/>
  <c r="CV63" i="25"/>
  <c r="CI68" i="25"/>
  <c r="CV68" i="25"/>
  <c r="CU68" i="25"/>
  <c r="CI72" i="25"/>
  <c r="CV72" i="25"/>
  <c r="CU72" i="25"/>
  <c r="CI76" i="25"/>
  <c r="CU76" i="25"/>
  <c r="CV76" i="25"/>
  <c r="CI41" i="25"/>
  <c r="CU41" i="25"/>
  <c r="CV41" i="25"/>
  <c r="CB75" i="25"/>
  <c r="CB22" i="25"/>
  <c r="CU23" i="25"/>
  <c r="CV23" i="25"/>
  <c r="CI23" i="25"/>
  <c r="CV55" i="25"/>
  <c r="CI55" i="25"/>
  <c r="CU55" i="25"/>
  <c r="CV65" i="25"/>
  <c r="CU65" i="25"/>
  <c r="CU71" i="25"/>
  <c r="CV71" i="25"/>
  <c r="CI71" i="25"/>
  <c r="CV70" i="25"/>
  <c r="CU70" i="25"/>
  <c r="CI70" i="25"/>
  <c r="CI73" i="25"/>
  <c r="CV73" i="25"/>
  <c r="CU73" i="25"/>
  <c r="CI79" i="25"/>
  <c r="CV79" i="25"/>
  <c r="CU79" i="25"/>
  <c r="CU77" i="25"/>
  <c r="CI77" i="25"/>
  <c r="CV77" i="25"/>
  <c r="CU83" i="25"/>
  <c r="CV83" i="25"/>
  <c r="CI83" i="25"/>
  <c r="CV74" i="25"/>
  <c r="CU74" i="25"/>
  <c r="CI74" i="25"/>
  <c r="AW74" i="25"/>
  <c r="AT74" i="25" s="1"/>
  <c r="AK74" i="25" s="1"/>
  <c r="AW75" i="25"/>
  <c r="AT75" i="25" s="1"/>
  <c r="AK75" i="25" s="1"/>
  <c r="CB83" i="25"/>
  <c r="CB53" i="25"/>
  <c r="CB65" i="25"/>
  <c r="CU22" i="25"/>
  <c r="CI22" i="25"/>
  <c r="CV22" i="25"/>
  <c r="CI30" i="25"/>
  <c r="CV30" i="25"/>
  <c r="CU30" i="25"/>
  <c r="CV59" i="25"/>
  <c r="CU59" i="25"/>
  <c r="CI59" i="25"/>
  <c r="CI56" i="25"/>
  <c r="CV56" i="25"/>
  <c r="CU56" i="25"/>
  <c r="CU20" i="25"/>
  <c r="CI20" i="25"/>
  <c r="CV69" i="25"/>
  <c r="CU69" i="25"/>
  <c r="CI69" i="25"/>
  <c r="CV78" i="25"/>
  <c r="CI78" i="25"/>
  <c r="CU78" i="25"/>
  <c r="CV84" i="25"/>
  <c r="CU84" i="25"/>
  <c r="CU82" i="25"/>
  <c r="CV82" i="25"/>
  <c r="CI82" i="25"/>
  <c r="CI75" i="25"/>
  <c r="CU75" i="25"/>
  <c r="CI81" i="25"/>
  <c r="CV81" i="25"/>
  <c r="AW82" i="25"/>
  <c r="AT82" i="25" s="1"/>
  <c r="AK82" i="25" s="1"/>
  <c r="CV75" i="25"/>
  <c r="BC66" i="25"/>
  <c r="CB58" i="25"/>
  <c r="AT99" i="25"/>
  <c r="AK99" i="25" s="1"/>
  <c r="AT79" i="25"/>
  <c r="AK79" i="25" s="1"/>
  <c r="BC25" i="25"/>
  <c r="AW22" i="25"/>
  <c r="AT22" i="25" s="1"/>
  <c r="AK22" i="25" s="1"/>
  <c r="AT68" i="25"/>
  <c r="AK68" i="25" s="1"/>
  <c r="Q64" i="3"/>
  <c r="R64" i="3" s="1"/>
  <c r="AR23" i="25"/>
  <c r="AM23" i="25" s="1"/>
  <c r="AO23" i="25" s="1"/>
  <c r="AI23" i="25" s="1"/>
  <c r="AR27" i="25"/>
  <c r="AM27" i="25" s="1"/>
  <c r="AO27" i="25" s="1"/>
  <c r="AI27" i="25" s="1"/>
  <c r="BC27" i="25"/>
  <c r="BC24" i="25"/>
  <c r="AR24" i="25"/>
  <c r="AM24" i="25" s="1"/>
  <c r="AO24" i="25" s="1"/>
  <c r="AI24" i="25" s="1"/>
  <c r="DB62" i="25"/>
  <c r="AX62" i="19" s="1"/>
  <c r="DB86" i="25"/>
  <c r="AX86" i="19" s="1"/>
  <c r="AC55" i="19"/>
  <c r="Q74" i="3"/>
  <c r="R74" i="3" s="1"/>
  <c r="DI22" i="25"/>
  <c r="DV94" i="25"/>
  <c r="AC61" i="19"/>
  <c r="Q72" i="3"/>
  <c r="R72" i="3" s="1"/>
  <c r="DI24" i="25"/>
  <c r="DB66" i="25"/>
  <c r="AX66" i="19" s="1"/>
  <c r="DB81" i="25"/>
  <c r="AX81" i="19" s="1"/>
  <c r="Q90" i="3"/>
  <c r="R90" i="3" s="1"/>
  <c r="Q88" i="3"/>
  <c r="R88" i="3" s="1"/>
  <c r="Q87" i="3"/>
  <c r="R87" i="3" s="1"/>
  <c r="AC99" i="19"/>
  <c r="AC100" i="19"/>
  <c r="AC72" i="19"/>
  <c r="DB103" i="25"/>
  <c r="AX103" i="19" s="1"/>
  <c r="DB102" i="25"/>
  <c r="AX102" i="19" s="1"/>
  <c r="AC91" i="19"/>
  <c r="DB73" i="25"/>
  <c r="AX73" i="19" s="1"/>
  <c r="AC90" i="19"/>
  <c r="AC85" i="19"/>
  <c r="AC96" i="19"/>
  <c r="DB94" i="25"/>
  <c r="AX94" i="19" s="1"/>
  <c r="AC98" i="19"/>
  <c r="DB97" i="25"/>
  <c r="AX97" i="19" s="1"/>
  <c r="DB95" i="25"/>
  <c r="AX95" i="19" s="1"/>
  <c r="AC102" i="19"/>
  <c r="DB83" i="25"/>
  <c r="AX83" i="19" s="1"/>
  <c r="AC103" i="19"/>
  <c r="S74" i="42"/>
  <c r="AC79" i="19"/>
  <c r="AC75" i="19"/>
  <c r="AC82" i="19"/>
  <c r="AC74" i="19"/>
  <c r="DB84" i="25"/>
  <c r="AX84" i="19" s="1"/>
  <c r="AC73" i="19"/>
  <c r="DB101" i="25"/>
  <c r="AX101" i="19" s="1"/>
  <c r="AC97" i="19"/>
  <c r="AC95" i="19"/>
  <c r="AC83" i="19"/>
  <c r="Q89" i="3"/>
  <c r="R89" i="3" s="1"/>
  <c r="Q92" i="3"/>
  <c r="R92" i="3" s="1"/>
  <c r="S73" i="42"/>
  <c r="AC52" i="19"/>
  <c r="AC87" i="19"/>
  <c r="AC93" i="19"/>
  <c r="AC84" i="19"/>
  <c r="AC94" i="19"/>
  <c r="AC86" i="19"/>
  <c r="AC101" i="19"/>
  <c r="AC81" i="19"/>
  <c r="AC70" i="19"/>
  <c r="Q91" i="3"/>
  <c r="R91" i="3" s="1"/>
  <c r="AC76" i="19"/>
  <c r="AC80" i="19"/>
  <c r="AC89" i="19"/>
  <c r="AC78" i="19"/>
  <c r="DI103" i="25"/>
  <c r="DI102" i="25"/>
  <c r="DB91" i="25"/>
  <c r="AX91" i="19" s="1"/>
  <c r="DB69" i="25"/>
  <c r="AX69" i="19" s="1"/>
  <c r="AC92" i="19"/>
  <c r="AC77" i="19"/>
  <c r="K37" i="3"/>
  <c r="KN21" i="25"/>
  <c r="LN21" i="25"/>
  <c r="KM21" i="25"/>
  <c r="DL21" i="25" s="1"/>
  <c r="DE21" i="25"/>
  <c r="JM21" i="25"/>
  <c r="DK21" i="25" s="1"/>
  <c r="DD21" i="25"/>
  <c r="DI20" i="25"/>
  <c r="LM21" i="25"/>
  <c r="DM21" i="25" s="1"/>
  <c r="DF21" i="25"/>
  <c r="AD52" i="19"/>
  <c r="AD53" i="19"/>
  <c r="AD49" i="19"/>
  <c r="AD36" i="19"/>
  <c r="AD39" i="19"/>
  <c r="AD40" i="19"/>
  <c r="AD38" i="19"/>
  <c r="AD42" i="19"/>
  <c r="AD22" i="19"/>
  <c r="AD35" i="19"/>
  <c r="AD37" i="19"/>
  <c r="AD50" i="19"/>
  <c r="Q71" i="3"/>
  <c r="R71" i="3" s="1"/>
  <c r="Q75" i="3"/>
  <c r="R75" i="3" s="1"/>
  <c r="Q60" i="3"/>
  <c r="R60" i="3" s="1"/>
  <c r="Q85" i="3"/>
  <c r="R85" i="3" s="1"/>
  <c r="I77" i="3"/>
  <c r="Q77" i="3" s="1"/>
  <c r="R77" i="3" s="1"/>
  <c r="Q84" i="3"/>
  <c r="R84" i="3" s="1"/>
  <c r="AD70" i="19"/>
  <c r="AD69" i="19"/>
  <c r="Q86" i="3"/>
  <c r="R86" i="3" s="1"/>
  <c r="Q76" i="3"/>
  <c r="R76" i="3" s="1"/>
  <c r="AD71" i="19"/>
  <c r="I40" i="3"/>
  <c r="Q40" i="3" s="1"/>
  <c r="R40" i="3" s="1"/>
  <c r="AD51" i="19"/>
  <c r="AD32" i="19"/>
  <c r="AD27" i="19"/>
  <c r="AD47" i="19"/>
  <c r="AD55" i="19"/>
  <c r="Q53" i="3"/>
  <c r="R53" i="3" s="1"/>
  <c r="Q54" i="3"/>
  <c r="R54" i="3" s="1"/>
  <c r="AD46" i="19"/>
  <c r="AD23" i="19"/>
  <c r="AD54" i="19"/>
  <c r="AD43" i="19"/>
  <c r="AD62" i="19"/>
  <c r="AD61" i="19"/>
  <c r="Q47" i="3"/>
  <c r="R47" i="3" s="1"/>
  <c r="Q41" i="3"/>
  <c r="R41" i="3" s="1"/>
  <c r="Q42" i="3"/>
  <c r="R42" i="3" s="1"/>
  <c r="Q39" i="3"/>
  <c r="R39" i="3" s="1"/>
  <c r="Q46" i="3"/>
  <c r="R46" i="3" s="1"/>
  <c r="Q51" i="3"/>
  <c r="R51" i="3" s="1"/>
  <c r="Q78" i="3"/>
  <c r="R78" i="3" s="1"/>
  <c r="AD59" i="19"/>
  <c r="AD58" i="19"/>
  <c r="AD63" i="19"/>
  <c r="U71" i="42"/>
  <c r="Q79" i="3"/>
  <c r="R79" i="3" s="1"/>
  <c r="Q82" i="3"/>
  <c r="R82" i="3" s="1"/>
  <c r="AD68" i="19"/>
  <c r="AD67" i="19"/>
  <c r="U72" i="42"/>
  <c r="Q80" i="3"/>
  <c r="R80" i="3" s="1"/>
  <c r="AD64" i="19"/>
  <c r="U75" i="42"/>
  <c r="Q83" i="3"/>
  <c r="R83" i="3" s="1"/>
  <c r="Q81" i="3"/>
  <c r="R81" i="3" s="1"/>
  <c r="AD60" i="19"/>
  <c r="AD65" i="19"/>
  <c r="AD66" i="19"/>
  <c r="Q38" i="3"/>
  <c r="R38" i="3" s="1"/>
  <c r="Q65" i="3"/>
  <c r="R65" i="3" s="1"/>
  <c r="Q59" i="3"/>
  <c r="R59" i="3" s="1"/>
  <c r="Q55" i="3"/>
  <c r="R55" i="3" s="1"/>
  <c r="Q62" i="3"/>
  <c r="R62" i="3" s="1"/>
  <c r="Q58" i="3"/>
  <c r="R58" i="3" s="1"/>
  <c r="Q57" i="3"/>
  <c r="R57" i="3" s="1"/>
  <c r="Q66" i="3"/>
  <c r="R66" i="3" s="1"/>
  <c r="AD26" i="19"/>
  <c r="AD31" i="19"/>
  <c r="II21" i="25"/>
  <c r="IK21" i="25" s="1"/>
  <c r="IL21" i="25" s="1"/>
  <c r="BS21" i="25" s="1"/>
  <c r="AD24" i="19"/>
  <c r="AD28" i="19"/>
  <c r="AD30" i="19"/>
  <c r="AD20" i="19"/>
  <c r="AD29" i="19"/>
  <c r="AD25" i="19"/>
  <c r="AD56" i="19"/>
  <c r="AD57" i="19"/>
  <c r="Q43" i="3"/>
  <c r="R43" i="3" s="1"/>
  <c r="Q49" i="3"/>
  <c r="R49" i="3" s="1"/>
  <c r="Q52" i="3"/>
  <c r="R52" i="3" s="1"/>
  <c r="Q48" i="3"/>
  <c r="R48" i="3" s="1"/>
  <c r="AD100" i="19"/>
  <c r="AD101" i="19"/>
  <c r="AD103" i="19"/>
  <c r="AD102" i="19"/>
  <c r="AS41" i="25" l="1"/>
  <c r="AJ41" i="25" s="1"/>
  <c r="M56" i="42" s="1"/>
  <c r="AJ40" i="25"/>
  <c r="M55" i="42" s="1"/>
  <c r="Q56" i="3"/>
  <c r="R56" i="3" s="1"/>
  <c r="Y48" i="19"/>
  <c r="W48" i="19"/>
  <c r="Q37" i="3"/>
  <c r="R37" i="3" s="1"/>
  <c r="AJ102" i="25"/>
  <c r="X117" i="42" s="1"/>
  <c r="S117" i="42"/>
  <c r="AJ103" i="25"/>
  <c r="M118" i="42" s="1"/>
  <c r="S118" i="42"/>
  <c r="X118" i="42" s="1"/>
  <c r="W73" i="19"/>
  <c r="AR81" i="25"/>
  <c r="AM81" i="25" s="1"/>
  <c r="AO81" i="25" s="1"/>
  <c r="AI81" i="25" s="1"/>
  <c r="AR96" i="25"/>
  <c r="AM96" i="25" s="1"/>
  <c r="AO96" i="25" s="1"/>
  <c r="AI96" i="25" s="1"/>
  <c r="AR65" i="25"/>
  <c r="AM65" i="25" s="1"/>
  <c r="AO65" i="25" s="1"/>
  <c r="AI65" i="25" s="1"/>
  <c r="BC60" i="25"/>
  <c r="AR86" i="25"/>
  <c r="AM86" i="25" s="1"/>
  <c r="AO86" i="25" s="1"/>
  <c r="AI86" i="25" s="1"/>
  <c r="AR69" i="25"/>
  <c r="AM69" i="25" s="1"/>
  <c r="AO69" i="25" s="1"/>
  <c r="AI69" i="25" s="1"/>
  <c r="BC101" i="25"/>
  <c r="U76" i="42"/>
  <c r="AR97" i="25"/>
  <c r="AM97" i="25" s="1"/>
  <c r="AO97" i="25" s="1"/>
  <c r="AI97" i="25" s="1"/>
  <c r="BC83" i="25"/>
  <c r="AR54" i="25"/>
  <c r="AM54" i="25" s="1"/>
  <c r="AO54" i="25" s="1"/>
  <c r="AI54" i="25" s="1"/>
  <c r="BC102" i="25"/>
  <c r="AR57" i="25"/>
  <c r="AM57" i="25" s="1"/>
  <c r="AO57" i="25" s="1"/>
  <c r="AI57" i="25" s="1"/>
  <c r="AR64" i="25"/>
  <c r="AM64" i="25" s="1"/>
  <c r="AO64" i="25" s="1"/>
  <c r="AI64" i="25" s="1"/>
  <c r="AR56" i="25"/>
  <c r="AM56" i="25" s="1"/>
  <c r="AO56" i="25" s="1"/>
  <c r="AI56" i="25" s="1"/>
  <c r="BC91" i="25"/>
  <c r="AR72" i="25"/>
  <c r="AM72" i="25" s="1"/>
  <c r="AO72" i="25" s="1"/>
  <c r="AI72" i="25" s="1"/>
  <c r="BC94" i="25"/>
  <c r="BC95" i="25"/>
  <c r="W83" i="19"/>
  <c r="BC62" i="25"/>
  <c r="AO94" i="25"/>
  <c r="AI94" i="25" s="1"/>
  <c r="W94" i="19"/>
  <c r="S76" i="42"/>
  <c r="AR71" i="25"/>
  <c r="AM71" i="25" s="1"/>
  <c r="AO71" i="25" s="1"/>
  <c r="AI71" i="25" s="1"/>
  <c r="AR59" i="25"/>
  <c r="AM59" i="25" s="1"/>
  <c r="AO59" i="25" s="1"/>
  <c r="AI59" i="25" s="1"/>
  <c r="AR84" i="25"/>
  <c r="AM84" i="25" s="1"/>
  <c r="AO84" i="25" s="1"/>
  <c r="AI84" i="25" s="1"/>
  <c r="S72" i="42"/>
  <c r="S88" i="42"/>
  <c r="AJ75" i="25"/>
  <c r="S90" i="42"/>
  <c r="AJ76" i="25"/>
  <c r="S91" i="42"/>
  <c r="BC40" i="25"/>
  <c r="AR40" i="25"/>
  <c r="AM40" i="25" s="1"/>
  <c r="AO40" i="25" s="1"/>
  <c r="AI40" i="25" s="1"/>
  <c r="BD20" i="25"/>
  <c r="AB20" i="19"/>
  <c r="AU20" i="25"/>
  <c r="AS20" i="25" s="1"/>
  <c r="AJ20" i="25" s="1"/>
  <c r="M35" i="42" s="1"/>
  <c r="W81" i="19"/>
  <c r="W91" i="19"/>
  <c r="W95" i="19"/>
  <c r="W86" i="19"/>
  <c r="AO88" i="25"/>
  <c r="W88" i="19"/>
  <c r="AR103" i="25"/>
  <c r="AM103" i="25" s="1"/>
  <c r="AO103" i="25" s="1"/>
  <c r="AI103" i="25" s="1"/>
  <c r="BC103" i="25"/>
  <c r="AR90" i="25"/>
  <c r="AM90" i="25" s="1"/>
  <c r="BC90" i="25"/>
  <c r="BC100" i="25"/>
  <c r="AR100" i="25"/>
  <c r="AM100" i="25" s="1"/>
  <c r="AO100" i="25" s="1"/>
  <c r="AI100" i="25" s="1"/>
  <c r="BC87" i="25"/>
  <c r="AR87" i="25"/>
  <c r="AM87" i="25" s="1"/>
  <c r="AR98" i="25"/>
  <c r="AM98" i="25" s="1"/>
  <c r="BC98" i="25"/>
  <c r="AR99" i="25"/>
  <c r="AM99" i="25" s="1"/>
  <c r="BC99" i="25"/>
  <c r="AR93" i="25"/>
  <c r="AM93" i="25" s="1"/>
  <c r="BC93" i="25"/>
  <c r="BC92" i="25"/>
  <c r="AR92" i="25"/>
  <c r="AM92" i="25" s="1"/>
  <c r="AR89" i="25"/>
  <c r="AM89" i="25" s="1"/>
  <c r="BC89" i="25"/>
  <c r="BC85" i="25"/>
  <c r="AR85" i="25"/>
  <c r="AM85" i="25" s="1"/>
  <c r="AR79" i="25"/>
  <c r="AM79" i="25" s="1"/>
  <c r="BC79" i="25"/>
  <c r="BC80" i="25"/>
  <c r="AR80" i="25"/>
  <c r="AM80" i="25" s="1"/>
  <c r="BC74" i="25"/>
  <c r="AR74" i="25"/>
  <c r="AM74" i="25" s="1"/>
  <c r="BC63" i="25"/>
  <c r="AR63" i="25"/>
  <c r="AM63" i="25" s="1"/>
  <c r="AO63" i="25" s="1"/>
  <c r="AI63" i="25" s="1"/>
  <c r="AR58" i="25"/>
  <c r="AM58" i="25" s="1"/>
  <c r="AO58" i="25" s="1"/>
  <c r="AI58" i="25" s="1"/>
  <c r="BC58" i="25"/>
  <c r="BC70" i="25"/>
  <c r="AR70" i="25"/>
  <c r="AM70" i="25" s="1"/>
  <c r="AO70" i="25" s="1"/>
  <c r="AI70" i="25" s="1"/>
  <c r="AR61" i="25"/>
  <c r="AM61" i="25" s="1"/>
  <c r="AO61" i="25" s="1"/>
  <c r="AI61" i="25" s="1"/>
  <c r="BC61" i="25"/>
  <c r="BC41" i="25"/>
  <c r="AR41" i="25"/>
  <c r="AM41" i="25" s="1"/>
  <c r="AO41" i="25" s="1"/>
  <c r="AI41" i="25" s="1"/>
  <c r="BC67" i="25"/>
  <c r="AR67" i="25"/>
  <c r="AM67" i="25" s="1"/>
  <c r="AO67" i="25" s="1"/>
  <c r="AI67" i="25" s="1"/>
  <c r="BC53" i="25"/>
  <c r="AR53" i="25"/>
  <c r="AM53" i="25" s="1"/>
  <c r="AO53" i="25" s="1"/>
  <c r="AI53" i="25" s="1"/>
  <c r="BC75" i="25"/>
  <c r="AR75" i="25"/>
  <c r="AM75" i="25" s="1"/>
  <c r="BC76" i="25"/>
  <c r="AR76" i="25"/>
  <c r="AM76" i="25" s="1"/>
  <c r="AR78" i="25"/>
  <c r="AM78" i="25" s="1"/>
  <c r="BC78" i="25"/>
  <c r="BC82" i="25"/>
  <c r="AR82" i="25"/>
  <c r="AM82" i="25" s="1"/>
  <c r="BC68" i="25"/>
  <c r="AR68" i="25"/>
  <c r="AM68" i="25" s="1"/>
  <c r="AO68" i="25" s="1"/>
  <c r="AI68" i="25" s="1"/>
  <c r="BC77" i="25"/>
  <c r="AR77" i="25"/>
  <c r="AM77" i="25" s="1"/>
  <c r="BP21" i="25"/>
  <c r="AW21" i="25"/>
  <c r="AT21" i="25" s="1"/>
  <c r="AK21" i="25" s="1"/>
  <c r="AR22" i="25"/>
  <c r="AM22" i="25" s="1"/>
  <c r="AO22" i="25" s="1"/>
  <c r="AI22" i="25" s="1"/>
  <c r="BC22" i="25"/>
  <c r="U93" i="42"/>
  <c r="U89" i="42"/>
  <c r="S94" i="42"/>
  <c r="S101" i="42"/>
  <c r="U94" i="42"/>
  <c r="U98" i="42"/>
  <c r="U95" i="42"/>
  <c r="U96" i="42"/>
  <c r="S96" i="42"/>
  <c r="U88" i="42"/>
  <c r="S97" i="42"/>
  <c r="S93" i="42"/>
  <c r="S99" i="42"/>
  <c r="S98" i="42"/>
  <c r="U100" i="42"/>
  <c r="S89" i="42"/>
  <c r="S95" i="42"/>
  <c r="U99" i="42"/>
  <c r="U97" i="42"/>
  <c r="S100" i="42"/>
  <c r="S87" i="42"/>
  <c r="U87" i="42"/>
  <c r="S92" i="42"/>
  <c r="U92" i="42"/>
  <c r="U91" i="42"/>
  <c r="U90" i="42"/>
  <c r="U101" i="42"/>
  <c r="IM21" i="25"/>
  <c r="DJ21" i="25" s="1"/>
  <c r="DI21" i="25" s="1"/>
  <c r="DC21" i="25"/>
  <c r="DB21" i="25" s="1"/>
  <c r="AX21" i="19" s="1"/>
  <c r="W31" i="19"/>
  <c r="W45" i="19"/>
  <c r="W44" i="19"/>
  <c r="W46" i="19"/>
  <c r="W42" i="19"/>
  <c r="W33" i="19"/>
  <c r="W23" i="19"/>
  <c r="W34" i="19"/>
  <c r="W51" i="19"/>
  <c r="W27" i="19"/>
  <c r="W30" i="19"/>
  <c r="W43" i="19"/>
  <c r="W38" i="19"/>
  <c r="W66" i="19"/>
  <c r="W37" i="19"/>
  <c r="W26" i="19"/>
  <c r="W49" i="19"/>
  <c r="W36" i="19"/>
  <c r="W55" i="19"/>
  <c r="W50" i="19"/>
  <c r="W32" i="19"/>
  <c r="W25" i="19"/>
  <c r="W29" i="19"/>
  <c r="W39" i="19"/>
  <c r="W47" i="19"/>
  <c r="W65" i="19"/>
  <c r="W24" i="19"/>
  <c r="W28" i="19"/>
  <c r="W52" i="19"/>
  <c r="W35" i="19"/>
  <c r="S84" i="42"/>
  <c r="S77" i="42"/>
  <c r="S86" i="42"/>
  <c r="U86" i="42"/>
  <c r="U84" i="42"/>
  <c r="U77" i="42"/>
  <c r="U85" i="42"/>
  <c r="S85" i="42"/>
  <c r="S75" i="42"/>
  <c r="S71" i="42"/>
  <c r="U48" i="19"/>
  <c r="K36" i="3"/>
  <c r="W62" i="19"/>
  <c r="U74" i="42"/>
  <c r="U81" i="42"/>
  <c r="U79" i="42"/>
  <c r="U82" i="42"/>
  <c r="S80" i="42"/>
  <c r="U78" i="42"/>
  <c r="U80" i="42"/>
  <c r="S83" i="42"/>
  <c r="U73" i="42"/>
  <c r="S81" i="42"/>
  <c r="S82" i="42"/>
  <c r="S79" i="42"/>
  <c r="U83" i="42"/>
  <c r="S78" i="42"/>
  <c r="V22" i="19"/>
  <c r="S70" i="42"/>
  <c r="V55" i="19"/>
  <c r="S67" i="42"/>
  <c r="V52" i="19"/>
  <c r="S66" i="42"/>
  <c r="V51" i="19"/>
  <c r="S69" i="42"/>
  <c r="V54" i="19"/>
  <c r="W60" i="19"/>
  <c r="S68" i="42"/>
  <c r="V53" i="19"/>
  <c r="W97" i="19"/>
  <c r="Y73" i="19"/>
  <c r="Y83" i="19"/>
  <c r="W102" i="19"/>
  <c r="Y91" i="19"/>
  <c r="Y86" i="19"/>
  <c r="Y81" i="19"/>
  <c r="Y96" i="19"/>
  <c r="W101" i="19"/>
  <c r="Y95" i="19"/>
  <c r="U66" i="42"/>
  <c r="U68" i="42"/>
  <c r="U67" i="42"/>
  <c r="U69" i="42"/>
  <c r="U70" i="42"/>
  <c r="U37" i="42"/>
  <c r="S37" i="42"/>
  <c r="L36" i="3"/>
  <c r="M36" i="3"/>
  <c r="N36" i="3"/>
  <c r="W69" i="19" l="1"/>
  <c r="W64" i="19"/>
  <c r="W67" i="19"/>
  <c r="W96" i="19"/>
  <c r="W56" i="19"/>
  <c r="W54" i="19"/>
  <c r="W58" i="19"/>
  <c r="W57" i="19"/>
  <c r="W59" i="19"/>
  <c r="Y84" i="19"/>
  <c r="W84" i="19"/>
  <c r="W103" i="19"/>
  <c r="Y72" i="19"/>
  <c r="W61" i="19"/>
  <c r="W72" i="19"/>
  <c r="W100" i="19"/>
  <c r="Y94" i="19"/>
  <c r="W40" i="19"/>
  <c r="W71" i="19"/>
  <c r="AR20" i="25"/>
  <c r="AM20" i="25" s="1"/>
  <c r="BC20" i="25"/>
  <c r="W68" i="19"/>
  <c r="W22" i="19"/>
  <c r="AO98" i="25"/>
  <c r="W98" i="19"/>
  <c r="AO87" i="25"/>
  <c r="W87" i="19"/>
  <c r="AO90" i="25"/>
  <c r="W90" i="19"/>
  <c r="AI88" i="25"/>
  <c r="U88" i="19" s="1"/>
  <c r="Y88" i="19"/>
  <c r="AO99" i="25"/>
  <c r="W99" i="19"/>
  <c r="AO93" i="25"/>
  <c r="W93" i="19"/>
  <c r="AO92" i="25"/>
  <c r="W92" i="19"/>
  <c r="AO89" i="25"/>
  <c r="W89" i="19"/>
  <c r="AO85" i="25"/>
  <c r="W85" i="19"/>
  <c r="W41" i="19"/>
  <c r="AO77" i="25"/>
  <c r="W77" i="19"/>
  <c r="AO82" i="25"/>
  <c r="W82" i="19"/>
  <c r="AO76" i="25"/>
  <c r="W76" i="19"/>
  <c r="AO80" i="25"/>
  <c r="W80" i="19"/>
  <c r="W53" i="19"/>
  <c r="AO75" i="25"/>
  <c r="W75" i="19"/>
  <c r="AO74" i="25"/>
  <c r="W74" i="19"/>
  <c r="W63" i="19"/>
  <c r="W70" i="19"/>
  <c r="AO78" i="25"/>
  <c r="W78" i="19"/>
  <c r="AO79" i="25"/>
  <c r="W79" i="19"/>
  <c r="BO21" i="25"/>
  <c r="AR21" i="25"/>
  <c r="AM21" i="25" s="1"/>
  <c r="AO21" i="25" s="1"/>
  <c r="AI21" i="25" s="1"/>
  <c r="Y97" i="19"/>
  <c r="U95" i="19"/>
  <c r="U91" i="19"/>
  <c r="U86" i="19"/>
  <c r="U96" i="19"/>
  <c r="U83" i="19"/>
  <c r="DU21" i="25"/>
  <c r="DV21" i="25"/>
  <c r="Y64" i="19"/>
  <c r="U64" i="19"/>
  <c r="Y68" i="19"/>
  <c r="U68" i="19"/>
  <c r="Y71" i="19"/>
  <c r="U71" i="19"/>
  <c r="Y69" i="19"/>
  <c r="U69" i="19"/>
  <c r="Y65" i="19"/>
  <c r="U65" i="19"/>
  <c r="Y63" i="19"/>
  <c r="U63" i="19"/>
  <c r="Y67" i="19"/>
  <c r="U67" i="19"/>
  <c r="Y66" i="19"/>
  <c r="U66" i="19"/>
  <c r="Y70" i="19"/>
  <c r="U70" i="19"/>
  <c r="Y58" i="19"/>
  <c r="U58" i="19"/>
  <c r="Y57" i="19"/>
  <c r="U57" i="19"/>
  <c r="Y56" i="19"/>
  <c r="U56" i="19"/>
  <c r="V45" i="19"/>
  <c r="V37" i="19"/>
  <c r="V39" i="19"/>
  <c r="V41" i="19"/>
  <c r="V35" i="19"/>
  <c r="Y61" i="19"/>
  <c r="U61" i="19"/>
  <c r="Y62" i="19"/>
  <c r="U62" i="19"/>
  <c r="V21" i="19"/>
  <c r="V26" i="19"/>
  <c r="V27" i="19"/>
  <c r="Q36" i="3"/>
  <c r="R36" i="3" s="1"/>
  <c r="V20" i="19"/>
  <c r="U52" i="19"/>
  <c r="Y52" i="19"/>
  <c r="U40" i="42"/>
  <c r="V25" i="19"/>
  <c r="V33" i="19"/>
  <c r="S55" i="42"/>
  <c r="V40" i="19"/>
  <c r="U51" i="19"/>
  <c r="Y51" i="19"/>
  <c r="V38" i="19"/>
  <c r="V28" i="19"/>
  <c r="V42" i="19"/>
  <c r="V44" i="19"/>
  <c r="V34" i="19"/>
  <c r="V31" i="19"/>
  <c r="V49" i="19"/>
  <c r="U22" i="19"/>
  <c r="Y22" i="19"/>
  <c r="U59" i="19"/>
  <c r="Y59" i="19"/>
  <c r="U60" i="19"/>
  <c r="Y60" i="19"/>
  <c r="U55" i="19"/>
  <c r="Y55" i="19"/>
  <c r="V32" i="19"/>
  <c r="U54" i="19"/>
  <c r="Y54" i="19"/>
  <c r="V29" i="19"/>
  <c r="S62" i="42"/>
  <c r="V47" i="19"/>
  <c r="V23" i="19"/>
  <c r="U53" i="19"/>
  <c r="Y53" i="19"/>
  <c r="V46" i="19"/>
  <c r="V50" i="19"/>
  <c r="V36" i="19"/>
  <c r="V43" i="19"/>
  <c r="U45" i="42"/>
  <c r="V30" i="19"/>
  <c r="V24" i="19"/>
  <c r="U94" i="19"/>
  <c r="U72" i="19"/>
  <c r="U97" i="19"/>
  <c r="U84" i="19"/>
  <c r="U81" i="19"/>
  <c r="U73" i="19"/>
  <c r="S65" i="42"/>
  <c r="U65" i="42"/>
  <c r="S64" i="42"/>
  <c r="U64" i="42"/>
  <c r="S57" i="42"/>
  <c r="U57" i="42"/>
  <c r="S59" i="42"/>
  <c r="U59" i="42"/>
  <c r="S61" i="42"/>
  <c r="U61" i="42"/>
  <c r="S58" i="42"/>
  <c r="U58" i="42"/>
  <c r="S60" i="42"/>
  <c r="U60" i="42"/>
  <c r="U62" i="42"/>
  <c r="S52" i="42"/>
  <c r="U52" i="42"/>
  <c r="S44" i="42"/>
  <c r="U44" i="42"/>
  <c r="S49" i="42"/>
  <c r="U49" i="42"/>
  <c r="S46" i="42"/>
  <c r="U46" i="42"/>
  <c r="S45" i="42"/>
  <c r="S56" i="42"/>
  <c r="U56" i="42"/>
  <c r="S53" i="42"/>
  <c r="U53" i="42"/>
  <c r="S51" i="42"/>
  <c r="U51" i="42"/>
  <c r="S47" i="42"/>
  <c r="U47" i="42"/>
  <c r="U55" i="42"/>
  <c r="S54" i="42"/>
  <c r="U54" i="42"/>
  <c r="S48" i="42"/>
  <c r="U48" i="42"/>
  <c r="S50" i="42"/>
  <c r="U50" i="42"/>
  <c r="S43" i="42"/>
  <c r="U43" i="42"/>
  <c r="S42" i="42"/>
  <c r="U42" i="42"/>
  <c r="S38" i="42"/>
  <c r="U38" i="42"/>
  <c r="S41" i="42"/>
  <c r="U41" i="42"/>
  <c r="S40" i="42"/>
  <c r="S39" i="42"/>
  <c r="U39" i="42"/>
  <c r="S36" i="42"/>
  <c r="S35" i="42"/>
  <c r="U35" i="42"/>
  <c r="AO20" i="25" l="1"/>
  <c r="AI20" i="25" s="1"/>
  <c r="U20" i="19" s="1"/>
  <c r="W20" i="19"/>
  <c r="AI87" i="25"/>
  <c r="U87" i="19" s="1"/>
  <c r="Y87" i="19"/>
  <c r="AI90" i="25"/>
  <c r="U90" i="19" s="1"/>
  <c r="Y90" i="19"/>
  <c r="AI98" i="25"/>
  <c r="U98" i="19" s="1"/>
  <c r="Y98" i="19"/>
  <c r="AI99" i="25"/>
  <c r="U99" i="19" s="1"/>
  <c r="Y99" i="19"/>
  <c r="AI93" i="25"/>
  <c r="U93" i="19" s="1"/>
  <c r="Y93" i="19"/>
  <c r="AI92" i="25"/>
  <c r="U92" i="19" s="1"/>
  <c r="Y92" i="19"/>
  <c r="AI89" i="25"/>
  <c r="U89" i="19" s="1"/>
  <c r="Y89" i="19"/>
  <c r="AI85" i="25"/>
  <c r="U85" i="19" s="1"/>
  <c r="Y85" i="19"/>
  <c r="AI78" i="25"/>
  <c r="U78" i="19" s="1"/>
  <c r="Y78" i="19"/>
  <c r="AI74" i="25"/>
  <c r="U74" i="19" s="1"/>
  <c r="Y74" i="19"/>
  <c r="AI80" i="25"/>
  <c r="U80" i="19" s="1"/>
  <c r="Y80" i="19"/>
  <c r="AI82" i="25"/>
  <c r="U82" i="19" s="1"/>
  <c r="Y82" i="19"/>
  <c r="AI79" i="25"/>
  <c r="U79" i="19" s="1"/>
  <c r="Y79" i="19"/>
  <c r="AI75" i="25"/>
  <c r="U75" i="19" s="1"/>
  <c r="Y75" i="19"/>
  <c r="AI76" i="25"/>
  <c r="U76" i="19" s="1"/>
  <c r="Y76" i="19"/>
  <c r="AI77" i="25"/>
  <c r="U77" i="19" s="1"/>
  <c r="Y77" i="19"/>
  <c r="Y103" i="19"/>
  <c r="Y101" i="19"/>
  <c r="U101" i="19"/>
  <c r="Y100" i="19"/>
  <c r="Y102" i="19"/>
  <c r="U102" i="19"/>
  <c r="U36" i="42"/>
  <c r="AD21" i="19"/>
  <c r="Y24" i="19"/>
  <c r="U24" i="19"/>
  <c r="Y34" i="19"/>
  <c r="U34" i="19"/>
  <c r="Y42" i="19"/>
  <c r="U42" i="19"/>
  <c r="Y38" i="19"/>
  <c r="U38" i="19"/>
  <c r="Y45" i="19"/>
  <c r="U45" i="19"/>
  <c r="Y46" i="19"/>
  <c r="U46" i="19"/>
  <c r="U41" i="19"/>
  <c r="Y41" i="19"/>
  <c r="U36" i="19"/>
  <c r="Y36" i="19"/>
  <c r="U23" i="19"/>
  <c r="Y23" i="19"/>
  <c r="U31" i="19"/>
  <c r="Y31" i="19"/>
  <c r="U25" i="19"/>
  <c r="Y25" i="19"/>
  <c r="U40" i="19"/>
  <c r="Y40" i="19"/>
  <c r="U43" i="19"/>
  <c r="Y43" i="19"/>
  <c r="U50" i="19"/>
  <c r="Y50" i="19"/>
  <c r="U49" i="19"/>
  <c r="Y49" i="19"/>
  <c r="U27" i="19"/>
  <c r="Y27" i="19"/>
  <c r="U35" i="19"/>
  <c r="Y35" i="19"/>
  <c r="U39" i="19"/>
  <c r="Y39" i="19"/>
  <c r="U29" i="19"/>
  <c r="Y29" i="19"/>
  <c r="U32" i="19"/>
  <c r="Y32" i="19"/>
  <c r="U44" i="19"/>
  <c r="Y44" i="19"/>
  <c r="U28" i="19"/>
  <c r="Y28" i="19"/>
  <c r="U33" i="19"/>
  <c r="Y33" i="19"/>
  <c r="U30" i="19"/>
  <c r="Y30" i="19"/>
  <c r="U37" i="19"/>
  <c r="Y37" i="19"/>
  <c r="U26" i="19"/>
  <c r="Y26" i="19"/>
  <c r="U47" i="19"/>
  <c r="Y47" i="19"/>
  <c r="U100" i="19"/>
  <c r="U103" i="19"/>
  <c r="Y20" i="19" l="1"/>
  <c r="W21" i="19"/>
  <c r="U21" i="19"/>
  <c r="F52" i="10"/>
  <c r="F38" i="10"/>
  <c r="Y21" i="19" l="1"/>
  <c r="T15" i="19"/>
  <c r="P15" i="19"/>
  <c r="G15" i="19"/>
  <c r="H15" i="19"/>
  <c r="K15" i="25" s="1"/>
  <c r="F15" i="19"/>
  <c r="B15" i="19" s="1"/>
  <c r="O15" i="19"/>
  <c r="BK15" i="19"/>
  <c r="BG15" i="19"/>
  <c r="B30" i="3" l="1"/>
  <c r="OJ15" i="25"/>
  <c r="OJ11" i="25" s="1"/>
  <c r="OJ13" i="25" s="1"/>
  <c r="OJ12" i="25" s="1"/>
  <c r="IA15" i="25"/>
  <c r="IF15" i="25" s="1"/>
  <c r="OE15" i="25"/>
  <c r="LA15" i="25"/>
  <c r="LF15" i="25" s="1"/>
  <c r="DS15" i="25"/>
  <c r="NJ15" i="25"/>
  <c r="EA15" i="25"/>
  <c r="JJ15" i="25"/>
  <c r="B30" i="42"/>
  <c r="JA15" i="25"/>
  <c r="JF15" i="25" s="1"/>
  <c r="IJ15" i="25"/>
  <c r="LJ15" i="25"/>
  <c r="FM15" i="25"/>
  <c r="FM11" i="25" s="1"/>
  <c r="FM13" i="25" s="1"/>
  <c r="FM12" i="25" s="1"/>
  <c r="DQ15" i="25"/>
  <c r="KJ15" i="25"/>
  <c r="CS15" i="25"/>
  <c r="CQ15" i="25"/>
  <c r="FA15" i="25"/>
  <c r="Q15" i="25"/>
  <c r="EM15" i="25"/>
  <c r="EM11" i="25" s="1"/>
  <c r="EM13" i="25" s="1"/>
  <c r="EM12" i="25" s="1"/>
  <c r="DR15" i="25"/>
  <c r="KA15" i="25"/>
  <c r="KF15" i="25" s="1"/>
  <c r="CR15" i="25"/>
  <c r="MJ15" i="25"/>
  <c r="NA15" i="25"/>
  <c r="NF15" i="25" s="1"/>
  <c r="MA15" i="25"/>
  <c r="MF15" i="25" s="1"/>
  <c r="FE15" i="25"/>
  <c r="I15" i="25"/>
  <c r="R15" i="25"/>
  <c r="J15" i="25"/>
  <c r="M15" i="25"/>
  <c r="J30" i="42" l="1"/>
  <c r="GR15" i="25"/>
  <c r="HR15" i="25"/>
  <c r="GA15" i="25"/>
  <c r="HA15" i="25"/>
  <c r="ER15" i="25"/>
  <c r="EP15" i="25"/>
  <c r="IC4" i="25"/>
  <c r="AH15" i="25"/>
  <c r="FR15" i="25"/>
  <c r="C30" i="42"/>
  <c r="AC15" i="25"/>
  <c r="S15" i="25"/>
  <c r="F30" i="3"/>
  <c r="C30" i="3"/>
  <c r="D30" i="3"/>
  <c r="G30" i="3"/>
  <c r="E30" i="3"/>
  <c r="G30" i="42"/>
  <c r="L30" i="42"/>
  <c r="AJ30" i="42"/>
  <c r="D30" i="42"/>
  <c r="T30" i="42"/>
  <c r="N30" i="42"/>
  <c r="E30" i="42"/>
  <c r="S30" i="3"/>
  <c r="W15" i="25" l="1"/>
  <c r="U15" i="25"/>
  <c r="R30" i="42"/>
  <c r="K30" i="42"/>
  <c r="I30" i="42"/>
  <c r="AI30" i="42"/>
  <c r="T15" i="25" l="1"/>
  <c r="V15" i="25"/>
  <c r="X15" i="25" l="1"/>
  <c r="Z15" i="25" s="1"/>
  <c r="AG15" i="25" l="1"/>
  <c r="Q30" i="42" s="1"/>
  <c r="Q15" i="19"/>
  <c r="P15" i="20" s="1"/>
  <c r="Y15" i="25"/>
  <c r="IG15" i="25" s="1"/>
  <c r="H30" i="42"/>
  <c r="AA15" i="25"/>
  <c r="MG15" i="25" s="1"/>
  <c r="KG15" i="25" l="1"/>
  <c r="KH15" i="25" s="1"/>
  <c r="S15" i="19"/>
  <c r="JG15" i="25"/>
  <c r="JH15" i="25" s="1"/>
  <c r="NG15" i="25"/>
  <c r="NH15" i="25" s="1"/>
  <c r="NI15" i="25" s="1"/>
  <c r="NK15" i="25" s="1"/>
  <c r="R15" i="19"/>
  <c r="AD15" i="25"/>
  <c r="AE15" i="25"/>
  <c r="AF15" i="25" s="1"/>
  <c r="LG15" i="25"/>
  <c r="LH15" i="25" s="1"/>
  <c r="OH15" i="25"/>
  <c r="MH15" i="25"/>
  <c r="IH15" i="25"/>
  <c r="JI15" i="25" l="1"/>
  <c r="JK15" i="25" s="1"/>
  <c r="NL15" i="25"/>
  <c r="NM15" i="25" s="1"/>
  <c r="II15" i="25"/>
  <c r="IK15" i="25" s="1"/>
  <c r="ON15" i="25"/>
  <c r="OI15" i="25"/>
  <c r="LN15" i="25"/>
  <c r="LI15" i="25"/>
  <c r="KN15" i="25"/>
  <c r="KI15" i="25"/>
  <c r="MI15" i="25"/>
  <c r="JN15" i="25"/>
  <c r="DO15" i="25" l="1"/>
  <c r="LK15" i="25"/>
  <c r="LL15" i="25" s="1"/>
  <c r="DH15" i="25"/>
  <c r="MK15" i="25"/>
  <c r="KK15" i="25"/>
  <c r="KL15" i="25" s="1"/>
  <c r="NN15" i="25"/>
  <c r="BX15" i="25"/>
  <c r="P30" i="3" s="1"/>
  <c r="JL15" i="25"/>
  <c r="IL15" i="25"/>
  <c r="P16" i="19"/>
  <c r="T16" i="19"/>
  <c r="K16" i="25"/>
  <c r="O16" i="19"/>
  <c r="BB15" i="25" l="1"/>
  <c r="BT15" i="25"/>
  <c r="AX15" i="25" s="1"/>
  <c r="ML15" i="25"/>
  <c r="BV15" i="25"/>
  <c r="N30" i="3" s="1"/>
  <c r="BU15" i="25"/>
  <c r="BS15" i="25"/>
  <c r="MN15" i="25"/>
  <c r="LM15" i="25"/>
  <c r="DF15" i="25"/>
  <c r="JM15" i="25"/>
  <c r="DD15" i="25"/>
  <c r="IM15" i="25"/>
  <c r="IN15" i="25" s="1"/>
  <c r="KM15" i="25"/>
  <c r="B16" i="19"/>
  <c r="B31" i="42"/>
  <c r="P19" i="19"/>
  <c r="P17" i="19"/>
  <c r="P18" i="19"/>
  <c r="OE16" i="25"/>
  <c r="Q16" i="25"/>
  <c r="B31" i="3"/>
  <c r="T17" i="19"/>
  <c r="T18" i="19"/>
  <c r="T19" i="19"/>
  <c r="K17" i="25"/>
  <c r="K19" i="25"/>
  <c r="K18" i="25"/>
  <c r="O19" i="19"/>
  <c r="O17" i="19"/>
  <c r="O18" i="19"/>
  <c r="R16" i="25"/>
  <c r="J16" i="25"/>
  <c r="I16" i="25"/>
  <c r="MA16" i="25"/>
  <c r="MF16" i="25" s="1"/>
  <c r="M16" i="25"/>
  <c r="OI16" i="25" s="1"/>
  <c r="OK16" i="25" s="1"/>
  <c r="OL16" i="25" s="1"/>
  <c r="MJ16" i="25"/>
  <c r="NJ16" i="25"/>
  <c r="IA16" i="25"/>
  <c r="IF16" i="25" s="1"/>
  <c r="IJ16" i="25"/>
  <c r="KA16" i="25"/>
  <c r="KF16" i="25" s="1"/>
  <c r="LJ16" i="25"/>
  <c r="FA16" i="25"/>
  <c r="DS16" i="25"/>
  <c r="KJ16" i="25"/>
  <c r="JJ16" i="25"/>
  <c r="DQ16" i="25"/>
  <c r="DR16" i="25"/>
  <c r="FE16" i="25"/>
  <c r="L30" i="3"/>
  <c r="OM16" i="25" l="1"/>
  <c r="BI16" i="25"/>
  <c r="C31" i="42"/>
  <c r="J31" i="42"/>
  <c r="AZ15" i="25"/>
  <c r="DJ15" i="25"/>
  <c r="DU15" i="25" s="1"/>
  <c r="DM15" i="25"/>
  <c r="DL15" i="25"/>
  <c r="DK15" i="25"/>
  <c r="BW15" i="25"/>
  <c r="MM15" i="25"/>
  <c r="DG15" i="25"/>
  <c r="EP16" i="25"/>
  <c r="M15" i="19"/>
  <c r="G32" i="12"/>
  <c r="G30" i="12"/>
  <c r="G31" i="12"/>
  <c r="E31" i="3"/>
  <c r="S16" i="25"/>
  <c r="AC16" i="25"/>
  <c r="B17" i="19"/>
  <c r="B32" i="42"/>
  <c r="J32" i="42" s="1"/>
  <c r="B18" i="19"/>
  <c r="B33" i="42"/>
  <c r="B19" i="19"/>
  <c r="M19" i="19" s="1"/>
  <c r="B34" i="42"/>
  <c r="P11" i="19"/>
  <c r="W30" i="42"/>
  <c r="AH18" i="25"/>
  <c r="S31" i="3"/>
  <c r="G31" i="3"/>
  <c r="OE18" i="25"/>
  <c r="OE17" i="25"/>
  <c r="OE19" i="25"/>
  <c r="Q19" i="25"/>
  <c r="Q17" i="25"/>
  <c r="Q18" i="25"/>
  <c r="D31" i="42"/>
  <c r="N31" i="42"/>
  <c r="AI31" i="42" s="1"/>
  <c r="AJ31" i="42" s="1"/>
  <c r="T31" i="42"/>
  <c r="E31" i="42"/>
  <c r="B32" i="3"/>
  <c r="C31" i="3"/>
  <c r="F31" i="3"/>
  <c r="D31" i="3"/>
  <c r="G31" i="42"/>
  <c r="L31" i="42"/>
  <c r="B33" i="3"/>
  <c r="B34" i="3"/>
  <c r="AH16" i="25"/>
  <c r="R19" i="25"/>
  <c r="R18" i="25"/>
  <c r="R17" i="25"/>
  <c r="J19" i="25"/>
  <c r="I19" i="25"/>
  <c r="J17" i="25"/>
  <c r="J18" i="25"/>
  <c r="I17" i="25"/>
  <c r="I18" i="25"/>
  <c r="MA19" i="25"/>
  <c r="MF19" i="25" s="1"/>
  <c r="MA18" i="25"/>
  <c r="MF18" i="25" s="1"/>
  <c r="MA17" i="25"/>
  <c r="MF17" i="25" s="1"/>
  <c r="NJ18" i="25"/>
  <c r="KA18" i="25"/>
  <c r="KF18" i="25" s="1"/>
  <c r="FA18" i="25"/>
  <c r="JJ18" i="25"/>
  <c r="KJ18" i="25"/>
  <c r="DR18" i="25"/>
  <c r="LJ18" i="25"/>
  <c r="MJ18" i="25"/>
  <c r="DS18" i="25"/>
  <c r="IJ18" i="25"/>
  <c r="FE18" i="25"/>
  <c r="IA18" i="25"/>
  <c r="DQ18" i="25"/>
  <c r="DT18" i="25" s="1"/>
  <c r="M18" i="25"/>
  <c r="M19" i="25"/>
  <c r="OI19" i="25" s="1"/>
  <c r="M17" i="25"/>
  <c r="IA19" i="25"/>
  <c r="NJ19" i="25"/>
  <c r="LJ19" i="25"/>
  <c r="DQ19" i="25"/>
  <c r="DT19" i="25" s="1"/>
  <c r="DR19" i="25"/>
  <c r="KA19" i="25"/>
  <c r="KF19" i="25" s="1"/>
  <c r="DS19" i="25"/>
  <c r="FE19" i="25"/>
  <c r="JJ19" i="25"/>
  <c r="KJ19" i="25"/>
  <c r="FA19" i="25"/>
  <c r="MJ19" i="25"/>
  <c r="IJ19" i="25"/>
  <c r="KA17" i="25"/>
  <c r="KF17" i="25" s="1"/>
  <c r="LJ17" i="25"/>
  <c r="KJ17" i="25"/>
  <c r="DS17" i="25"/>
  <c r="IA17" i="25"/>
  <c r="FA17" i="25"/>
  <c r="DQ17" i="25"/>
  <c r="DT17" i="25" s="1"/>
  <c r="JJ17" i="25"/>
  <c r="FE17" i="25"/>
  <c r="NJ17" i="25"/>
  <c r="MJ17" i="25"/>
  <c r="IJ17" i="25"/>
  <c r="DR17" i="25"/>
  <c r="O11" i="19"/>
  <c r="O30" i="3"/>
  <c r="M18" i="19" l="1"/>
  <c r="M17" i="19"/>
  <c r="M16" i="19"/>
  <c r="EP11" i="25"/>
  <c r="EP13" i="25" s="1"/>
  <c r="EP12" i="25" s="1"/>
  <c r="AN16" i="25"/>
  <c r="C33" i="42"/>
  <c r="J33" i="42"/>
  <c r="C34" i="42"/>
  <c r="J34" i="42"/>
  <c r="IF19" i="25"/>
  <c r="OK19" i="25"/>
  <c r="OL19" i="25" s="1"/>
  <c r="BI19" i="25" s="1"/>
  <c r="IF18" i="25"/>
  <c r="OI17" i="25"/>
  <c r="IF17" i="25"/>
  <c r="OI18" i="25"/>
  <c r="NJ11" i="25"/>
  <c r="NJ13" i="25" s="1"/>
  <c r="NJ12" i="25" s="1"/>
  <c r="JJ11" i="25"/>
  <c r="JJ13" i="25" s="1"/>
  <c r="JJ12" i="25" s="1"/>
  <c r="IJ11" i="25"/>
  <c r="IJ13" i="25" s="1"/>
  <c r="IJ12" i="25" s="1"/>
  <c r="KJ11" i="25"/>
  <c r="KJ13" i="25" s="1"/>
  <c r="KJ12" i="25" s="1"/>
  <c r="LJ11" i="25"/>
  <c r="LJ13" i="25" s="1"/>
  <c r="LJ12" i="25" s="1"/>
  <c r="BA15" i="25"/>
  <c r="MJ11" i="25"/>
  <c r="MJ13" i="25" s="1"/>
  <c r="MJ12" i="25" s="1"/>
  <c r="DN15" i="25"/>
  <c r="DV15" i="25"/>
  <c r="BP15" i="25"/>
  <c r="U16" i="25"/>
  <c r="W16" i="25"/>
  <c r="W18" i="25"/>
  <c r="U18" i="25"/>
  <c r="R31" i="42"/>
  <c r="ER16" i="25"/>
  <c r="AH19" i="25"/>
  <c r="K34" i="42" s="1"/>
  <c r="D67" i="12"/>
  <c r="B39" i="18"/>
  <c r="D42" i="12"/>
  <c r="B38" i="18"/>
  <c r="D38" i="18" s="1"/>
  <c r="D34" i="42"/>
  <c r="E27" i="42"/>
  <c r="G29" i="12"/>
  <c r="L15" i="25"/>
  <c r="C32" i="42"/>
  <c r="E33" i="3"/>
  <c r="E32" i="3"/>
  <c r="E34" i="3"/>
  <c r="S17" i="25"/>
  <c r="AC17" i="25"/>
  <c r="S18" i="25"/>
  <c r="AC18" i="25"/>
  <c r="K31" i="42"/>
  <c r="S19" i="25"/>
  <c r="AC19" i="25"/>
  <c r="AC10" i="25" s="1"/>
  <c r="I31" i="42"/>
  <c r="D33" i="42"/>
  <c r="G33" i="3"/>
  <c r="G34" i="3"/>
  <c r="G32" i="3"/>
  <c r="E32" i="42"/>
  <c r="L32" i="42"/>
  <c r="D32" i="42"/>
  <c r="G32" i="42"/>
  <c r="G34" i="42"/>
  <c r="E33" i="42"/>
  <c r="L33" i="42"/>
  <c r="L34" i="42"/>
  <c r="E34" i="42"/>
  <c r="G33" i="42"/>
  <c r="N34" i="42"/>
  <c r="T34" i="42"/>
  <c r="T32" i="42"/>
  <c r="N32" i="42"/>
  <c r="N33" i="42"/>
  <c r="T33" i="42"/>
  <c r="C34" i="3"/>
  <c r="D34" i="3"/>
  <c r="F34" i="3"/>
  <c r="C32" i="3"/>
  <c r="D32" i="3"/>
  <c r="F32" i="3"/>
  <c r="C33" i="3"/>
  <c r="D33" i="3"/>
  <c r="F33" i="3"/>
  <c r="H30" i="3"/>
  <c r="H34" i="3"/>
  <c r="F30" i="42"/>
  <c r="AF31" i="42"/>
  <c r="Z16" i="19"/>
  <c r="AH17" i="25"/>
  <c r="K33" i="42"/>
  <c r="Z15" i="19"/>
  <c r="S32" i="3"/>
  <c r="S33" i="3"/>
  <c r="S34" i="3"/>
  <c r="M14" i="19" l="1"/>
  <c r="FK15" i="25"/>
  <c r="FN15" i="25" s="1"/>
  <c r="FL15" i="25"/>
  <c r="EL15" i="25"/>
  <c r="DI15" i="25"/>
  <c r="DT15" i="25"/>
  <c r="OM19" i="25"/>
  <c r="HR11" i="25"/>
  <c r="HR13" i="25" s="1"/>
  <c r="HR12" i="25" s="1"/>
  <c r="GR11" i="25"/>
  <c r="GR13" i="25" s="1"/>
  <c r="GR12" i="25" s="1"/>
  <c r="OK17" i="25"/>
  <c r="OL17" i="25" s="1"/>
  <c r="BI17" i="25" s="1"/>
  <c r="OK18" i="25"/>
  <c r="OL18" i="25" s="1"/>
  <c r="BI18" i="25" s="1"/>
  <c r="FR11" i="25"/>
  <c r="FR13" i="25" s="1"/>
  <c r="FR12" i="25" s="1"/>
  <c r="L58" i="12"/>
  <c r="L110" i="12"/>
  <c r="L84" i="12"/>
  <c r="L108" i="12"/>
  <c r="L107" i="12"/>
  <c r="L82" i="12"/>
  <c r="L81" i="12"/>
  <c r="L109" i="12"/>
  <c r="L83" i="12"/>
  <c r="M109" i="12"/>
  <c r="M110" i="12"/>
  <c r="M107" i="12"/>
  <c r="M108" i="12"/>
  <c r="HK15" i="25"/>
  <c r="HL15" i="25"/>
  <c r="GK15" i="25"/>
  <c r="CT15" i="25"/>
  <c r="GL15" i="25"/>
  <c r="EK15" i="25"/>
  <c r="EN15" i="25" s="1"/>
  <c r="U17" i="25"/>
  <c r="W17" i="25"/>
  <c r="U19" i="25"/>
  <c r="W19" i="25"/>
  <c r="R33" i="42"/>
  <c r="R32" i="42"/>
  <c r="R34" i="42"/>
  <c r="F32" i="12"/>
  <c r="ER17" i="25"/>
  <c r="ER18" i="25"/>
  <c r="ER19" i="25"/>
  <c r="H31" i="3"/>
  <c r="B36" i="18"/>
  <c r="D36" i="18" s="1"/>
  <c r="L57" i="12"/>
  <c r="L55" i="12"/>
  <c r="L56" i="12"/>
  <c r="F30" i="12"/>
  <c r="AQ15" i="25"/>
  <c r="AA15" i="19" s="1"/>
  <c r="AF32" i="42"/>
  <c r="OK15" i="25"/>
  <c r="F31" i="12"/>
  <c r="D68" i="12" s="1"/>
  <c r="H32" i="3"/>
  <c r="V16" i="25"/>
  <c r="T16" i="25"/>
  <c r="T18" i="25"/>
  <c r="V18" i="25"/>
  <c r="K32" i="42"/>
  <c r="AF33" i="42"/>
  <c r="AP10" i="25"/>
  <c r="I34" i="42"/>
  <c r="I33" i="42"/>
  <c r="I32" i="42"/>
  <c r="F33" i="42"/>
  <c r="H33" i="3"/>
  <c r="L19" i="25"/>
  <c r="F34" i="42"/>
  <c r="F31" i="42"/>
  <c r="L17" i="25"/>
  <c r="F32" i="42"/>
  <c r="L18" i="25"/>
  <c r="L16" i="25"/>
  <c r="M11" i="19"/>
  <c r="F29" i="12" s="1"/>
  <c r="AI32" i="42"/>
  <c r="AJ32" i="42" s="1"/>
  <c r="AI34" i="42"/>
  <c r="AJ34" i="42" s="1"/>
  <c r="AF34" i="42"/>
  <c r="AI33" i="42"/>
  <c r="AJ33" i="42" s="1"/>
  <c r="Z17" i="19"/>
  <c r="Z19" i="19"/>
  <c r="Z18" i="19"/>
  <c r="CT18" i="25" l="1"/>
  <c r="AL18" i="25" s="1"/>
  <c r="FL18" i="25"/>
  <c r="CT19" i="25"/>
  <c r="AL19" i="25" s="1"/>
  <c r="FL19" i="25"/>
  <c r="CT16" i="25"/>
  <c r="FL16" i="25"/>
  <c r="CT17" i="25"/>
  <c r="AL17" i="25" s="1"/>
  <c r="FL17" i="25"/>
  <c r="FK16" i="25"/>
  <c r="AQ16" i="25"/>
  <c r="HK16" i="25"/>
  <c r="HN16" i="25" s="1"/>
  <c r="HO16" i="25" s="1"/>
  <c r="HL16" i="25"/>
  <c r="GL16" i="25"/>
  <c r="GK16" i="25"/>
  <c r="GN16" i="25" s="1"/>
  <c r="GO16" i="25" s="1"/>
  <c r="FK17" i="25"/>
  <c r="AQ17" i="25"/>
  <c r="AA17" i="19" s="1"/>
  <c r="HL17" i="25"/>
  <c r="HK17" i="25"/>
  <c r="GL17" i="25"/>
  <c r="GK17" i="25"/>
  <c r="AQ18" i="25"/>
  <c r="AA18" i="19" s="1"/>
  <c r="HK18" i="25"/>
  <c r="FK18" i="25"/>
  <c r="HL18" i="25"/>
  <c r="GK18" i="25"/>
  <c r="GN18" i="25" s="1"/>
  <c r="GO18" i="25" s="1"/>
  <c r="GL18" i="25"/>
  <c r="AQ19" i="25"/>
  <c r="AA19" i="19" s="1"/>
  <c r="FK19" i="25"/>
  <c r="HK19" i="25"/>
  <c r="GK19" i="25"/>
  <c r="GL19" i="25"/>
  <c r="HL19" i="25"/>
  <c r="AL15" i="25"/>
  <c r="PI16" i="25"/>
  <c r="PK16" i="25" s="1"/>
  <c r="PL16" i="25" s="1"/>
  <c r="EK19" i="25"/>
  <c r="PI19" i="25"/>
  <c r="EL19" i="25"/>
  <c r="OM18" i="25"/>
  <c r="PI18" i="25"/>
  <c r="EK18" i="25"/>
  <c r="EL18" i="25"/>
  <c r="OM17" i="25"/>
  <c r="EK17" i="25"/>
  <c r="EN17" i="25" s="1"/>
  <c r="X17" i="19" s="1"/>
  <c r="EL17" i="25"/>
  <c r="PI17" i="25"/>
  <c r="ER11" i="25"/>
  <c r="ER13" i="25" s="1"/>
  <c r="ER12" i="25" s="1"/>
  <c r="OL15" i="25"/>
  <c r="OM15" i="25" s="1"/>
  <c r="N110" i="12"/>
  <c r="N109" i="12"/>
  <c r="N108" i="12"/>
  <c r="M111" i="12"/>
  <c r="N107" i="12"/>
  <c r="L99" i="12"/>
  <c r="L74" i="12"/>
  <c r="L102" i="12"/>
  <c r="L100" i="12"/>
  <c r="L75" i="12"/>
  <c r="L73" i="12"/>
  <c r="L101" i="12"/>
  <c r="L76" i="12"/>
  <c r="M100" i="12"/>
  <c r="M102" i="12"/>
  <c r="M73" i="12"/>
  <c r="M76" i="12"/>
  <c r="N76" i="12" s="1"/>
  <c r="M74" i="12"/>
  <c r="M75" i="12"/>
  <c r="M101" i="12"/>
  <c r="M99" i="12"/>
  <c r="L51" i="12"/>
  <c r="L49" i="12"/>
  <c r="L50" i="12"/>
  <c r="M51" i="12"/>
  <c r="M49" i="12"/>
  <c r="M50" i="12"/>
  <c r="FO15" i="25"/>
  <c r="BF15" i="25" s="1"/>
  <c r="HN15" i="25"/>
  <c r="GN15" i="25"/>
  <c r="EK16" i="25"/>
  <c r="EL16" i="25"/>
  <c r="AN15" i="25"/>
  <c r="X15" i="19" s="1"/>
  <c r="V15" i="19"/>
  <c r="M48" i="12"/>
  <c r="N31" i="12"/>
  <c r="L48" i="12"/>
  <c r="B37" i="18"/>
  <c r="D37" i="18" s="1"/>
  <c r="X16" i="25"/>
  <c r="X18" i="25"/>
  <c r="V17" i="25"/>
  <c r="T17" i="25"/>
  <c r="V19" i="25"/>
  <c r="T19" i="25"/>
  <c r="BJ10" i="25"/>
  <c r="F27" i="42"/>
  <c r="AC3" i="19"/>
  <c r="BL10" i="25"/>
  <c r="BN10" i="25"/>
  <c r="BM10" i="25"/>
  <c r="FL11" i="25" l="1"/>
  <c r="FL13" i="25" s="1"/>
  <c r="FL12" i="25" s="1"/>
  <c r="FN19" i="25"/>
  <c r="FO19" i="25" s="1"/>
  <c r="BF19" i="25" s="1"/>
  <c r="AV19" i="25" s="1"/>
  <c r="GN17" i="25"/>
  <c r="GO17" i="25" s="1"/>
  <c r="FN18" i="25"/>
  <c r="FO18" i="25" s="1"/>
  <c r="BF18" i="25" s="1"/>
  <c r="AV18" i="25" s="1"/>
  <c r="FN17" i="25"/>
  <c r="FO17" i="25" s="1"/>
  <c r="BF17" i="25" s="1"/>
  <c r="AV17" i="25" s="1"/>
  <c r="HQ16" i="25"/>
  <c r="CF16" i="25"/>
  <c r="GN19" i="25"/>
  <c r="GO19" i="25" s="1"/>
  <c r="HN18" i="25"/>
  <c r="HO18" i="25" s="1"/>
  <c r="HN17" i="25"/>
  <c r="HO17" i="25" s="1"/>
  <c r="CE16" i="25"/>
  <c r="GQ16" i="25"/>
  <c r="HN19" i="25"/>
  <c r="HO19" i="25" s="1"/>
  <c r="GQ18" i="25"/>
  <c r="CE18" i="25"/>
  <c r="FN16" i="25"/>
  <c r="FO16" i="25" s="1"/>
  <c r="BF16" i="25" s="1"/>
  <c r="AV16" i="25" s="1"/>
  <c r="PM16" i="25"/>
  <c r="BK16" i="25"/>
  <c r="EN19" i="25"/>
  <c r="EO19" i="25" s="1"/>
  <c r="EN18" i="25"/>
  <c r="X18" i="19" s="1"/>
  <c r="PK19" i="25"/>
  <c r="PL19" i="25" s="1"/>
  <c r="BK19" i="25" s="1"/>
  <c r="GL11" i="25"/>
  <c r="GL13" i="25" s="1"/>
  <c r="GL12" i="25" s="1"/>
  <c r="HL11" i="25"/>
  <c r="HL13" i="25" s="1"/>
  <c r="HL12" i="25" s="1"/>
  <c r="EL11" i="25"/>
  <c r="EL13" i="25" s="1"/>
  <c r="EL12" i="25" s="1"/>
  <c r="PK17" i="25"/>
  <c r="PL17" i="25" s="1"/>
  <c r="BK17" i="25" s="1"/>
  <c r="PK18" i="25"/>
  <c r="PL18" i="25" s="1"/>
  <c r="BK18" i="25" s="1"/>
  <c r="BI15" i="25"/>
  <c r="AW15" i="25" s="1"/>
  <c r="N101" i="12"/>
  <c r="GK11" i="25"/>
  <c r="GK13" i="25" s="1"/>
  <c r="GK12" i="25" s="1"/>
  <c r="HK11" i="25"/>
  <c r="HK13" i="25" s="1"/>
  <c r="HK12" i="25" s="1"/>
  <c r="HO15" i="25"/>
  <c r="CF15" i="25" s="1"/>
  <c r="EO15" i="25"/>
  <c r="EK11" i="25"/>
  <c r="EK13" i="25" s="1"/>
  <c r="EK12" i="25" s="1"/>
  <c r="FK11" i="25"/>
  <c r="FK13" i="25" s="1"/>
  <c r="FK12" i="25" s="1"/>
  <c r="DC15" i="25"/>
  <c r="N74" i="12"/>
  <c r="N111" i="12"/>
  <c r="C77" i="11" s="1"/>
  <c r="N49" i="12"/>
  <c r="N100" i="12"/>
  <c r="M77" i="12"/>
  <c r="N73" i="12"/>
  <c r="M52" i="12"/>
  <c r="N75" i="12"/>
  <c r="N102" i="12"/>
  <c r="L77" i="12"/>
  <c r="L103" i="12"/>
  <c r="L52" i="12"/>
  <c r="M103" i="12"/>
  <c r="N99" i="12"/>
  <c r="N50" i="12"/>
  <c r="N51" i="12"/>
  <c r="FQ15" i="25"/>
  <c r="CD15" i="25"/>
  <c r="GO15" i="25"/>
  <c r="X19" i="19"/>
  <c r="AG18" i="25"/>
  <c r="S18" i="19" s="1"/>
  <c r="P18" i="20"/>
  <c r="AA16" i="25"/>
  <c r="P16" i="20"/>
  <c r="EO17" i="25"/>
  <c r="N48" i="12"/>
  <c r="B23" i="12"/>
  <c r="AA18" i="25"/>
  <c r="Z18" i="25"/>
  <c r="Y18" i="25"/>
  <c r="IG18" i="25" s="1"/>
  <c r="AV15" i="25"/>
  <c r="H33" i="42"/>
  <c r="AG16" i="25"/>
  <c r="S16" i="19" s="1"/>
  <c r="Y16" i="25"/>
  <c r="Z16" i="25"/>
  <c r="X17" i="25"/>
  <c r="X19" i="25"/>
  <c r="V10" i="25"/>
  <c r="H31" i="42"/>
  <c r="T10" i="25"/>
  <c r="O29" i="10"/>
  <c r="EN16" i="25"/>
  <c r="AA16" i="19"/>
  <c r="AA11" i="19" s="1"/>
  <c r="AQ10" i="25"/>
  <c r="BM9" i="25"/>
  <c r="BM8" i="25" s="1"/>
  <c r="J30" i="3"/>
  <c r="K30" i="3"/>
  <c r="EO18" i="25" l="1"/>
  <c r="CC18" i="25" s="1"/>
  <c r="CC17" i="25"/>
  <c r="BE17" i="25"/>
  <c r="AB17" i="19" s="1"/>
  <c r="BE18" i="25"/>
  <c r="I33" i="3" s="1"/>
  <c r="EQ15" i="25"/>
  <c r="CJ15" i="25" s="1"/>
  <c r="BE15" i="25"/>
  <c r="I30" i="3" s="1"/>
  <c r="CC19" i="25"/>
  <c r="BE19" i="25"/>
  <c r="I34" i="3" s="1"/>
  <c r="EN11" i="25"/>
  <c r="EN13" i="25" s="1"/>
  <c r="EN12" i="25" s="1"/>
  <c r="HQ18" i="25"/>
  <c r="CF18" i="25"/>
  <c r="GQ17" i="25"/>
  <c r="CE17" i="25"/>
  <c r="CD18" i="25"/>
  <c r="FQ18" i="25"/>
  <c r="CK18" i="25" s="1"/>
  <c r="FQ16" i="25"/>
  <c r="CK16" i="25" s="1"/>
  <c r="CD16" i="25"/>
  <c r="HQ19" i="25"/>
  <c r="CF19" i="25"/>
  <c r="HQ17" i="25"/>
  <c r="CF17" i="25"/>
  <c r="GQ19" i="25"/>
  <c r="CE19" i="25"/>
  <c r="FQ19" i="25"/>
  <c r="CK19" i="25" s="1"/>
  <c r="CD19" i="25"/>
  <c r="FQ17" i="25"/>
  <c r="CK17" i="25" s="1"/>
  <c r="CD17" i="25"/>
  <c r="PM19" i="25"/>
  <c r="Q33" i="42"/>
  <c r="KG18" i="25"/>
  <c r="KH18" i="25" s="1"/>
  <c r="KI18" i="25" s="1"/>
  <c r="KK18" i="25" s="1"/>
  <c r="KL18" i="25" s="1"/>
  <c r="BU18" i="25" s="1"/>
  <c r="AY18" i="25" s="1"/>
  <c r="W33" i="42"/>
  <c r="LG18" i="25"/>
  <c r="LH18" i="25" s="1"/>
  <c r="LI18" i="25" s="1"/>
  <c r="LK18" i="25" s="1"/>
  <c r="LL18" i="25" s="1"/>
  <c r="BV18" i="25" s="1"/>
  <c r="AZ18" i="25" s="1"/>
  <c r="HQ15" i="25"/>
  <c r="PM18" i="25"/>
  <c r="PM17" i="25"/>
  <c r="FN11" i="25"/>
  <c r="FN13" i="25" s="1"/>
  <c r="FN12" i="25" s="1"/>
  <c r="CC15" i="25"/>
  <c r="OI11" i="25"/>
  <c r="OI13" i="25" s="1"/>
  <c r="OI12" i="25" s="1"/>
  <c r="OH11" i="25"/>
  <c r="OH13" i="25" s="1"/>
  <c r="OH12" i="25" s="1"/>
  <c r="HN11" i="25"/>
  <c r="HN13" i="25" s="1"/>
  <c r="HN12" i="25" s="1"/>
  <c r="CE15" i="25"/>
  <c r="GO11" i="25"/>
  <c r="GO13" i="25" s="1"/>
  <c r="GO12" i="25" s="1"/>
  <c r="GN11" i="25"/>
  <c r="GN13" i="25" s="1"/>
  <c r="GN12" i="25" s="1"/>
  <c r="HO11" i="25"/>
  <c r="HO13" i="25" s="1"/>
  <c r="HO12" i="25" s="1"/>
  <c r="CK15" i="25"/>
  <c r="M27" i="12"/>
  <c r="N103" i="12"/>
  <c r="C72" i="11" s="1"/>
  <c r="N52" i="12"/>
  <c r="N77" i="12"/>
  <c r="C71" i="11" s="1"/>
  <c r="PH15" i="25"/>
  <c r="NG18" i="25"/>
  <c r="NH18" i="25" s="1"/>
  <c r="NI18" i="25" s="1"/>
  <c r="NK18" i="25" s="1"/>
  <c r="NL18" i="25" s="1"/>
  <c r="BX18" i="25" s="1"/>
  <c r="BB18" i="25" s="1"/>
  <c r="GQ15" i="25"/>
  <c r="IG16" i="25"/>
  <c r="EQ18" i="25"/>
  <c r="CJ18" i="25" s="1"/>
  <c r="EQ17" i="25"/>
  <c r="CJ17" i="25" s="1"/>
  <c r="EQ19" i="25"/>
  <c r="CJ19" i="25" s="1"/>
  <c r="JG18" i="25"/>
  <c r="JH18" i="25" s="1"/>
  <c r="JG16" i="25"/>
  <c r="Z19" i="25"/>
  <c r="P19" i="20"/>
  <c r="Z17" i="25"/>
  <c r="P17" i="20"/>
  <c r="AE16" i="25"/>
  <c r="AF16" i="25" s="1"/>
  <c r="I32" i="3"/>
  <c r="EO16" i="25"/>
  <c r="BE16" i="25" s="1"/>
  <c r="AD18" i="25"/>
  <c r="AE18" i="25"/>
  <c r="AF18" i="25" s="1"/>
  <c r="MG18" i="25"/>
  <c r="MH18" i="25" s="1"/>
  <c r="MI18" i="25" s="1"/>
  <c r="AD16" i="25"/>
  <c r="AA19" i="25"/>
  <c r="H34" i="42"/>
  <c r="AG19" i="25"/>
  <c r="S19" i="19" s="1"/>
  <c r="Y19" i="25"/>
  <c r="IG19" i="25" s="1"/>
  <c r="IH18" i="25"/>
  <c r="IN18" i="25" s="1"/>
  <c r="J33" i="3"/>
  <c r="J34" i="3"/>
  <c r="H32" i="42"/>
  <c r="X10" i="25"/>
  <c r="Y17" i="25"/>
  <c r="IG17" i="25" s="1"/>
  <c r="AG17" i="25"/>
  <c r="S17" i="19" s="1"/>
  <c r="AA17" i="25"/>
  <c r="MG16" i="25"/>
  <c r="NG16" i="25"/>
  <c r="NH16" i="25" s="1"/>
  <c r="Q31" i="42"/>
  <c r="W31" i="42"/>
  <c r="KG16" i="25"/>
  <c r="LG16" i="25"/>
  <c r="AA12" i="19"/>
  <c r="O35" i="10" s="1"/>
  <c r="M15" i="35"/>
  <c r="N35" i="10"/>
  <c r="BD16" i="25" l="1"/>
  <c r="BC16" i="25" s="1"/>
  <c r="AB16" i="19"/>
  <c r="AU16" i="25"/>
  <c r="AS16" i="25" s="1"/>
  <c r="AB19" i="19"/>
  <c r="BD19" i="25"/>
  <c r="BC19" i="25" s="1"/>
  <c r="AU19" i="25"/>
  <c r="AS19" i="25" s="1"/>
  <c r="AJ19" i="25" s="1"/>
  <c r="M34" i="42" s="1"/>
  <c r="AB15" i="19"/>
  <c r="AU15" i="25"/>
  <c r="AS15" i="25" s="1"/>
  <c r="AJ15" i="25" s="1"/>
  <c r="M30" i="42" s="1"/>
  <c r="BD17" i="25"/>
  <c r="BC17" i="25" s="1"/>
  <c r="AU17" i="25"/>
  <c r="AS17" i="25" s="1"/>
  <c r="AJ17" i="25" s="1"/>
  <c r="M32" i="42" s="1"/>
  <c r="AB18" i="19"/>
  <c r="BD18" i="25"/>
  <c r="BC18" i="25" s="1"/>
  <c r="AU18" i="25"/>
  <c r="AS18" i="25" s="1"/>
  <c r="AJ18" i="25" s="1"/>
  <c r="M33" i="42" s="1"/>
  <c r="CF11" i="25"/>
  <c r="CF13" i="25" s="1"/>
  <c r="CB17" i="25"/>
  <c r="CB19" i="25"/>
  <c r="CV19" i="25"/>
  <c r="CU19" i="25"/>
  <c r="CI19" i="25"/>
  <c r="CI17" i="25"/>
  <c r="CV17" i="25"/>
  <c r="CU17" i="25"/>
  <c r="EO11" i="25"/>
  <c r="EO13" i="25" s="1"/>
  <c r="EO12" i="25" s="1"/>
  <c r="CC16" i="25"/>
  <c r="CB16" i="25" s="1"/>
  <c r="CB18" i="25"/>
  <c r="CV18" i="25"/>
  <c r="CU18" i="25"/>
  <c r="CI18" i="25"/>
  <c r="CV15" i="25"/>
  <c r="HQ11" i="25"/>
  <c r="HQ13" i="25" s="1"/>
  <c r="HQ12" i="25" s="1"/>
  <c r="CB15" i="25"/>
  <c r="JI18" i="25"/>
  <c r="JK18" i="25" s="1"/>
  <c r="JL18" i="25" s="1"/>
  <c r="BT18" i="25" s="1"/>
  <c r="AX18" i="25" s="1"/>
  <c r="JN18" i="25"/>
  <c r="LN18" i="25"/>
  <c r="KM18" i="25"/>
  <c r="DL18" i="25" s="1"/>
  <c r="DE18" i="25"/>
  <c r="NM18" i="25"/>
  <c r="DH18" i="25"/>
  <c r="KN18" i="25"/>
  <c r="LM18" i="25"/>
  <c r="DM18" i="25" s="1"/>
  <c r="DF18" i="25"/>
  <c r="CK13" i="25"/>
  <c r="CE11" i="25"/>
  <c r="CE13" i="25" s="1"/>
  <c r="OM11" i="25"/>
  <c r="OM13" i="25" s="1"/>
  <c r="OM12" i="25" s="1"/>
  <c r="CI15" i="25"/>
  <c r="CU15" i="25"/>
  <c r="FQ11" i="25"/>
  <c r="FQ13" i="25" s="1"/>
  <c r="FQ12" i="25" s="1"/>
  <c r="GQ11" i="25"/>
  <c r="GQ13" i="25" s="1"/>
  <c r="GQ12" i="25" s="1"/>
  <c r="PI15" i="25"/>
  <c r="PI11" i="25" s="1"/>
  <c r="PI13" i="25" s="1"/>
  <c r="PI12" i="25" s="1"/>
  <c r="PH11" i="25"/>
  <c r="PH13" i="25" s="1"/>
  <c r="PH12" i="25" s="1"/>
  <c r="NI16" i="25"/>
  <c r="CD11" i="25"/>
  <c r="CD13" i="25" s="1"/>
  <c r="FO11" i="25"/>
  <c r="FO13" i="25" s="1"/>
  <c r="FO12" i="25" s="1"/>
  <c r="PN15" i="25"/>
  <c r="MG19" i="25"/>
  <c r="MH19" i="25" s="1"/>
  <c r="MI19" i="25" s="1"/>
  <c r="MK19" i="25" s="1"/>
  <c r="ML19" i="25" s="1"/>
  <c r="BW19" i="25" s="1"/>
  <c r="BA19" i="25" s="1"/>
  <c r="MH16" i="25"/>
  <c r="JH16" i="25"/>
  <c r="LH16" i="25"/>
  <c r="KH16" i="25"/>
  <c r="Q34" i="42"/>
  <c r="J31" i="3"/>
  <c r="J32" i="3"/>
  <c r="KG17" i="25"/>
  <c r="LG17" i="25"/>
  <c r="JG17" i="25"/>
  <c r="JH17" i="25" s="1"/>
  <c r="JG19" i="25"/>
  <c r="JH19" i="25" s="1"/>
  <c r="JI19" i="25" s="1"/>
  <c r="AD17" i="25"/>
  <c r="K30" i="12"/>
  <c r="E62" i="12" s="1"/>
  <c r="BU3" i="19" s="1"/>
  <c r="S11" i="19"/>
  <c r="AD19" i="25"/>
  <c r="J32" i="12"/>
  <c r="AE19" i="25"/>
  <c r="AF19" i="25" s="1"/>
  <c r="EQ16" i="25"/>
  <c r="CJ16" i="25" s="1"/>
  <c r="AN10" i="25"/>
  <c r="X16" i="19"/>
  <c r="X11" i="19" s="1"/>
  <c r="N38" i="10" s="1"/>
  <c r="BO15" i="25"/>
  <c r="AD15" i="19"/>
  <c r="BR10" i="25"/>
  <c r="K32" i="12"/>
  <c r="BQ10" i="25"/>
  <c r="C70" i="11"/>
  <c r="K31" i="12"/>
  <c r="NG17" i="25"/>
  <c r="NH17" i="25" s="1"/>
  <c r="NI17" i="25" s="1"/>
  <c r="J31" i="12"/>
  <c r="H81" i="12" s="1"/>
  <c r="J81" i="12" s="1"/>
  <c r="M81" i="12" s="1"/>
  <c r="N27" i="12"/>
  <c r="W34" i="42"/>
  <c r="AC19" i="19"/>
  <c r="II18" i="25"/>
  <c r="IK18" i="25" s="1"/>
  <c r="IL18" i="25" s="1"/>
  <c r="BS18" i="25" s="1"/>
  <c r="MK18" i="25"/>
  <c r="ML18" i="25" s="1"/>
  <c r="BW18" i="25" s="1"/>
  <c r="BA18" i="25" s="1"/>
  <c r="AC17" i="19"/>
  <c r="NG19" i="25"/>
  <c r="NH19" i="25" s="1"/>
  <c r="NI19" i="25" s="1"/>
  <c r="J30" i="12"/>
  <c r="Q32" i="42"/>
  <c r="W32" i="42"/>
  <c r="AG10" i="25"/>
  <c r="Y10" i="25"/>
  <c r="MG17" i="25"/>
  <c r="MH17" i="25" s="1"/>
  <c r="MI17" i="25" s="1"/>
  <c r="AA10" i="25"/>
  <c r="J29" i="12" s="1"/>
  <c r="Q11" i="19"/>
  <c r="BG10" i="25"/>
  <c r="BH10" i="25"/>
  <c r="IH17" i="25"/>
  <c r="IN17" i="25" s="1"/>
  <c r="IH16" i="25"/>
  <c r="P11" i="20"/>
  <c r="AE17" i="25"/>
  <c r="AF17" i="25" s="1"/>
  <c r="BF10" i="25"/>
  <c r="NK16" i="25"/>
  <c r="N33" i="3"/>
  <c r="P33" i="3"/>
  <c r="L33" i="3"/>
  <c r="X74" i="42"/>
  <c r="E22" i="3"/>
  <c r="AF10" i="25" l="1"/>
  <c r="S30" i="42"/>
  <c r="CC11" i="25"/>
  <c r="CC13" i="25" s="1"/>
  <c r="CV16" i="25"/>
  <c r="CI16" i="25"/>
  <c r="CI13" i="25" s="1"/>
  <c r="CU16" i="25"/>
  <c r="BP18" i="25"/>
  <c r="AW18" i="25"/>
  <c r="AT18" i="25" s="1"/>
  <c r="AK18" i="25" s="1"/>
  <c r="JM18" i="25"/>
  <c r="DK18" i="25" s="1"/>
  <c r="AD10" i="25"/>
  <c r="MM19" i="25"/>
  <c r="DG19" i="25"/>
  <c r="O34" i="3"/>
  <c r="DD18" i="25"/>
  <c r="LH17" i="25"/>
  <c r="LI17" i="25" s="1"/>
  <c r="LK17" i="25" s="1"/>
  <c r="LL17" i="25" s="1"/>
  <c r="JH11" i="25"/>
  <c r="JH13" i="25" s="1"/>
  <c r="JH12" i="25" s="1"/>
  <c r="NI11" i="25"/>
  <c r="NI13" i="25" s="1"/>
  <c r="NI12" i="25" s="1"/>
  <c r="JI17" i="25"/>
  <c r="JK17" i="25" s="1"/>
  <c r="JL17" i="25" s="1"/>
  <c r="JN17" i="25"/>
  <c r="NH11" i="25"/>
  <c r="NH13" i="25" s="1"/>
  <c r="NH12" i="25" s="1"/>
  <c r="IM18" i="25"/>
  <c r="DJ18" i="25" s="1"/>
  <c r="DU18" i="25" s="1"/>
  <c r="DC18" i="25"/>
  <c r="KH17" i="25"/>
  <c r="KI17" i="25" s="1"/>
  <c r="KK17" i="25" s="1"/>
  <c r="KL17" i="25" s="1"/>
  <c r="NN18" i="25"/>
  <c r="DO18" i="25"/>
  <c r="MM18" i="25"/>
  <c r="DG18" i="25"/>
  <c r="PK15" i="25"/>
  <c r="PK11" i="25" s="1"/>
  <c r="PK13" i="25" s="1"/>
  <c r="PK12" i="25" s="1"/>
  <c r="OK11" i="25"/>
  <c r="OK13" i="25" s="1"/>
  <c r="OK12" i="25" s="1"/>
  <c r="OL11" i="25"/>
  <c r="MI16" i="25"/>
  <c r="MI11" i="25" s="1"/>
  <c r="MI13" i="25" s="1"/>
  <c r="MI12" i="25" s="1"/>
  <c r="MH11" i="25"/>
  <c r="MH13" i="25" s="1"/>
  <c r="MH12" i="25" s="1"/>
  <c r="EQ11" i="25"/>
  <c r="EQ13" i="25" s="1"/>
  <c r="EQ12" i="25" s="1"/>
  <c r="N81" i="12"/>
  <c r="ON11" i="25"/>
  <c r="ON13" i="25" s="1"/>
  <c r="ON12" i="25" s="1"/>
  <c r="JN16" i="25"/>
  <c r="JI16" i="25"/>
  <c r="KN16" i="25"/>
  <c r="KI16" i="25"/>
  <c r="LN16" i="25"/>
  <c r="LI16" i="25"/>
  <c r="CB11" i="25"/>
  <c r="CB13" i="25" s="1"/>
  <c r="W27" i="42"/>
  <c r="E61" i="12"/>
  <c r="BQ3" i="19" s="1"/>
  <c r="Q27" i="42"/>
  <c r="J27" i="3"/>
  <c r="H56" i="12"/>
  <c r="H58" i="12"/>
  <c r="H57" i="12"/>
  <c r="H55" i="12"/>
  <c r="O33" i="3"/>
  <c r="BQ9" i="25"/>
  <c r="BQ8" i="25" s="1"/>
  <c r="E113" i="12"/>
  <c r="E114" i="12"/>
  <c r="E87" i="12"/>
  <c r="H87" i="12" s="1"/>
  <c r="J87" i="12" s="1"/>
  <c r="M87" i="12" s="1"/>
  <c r="E88" i="12"/>
  <c r="H88" i="12" s="1"/>
  <c r="J88" i="12" s="1"/>
  <c r="M88" i="12" s="1"/>
  <c r="N88" i="12" s="1"/>
  <c r="H83" i="12"/>
  <c r="J83" i="12" s="1"/>
  <c r="M83" i="12" s="1"/>
  <c r="N83" i="12" s="1"/>
  <c r="H84" i="12"/>
  <c r="J84" i="12" s="1"/>
  <c r="M84" i="12" s="1"/>
  <c r="N84" i="12" s="1"/>
  <c r="H82" i="12"/>
  <c r="J82" i="12" s="1"/>
  <c r="M82" i="12" s="1"/>
  <c r="N82" i="12" s="1"/>
  <c r="AL27" i="42"/>
  <c r="II16" i="25"/>
  <c r="II17" i="25"/>
  <c r="IK17" i="25" s="1"/>
  <c r="IL17" i="25" s="1"/>
  <c r="BS17" i="25" s="1"/>
  <c r="AW17" i="25" s="1"/>
  <c r="AC18" i="19"/>
  <c r="BE10" i="25"/>
  <c r="BE9" i="25" s="1"/>
  <c r="BE8" i="25" s="1"/>
  <c r="AE10" i="25"/>
  <c r="R11" i="19"/>
  <c r="MK17" i="25"/>
  <c r="BG9" i="25"/>
  <c r="BG8" i="25" s="1"/>
  <c r="AV10" i="25"/>
  <c r="NK17" i="25"/>
  <c r="NL17" i="25" s="1"/>
  <c r="BX17" i="25" s="1"/>
  <c r="BB17" i="25" s="1"/>
  <c r="NK19" i="25"/>
  <c r="NL19" i="25" s="1"/>
  <c r="BX19" i="25" s="1"/>
  <c r="BB19" i="25" s="1"/>
  <c r="NL16" i="25"/>
  <c r="BX16" i="25" s="1"/>
  <c r="BB16" i="25" s="1"/>
  <c r="H27" i="42"/>
  <c r="AC2" i="19"/>
  <c r="BQ7" i="19" s="1"/>
  <c r="BR7" i="19" s="1"/>
  <c r="AX8" i="19" s="1"/>
  <c r="X89" i="42"/>
  <c r="X100" i="42"/>
  <c r="X80" i="42"/>
  <c r="X96" i="42"/>
  <c r="X87" i="42"/>
  <c r="X83" i="42"/>
  <c r="X86" i="42"/>
  <c r="X98" i="42"/>
  <c r="X79" i="42"/>
  <c r="X92" i="42"/>
  <c r="X90" i="42"/>
  <c r="X93" i="42"/>
  <c r="X88" i="42"/>
  <c r="X85" i="42"/>
  <c r="X97" i="42"/>
  <c r="X99" i="42"/>
  <c r="X101" i="42"/>
  <c r="X82" i="42"/>
  <c r="X81" i="42"/>
  <c r="X94" i="42"/>
  <c r="X95" i="42"/>
  <c r="X91" i="42"/>
  <c r="X84" i="42"/>
  <c r="X77" i="42"/>
  <c r="X78" i="42"/>
  <c r="X73" i="42"/>
  <c r="X76" i="42"/>
  <c r="X75" i="42"/>
  <c r="M33" i="3"/>
  <c r="I31" i="3"/>
  <c r="K33" i="3"/>
  <c r="BA5" i="19" l="1"/>
  <c r="BU7" i="19"/>
  <c r="F24" i="42" s="1"/>
  <c r="BU17" i="25"/>
  <c r="AY17" i="25" s="1"/>
  <c r="BV17" i="25"/>
  <c r="AZ17" i="25" s="1"/>
  <c r="BT17" i="25"/>
  <c r="L32" i="3" s="1"/>
  <c r="BO18" i="25"/>
  <c r="AR18" i="25"/>
  <c r="AM18" i="25" s="1"/>
  <c r="AO18" i="25" s="1"/>
  <c r="AI18" i="25" s="1"/>
  <c r="DD17" i="25"/>
  <c r="JM17" i="25"/>
  <c r="DK17" i="25" s="1"/>
  <c r="JI11" i="25"/>
  <c r="JI13" i="25" s="1"/>
  <c r="JI12" i="25" s="1"/>
  <c r="NM19" i="25"/>
  <c r="DH19" i="25"/>
  <c r="MN19" i="25"/>
  <c r="DN19" i="25"/>
  <c r="PL15" i="25"/>
  <c r="PL11" i="25" s="1"/>
  <c r="PL13" i="25" s="1"/>
  <c r="PL12" i="25" s="1"/>
  <c r="LM17" i="25"/>
  <c r="DM17" i="25" s="1"/>
  <c r="DB18" i="25"/>
  <c r="AX18" i="19" s="1"/>
  <c r="DF17" i="25"/>
  <c r="LN17" i="25"/>
  <c r="DV18" i="25"/>
  <c r="KM17" i="25"/>
  <c r="DL17" i="25" s="1"/>
  <c r="DE17" i="25"/>
  <c r="IM17" i="25"/>
  <c r="DJ17" i="25" s="1"/>
  <c r="DC17" i="25"/>
  <c r="MN18" i="25"/>
  <c r="DN18" i="25"/>
  <c r="DI18" i="25" s="1"/>
  <c r="NM17" i="25"/>
  <c r="DH17" i="25"/>
  <c r="KN17" i="25"/>
  <c r="MK16" i="25"/>
  <c r="MK11" i="25" s="1"/>
  <c r="MK13" i="25" s="1"/>
  <c r="MK12" i="25" s="1"/>
  <c r="JK16" i="25"/>
  <c r="JL16" i="25" s="1"/>
  <c r="BT16" i="25" s="1"/>
  <c r="AX16" i="25" s="1"/>
  <c r="CJ13" i="25"/>
  <c r="KK16" i="25"/>
  <c r="KL16" i="25" s="1"/>
  <c r="BU16" i="25" s="1"/>
  <c r="AY16" i="25" s="1"/>
  <c r="IK16" i="25"/>
  <c r="IL16" i="25" s="1"/>
  <c r="BS16" i="25" s="1"/>
  <c r="DH16" i="25"/>
  <c r="NL11" i="25"/>
  <c r="NL13" i="25" s="1"/>
  <c r="NL12" i="25" s="1"/>
  <c r="LK16" i="25"/>
  <c r="LL16" i="25" s="1"/>
  <c r="BV16" i="25" s="1"/>
  <c r="AZ16" i="25" s="1"/>
  <c r="CO12" i="19"/>
  <c r="OL13" i="25"/>
  <c r="OL12" i="25" s="1"/>
  <c r="NK11" i="25"/>
  <c r="NK13" i="25" s="1"/>
  <c r="NK12" i="25" s="1"/>
  <c r="BB5" i="19"/>
  <c r="BE5" i="19"/>
  <c r="BF5" i="19" s="1"/>
  <c r="BU5" i="19"/>
  <c r="BV5" i="19" s="1"/>
  <c r="BM7" i="19"/>
  <c r="BQ5" i="19"/>
  <c r="BR5" i="19" s="1"/>
  <c r="BM5" i="19"/>
  <c r="BN5" i="19" s="1"/>
  <c r="BI5" i="19"/>
  <c r="BJ5" i="19" s="1"/>
  <c r="BI7" i="19"/>
  <c r="F21" i="42" s="1"/>
  <c r="BE7" i="19"/>
  <c r="F20" i="42" s="1"/>
  <c r="BA7" i="19"/>
  <c r="BB7" i="19" s="1"/>
  <c r="AX4" i="19" s="1"/>
  <c r="J37" i="22"/>
  <c r="N87" i="12"/>
  <c r="N89" i="12" s="1"/>
  <c r="M89" i="12"/>
  <c r="N85" i="12"/>
  <c r="M85" i="12"/>
  <c r="H113" i="12"/>
  <c r="J113" i="12" s="1"/>
  <c r="M113" i="12" s="1"/>
  <c r="J62" i="22"/>
  <c r="H114" i="12"/>
  <c r="J114" i="12" s="1"/>
  <c r="M114" i="12" s="1"/>
  <c r="N114" i="12" s="1"/>
  <c r="K62" i="22"/>
  <c r="NM16" i="25"/>
  <c r="K37" i="22"/>
  <c r="Q33" i="3"/>
  <c r="R33" i="3" s="1"/>
  <c r="J56" i="12"/>
  <c r="J55" i="12"/>
  <c r="M55" i="12" s="1"/>
  <c r="J58" i="12"/>
  <c r="J57" i="12"/>
  <c r="AU10" i="25"/>
  <c r="AU9" i="25" s="1"/>
  <c r="AU8" i="25" s="1"/>
  <c r="AC1" i="19"/>
  <c r="I27" i="3"/>
  <c r="P32" i="3"/>
  <c r="ML17" i="25"/>
  <c r="BW17" i="25" s="1"/>
  <c r="BA17" i="25" s="1"/>
  <c r="K32" i="3"/>
  <c r="P34" i="3"/>
  <c r="F22" i="42" l="1"/>
  <c r="PM15" i="25"/>
  <c r="PM11" i="25" s="1"/>
  <c r="PM13" i="25" s="1"/>
  <c r="PM12" i="25" s="1"/>
  <c r="ML16" i="25"/>
  <c r="BW16" i="25" s="1"/>
  <c r="BA16" i="25" s="1"/>
  <c r="BK15" i="25"/>
  <c r="DE15" i="25"/>
  <c r="DB15" i="25" s="1"/>
  <c r="N32" i="3"/>
  <c r="BP17" i="25"/>
  <c r="AX17" i="25"/>
  <c r="AT17" i="25" s="1"/>
  <c r="AK17" i="25" s="1"/>
  <c r="AW16" i="25"/>
  <c r="M32" i="3"/>
  <c r="NN19" i="25"/>
  <c r="DO19" i="25"/>
  <c r="DH11" i="25"/>
  <c r="DH13" i="25" s="1"/>
  <c r="NN17" i="25"/>
  <c r="DO17" i="25"/>
  <c r="MM17" i="25"/>
  <c r="DG17" i="25"/>
  <c r="DB17" i="25" s="1"/>
  <c r="AX17" i="19" s="1"/>
  <c r="M31" i="3"/>
  <c r="N31" i="3"/>
  <c r="DO16" i="25"/>
  <c r="NM11" i="25"/>
  <c r="NM13" i="25" s="1"/>
  <c r="NM12" i="25" s="1"/>
  <c r="F23" i="42"/>
  <c r="BV10" i="19"/>
  <c r="BV7" i="19"/>
  <c r="AX9" i="19" s="1"/>
  <c r="BN7" i="19"/>
  <c r="AX7" i="19" s="1"/>
  <c r="BJ7" i="19"/>
  <c r="AX6" i="19" s="1"/>
  <c r="BF7" i="19"/>
  <c r="AX5" i="19" s="1"/>
  <c r="N113" i="12"/>
  <c r="N115" i="12" s="1"/>
  <c r="C80" i="11" s="1"/>
  <c r="M115" i="12"/>
  <c r="K31" i="3"/>
  <c r="DC16" i="25"/>
  <c r="DD16" i="25"/>
  <c r="BD15" i="25"/>
  <c r="NN16" i="25"/>
  <c r="P31" i="3"/>
  <c r="P27" i="3" s="1"/>
  <c r="IM16" i="25"/>
  <c r="JM16" i="25"/>
  <c r="KM16" i="25"/>
  <c r="LM16" i="25"/>
  <c r="DF16" i="25"/>
  <c r="M57" i="12"/>
  <c r="N57" i="12" s="1"/>
  <c r="M58" i="12"/>
  <c r="N58" i="12" s="1"/>
  <c r="M56" i="12"/>
  <c r="N56" i="12" s="1"/>
  <c r="J8" i="22"/>
  <c r="H61" i="12"/>
  <c r="K8" i="22"/>
  <c r="H62" i="12"/>
  <c r="J62" i="12" s="1"/>
  <c r="AD18" i="19"/>
  <c r="O37" i="10"/>
  <c r="N55" i="12"/>
  <c r="S61" i="12"/>
  <c r="S62" i="12"/>
  <c r="F19" i="42"/>
  <c r="DU17" i="25"/>
  <c r="DV17" i="25"/>
  <c r="AB11" i="19"/>
  <c r="V18" i="19"/>
  <c r="S33" i="42"/>
  <c r="IL4" i="25"/>
  <c r="O32" i="3"/>
  <c r="BX7" i="19" l="1"/>
  <c r="AC15" i="19"/>
  <c r="M30" i="3"/>
  <c r="Q30" i="3" s="1"/>
  <c r="R30" i="3" s="1"/>
  <c r="BK10" i="25"/>
  <c r="CR12" i="19" s="1"/>
  <c r="AX11" i="19" s="1"/>
  <c r="DG16" i="25"/>
  <c r="DG11" i="25" s="1"/>
  <c r="DG13" i="25" s="1"/>
  <c r="ML11" i="25"/>
  <c r="ML13" i="25" s="1"/>
  <c r="ML12" i="25" s="1"/>
  <c r="BP16" i="25"/>
  <c r="BO16" i="25" s="1"/>
  <c r="MM16" i="25"/>
  <c r="DN16" i="25" s="1"/>
  <c r="DT16" i="25" s="1"/>
  <c r="AL16" i="25" s="1"/>
  <c r="AJ16" i="25" s="1"/>
  <c r="M31" i="42" s="1"/>
  <c r="AT16" i="25"/>
  <c r="AK16" i="25" s="1"/>
  <c r="AY15" i="25"/>
  <c r="AT15" i="25" s="1"/>
  <c r="AK15" i="25" s="1"/>
  <c r="DO13" i="25"/>
  <c r="BO17" i="25"/>
  <c r="AR17" i="25"/>
  <c r="AM17" i="25" s="1"/>
  <c r="AO17" i="25" s="1"/>
  <c r="AI17" i="25" s="1"/>
  <c r="NN11" i="25"/>
  <c r="NN13" i="25" s="1"/>
  <c r="NN12" i="25" s="1"/>
  <c r="MN17" i="25"/>
  <c r="DN17" i="25"/>
  <c r="DI17" i="25" s="1"/>
  <c r="O31" i="3"/>
  <c r="O27" i="3" s="1"/>
  <c r="L31" i="3"/>
  <c r="BN10" i="19"/>
  <c r="DL16" i="25"/>
  <c r="DK16" i="25"/>
  <c r="DJ16" i="25"/>
  <c r="DM16" i="25"/>
  <c r="AX15" i="19"/>
  <c r="MN16" i="25"/>
  <c r="BC15" i="25"/>
  <c r="AR15" i="25"/>
  <c r="AM15" i="25" s="1"/>
  <c r="W18" i="19"/>
  <c r="BB10" i="25"/>
  <c r="BX10" i="25"/>
  <c r="BV12" i="19" s="1"/>
  <c r="IN16" i="25"/>
  <c r="BI10" i="25"/>
  <c r="AC16" i="19"/>
  <c r="J61" i="12"/>
  <c r="M61" i="12" s="1"/>
  <c r="N61" i="12" s="1"/>
  <c r="U33" i="42"/>
  <c r="Y18" i="19"/>
  <c r="C76" i="11"/>
  <c r="N59" i="12"/>
  <c r="M59" i="12"/>
  <c r="M29" i="12" s="1"/>
  <c r="M62" i="12"/>
  <c r="N62" i="12" s="1"/>
  <c r="C79" i="11"/>
  <c r="Q32" i="3"/>
  <c r="R32" i="3" s="1"/>
  <c r="N29" i="10"/>
  <c r="BW10" i="25"/>
  <c r="BR12" i="19" s="1"/>
  <c r="V19" i="19"/>
  <c r="S34" i="42"/>
  <c r="JN19" i="25"/>
  <c r="JN11" i="25" s="1"/>
  <c r="JN13" i="25" s="1"/>
  <c r="JN12" i="25" s="1"/>
  <c r="LG19" i="25"/>
  <c r="KG19" i="25"/>
  <c r="Z10" i="25"/>
  <c r="BI9" i="25" l="1"/>
  <c r="BI8" i="25" s="1"/>
  <c r="MM11" i="25"/>
  <c r="MM13" i="25" s="1"/>
  <c r="MM12" i="25" s="1"/>
  <c r="AR16" i="25"/>
  <c r="AM16" i="25" s="1"/>
  <c r="AO16" i="25" s="1"/>
  <c r="AI16" i="25" s="1"/>
  <c r="U30" i="42"/>
  <c r="BV11" i="19"/>
  <c r="MN11" i="25"/>
  <c r="MN13" i="25" s="1"/>
  <c r="MN12" i="25" s="1"/>
  <c r="KH19" i="25"/>
  <c r="LH19" i="25"/>
  <c r="LN19" i="25" s="1"/>
  <c r="LN11" i="25" s="1"/>
  <c r="LN13" i="25" s="1"/>
  <c r="LN12" i="25" s="1"/>
  <c r="DN13" i="25"/>
  <c r="Q31" i="3"/>
  <c r="R31" i="3" s="1"/>
  <c r="AX10" i="19"/>
  <c r="DI16" i="25"/>
  <c r="W15" i="19"/>
  <c r="AO15" i="25"/>
  <c r="AC11" i="19"/>
  <c r="BW9" i="25"/>
  <c r="BC10" i="25"/>
  <c r="BD10" i="25"/>
  <c r="G15" i="35" s="1"/>
  <c r="BA10" i="25"/>
  <c r="U18" i="19"/>
  <c r="C75" i="11"/>
  <c r="N29" i="12"/>
  <c r="N63" i="12"/>
  <c r="M63" i="12"/>
  <c r="M30" i="12" s="1"/>
  <c r="M32" i="12" s="1"/>
  <c r="IH19" i="25"/>
  <c r="AD17" i="19"/>
  <c r="DU16" i="25"/>
  <c r="DV16" i="25"/>
  <c r="AD16" i="19"/>
  <c r="BD9" i="25" l="1"/>
  <c r="BD8" i="25" s="1"/>
  <c r="KI19" i="25"/>
  <c r="KI11" i="25" s="1"/>
  <c r="KI13" i="25" s="1"/>
  <c r="KI12" i="25" s="1"/>
  <c r="KH11" i="25"/>
  <c r="KH13" i="25" s="1"/>
  <c r="KH12" i="25" s="1"/>
  <c r="KN19" i="25"/>
  <c r="KN11" i="25" s="1"/>
  <c r="KN13" i="25" s="1"/>
  <c r="KN12" i="25" s="1"/>
  <c r="LI19" i="25"/>
  <c r="LI11" i="25" s="1"/>
  <c r="LI13" i="25" s="1"/>
  <c r="LI12" i="25" s="1"/>
  <c r="LH11" i="25"/>
  <c r="LH13" i="25" s="1"/>
  <c r="LH12" i="25" s="1"/>
  <c r="BW8" i="25"/>
  <c r="P63" i="12"/>
  <c r="IN19" i="25"/>
  <c r="IN11" i="25" s="1"/>
  <c r="IN13" i="25" s="1"/>
  <c r="IN12" i="25" s="1"/>
  <c r="IH11" i="25"/>
  <c r="IH13" i="25" s="1"/>
  <c r="IH12" i="25" s="1"/>
  <c r="AD13" i="19"/>
  <c r="Y4" i="19" s="1"/>
  <c r="O70" i="42" s="1"/>
  <c r="AX12" i="19"/>
  <c r="AI15" i="25"/>
  <c r="U15" i="19" s="1"/>
  <c r="Y15" i="19"/>
  <c r="DE16" i="25"/>
  <c r="PN11" i="25"/>
  <c r="PN13" i="25" s="1"/>
  <c r="PN12" i="25" s="1"/>
  <c r="W17" i="19"/>
  <c r="AJ10" i="25"/>
  <c r="BA9" i="25"/>
  <c r="BA8" i="25" s="1"/>
  <c r="C78" i="11"/>
  <c r="N30" i="12"/>
  <c r="N32" i="12" s="1"/>
  <c r="U32" i="42"/>
  <c r="II19" i="25"/>
  <c r="II11" i="25" s="1"/>
  <c r="II13" i="25" s="1"/>
  <c r="II12" i="25" s="1"/>
  <c r="X72" i="42"/>
  <c r="X71" i="42"/>
  <c r="W16" i="19"/>
  <c r="S32" i="42"/>
  <c r="V17" i="19"/>
  <c r="JK19" i="25"/>
  <c r="JK11" i="25" s="1"/>
  <c r="JK13" i="25" s="1"/>
  <c r="JK12" i="25" s="1"/>
  <c r="Y16" i="3"/>
  <c r="W13" i="19" l="1"/>
  <c r="Y3" i="19"/>
  <c r="Y6" i="19" s="1"/>
  <c r="KK19" i="25"/>
  <c r="KK11" i="25" s="1"/>
  <c r="KK13" i="25" s="1"/>
  <c r="KK12" i="25" s="1"/>
  <c r="LK19" i="25"/>
  <c r="LK11" i="25" s="1"/>
  <c r="LK13" i="25" s="1"/>
  <c r="LK12" i="25" s="1"/>
  <c r="J17" i="35"/>
  <c r="O30" i="10"/>
  <c r="DB16" i="25"/>
  <c r="U31" i="42"/>
  <c r="M27" i="42"/>
  <c r="IK19" i="25"/>
  <c r="AL70" i="42"/>
  <c r="X70" i="42"/>
  <c r="JL19" i="25"/>
  <c r="BT19" i="25" s="1"/>
  <c r="AX19" i="25" s="1"/>
  <c r="U17" i="19"/>
  <c r="Y17" i="19"/>
  <c r="LL19" i="25"/>
  <c r="BV19" i="25" s="1"/>
  <c r="AZ19" i="25" s="1"/>
  <c r="S31" i="42"/>
  <c r="S27" i="42" s="1"/>
  <c r="AL10" i="25"/>
  <c r="AC4" i="19" s="1"/>
  <c r="AC6" i="19" s="1"/>
  <c r="V16" i="19"/>
  <c r="O69" i="42" l="1"/>
  <c r="O68" i="42"/>
  <c r="O67" i="42"/>
  <c r="O66" i="42"/>
  <c r="O35" i="42"/>
  <c r="O65" i="42"/>
  <c r="O58" i="42"/>
  <c r="O55" i="42"/>
  <c r="X55" i="42" s="1"/>
  <c r="O59" i="42"/>
  <c r="O57" i="42"/>
  <c r="X57" i="42" s="1"/>
  <c r="O61" i="42"/>
  <c r="AL61" i="42" s="1"/>
  <c r="O64" i="42"/>
  <c r="O60" i="42"/>
  <c r="O56" i="42"/>
  <c r="O63" i="42"/>
  <c r="O62" i="42"/>
  <c r="O31" i="42"/>
  <c r="AL31" i="42" s="1"/>
  <c r="O40" i="42"/>
  <c r="O50" i="42"/>
  <c r="O38" i="42"/>
  <c r="O48" i="42"/>
  <c r="O41" i="42"/>
  <c r="O47" i="42"/>
  <c r="O45" i="42"/>
  <c r="O32" i="42"/>
  <c r="O39" i="42"/>
  <c r="O42" i="42"/>
  <c r="O37" i="42"/>
  <c r="O36" i="42"/>
  <c r="O49" i="42"/>
  <c r="O43" i="42"/>
  <c r="O30" i="42"/>
  <c r="O52" i="42"/>
  <c r="O53" i="42"/>
  <c r="O54" i="42"/>
  <c r="AL54" i="42" s="1"/>
  <c r="O33" i="42"/>
  <c r="O44" i="42"/>
  <c r="O46" i="42"/>
  <c r="O51" i="42"/>
  <c r="O36" i="10"/>
  <c r="Y13" i="19"/>
  <c r="U13" i="19" s="1"/>
  <c r="AA27" i="42" s="1"/>
  <c r="KL19" i="25"/>
  <c r="BU19" i="25" s="1"/>
  <c r="AY19" i="25" s="1"/>
  <c r="DD19" i="25"/>
  <c r="DD11" i="25" s="1"/>
  <c r="DD13" i="25" s="1"/>
  <c r="L34" i="3"/>
  <c r="DF19" i="25"/>
  <c r="DF11" i="25" s="1"/>
  <c r="DF13" i="25" s="1"/>
  <c r="N34" i="3"/>
  <c r="LM19" i="25"/>
  <c r="LL11" i="25"/>
  <c r="LL13" i="25" s="1"/>
  <c r="LL12" i="25" s="1"/>
  <c r="JM19" i="25"/>
  <c r="JL11" i="25"/>
  <c r="JL13" i="25" s="1"/>
  <c r="JL12" i="25" s="1"/>
  <c r="IL19" i="25"/>
  <c r="BS19" i="25" s="1"/>
  <c r="IK11" i="25"/>
  <c r="IK13" i="25" s="1"/>
  <c r="IK12" i="25" s="1"/>
  <c r="AX16" i="19"/>
  <c r="V11" i="19"/>
  <c r="V12" i="19" s="1"/>
  <c r="Y16" i="19"/>
  <c r="AL66" i="42" l="1"/>
  <c r="X66" i="42"/>
  <c r="X67" i="42"/>
  <c r="AL67" i="42"/>
  <c r="X68" i="42"/>
  <c r="AL68" i="42"/>
  <c r="AL69" i="42"/>
  <c r="X69" i="42"/>
  <c r="X65" i="42"/>
  <c r="AL65" i="42"/>
  <c r="X58" i="42"/>
  <c r="AL58" i="42"/>
  <c r="AL55" i="42"/>
  <c r="AL59" i="42"/>
  <c r="X59" i="42"/>
  <c r="X61" i="42"/>
  <c r="AL57" i="42"/>
  <c r="X62" i="42"/>
  <c r="AL62" i="42"/>
  <c r="X64" i="42"/>
  <c r="AL64" i="42"/>
  <c r="X63" i="42"/>
  <c r="AL63" i="42"/>
  <c r="X56" i="42"/>
  <c r="AL56" i="42"/>
  <c r="X60" i="42"/>
  <c r="AL60" i="42"/>
  <c r="X54" i="42"/>
  <c r="X53" i="42"/>
  <c r="AL53" i="42"/>
  <c r="AL52" i="42"/>
  <c r="X52" i="42"/>
  <c r="O41" i="10"/>
  <c r="P17" i="35"/>
  <c r="O39" i="10"/>
  <c r="N17" i="35"/>
  <c r="X50" i="42"/>
  <c r="AL50" i="42"/>
  <c r="X47" i="42"/>
  <c r="AL47" i="42"/>
  <c r="X51" i="42"/>
  <c r="AL51" i="42"/>
  <c r="X49" i="42"/>
  <c r="AL49" i="42"/>
  <c r="AL48" i="42"/>
  <c r="X48" i="42"/>
  <c r="X31" i="42"/>
  <c r="AL38" i="42"/>
  <c r="X38" i="42"/>
  <c r="X41" i="42"/>
  <c r="AL41" i="42"/>
  <c r="AL37" i="42"/>
  <c r="X37" i="42"/>
  <c r="X42" i="42"/>
  <c r="AL42" i="42"/>
  <c r="AL39" i="42"/>
  <c r="X39" i="42"/>
  <c r="X33" i="42"/>
  <c r="AL33" i="42"/>
  <c r="X43" i="42"/>
  <c r="AL43" i="42"/>
  <c r="X32" i="42"/>
  <c r="AL32" i="42"/>
  <c r="AL40" i="42"/>
  <c r="X40" i="42"/>
  <c r="AL30" i="42"/>
  <c r="X30" i="42"/>
  <c r="AL44" i="42"/>
  <c r="X44" i="42"/>
  <c r="X35" i="42"/>
  <c r="AL35" i="42"/>
  <c r="X36" i="42"/>
  <c r="AL36" i="42"/>
  <c r="AL46" i="42"/>
  <c r="X46" i="42"/>
  <c r="AL45" i="42"/>
  <c r="X45" i="42"/>
  <c r="M34" i="3"/>
  <c r="M27" i="3" s="1"/>
  <c r="KM19" i="25"/>
  <c r="DL19" i="25" s="1"/>
  <c r="DL13" i="25" s="1"/>
  <c r="KL11" i="25"/>
  <c r="KL13" i="25" s="1"/>
  <c r="KL12" i="25" s="1"/>
  <c r="DE19" i="25"/>
  <c r="DE11" i="25" s="1"/>
  <c r="DE13" i="25" s="1"/>
  <c r="BP19" i="25"/>
  <c r="AW19" i="25"/>
  <c r="AT19" i="25" s="1"/>
  <c r="AK19" i="25" s="1"/>
  <c r="O34" i="42" s="1"/>
  <c r="DC19" i="25"/>
  <c r="LM11" i="25"/>
  <c r="LM13" i="25" s="1"/>
  <c r="LM12" i="25" s="1"/>
  <c r="DM19" i="25"/>
  <c r="DM13" i="25" s="1"/>
  <c r="JM11" i="25"/>
  <c r="JM13" i="25" s="1"/>
  <c r="JM12" i="25" s="1"/>
  <c r="DK19" i="25"/>
  <c r="DK13" i="25" s="1"/>
  <c r="IM19" i="25"/>
  <c r="IL11" i="25"/>
  <c r="IL13" i="25" s="1"/>
  <c r="IL12" i="25" s="1"/>
  <c r="N37" i="10"/>
  <c r="N27" i="3"/>
  <c r="L27" i="3"/>
  <c r="AZ10" i="25"/>
  <c r="BV10" i="25"/>
  <c r="BN12" i="19" s="1"/>
  <c r="U16" i="19"/>
  <c r="BU10" i="25"/>
  <c r="BJ12" i="19" s="1"/>
  <c r="AX10" i="25"/>
  <c r="BT10" i="25"/>
  <c r="BF12" i="19" s="1"/>
  <c r="KM11" i="25" l="1"/>
  <c r="KM13" i="25" s="1"/>
  <c r="KM12" i="25" s="1"/>
  <c r="BO19" i="25"/>
  <c r="BO10" i="25" s="1"/>
  <c r="AR19" i="25"/>
  <c r="AM19" i="25" s="1"/>
  <c r="AO19" i="25" s="1"/>
  <c r="AI19" i="25" s="1"/>
  <c r="K34" i="3"/>
  <c r="BS10" i="25"/>
  <c r="BB12" i="19" s="1"/>
  <c r="BN11" i="19" s="1"/>
  <c r="IM11" i="25"/>
  <c r="IM13" i="25" s="1"/>
  <c r="IM12" i="25" s="1"/>
  <c r="DJ19" i="25"/>
  <c r="DU19" i="25" s="1"/>
  <c r="DB19" i="25"/>
  <c r="DC11" i="25"/>
  <c r="DC13" i="25" s="1"/>
  <c r="AY10" i="25"/>
  <c r="AW10" i="25"/>
  <c r="AD19" i="19"/>
  <c r="AD11" i="19" s="1"/>
  <c r="H102" i="22" s="1"/>
  <c r="J102" i="22" s="1"/>
  <c r="D15" i="3" s="1"/>
  <c r="E15" i="3" s="1"/>
  <c r="DV19" i="25" l="1"/>
  <c r="BP10" i="25"/>
  <c r="J15" i="35" s="1"/>
  <c r="K27" i="3"/>
  <c r="Q34" i="3"/>
  <c r="BS9" i="25"/>
  <c r="BS8" i="25" s="1"/>
  <c r="AX19" i="19"/>
  <c r="AX14" i="19" s="1"/>
  <c r="DB11" i="25"/>
  <c r="DB13" i="25" s="1"/>
  <c r="DI19" i="25"/>
  <c r="DI13" i="25" s="1"/>
  <c r="DJ13" i="25"/>
  <c r="AD12" i="19"/>
  <c r="AE11" i="19"/>
  <c r="AW9" i="25"/>
  <c r="AW8" i="25" s="1"/>
  <c r="AR10" i="25"/>
  <c r="N30" i="10"/>
  <c r="U34" i="42"/>
  <c r="U27" i="42" s="1"/>
  <c r="Y15" i="3"/>
  <c r="BP9" i="25" l="1"/>
  <c r="BP8" i="25" s="1"/>
  <c r="R34" i="3"/>
  <c r="R27" i="3" s="1"/>
  <c r="Q27" i="3"/>
  <c r="AK10" i="25"/>
  <c r="O27" i="42"/>
  <c r="D21" i="3"/>
  <c r="E21" i="3"/>
  <c r="AM10" i="25"/>
  <c r="W19" i="19"/>
  <c r="Y19" i="19" l="1"/>
  <c r="Y11" i="19" s="1"/>
  <c r="N15" i="35" s="1"/>
  <c r="AO10" i="25"/>
  <c r="AL34" i="42"/>
  <c r="X34" i="42"/>
  <c r="X27" i="42" s="1"/>
  <c r="W11" i="19"/>
  <c r="W12" i="19" s="1"/>
  <c r="U19" i="19"/>
  <c r="AI10" i="25"/>
  <c r="Y12" i="19" l="1"/>
  <c r="N39" i="10"/>
  <c r="N36" i="10"/>
  <c r="U11" i="19"/>
  <c r="P15" i="35" s="1"/>
  <c r="B2" i="45"/>
  <c r="AA25" i="42" l="1"/>
  <c r="N41" i="10"/>
  <c r="P29" i="12"/>
  <c r="G136" i="45"/>
  <c r="G82" i="45"/>
  <c r="G96" i="45"/>
  <c r="G122" i="45"/>
  <c r="G202" i="45"/>
  <c r="C1" i="11"/>
  <c r="G162" i="45"/>
  <c r="G189" i="45"/>
  <c r="G149" i="45"/>
  <c r="G176" i="45"/>
  <c r="G109" i="45"/>
  <c r="E8" i="10"/>
  <c r="B9" i="3"/>
  <c r="B11" i="3" l="1"/>
  <c r="B10" i="3"/>
  <c r="B12" i="3"/>
  <c r="C11" i="3"/>
  <c r="AI218" i="37" l="1"/>
</calcChain>
</file>

<file path=xl/sharedStrings.xml><?xml version="1.0" encoding="utf-8"?>
<sst xmlns="http://schemas.openxmlformats.org/spreadsheetml/2006/main" count="13927" uniqueCount="3106">
  <si>
    <t>Total HT</t>
  </si>
  <si>
    <t>WCA</t>
  </si>
  <si>
    <t>Tax and fees</t>
  </si>
  <si>
    <t>Healthcare Plan</t>
  </si>
  <si>
    <t>AIG Luxembourg</t>
  </si>
  <si>
    <t>Assistance and Repatriation</t>
  </si>
  <si>
    <t>Death Accident</t>
  </si>
  <si>
    <t>Anker Verzekeringen n.v.</t>
  </si>
  <si>
    <t>Death Illness</t>
  </si>
  <si>
    <t>Permanent Disability Accident</t>
  </si>
  <si>
    <t>Permanent Disability Illness</t>
  </si>
  <si>
    <t>Informations</t>
  </si>
  <si>
    <t>Annual</t>
  </si>
  <si>
    <t>Period</t>
  </si>
  <si>
    <t>Certificate</t>
  </si>
  <si>
    <t>Wycc ID</t>
  </si>
  <si>
    <t>Gender</t>
  </si>
  <si>
    <t>Name</t>
  </si>
  <si>
    <t>First name</t>
  </si>
  <si>
    <t>Date of birth</t>
  </si>
  <si>
    <t>Formula</t>
  </si>
  <si>
    <t>Policy number</t>
  </si>
  <si>
    <t>Total amount insured</t>
  </si>
  <si>
    <t>Discount</t>
  </si>
  <si>
    <t>Tax</t>
  </si>
  <si>
    <t>Contribution</t>
  </si>
  <si>
    <t>M</t>
  </si>
  <si>
    <t>HT</t>
  </si>
  <si>
    <t>On behalf of</t>
  </si>
  <si>
    <t>Broker</t>
  </si>
  <si>
    <t>Subscriber</t>
  </si>
  <si>
    <t>Co-subscriber</t>
  </si>
  <si>
    <t>EUR</t>
  </si>
  <si>
    <t>Currency</t>
  </si>
  <si>
    <t>Effective date</t>
  </si>
  <si>
    <t>Last name</t>
  </si>
  <si>
    <t>ID Wycc</t>
  </si>
  <si>
    <t>Days</t>
  </si>
  <si>
    <t>Months</t>
  </si>
  <si>
    <t>Premium HT</t>
  </si>
  <si>
    <t>Temporary Disability Accident</t>
  </si>
  <si>
    <t>Temporary Disability Illness</t>
  </si>
  <si>
    <t>Premium TC</t>
  </si>
  <si>
    <t>The details of the insured members' movements (with benefits, IN/OUT, structures…) are available in the joined document.</t>
  </si>
  <si>
    <t>Guarantees</t>
  </si>
  <si>
    <t>Worked Period</t>
  </si>
  <si>
    <t>End</t>
  </si>
  <si>
    <t>Last amendment</t>
  </si>
  <si>
    <t>Concerned period</t>
  </si>
  <si>
    <t>Number</t>
  </si>
  <si>
    <t>Start</t>
  </si>
  <si>
    <t>Malta</t>
  </si>
  <si>
    <t>Cannes</t>
  </si>
  <si>
    <t>France</t>
  </si>
  <si>
    <t>ID Certificate</t>
  </si>
  <si>
    <t>Start Period</t>
  </si>
  <si>
    <t>End Period</t>
  </si>
  <si>
    <t>TC</t>
  </si>
  <si>
    <t>Amount to pay</t>
  </si>
  <si>
    <t>Total</t>
  </si>
  <si>
    <t>Date</t>
  </si>
  <si>
    <t>The present bill is forwarded without bearing on previous premiums or amounts that remain to be settled.</t>
  </si>
  <si>
    <t>The Wycc direction</t>
  </si>
  <si>
    <t>ICS SA - WYCC DEPARTMENT</t>
  </si>
  <si>
    <t>Centre Mercure - 41, avenue de la gare</t>
  </si>
  <si>
    <t>L-1611 Luxembourg (LU)</t>
  </si>
  <si>
    <t>PLEASE PAY INVOICES BY BANK TRANSFER CREDITED TO</t>
  </si>
  <si>
    <t>Bank</t>
  </si>
  <si>
    <t>69, route d'Esch</t>
  </si>
  <si>
    <t>L-2953 Luxembourg (LU)</t>
  </si>
  <si>
    <t>Banque Internationale Luxembourg</t>
  </si>
  <si>
    <t>IBAN</t>
  </si>
  <si>
    <t>SWIFT/BIC</t>
  </si>
  <si>
    <t>BILLLULL</t>
  </si>
  <si>
    <t>Amount</t>
  </si>
  <si>
    <t>Net premium to pay :</t>
  </si>
  <si>
    <t>Policy</t>
  </si>
  <si>
    <t>Contributions</t>
  </si>
  <si>
    <t>Comment</t>
  </si>
  <si>
    <t>HT Policy</t>
  </si>
  <si>
    <t>ID Insurance Company</t>
  </si>
  <si>
    <t>ID Formula</t>
  </si>
  <si>
    <t>Brokerage</t>
  </si>
  <si>
    <t>Policy Number</t>
  </si>
  <si>
    <t>Commission Policy</t>
  </si>
  <si>
    <t>TC Policy</t>
  </si>
  <si>
    <t>PRESTIGE</t>
  </si>
  <si>
    <t>USD</t>
  </si>
  <si>
    <t>Formula 3</t>
  </si>
  <si>
    <t>Sylvie</t>
  </si>
  <si>
    <t>Céline</t>
  </si>
  <si>
    <t>Laurence</t>
  </si>
  <si>
    <t>Colombes</t>
  </si>
  <si>
    <t>Position</t>
  </si>
  <si>
    <t>Employer</t>
  </si>
  <si>
    <t>Manager</t>
  </si>
  <si>
    <t>Commission</t>
  </si>
  <si>
    <t xml:space="preserve">Certificate N°:   </t>
  </si>
  <si>
    <t>Listes à valider</t>
  </si>
  <si>
    <t>Date:</t>
  </si>
  <si>
    <t>AIG Europe, AIG EU AH TRAVEL EXPT WORLD CREW COVER LUX EN 20121203</t>
  </si>
  <si>
    <t xml:space="preserve">Shipowner </t>
  </si>
  <si>
    <t>Anker Verzekeringen n.v., TC-ACI-EUR-EN JAN-2014</t>
  </si>
  <si>
    <t>Address (shipowner)</t>
  </si>
  <si>
    <t>Postal code (shipowner)</t>
  </si>
  <si>
    <t>Place (shipowner)</t>
  </si>
  <si>
    <t>Country (shipowner)</t>
  </si>
  <si>
    <t>Co-insured</t>
  </si>
  <si>
    <t>Address (Co-insured)</t>
  </si>
  <si>
    <t>Postal Code (Co-insured)</t>
  </si>
  <si>
    <t>Place (Co-insured)</t>
  </si>
  <si>
    <t>Country (Co-insured)</t>
  </si>
  <si>
    <t xml:space="preserve">Manager:       </t>
  </si>
  <si>
    <t>Address (Manager)</t>
  </si>
  <si>
    <t>Postal Code (Manager)</t>
  </si>
  <si>
    <t>Place (Manager)</t>
  </si>
  <si>
    <t>Country (Manager)</t>
  </si>
  <si>
    <t>Address (Insurance Broker)</t>
  </si>
  <si>
    <t>Postal Code (Insurance Broker)</t>
  </si>
  <si>
    <t>Place (Insurance Broker)</t>
  </si>
  <si>
    <t>Country (Insurance Broker)</t>
  </si>
  <si>
    <t>Vessel(s):</t>
  </si>
  <si>
    <t>Policy effective/change date</t>
  </si>
  <si>
    <t>Date of change</t>
  </si>
  <si>
    <t>Renewal date:</t>
  </si>
  <si>
    <t>Policy Currency:</t>
  </si>
  <si>
    <t>MEDICAL EXPENSES - ASSISTANCE AND REPATRIATION</t>
  </si>
  <si>
    <t>POLICY N° (MED)</t>
  </si>
  <si>
    <t>Insured (MED)</t>
  </si>
  <si>
    <t>PERMANENT PARTIAL/TOTAL DISABILITY</t>
  </si>
  <si>
    <t>POLICY N° (PTD)</t>
  </si>
  <si>
    <t>Insured (PTD)</t>
  </si>
  <si>
    <t>Due to accident (name PTD-1)</t>
  </si>
  <si>
    <t>POEA</t>
  </si>
  <si>
    <t>A saisir</t>
  </si>
  <si>
    <t>Due to accident (name PTD-2)</t>
  </si>
  <si>
    <t>ANNUAL &amp; SEASONAL</t>
  </si>
  <si>
    <t>Due to accident (name PTD-3)</t>
  </si>
  <si>
    <t>DAY WORKER</t>
  </si>
  <si>
    <t>Due to accident (amount PTD-1)</t>
  </si>
  <si>
    <t>51000+7000 each child (max4)</t>
  </si>
  <si>
    <t>300% Annual salary</t>
  </si>
  <si>
    <t>Due to accident (amount PTD-2)</t>
  </si>
  <si>
    <t>Due to accident (amount PTD-3)</t>
  </si>
  <si>
    <t>Due to Illness (amount PTD-1)</t>
  </si>
  <si>
    <t>Due to Illness (amount PTD-2)</t>
  </si>
  <si>
    <t>Due to Illness (amount PTD-3)</t>
  </si>
  <si>
    <t>/</t>
  </si>
  <si>
    <t>CLAUSES (PTD)</t>
  </si>
  <si>
    <t>LOSS OF LIFE</t>
  </si>
  <si>
    <t>POLICY N° (LOL)</t>
  </si>
  <si>
    <t>Insured (LOL)</t>
  </si>
  <si>
    <t>Due to accident (name LOL-1)</t>
  </si>
  <si>
    <t>Due to accident (name LOL-2)</t>
  </si>
  <si>
    <t>Due to accident (name LOL-3)</t>
  </si>
  <si>
    <t>Due to accident (amount LOL-1)</t>
  </si>
  <si>
    <t>Due to accident (amount LOL-2)</t>
  </si>
  <si>
    <t>Due to accident (amount LOL-3)</t>
  </si>
  <si>
    <t>Due to Illness (amount LOL-1)</t>
  </si>
  <si>
    <t>Due to Illness (amount LOL-2)</t>
  </si>
  <si>
    <t>Due to Illness (amount LOL-3)</t>
  </si>
  <si>
    <t>CLAUSES (LOL)</t>
  </si>
  <si>
    <t>PAS TOUCHER SVP</t>
  </si>
  <si>
    <t>TEMPORARY TOTAL DISABILITY</t>
  </si>
  <si>
    <t>POLICY N° (TTD)</t>
  </si>
  <si>
    <t>Insured (TTD)</t>
  </si>
  <si>
    <t>Due to accident (name TTD-1)</t>
  </si>
  <si>
    <t>Due to accident (name TTD-2)</t>
  </si>
  <si>
    <t>Due to accident (name TTD-3)</t>
  </si>
  <si>
    <t>100% Annual salary</t>
  </si>
  <si>
    <t>Due to accident and illness (amount TTD-1)</t>
  </si>
  <si>
    <t>Due to accident and illness (amount TTD-2)</t>
  </si>
  <si>
    <t>Due to accident and illness (amount TTD-3)</t>
  </si>
  <si>
    <t>CLAUSES (TTD)</t>
  </si>
  <si>
    <t>affiliation date WCA</t>
  </si>
  <si>
    <t>F-92700</t>
  </si>
  <si>
    <t>Dénomination actuelle</t>
  </si>
  <si>
    <t>Vessel / Navire:</t>
  </si>
  <si>
    <t>choix de l'interface</t>
  </si>
  <si>
    <t>Type</t>
  </si>
  <si>
    <t>Renewal / Echéance</t>
  </si>
  <si>
    <t>Résiliation</t>
  </si>
  <si>
    <t>infos de facturation</t>
  </si>
  <si>
    <t>Dénomination ancienne</t>
  </si>
  <si>
    <t>Shipowner / Armateur:</t>
  </si>
  <si>
    <t>Employer/Co-insured</t>
  </si>
  <si>
    <t>Luxembourg</t>
  </si>
  <si>
    <t>Insurance Broker / Courtier:</t>
  </si>
  <si>
    <t>crew manager</t>
  </si>
  <si>
    <t xml:space="preserve">Certificate N°: </t>
  </si>
  <si>
    <t>Formule</t>
  </si>
  <si>
    <t>Officers/Ratings</t>
  </si>
  <si>
    <t>LOL</t>
  </si>
  <si>
    <t>PTD</t>
  </si>
  <si>
    <t>TTD</t>
  </si>
  <si>
    <t>Medical</t>
  </si>
  <si>
    <t>AIG</t>
  </si>
  <si>
    <t>ANKER</t>
  </si>
  <si>
    <t>FACTURATION</t>
  </si>
  <si>
    <t>Periode</t>
  </si>
  <si>
    <t>Seasonal</t>
  </si>
  <si>
    <t>Philipino</t>
  </si>
  <si>
    <t>WCA CONTRIBUTIONS</t>
  </si>
  <si>
    <t>TAXES AND FEES</t>
  </si>
  <si>
    <t>DISCOUNT</t>
  </si>
  <si>
    <t>TOTAL TTC</t>
  </si>
  <si>
    <t>NET AMOUNT DC/IP</t>
  </si>
  <si>
    <t>Day worker</t>
  </si>
  <si>
    <t>APPORTEUR</t>
  </si>
  <si>
    <t>ADRESSE</t>
  </si>
  <si>
    <t>CP</t>
  </si>
  <si>
    <t>LIEU</t>
  </si>
  <si>
    <t>PAYS</t>
  </si>
  <si>
    <t>TEL</t>
  </si>
  <si>
    <t>FAX</t>
  </si>
  <si>
    <t>Taux EUR</t>
  </si>
  <si>
    <t>Taux USD</t>
  </si>
  <si>
    <t>Taux Mobility</t>
  </si>
  <si>
    <t>Taux PJ</t>
  </si>
  <si>
    <t xml:space="preserve">IBAN </t>
  </si>
  <si>
    <t>B2050</t>
  </si>
  <si>
    <t>Insurance Broker</t>
  </si>
  <si>
    <t xml:space="preserve">39 boulevard Ney </t>
  </si>
  <si>
    <t>F-54706</t>
  </si>
  <si>
    <t>PONT A MOUSSON</t>
  </si>
  <si>
    <t>FRANCE</t>
  </si>
  <si>
    <t>(0033)383878610</t>
  </si>
  <si>
    <t>(0033) 383 84 04 66</t>
  </si>
  <si>
    <t xml:space="preserve">fr76 1470 7000 2802 8210 6712 782 </t>
  </si>
  <si>
    <t>B2089</t>
  </si>
  <si>
    <t>AFMA</t>
  </si>
  <si>
    <t>22, bd Moulay Youssef</t>
  </si>
  <si>
    <t>CASABLANCA</t>
  </si>
  <si>
    <t>MOROCCO</t>
  </si>
  <si>
    <t xml:space="preserve">(0021) 25 22 42 80 76 </t>
  </si>
  <si>
    <t>(00212) 5 22 42 80 21</t>
  </si>
  <si>
    <t>B2054</t>
  </si>
  <si>
    <t>F-13001</t>
  </si>
  <si>
    <t>MARSEILLE</t>
  </si>
  <si>
    <t>(0033) 496 17 61 76</t>
  </si>
  <si>
    <t>(0033) 491 54 36 56</t>
  </si>
  <si>
    <t>Port Pierre Canto</t>
  </si>
  <si>
    <t>F-06400</t>
  </si>
  <si>
    <t>(0033) (0)4 93 39 33 15</t>
  </si>
  <si>
    <t xml:space="preserve">B2065 </t>
  </si>
  <si>
    <t>B2061</t>
  </si>
  <si>
    <t>April Yacht</t>
  </si>
  <si>
    <t>I-18038</t>
  </si>
  <si>
    <t>(0039) 0184 59 02 59</t>
  </si>
  <si>
    <t>(0039) 184 54 01 75</t>
  </si>
  <si>
    <t>B2057</t>
  </si>
  <si>
    <t>AquaMarine</t>
  </si>
  <si>
    <t>Port de Plaisance</t>
  </si>
  <si>
    <t xml:space="preserve">F-06230 </t>
  </si>
  <si>
    <t>Saint Jean Cap Ferrat</t>
  </si>
  <si>
    <t>(0033) 493 76 17 17</t>
  </si>
  <si>
    <t>(0033) 630 24 22 31</t>
  </si>
  <si>
    <t xml:space="preserve">fr76 1560 7000 6560 1211 4565 422 </t>
  </si>
  <si>
    <t>B2065</t>
  </si>
  <si>
    <t>ASCOMA MARITIME FRANCE</t>
  </si>
  <si>
    <t>26 Boulevard Risso</t>
  </si>
  <si>
    <t>F-06300</t>
  </si>
  <si>
    <t>NICE</t>
  </si>
  <si>
    <t>(0033) 492 12 32 92</t>
  </si>
  <si>
    <t>(0033) 492 04 18 83</t>
  </si>
  <si>
    <t>B2051</t>
  </si>
  <si>
    <t>ASCOMA MARITIME MONACO</t>
  </si>
  <si>
    <t>24, Boulevard Princesse Charlotte</t>
  </si>
  <si>
    <t>MC-98000</t>
  </si>
  <si>
    <t>MONACO</t>
  </si>
  <si>
    <t>(00377) 97 97 44 20</t>
  </si>
  <si>
    <t>(00377) 97 97 44 24</t>
  </si>
  <si>
    <t xml:space="preserve">lu34 1720 1103 9000 1978 </t>
  </si>
  <si>
    <t>B2082</t>
  </si>
  <si>
    <t>Cureglia</t>
  </si>
  <si>
    <t>SWITZERLAND</t>
  </si>
  <si>
    <t>(0041) 91 967 49 22</t>
  </si>
  <si>
    <t>(0041) 91 967 25 92</t>
  </si>
  <si>
    <t xml:space="preserve">B2088 </t>
  </si>
  <si>
    <t xml:space="preserve">AXA Agences Dumesnil </t>
  </si>
  <si>
    <t xml:space="preserve">28 avenue Maizieres </t>
  </si>
  <si>
    <t xml:space="preserve">ANTIBES </t>
  </si>
  <si>
    <t>(0033)493 343 832</t>
  </si>
  <si>
    <t>M3059</t>
  </si>
  <si>
    <t>AXA Insurance Gulf BSC</t>
  </si>
  <si>
    <t>Qatar Financial Centre, Office 604, 6th floor</t>
  </si>
  <si>
    <t>PO BOX 15319</t>
  </si>
  <si>
    <t>DOHA</t>
  </si>
  <si>
    <t>QATAR</t>
  </si>
  <si>
    <t>AXA Yachting Solutions</t>
  </si>
  <si>
    <t>2-4, rue Jules Lefebvre</t>
  </si>
  <si>
    <t>F-75426</t>
  </si>
  <si>
    <t>Paris</t>
  </si>
  <si>
    <t>(0033) 1 56 92 92 32</t>
  </si>
  <si>
    <t>(0033) 1 56 92 81 62</t>
  </si>
  <si>
    <t>M3057</t>
  </si>
  <si>
    <t xml:space="preserve">BOATTRUST </t>
  </si>
  <si>
    <t>MC 98000</t>
  </si>
  <si>
    <t>(00377) 97 77 81 77</t>
  </si>
  <si>
    <t>B2067</t>
  </si>
  <si>
    <t>Burgess</t>
  </si>
  <si>
    <t>57 rue Grimaldi Le Panorama</t>
  </si>
  <si>
    <t>(00377) 97 97 81 21</t>
  </si>
  <si>
    <t>B2090</t>
  </si>
  <si>
    <t xml:space="preserve">CLOVER BROKERS </t>
  </si>
  <si>
    <t>Dedeyan Center 8th floor, Dora Main Highway</t>
  </si>
  <si>
    <t>PO BOX 90-1325</t>
  </si>
  <si>
    <t>Bauchrieh</t>
  </si>
  <si>
    <t>LEBANON</t>
  </si>
  <si>
    <t>(00961) 1259050</t>
  </si>
  <si>
    <t>(00961) 1259226</t>
  </si>
  <si>
    <t>B2060</t>
  </si>
  <si>
    <t>CMC Assurance</t>
  </si>
  <si>
    <t>1 rue de la Buffa</t>
  </si>
  <si>
    <t>F-06000</t>
  </si>
  <si>
    <t>(0033) 4 97 03.27.07</t>
  </si>
  <si>
    <t>(0033) 4.93.82.27.67</t>
  </si>
  <si>
    <t>fr53 4097 8000 1203 8802 0V00 152</t>
  </si>
  <si>
    <t>B2081</t>
  </si>
  <si>
    <t>D&amp;B SERVICES -Cayman Islands</t>
  </si>
  <si>
    <t>Cayman Buisness park A7</t>
  </si>
  <si>
    <t>KY1-1003</t>
  </si>
  <si>
    <t>George Town</t>
  </si>
  <si>
    <t>Cayman Islands</t>
  </si>
  <si>
    <t>(0033) 493 34 09 67</t>
  </si>
  <si>
    <t>(0033) 493 34 12 37</t>
  </si>
  <si>
    <t>B2056</t>
  </si>
  <si>
    <t>D&amp;B SERVICES -France</t>
  </si>
  <si>
    <t>3 Boulevard d'Aguillon</t>
  </si>
  <si>
    <t>F-06600</t>
  </si>
  <si>
    <t>ANTIBES</t>
  </si>
  <si>
    <t>fr76 3000 3004 8100 0202 7108 046</t>
  </si>
  <si>
    <t>Darkpelican</t>
  </si>
  <si>
    <t xml:space="preserve">6, Quai Amiral Courbet-Port de la Santé </t>
  </si>
  <si>
    <t>(0033) 493 01 76 54</t>
  </si>
  <si>
    <t>B2073</t>
  </si>
  <si>
    <t>DIOT MONTAGNE</t>
  </si>
  <si>
    <t>88 Avenue d’AIX-LES-BAINS</t>
  </si>
  <si>
    <t>F-74600</t>
  </si>
  <si>
    <t>SEYNOD</t>
  </si>
  <si>
    <t>(0033) 450 279 744</t>
  </si>
  <si>
    <t>EQUISEA Monaco</t>
  </si>
  <si>
    <t>11 bd Albert 1er</t>
  </si>
  <si>
    <t>(00377) 979 82 898</t>
  </si>
  <si>
    <t>(00377) 97 98 28 97</t>
  </si>
  <si>
    <t>B2070</t>
  </si>
  <si>
    <t>(0033) 144 82 10 66</t>
  </si>
  <si>
    <t xml:space="preserve">(0033) 155 80 74 93 </t>
  </si>
  <si>
    <t>fr76 3005 6000 6700 6726 5217 012</t>
  </si>
  <si>
    <t>B2063</t>
  </si>
  <si>
    <t>Favier Casanova et Associés Toulon</t>
  </si>
  <si>
    <t>17 rue Mirabeau - BP 5064</t>
  </si>
  <si>
    <t>F-83000</t>
  </si>
  <si>
    <t>TOULON</t>
  </si>
  <si>
    <t>(0033) 494 09 79 79</t>
  </si>
  <si>
    <t>(0033) 494 09 79 80</t>
  </si>
  <si>
    <t xml:space="preserve">fr76 1009 6185 7400 0481 0440 237 </t>
  </si>
  <si>
    <t>Fenchurch Faris Ltd</t>
  </si>
  <si>
    <t xml:space="preserve">11, Nirvana Street </t>
  </si>
  <si>
    <t xml:space="preserve">GR-166 73 </t>
  </si>
  <si>
    <t xml:space="preserve">Voula </t>
  </si>
  <si>
    <t>GREECE</t>
  </si>
  <si>
    <t>(0030) 210 894 7587</t>
  </si>
  <si>
    <t>(0030) 210 894 2549</t>
  </si>
  <si>
    <t>B2059</t>
  </si>
  <si>
    <t>FILHET ALLARD Maritime</t>
  </si>
  <si>
    <t>Hull and P&amp;I Department Rue Cervantès. Mérignac</t>
  </si>
  <si>
    <t>F-33735</t>
  </si>
  <si>
    <t>Bordeaux</t>
  </si>
  <si>
    <t>(0033) 5 57 53 20 00</t>
  </si>
  <si>
    <t>M3054</t>
  </si>
  <si>
    <t>GASPARD Yachts</t>
  </si>
  <si>
    <t>(0033) 491 93 09 39</t>
  </si>
  <si>
    <t>fr76 3000 4017 3800 0100 1987 573</t>
  </si>
  <si>
    <t>B2074</t>
  </si>
  <si>
    <t>Gecar</t>
  </si>
  <si>
    <t>Palais du Soleil 5 av de Lyon</t>
  </si>
  <si>
    <t>CANNES</t>
  </si>
  <si>
    <t>(0033) 493 99 56 66</t>
  </si>
  <si>
    <t>fr76 3005 6002 1502 1520 1511 315</t>
  </si>
  <si>
    <t>B2087</t>
  </si>
  <si>
    <t xml:space="preserve">Gras Savoye Turkey </t>
  </si>
  <si>
    <t>Ahi Evran Cd. No:21 Polaris Plaza K:10</t>
  </si>
  <si>
    <t>TR-34398</t>
  </si>
  <si>
    <t>MASLAK-ISTANBUL</t>
  </si>
  <si>
    <t xml:space="preserve">TURKEY </t>
  </si>
  <si>
    <t xml:space="preserve">(0090)212 329 29 58 </t>
  </si>
  <si>
    <t>(0090) 212 346 03 00</t>
  </si>
  <si>
    <t>Groupe OTHELA</t>
  </si>
  <si>
    <t>16/18 Rue des Suisses</t>
  </si>
  <si>
    <t>(0033) 493 99  98 01</t>
  </si>
  <si>
    <t>(0033) 493 99 98 34</t>
  </si>
  <si>
    <t>B2075</t>
  </si>
  <si>
    <t>Hudson Sky Company SA</t>
  </si>
  <si>
    <t>Oberalpstrasse 16</t>
  </si>
  <si>
    <t>CH-7000</t>
  </si>
  <si>
    <t>CHUR</t>
  </si>
  <si>
    <t>(0041) 81 28 67 777</t>
  </si>
  <si>
    <t>(0041) 81 28 67 779</t>
  </si>
  <si>
    <t>ICS</t>
  </si>
  <si>
    <t>Centre Mercure -Avenue de la Gare, 41</t>
  </si>
  <si>
    <t>L-1611</t>
  </si>
  <si>
    <t>LUXEMBOURG</t>
  </si>
  <si>
    <t>(00352) 27 44 54</t>
  </si>
  <si>
    <t>(00352) 45 75 54</t>
  </si>
  <si>
    <t>C4001</t>
  </si>
  <si>
    <t>B2076</t>
  </si>
  <si>
    <t>INP Marine</t>
  </si>
  <si>
    <t>4, Sentier des Borgognes (Port du Basset)</t>
  </si>
  <si>
    <t xml:space="preserve">CH-1815 </t>
  </si>
  <si>
    <t>Clarens-Montreux</t>
  </si>
  <si>
    <t>(0041) 21 981 22 44</t>
  </si>
  <si>
    <t>B2083</t>
  </si>
  <si>
    <t>Inter Caraïbes Assurances</t>
  </si>
  <si>
    <t>Bd Allègre, Marina Du Marin</t>
  </si>
  <si>
    <t>MQ-97229</t>
  </si>
  <si>
    <t>LE MARIN</t>
  </si>
  <si>
    <t>MARTINIQUE</t>
  </si>
  <si>
    <t>(00596) 59 67 499 31</t>
  </si>
  <si>
    <t>(00596) 59 67 48 31</t>
  </si>
  <si>
    <t>B2068</t>
  </si>
  <si>
    <t>ISAIA, AXA Assurances Antibes</t>
  </si>
  <si>
    <t>8 Boulevard Albert 1er</t>
  </si>
  <si>
    <t>(0033) 493 34 45 26</t>
  </si>
  <si>
    <t>(0033) 493 34 78 69</t>
  </si>
  <si>
    <t>B2084</t>
  </si>
  <si>
    <t xml:space="preserve">ISIS GLOBAL SOLUTIONS </t>
  </si>
  <si>
    <t xml:space="preserve">CA Grand Var - Bat A </t>
  </si>
  <si>
    <t xml:space="preserve">F-83130 </t>
  </si>
  <si>
    <t>La Garde</t>
  </si>
  <si>
    <t>(0033) 498 08 00 12</t>
  </si>
  <si>
    <t>(0033) 4 94 23 40 72</t>
  </si>
  <si>
    <t>B2069</t>
  </si>
  <si>
    <t>JOURDAN GASSIN Nice</t>
  </si>
  <si>
    <t>17 Rue Alexandre Mari</t>
  </si>
  <si>
    <t>(0033) 492 17 36 07</t>
  </si>
  <si>
    <t>fr76 3000 4000 3800 0101 7328 985</t>
  </si>
  <si>
    <t>B2080</t>
  </si>
  <si>
    <t>LALANDRE ASSURANCES</t>
  </si>
  <si>
    <t>57 Boulevard d'Alsace</t>
  </si>
  <si>
    <t>(0033) 497 06 36 36</t>
  </si>
  <si>
    <t>(0033) 497 06 36 37</t>
  </si>
  <si>
    <t>M3053</t>
  </si>
  <si>
    <t>(00352) 42 31 18 44</t>
  </si>
  <si>
    <t>Luxembourg Marine Services S.A.</t>
  </si>
  <si>
    <t>(00352) 42 31 18 27</t>
  </si>
  <si>
    <t>(00352) 42 16 80</t>
  </si>
  <si>
    <t>CAPELLEN</t>
  </si>
  <si>
    <t>(00352) 26 30 40 01</t>
  </si>
  <si>
    <t>(00352) 26 30 40 40</t>
  </si>
  <si>
    <t>lu78 0019 3455 6831 4000</t>
  </si>
  <si>
    <t xml:space="preserve">P0009 </t>
  </si>
  <si>
    <t>MAILLOT Florent</t>
  </si>
  <si>
    <t xml:space="preserve">85 avenue du maréchal juin </t>
  </si>
  <si>
    <t>F6400</t>
  </si>
  <si>
    <t xml:space="preserve">CANNES </t>
  </si>
  <si>
    <t>M3058</t>
  </si>
  <si>
    <t xml:space="preserve">MARINESSANCE </t>
  </si>
  <si>
    <t>B2071</t>
  </si>
  <si>
    <t>MER &amp; YACHT ASSURANCE</t>
  </si>
  <si>
    <t>27 rue de Mimont</t>
  </si>
  <si>
    <t>(0033) 6 95 30 31 13</t>
  </si>
  <si>
    <t>B2064</t>
  </si>
  <si>
    <t xml:space="preserve">MERS &amp; RIVIERES </t>
  </si>
  <si>
    <t>16, avenue de l'Agent Sarre</t>
  </si>
  <si>
    <t>(0033) 1 80 46 70 30</t>
  </si>
  <si>
    <t>P0001</t>
  </si>
  <si>
    <t>Miremont Patrick</t>
  </si>
  <si>
    <t>F-06220</t>
  </si>
  <si>
    <t>Golfe-Juan</t>
  </si>
  <si>
    <t>(0033) 611 80 90 69</t>
  </si>
  <si>
    <t>Monaco Equipage</t>
  </si>
  <si>
    <t>Port de Fontvieille-  30, quai J-C Rey</t>
  </si>
  <si>
    <t>B2058</t>
  </si>
  <si>
    <t>MTAIC Cannes</t>
  </si>
  <si>
    <t>33 rue Jean Jaures</t>
  </si>
  <si>
    <t>(0033) 493 39 11 31</t>
  </si>
  <si>
    <t>(0033) 493 39 67 73</t>
  </si>
  <si>
    <t xml:space="preserve">fr76 3005 6002 2202 2224 1842 117 </t>
  </si>
  <si>
    <t>B2077</t>
  </si>
  <si>
    <t>Monaco</t>
  </si>
  <si>
    <t xml:space="preserve">(00377)97 97 13 58 </t>
  </si>
  <si>
    <t xml:space="preserve">(00377)97 97 13 59 </t>
  </si>
  <si>
    <t>MC58 1654 8003 4300 0202 5160 349</t>
  </si>
  <si>
    <t>B2079</t>
  </si>
  <si>
    <t>171 rue de Buzenval</t>
  </si>
  <si>
    <t>F-92380</t>
  </si>
  <si>
    <t>GARCHES</t>
  </si>
  <si>
    <t>(0033) 147 95 97 89</t>
  </si>
  <si>
    <t>M3055</t>
  </si>
  <si>
    <t>(00352) 22 94 96</t>
  </si>
  <si>
    <t>B2078</t>
  </si>
  <si>
    <t>ONLYYACHT Antibes</t>
  </si>
  <si>
    <t>8 bis rue de Verdun</t>
  </si>
  <si>
    <t>(0033) 492 94 97 70</t>
  </si>
  <si>
    <t>(0033) 492 94 97 74</t>
  </si>
  <si>
    <t>B2062</t>
  </si>
  <si>
    <t>ONLYYACHT MONACO</t>
  </si>
  <si>
    <t>12 Quai Antoine 1er</t>
  </si>
  <si>
    <t xml:space="preserve">(00377) 97 97 23 10 </t>
  </si>
  <si>
    <t xml:space="preserve">(00377) 97 97 23 11 </t>
  </si>
  <si>
    <t xml:space="preserve">lu20 0030 2075 9145 0000 </t>
  </si>
  <si>
    <t>P0002</t>
  </si>
  <si>
    <t>PERNOT Jean-Pierre</t>
  </si>
  <si>
    <t>(0033) 60 75 11 311</t>
  </si>
  <si>
    <t>(0033) 456 80 93 94</t>
  </si>
  <si>
    <t>B2055</t>
  </si>
  <si>
    <t>10 Square Cantini Le Méditerranée</t>
  </si>
  <si>
    <t>F-13006</t>
  </si>
  <si>
    <t xml:space="preserve">MARSEILLE </t>
  </si>
  <si>
    <t>(0033) 4 96 20 28 20</t>
  </si>
  <si>
    <t>fr21 1336 9000 0100 3504 6731 x07</t>
  </si>
  <si>
    <t>B2053</t>
  </si>
  <si>
    <t>POGGIO Monaco</t>
  </si>
  <si>
    <t>4 Bd Des Moulins BP 152</t>
  </si>
  <si>
    <t>MC-98003</t>
  </si>
  <si>
    <t>(00377) 97 97 34 54</t>
  </si>
  <si>
    <t>(00377) 97 97 34 57</t>
  </si>
  <si>
    <t>mc19 1273 9000 7101 0696 6000 y36</t>
  </si>
  <si>
    <t>PREMIUM BROKING HOUSE</t>
  </si>
  <si>
    <t>Civil Defence Road, El Hajj Bldg. 2nd floor, Sin El Fil - Dekwaneh</t>
  </si>
  <si>
    <t>P.O. Box: 55-659</t>
  </si>
  <si>
    <t>Sin El Fil</t>
  </si>
  <si>
    <t>(00961) 1 489555 ext 33</t>
  </si>
  <si>
    <t>B2072</t>
  </si>
  <si>
    <t>Passage du port, Quai du Bailli de Suffren</t>
  </si>
  <si>
    <t>St TROPEZ</t>
  </si>
  <si>
    <t>(0033) 4 89 78 99 84</t>
  </si>
  <si>
    <t>(0033) 4 94 81 77 37</t>
  </si>
  <si>
    <t>fr76 3000 3023 0600 0500 0673 483</t>
  </si>
  <si>
    <t>B2085</t>
  </si>
  <si>
    <t>SALVO ASSURANCES</t>
  </si>
  <si>
    <t>2, Rue Moustier  BP90061</t>
  </si>
  <si>
    <t>F-13484</t>
  </si>
  <si>
    <t>Marseille Cedex 20</t>
  </si>
  <si>
    <t>(0033) 4 96 11 26 60</t>
  </si>
  <si>
    <t>(0033) 4 96 11 26 61</t>
  </si>
  <si>
    <t>B2052</t>
  </si>
  <si>
    <t>(0033) 493 39 92 30</t>
  </si>
  <si>
    <t>(0033)493 39 15 81</t>
  </si>
  <si>
    <t>fr76 3000 4006 4300 0101 3340 291</t>
  </si>
  <si>
    <t>SUD EUROCOURTAGE</t>
  </si>
  <si>
    <t>8 Bis avenue Ambroise Thomas</t>
  </si>
  <si>
    <t>F-83400</t>
  </si>
  <si>
    <t xml:space="preserve">Hyères </t>
  </si>
  <si>
    <t>(0033) 494 65 08 28</t>
  </si>
  <si>
    <t>(0033) 494 35 70 18</t>
  </si>
  <si>
    <t>B2066</t>
  </si>
  <si>
    <t>SUISSCOURTAGE Cannes</t>
  </si>
  <si>
    <t>Palais Milton, 74 Bd Carnot</t>
  </si>
  <si>
    <t>(0033) 493 38 08 10</t>
  </si>
  <si>
    <t>(0033) 493 38 09 10</t>
  </si>
  <si>
    <t>B2086</t>
  </si>
  <si>
    <t>SUISSCOURTAGE Monaco</t>
  </si>
  <si>
    <t>12 quai Antoine 1er - BP 227</t>
  </si>
  <si>
    <t>(00377) 93 30 42 43</t>
  </si>
  <si>
    <t>(00377) 93 30 12 23</t>
  </si>
  <si>
    <t>MC58 3007 6023 7020 3801 0020 066</t>
  </si>
  <si>
    <t>M3056</t>
  </si>
  <si>
    <t>Port de Nice, Quai Amiral Infernet</t>
  </si>
  <si>
    <t>(0033) 4 92 00 42 84</t>
  </si>
  <si>
    <t>(0033) 4 92 00 43 71</t>
  </si>
  <si>
    <t>VERPEKA Yacht Brokerage</t>
  </si>
  <si>
    <t>Le Ruscino, 14 Quai Antoine 1er</t>
  </si>
  <si>
    <t>(0033) 6 48 33 88 88</t>
  </si>
  <si>
    <t>LK Courtage</t>
  </si>
  <si>
    <t>15 RUE LOUIS BLANC</t>
  </si>
  <si>
    <t>(0033) 04 93 38 52 52</t>
  </si>
  <si>
    <t>(0033) 04 93 99 04 19</t>
  </si>
  <si>
    <t>John L. Wortham &amp; Son, L.P.</t>
  </si>
  <si>
    <t>2727 Allen Parkway</t>
  </si>
  <si>
    <t>TX-77019</t>
  </si>
  <si>
    <t>HOUSTON</t>
  </si>
  <si>
    <t>USA</t>
  </si>
  <si>
    <t>(001) 713 526 33 66</t>
  </si>
  <si>
    <t>GES MARITIME</t>
  </si>
  <si>
    <t>17, rue beaumont</t>
  </si>
  <si>
    <t>L-1219</t>
  </si>
  <si>
    <t>(00352) 40 49 45</t>
  </si>
  <si>
    <t>Antibes</t>
  </si>
  <si>
    <t>Email</t>
  </si>
  <si>
    <t>En plateforme?</t>
  </si>
  <si>
    <t>Fonction</t>
  </si>
  <si>
    <t>ABDO</t>
  </si>
  <si>
    <t>Charbel</t>
  </si>
  <si>
    <t>cabdo@clover-brokers.com</t>
  </si>
  <si>
    <t>charbel</t>
  </si>
  <si>
    <t>MASTER</t>
  </si>
  <si>
    <t>961 1 259050</t>
  </si>
  <si>
    <t>ABI MRAD</t>
  </si>
  <si>
    <t>Jihad</t>
  </si>
  <si>
    <t>jihad@premiumbroking.com</t>
  </si>
  <si>
    <t>Plateforme</t>
  </si>
  <si>
    <t>(00961) 78 888670</t>
  </si>
  <si>
    <t xml:space="preserve">ABOUMRAD </t>
  </si>
  <si>
    <t>jihad.aboumrad@nkfrance.com</t>
  </si>
  <si>
    <t>aboumrad</t>
  </si>
  <si>
    <t xml:space="preserve">ALBIN </t>
  </si>
  <si>
    <t>Elodie</t>
  </si>
  <si>
    <t>ealbin@suisscourtage.com</t>
  </si>
  <si>
    <t>elodie</t>
  </si>
  <si>
    <t xml:space="preserve">Ascoma </t>
  </si>
  <si>
    <t>maritime</t>
  </si>
  <si>
    <t>maritime@ascoma.com</t>
  </si>
  <si>
    <t>ascoma</t>
  </si>
  <si>
    <t>Nyon</t>
  </si>
  <si>
    <t>Suisse</t>
  </si>
  <si>
    <t>AUERBACH</t>
  </si>
  <si>
    <t>Marta</t>
  </si>
  <si>
    <t>marta.auerbach@bourbon-online.com</t>
  </si>
  <si>
    <t>marta_bourbon</t>
  </si>
  <si>
    <t>EYSSAUTIER</t>
  </si>
  <si>
    <t xml:space="preserve">BARAKAT </t>
  </si>
  <si>
    <t>Darine</t>
  </si>
  <si>
    <t>d.barakat@g-eyssautier.com</t>
  </si>
  <si>
    <t>darine</t>
  </si>
  <si>
    <t>BARBERO</t>
  </si>
  <si>
    <t>Vanessa</t>
  </si>
  <si>
    <t>mougins@agence.generali.fr</t>
  </si>
  <si>
    <t>NON</t>
  </si>
  <si>
    <t>Agences de Cannes &amp; Mougins</t>
  </si>
  <si>
    <t>(0033) 493 06 09 09</t>
  </si>
  <si>
    <t>(0033) 493 06 09 00</t>
  </si>
  <si>
    <t>April Marine</t>
  </si>
  <si>
    <t>BAYLE</t>
  </si>
  <si>
    <t>Jacqueline</t>
  </si>
  <si>
    <t>Jacqueline.BAYLE@april.com</t>
  </si>
  <si>
    <t xml:space="preserve">(0033) (0)4 93 38 72 76 </t>
  </si>
  <si>
    <t>(0033) (0)6 80 22 72 61</t>
  </si>
  <si>
    <t>BOURBON GROUP</t>
  </si>
  <si>
    <t>BEAU</t>
  </si>
  <si>
    <t>Muriel</t>
  </si>
  <si>
    <t>muriel.beau@bourbon-online.com</t>
  </si>
  <si>
    <t>murielbeau</t>
  </si>
  <si>
    <t>(0033) (0)4 91 13 65 72</t>
  </si>
  <si>
    <t xml:space="preserve">BECKER </t>
  </si>
  <si>
    <t>Olivier</t>
  </si>
  <si>
    <t>inp.marine@yahoo.fr</t>
  </si>
  <si>
    <t>olivier</t>
  </si>
  <si>
    <t>(0041) 76 463 93 16  or (0033) 621 33 25 51</t>
  </si>
  <si>
    <t>UVEA MARINE SERVICE</t>
  </si>
  <si>
    <t>BROTTO</t>
  </si>
  <si>
    <t>Jeremy</t>
  </si>
  <si>
    <t>jbrotto@ponant.com</t>
  </si>
  <si>
    <t>wyccponant3</t>
  </si>
  <si>
    <t xml:space="preserve">CAMPION </t>
  </si>
  <si>
    <t>Solange</t>
  </si>
  <si>
    <t>solange.campion@jgm.fr</t>
  </si>
  <si>
    <t>solange</t>
  </si>
  <si>
    <t>CLUIS</t>
  </si>
  <si>
    <t>Michael</t>
  </si>
  <si>
    <t>m.cluis@salvo-assurances.com</t>
  </si>
  <si>
    <t>michael</t>
  </si>
  <si>
    <t>0033 496 11 26 60</t>
  </si>
  <si>
    <t>CONZALES</t>
  </si>
  <si>
    <t>Jacques</t>
  </si>
  <si>
    <t>jconzales@boat-fleet.com</t>
  </si>
  <si>
    <t>cjacques</t>
  </si>
  <si>
    <t>(0033) 609532647</t>
  </si>
  <si>
    <t>17 rue Mirabeau</t>
  </si>
  <si>
    <t xml:space="preserve">F-83000 </t>
  </si>
  <si>
    <t>Toulon</t>
  </si>
  <si>
    <t>CORDRAY</t>
  </si>
  <si>
    <t>Marie-Laure</t>
  </si>
  <si>
    <t>mlcordray@agence.generali.fr</t>
  </si>
  <si>
    <t>(0033) 494 09 79 84</t>
  </si>
  <si>
    <t>Maritime Albatros</t>
  </si>
  <si>
    <t>COTINEAU</t>
  </si>
  <si>
    <t>Valérie</t>
  </si>
  <si>
    <t>valerie@leschevrefeuilles.com</t>
  </si>
  <si>
    <t>cotineau_wycc*</t>
  </si>
  <si>
    <t>COUËSSUREL</t>
  </si>
  <si>
    <t>Yann</t>
  </si>
  <si>
    <t>ycouessurel@ponant.com</t>
  </si>
  <si>
    <t>wyccponant2</t>
  </si>
  <si>
    <t>CROQUET</t>
  </si>
  <si>
    <t>Patricia</t>
  </si>
  <si>
    <t>patricia.croquet@mtaic.com</t>
  </si>
  <si>
    <t>(0033) 492 18 79 87</t>
  </si>
  <si>
    <t>(0033) 492 18 79 85</t>
  </si>
  <si>
    <t xml:space="preserve">148 rue sainte </t>
  </si>
  <si>
    <t>F-13007</t>
  </si>
  <si>
    <t>DARUS</t>
  </si>
  <si>
    <t>Anne</t>
  </si>
  <si>
    <t>anne.darus@bourbon-online.com</t>
  </si>
  <si>
    <t>annedarus</t>
  </si>
  <si>
    <t xml:space="preserve">DE CAMPOU </t>
  </si>
  <si>
    <t>Thomas</t>
  </si>
  <si>
    <t>t.decampou@harrel-courtes.fr</t>
  </si>
  <si>
    <t>t.decampou</t>
  </si>
  <si>
    <t>(0033) 4 96 176 178</t>
  </si>
  <si>
    <t>(0033) 6 86 86 57 49</t>
  </si>
  <si>
    <t xml:space="preserve">De Zerbi </t>
  </si>
  <si>
    <t>Charlene</t>
  </si>
  <si>
    <t>cdezerbi@onlyyacht.com</t>
  </si>
  <si>
    <t>charlene</t>
  </si>
  <si>
    <t>+377 (97) 97 23 10</t>
  </si>
  <si>
    <t>+377 (97) 97 23 11</t>
  </si>
  <si>
    <t>GECAR</t>
  </si>
  <si>
    <t xml:space="preserve">DELATTRE </t>
  </si>
  <si>
    <t>Maryline</t>
  </si>
  <si>
    <t>m.delattre@gecarcannes.com</t>
  </si>
  <si>
    <t>maryline</t>
  </si>
  <si>
    <t>(0033) 493995666</t>
  </si>
  <si>
    <t xml:space="preserve">DEMAREST </t>
  </si>
  <si>
    <t>Stéphanie</t>
  </si>
  <si>
    <t>sdemarest@suisscourtage.mc</t>
  </si>
  <si>
    <t>stephanie</t>
  </si>
  <si>
    <t>DİNÇER</t>
  </si>
  <si>
    <t>Kemal</t>
  </si>
  <si>
    <t>kemal.dincer@grassavoye.com.tr</t>
  </si>
  <si>
    <t>grassavoye</t>
  </si>
  <si>
    <t>(0090) 212 329 29 58</t>
  </si>
  <si>
    <t>(0090) 532 405 78 78</t>
  </si>
  <si>
    <t>DOLLING</t>
  </si>
  <si>
    <t>Rob</t>
  </si>
  <si>
    <t>r.dolling@verpeka.com</t>
  </si>
  <si>
    <t>DUMAS</t>
  </si>
  <si>
    <t>Aurélie</t>
  </si>
  <si>
    <t>adumas@agence.generali.fr</t>
  </si>
  <si>
    <t>aurélie</t>
  </si>
  <si>
    <t>(0033) 494.65.08.28</t>
  </si>
  <si>
    <t>(0033) 4.94.35.70.18</t>
  </si>
  <si>
    <t>(0033) 6.25.33.68.17</t>
  </si>
  <si>
    <t>Dumesnil</t>
  </si>
  <si>
    <t>François</t>
  </si>
  <si>
    <t>agence.dumesnil@axa.fr</t>
  </si>
  <si>
    <t>wycc_dumesnil</t>
  </si>
  <si>
    <t xml:space="preserve">EL HAMMAL </t>
  </si>
  <si>
    <t>Hanadi</t>
  </si>
  <si>
    <t>hanadi.elhammal@nkfrance.com</t>
  </si>
  <si>
    <t>hanadi</t>
  </si>
  <si>
    <t>(0033) 1 47 95 97 00</t>
  </si>
  <si>
    <t xml:space="preserve">(0033) 1 47 41 48 89 </t>
  </si>
  <si>
    <t>(0033) 1 47 95 97 55</t>
  </si>
  <si>
    <t>EL HOSS</t>
  </si>
  <si>
    <t>Bilal</t>
  </si>
  <si>
    <t>Bilal.elhoss@nkfrance.com</t>
  </si>
  <si>
    <t>bilalelhoss</t>
  </si>
  <si>
    <t>(0033) 147959789</t>
  </si>
  <si>
    <t>(0033) 613028977</t>
  </si>
  <si>
    <t>ESPINOZA</t>
  </si>
  <si>
    <t>Matteo</t>
  </si>
  <si>
    <t>mespinoza@onlyyacht.com</t>
  </si>
  <si>
    <t>matteo</t>
  </si>
  <si>
    <t xml:space="preserve">ESPINOZA </t>
  </si>
  <si>
    <t>M1 Management</t>
  </si>
  <si>
    <t>FADDA</t>
  </si>
  <si>
    <t>Lydie</t>
  </si>
  <si>
    <t>lfadda@m1group.com</t>
  </si>
  <si>
    <t>FARIS</t>
  </si>
  <si>
    <t>Rafat B.</t>
  </si>
  <si>
    <t>rafat.faris@fenfar.gr</t>
  </si>
  <si>
    <t xml:space="preserve">(0030) 210 894 5632 </t>
  </si>
  <si>
    <t>Bourbon Offshore Greenmar</t>
  </si>
  <si>
    <t>5 Chemin du Canal</t>
  </si>
  <si>
    <t>NYON</t>
  </si>
  <si>
    <t>FARRAS</t>
  </si>
  <si>
    <t>Marc</t>
  </si>
  <si>
    <t>marc.farras@bourbon-online.com</t>
  </si>
  <si>
    <t>farass</t>
  </si>
  <si>
    <t>CMC Assurances</t>
  </si>
  <si>
    <t>FLEURIET</t>
  </si>
  <si>
    <t>Michel</t>
  </si>
  <si>
    <t>m.fleuriet@cmcourtage.com</t>
  </si>
  <si>
    <t>fleuriet2806</t>
  </si>
  <si>
    <t>(0049) 7032707</t>
  </si>
  <si>
    <t>FORFERT</t>
  </si>
  <si>
    <t>Celine</t>
  </si>
  <si>
    <t>celine.forfert@bourbon-online.com</t>
  </si>
  <si>
    <t>celineforfert</t>
  </si>
  <si>
    <t>FOURNIER</t>
  </si>
  <si>
    <t>Jean David</t>
  </si>
  <si>
    <t>dfournier@aprilmarine.fr</t>
  </si>
  <si>
    <t>jeandavid</t>
  </si>
  <si>
    <t xml:space="preserve">FOURNIER </t>
  </si>
  <si>
    <t>David</t>
  </si>
  <si>
    <t>david.fournier@mer-yacht.com</t>
  </si>
  <si>
    <t>fournier</t>
  </si>
  <si>
    <t xml:space="preserve">37-39, rue de la Bienfaisance </t>
  </si>
  <si>
    <t xml:space="preserve">F-75008 </t>
  </si>
  <si>
    <t xml:space="preserve">PARIS </t>
  </si>
  <si>
    <t>GALIBERT</t>
  </si>
  <si>
    <t>Philippe</t>
  </si>
  <si>
    <t>ph.galibert@g-eyssautier.com</t>
  </si>
  <si>
    <t>PHILIPPE</t>
  </si>
  <si>
    <t xml:space="preserve">(0033) 1 44 82 10 82  </t>
  </si>
  <si>
    <t>(0033) 607 43 03 88</t>
  </si>
  <si>
    <t>(0033) 1 55 80 74 82</t>
  </si>
  <si>
    <t>GARD</t>
  </si>
  <si>
    <t>Clarisse</t>
  </si>
  <si>
    <t>c.gard@luxinsure.com</t>
  </si>
  <si>
    <t>clarisse</t>
  </si>
  <si>
    <t>(0033) (0)970 444 165</t>
  </si>
  <si>
    <t>(0033) (0)494 357 018</t>
  </si>
  <si>
    <t>GEAGEA</t>
  </si>
  <si>
    <t>mgeagea@clover-brokers.com</t>
  </si>
  <si>
    <t>GAN EUROCOURTAGE</t>
  </si>
  <si>
    <t>9 boulevard Malesherbes</t>
  </si>
  <si>
    <t>GERVAIS</t>
  </si>
  <si>
    <t>Thierry</t>
  </si>
  <si>
    <t>tgervais@groupama-transport.com  </t>
  </si>
  <si>
    <t>Directeur Marché Plaisance / Yacht Activities Manager</t>
  </si>
  <si>
    <t>(0033) 1 56 69 74 16</t>
  </si>
  <si>
    <t>(0033) 676 92 51 88</t>
  </si>
  <si>
    <t>GIRAUD</t>
  </si>
  <si>
    <t>Samuel</t>
  </si>
  <si>
    <t>Samuel.GIRAUD@bourbon-online.com</t>
  </si>
  <si>
    <t>samuel</t>
  </si>
  <si>
    <t xml:space="preserve">GROS </t>
  </si>
  <si>
    <t>Cedric</t>
  </si>
  <si>
    <t>cgros@francepandi.com</t>
  </si>
  <si>
    <t>cedric</t>
  </si>
  <si>
    <t>(0033) 1 80 46 70 39</t>
  </si>
  <si>
    <t>GUIDICI</t>
  </si>
  <si>
    <t>sylvie.guidici@jgm.com</t>
  </si>
  <si>
    <t>sylvie</t>
  </si>
  <si>
    <t>GRAS SAVOYE ASC</t>
  </si>
  <si>
    <t xml:space="preserve">PORT DE PLAISANCE </t>
  </si>
  <si>
    <t xml:space="preserve">F-44380 </t>
  </si>
  <si>
    <t>PORNICHET</t>
  </si>
  <si>
    <t>GUILLET</t>
  </si>
  <si>
    <t>Pascal</t>
  </si>
  <si>
    <t>pascal.guillet@grassavoye-asc.com</t>
  </si>
  <si>
    <t>SERVICE COMMERCIAL</t>
  </si>
  <si>
    <t>(0033) 228 55 01 03</t>
  </si>
  <si>
    <t>(0033) 228 55 01 09</t>
  </si>
  <si>
    <t xml:space="preserve">GUILLY </t>
  </si>
  <si>
    <t>Emilie</t>
  </si>
  <si>
    <t>eguilly@suisscourtage.com</t>
  </si>
  <si>
    <t>emilie</t>
  </si>
  <si>
    <t>(00377) 93304243</t>
  </si>
  <si>
    <t>HENRY</t>
  </si>
  <si>
    <t>Martine</t>
  </si>
  <si>
    <t>mamathjade</t>
  </si>
  <si>
    <t>(00352) 27 44 54-13</t>
  </si>
  <si>
    <t xml:space="preserve">HENRY </t>
  </si>
  <si>
    <t>Christian</t>
  </si>
  <si>
    <t>christian</t>
  </si>
  <si>
    <t>(0033) 383878610</t>
  </si>
  <si>
    <t>(0033) 673671993</t>
  </si>
  <si>
    <t>Lucas</t>
  </si>
  <si>
    <t>(0033) 673385739</t>
  </si>
  <si>
    <t xml:space="preserve">HUDECK </t>
  </si>
  <si>
    <t>(0033) 691812079</t>
  </si>
  <si>
    <t>Aviation Insurance Brokers</t>
  </si>
  <si>
    <t>CH 7000</t>
  </si>
  <si>
    <t>Hudson Sky Company SA</t>
  </si>
  <si>
    <t>general@meriv.fr</t>
  </si>
  <si>
    <t>cedricg</t>
  </si>
  <si>
    <t>(0041) 81 286 77 77</t>
  </si>
  <si>
    <t>HUENS DE BROUWER</t>
  </si>
  <si>
    <t>Vincent</t>
  </si>
  <si>
    <t>vhuensdebrouwer@onlyyacht.com</t>
  </si>
  <si>
    <t>(0033) 640 614 601</t>
  </si>
  <si>
    <t>SOMECASSUR</t>
  </si>
  <si>
    <t xml:space="preserve">IFERGAN </t>
  </si>
  <si>
    <t>Christine</t>
  </si>
  <si>
    <t>c.ifergan@somecassur.fr</t>
  </si>
  <si>
    <t xml:space="preserve">ISAIA </t>
  </si>
  <si>
    <t>Mathieu</t>
  </si>
  <si>
    <t>agence.isaia@axa.fr</t>
  </si>
  <si>
    <t>mathieu</t>
  </si>
  <si>
    <t>JABRE</t>
  </si>
  <si>
    <t>Elias</t>
  </si>
  <si>
    <t>ejabre@clover-brokers.com</t>
  </si>
  <si>
    <t>eliasjabre</t>
  </si>
  <si>
    <t>MY INSURANCE BROKERS</t>
  </si>
  <si>
    <t>11 bd Albert Iier</t>
  </si>
  <si>
    <t>JEANTET</t>
  </si>
  <si>
    <t>o.jeantet@myinsurancebrokersmonaco.com</t>
  </si>
  <si>
    <t>(00377) 97 97 13 58</t>
  </si>
  <si>
    <t>(0033)663 688 926</t>
  </si>
  <si>
    <t>JOURDAN</t>
  </si>
  <si>
    <t>Pierre</t>
  </si>
  <si>
    <t>gregory.vanmeenin@jgm.fr&gt;</t>
  </si>
  <si>
    <t xml:space="preserve">(0033) 492 17 36 00 </t>
  </si>
  <si>
    <t>(0033) 4 93 92 21 93</t>
  </si>
  <si>
    <t xml:space="preserve">KARANOUH </t>
  </si>
  <si>
    <t>Omar</t>
  </si>
  <si>
    <t>omar.karanouh@nkfrance.com</t>
  </si>
  <si>
    <t>karanouh</t>
  </si>
  <si>
    <t>KHADIRI</t>
  </si>
  <si>
    <t>Bouchaib</t>
  </si>
  <si>
    <t>bouchaib.khadiri@afmagroup.ma</t>
  </si>
  <si>
    <t>(+212) 5 22 42 80 21</t>
  </si>
  <si>
    <t>BELGIBO NV</t>
  </si>
  <si>
    <t xml:space="preserve">De Gerlachekaai 20_x000D_
_x000D_
</t>
  </si>
  <si>
    <t>B-2000</t>
  </si>
  <si>
    <t>ANTWERPEN</t>
  </si>
  <si>
    <t>Belgium</t>
  </si>
  <si>
    <t xml:space="preserve">KOENRAAD </t>
  </si>
  <si>
    <t>Maes</t>
  </si>
  <si>
    <t>Koenraad.Maes@belgibo.be</t>
  </si>
  <si>
    <t>koenraad</t>
  </si>
  <si>
    <t>KUIKKA</t>
  </si>
  <si>
    <t>akuikka@onlyyacht.com</t>
  </si>
  <si>
    <t>annekuikka</t>
  </si>
  <si>
    <t xml:space="preserve">LABAZ </t>
  </si>
  <si>
    <t>Leila</t>
  </si>
  <si>
    <t>leila.labaz@mtaic.com</t>
  </si>
  <si>
    <t>leilalabaz</t>
  </si>
  <si>
    <t>(0033) 492187986</t>
  </si>
  <si>
    <t>(0033) 492187985</t>
  </si>
  <si>
    <t>Bourbon OffShore Greenmar</t>
  </si>
  <si>
    <t>CH-1260</t>
  </si>
  <si>
    <t>LAGADIC</t>
  </si>
  <si>
    <t>Yves André</t>
  </si>
  <si>
    <t>yves-andre.lagadic@bourbon-online.com</t>
  </si>
  <si>
    <t>lagadic</t>
  </si>
  <si>
    <t xml:space="preserve">LALANDRE </t>
  </si>
  <si>
    <t>mougins</t>
  </si>
  <si>
    <t>(0033) 493060909</t>
  </si>
  <si>
    <t>(0033) 493060900</t>
  </si>
  <si>
    <t>AXA LE VACON Michel et  KERMALI Dalida</t>
  </si>
  <si>
    <t xml:space="preserve">F-06400 </t>
  </si>
  <si>
    <t>LE VACON</t>
  </si>
  <si>
    <t>agence.levaconkermali@axa.fr</t>
  </si>
  <si>
    <t>levacon</t>
  </si>
  <si>
    <t>(0033) 4 93 38 52 52</t>
  </si>
  <si>
    <t>(0033) 4 93 99 04 19</t>
  </si>
  <si>
    <t>PISANO Agence AXA</t>
  </si>
  <si>
    <t>LEDUC</t>
  </si>
  <si>
    <t>Colette</t>
  </si>
  <si>
    <t>service.gestion@pisanoassur.fr</t>
  </si>
  <si>
    <t>colette</t>
  </si>
  <si>
    <t>Pisano assurances conseils</t>
  </si>
  <si>
    <t>+334 96 20 28 20</t>
  </si>
  <si>
    <t>+334 96 20 28 28</t>
  </si>
  <si>
    <t>LEONARDI</t>
  </si>
  <si>
    <t>Véronique</t>
  </si>
  <si>
    <t xml:space="preserve">v.leonardi@g-eyssautier.com </t>
  </si>
  <si>
    <t>(0033) 144 82 10 90</t>
  </si>
  <si>
    <t>LINHARDT</t>
  </si>
  <si>
    <t>tlinhardt@ponant.com</t>
  </si>
  <si>
    <t>wyccponant4</t>
  </si>
  <si>
    <t>LIVERSET</t>
  </si>
  <si>
    <t>Hugues</t>
  </si>
  <si>
    <t>hliverset@diot.fr</t>
  </si>
  <si>
    <t>hugues</t>
  </si>
  <si>
    <t>Chargé de Clientèle</t>
  </si>
  <si>
    <r>
      <rPr>
        <sz val="10"/>
        <rFont val="Arial Narrow"/>
        <family val="2"/>
      </rPr>
      <t>(0033) 450 27 97 44</t>
    </r>
    <r>
      <rPr>
        <sz val="10"/>
        <color theme="1"/>
        <rFont val="Arial Narrow"/>
        <family val="2"/>
      </rPr>
      <t xml:space="preserve"> </t>
    </r>
  </si>
  <si>
    <t>(0033) 6 88 07 66 86</t>
  </si>
  <si>
    <t>LOCQUET</t>
  </si>
  <si>
    <t>locquetp@wanadoo.fr</t>
  </si>
  <si>
    <t>philippe</t>
  </si>
  <si>
    <t>(00596) (0) 596 74 9</t>
  </si>
  <si>
    <t>MAILLET</t>
  </si>
  <si>
    <t>Clémence</t>
  </si>
  <si>
    <t>c.maillet@somecassur.fr</t>
  </si>
  <si>
    <t>maillet</t>
  </si>
  <si>
    <t>Marie Louise</t>
  </si>
  <si>
    <t>ums.wallis@mail.wf</t>
  </si>
  <si>
    <t>wyccuvea1</t>
  </si>
  <si>
    <t>ISIS GLOBAL SOLUTIONS</t>
  </si>
  <si>
    <t>MARTIN</t>
  </si>
  <si>
    <t>production@isisglobalsolutions.com</t>
  </si>
  <si>
    <t>laurence</t>
  </si>
  <si>
    <t>(0033) 4 98 08 00 12</t>
  </si>
  <si>
    <t xml:space="preserve">MATHE </t>
  </si>
  <si>
    <t>Corinne</t>
  </si>
  <si>
    <t>c.mathe@somecassur.fr</t>
  </si>
  <si>
    <t>corinne</t>
  </si>
  <si>
    <t>(0033) 493399230</t>
  </si>
  <si>
    <t>(0033) 493391581</t>
  </si>
  <si>
    <t>MICHAUT </t>
  </si>
  <si>
    <t>Elsy</t>
  </si>
  <si>
    <t>emichaut@suisscourtage.mc</t>
  </si>
  <si>
    <t>(00377) 93 30 46 31</t>
  </si>
  <si>
    <t>(00377) 93.30.12.23</t>
  </si>
  <si>
    <t>Suisscourtage Antibes</t>
  </si>
  <si>
    <t>Avenue de Verdun,8bis</t>
  </si>
  <si>
    <t xml:space="preserve">MICHOTTE </t>
  </si>
  <si>
    <t>Stéphane</t>
  </si>
  <si>
    <t>smichotte@suisscourtage.com</t>
  </si>
  <si>
    <t>stephane</t>
  </si>
  <si>
    <t>(0033) 612035265</t>
  </si>
  <si>
    <t xml:space="preserve">MILLET </t>
  </si>
  <si>
    <t>Barbara</t>
  </si>
  <si>
    <t>bmillet@suisscourtage.mc</t>
  </si>
  <si>
    <t>barbara</t>
  </si>
  <si>
    <t xml:space="preserve">MIOR </t>
  </si>
  <si>
    <t>Nicolas</t>
  </si>
  <si>
    <t>nicolas.mior@ascoma.com</t>
  </si>
  <si>
    <t>nicolas</t>
  </si>
  <si>
    <t>(+33) 6 89 99 32 71</t>
  </si>
  <si>
    <t xml:space="preserve">MONCEL </t>
  </si>
  <si>
    <t>Etienne</t>
  </si>
  <si>
    <t>etienne.moncel@jgm.fr</t>
  </si>
  <si>
    <t>etienne</t>
  </si>
  <si>
    <t xml:space="preserve">MONNIER </t>
  </si>
  <si>
    <t>nmonnier@agence.generali.fr</t>
  </si>
  <si>
    <t>(0033) 494097979</t>
  </si>
  <si>
    <t>(0033) 494097980</t>
  </si>
  <si>
    <t xml:space="preserve">MUSSO </t>
  </si>
  <si>
    <t>Romain</t>
  </si>
  <si>
    <t>rmusso@suisscourtage.mc</t>
  </si>
  <si>
    <t>romain</t>
  </si>
  <si>
    <t>Neieta</t>
  </si>
  <si>
    <t>ums3.wallis@mail.wf</t>
  </si>
  <si>
    <t>wyccuvea3</t>
  </si>
  <si>
    <t>NOUAMRIA</t>
  </si>
  <si>
    <t>Caroline</t>
  </si>
  <si>
    <t>caroline.nouamria@mtaic.com</t>
  </si>
  <si>
    <t xml:space="preserve">Assicurazioni Pagnamenta Insurance Broker SA </t>
  </si>
  <si>
    <t xml:space="preserve">CP 54_x000D_
_x000D_
</t>
  </si>
  <si>
    <t>PAGNAMENTA</t>
  </si>
  <si>
    <t>Ilaria</t>
  </si>
  <si>
    <t>ilaria.pagnamenta@a-pagna.ch</t>
  </si>
  <si>
    <t>ilaria</t>
  </si>
  <si>
    <t>0041 91 967 49 22</t>
  </si>
  <si>
    <t>Luca</t>
  </si>
  <si>
    <t>luca.pagnamenta@a-pagna.ch</t>
  </si>
  <si>
    <t>lucapagnamenta</t>
  </si>
  <si>
    <t>(0041) 91 967 49 22</t>
  </si>
  <si>
    <t>(0041) 91 967 25 92</t>
  </si>
  <si>
    <t>PENEDO</t>
  </si>
  <si>
    <t>Pilar</t>
  </si>
  <si>
    <t>ppenedo@ponant.com</t>
  </si>
  <si>
    <t>wyccponant5</t>
  </si>
  <si>
    <t>PEYLET</t>
  </si>
  <si>
    <t>Marie-Christine</t>
  </si>
  <si>
    <t>mariechristine.peylet@axa-cs.com</t>
  </si>
  <si>
    <t>ABC Maritime</t>
  </si>
  <si>
    <t>Rue Perdtemps 1</t>
  </si>
  <si>
    <t>PITAOULIS</t>
  </si>
  <si>
    <t>Georges</t>
  </si>
  <si>
    <t>gp@abcmaritime.ch</t>
  </si>
  <si>
    <t>WYCC_ABC*</t>
  </si>
  <si>
    <t>(0041) 22 365 71 84</t>
  </si>
  <si>
    <t>POGGIO</t>
  </si>
  <si>
    <t xml:space="preserve">dominique </t>
  </si>
  <si>
    <t>contact@poggio-assurinvest.com</t>
  </si>
  <si>
    <t>dominique</t>
  </si>
  <si>
    <t>Daniele</t>
  </si>
  <si>
    <t>poggio</t>
  </si>
  <si>
    <t>(00377) 97973454</t>
  </si>
  <si>
    <t>(0033) 686182194</t>
  </si>
  <si>
    <t>Compagnie du Ponant</t>
  </si>
  <si>
    <t>POSSO</t>
  </si>
  <si>
    <t>Sylvain</t>
  </si>
  <si>
    <t>sposso@ponant.com</t>
  </si>
  <si>
    <t>wyccponant6</t>
  </si>
  <si>
    <t>SETAF SAGET</t>
  </si>
  <si>
    <t xml:space="preserve">33 Quai GALLIENI_x000D_
</t>
  </si>
  <si>
    <t>F-92150</t>
  </si>
  <si>
    <t>SURESNES</t>
  </si>
  <si>
    <t xml:space="preserve">PRONO </t>
  </si>
  <si>
    <t>Marie-Guenole</t>
  </si>
  <si>
    <t>mgp@setaf-saget.fr</t>
  </si>
  <si>
    <t xml:space="preserve">RACO </t>
  </si>
  <si>
    <t>Fabienne</t>
  </si>
  <si>
    <t>fraco@onlyyacht.com</t>
  </si>
  <si>
    <t>fabienne</t>
  </si>
  <si>
    <t>Remo Marine Services SA</t>
  </si>
  <si>
    <t>Switzerland</t>
  </si>
  <si>
    <t>REMONDIERE</t>
  </si>
  <si>
    <t>+41 22 363 92 74</t>
  </si>
  <si>
    <t>RY Assurances, Reynier Yachting</t>
  </si>
  <si>
    <t xml:space="preserve">F-83990 </t>
  </si>
  <si>
    <t>REYNIER</t>
  </si>
  <si>
    <t>Bernard</t>
  </si>
  <si>
    <t>breynier@sfr.fr</t>
  </si>
  <si>
    <t>bernard</t>
  </si>
  <si>
    <t>+33 (0)4 89 78 99 84</t>
  </si>
  <si>
    <t>SALLOUM</t>
  </si>
  <si>
    <t>Ghassan</t>
  </si>
  <si>
    <t>gsalloum@clover-brokers.com</t>
  </si>
  <si>
    <t>ghassan</t>
  </si>
  <si>
    <t>SAPORITA</t>
  </si>
  <si>
    <t>Manuel</t>
  </si>
  <si>
    <t>Manuel.Saporita@ascoma.com</t>
  </si>
  <si>
    <t>Yacht Insurance Broker </t>
  </si>
  <si>
    <t>(00377) 97 97 44 25</t>
  </si>
  <si>
    <t>SOYER</t>
  </si>
  <si>
    <t>Maxence</t>
  </si>
  <si>
    <t>maxence.soyer@nkfrance.com</t>
  </si>
  <si>
    <t>maxence</t>
  </si>
  <si>
    <t xml:space="preserve">(0033) 1 47 95 97 34 </t>
  </si>
  <si>
    <t>(0033) 1 47 41 48 89</t>
  </si>
  <si>
    <t>STEIN</t>
  </si>
  <si>
    <t>nicolas.stein@bourbon-online.com</t>
  </si>
  <si>
    <t>(0033) (0)4 91 133 6</t>
  </si>
  <si>
    <t>THOMAJ</t>
  </si>
  <si>
    <t xml:space="preserve">Edita </t>
  </si>
  <si>
    <t>editat@fenfar.gr</t>
  </si>
  <si>
    <t>TIREL</t>
  </si>
  <si>
    <t>Matthieu</t>
  </si>
  <si>
    <t>m.tirel@g-eyssautier.com</t>
  </si>
  <si>
    <t>matthieu</t>
  </si>
  <si>
    <t>Groupe Suisscourtage</t>
  </si>
  <si>
    <t xml:space="preserve">F-06600 </t>
  </si>
  <si>
    <t>TOUATI</t>
  </si>
  <si>
    <t>Arthur</t>
  </si>
  <si>
    <t>atouati@suisscourtage.com</t>
  </si>
  <si>
    <t>(0033)  492 94 97 74</t>
  </si>
  <si>
    <t>TOULZE</t>
  </si>
  <si>
    <t>Pascale</t>
  </si>
  <si>
    <t>pascale.toulze@ascoma.com</t>
  </si>
  <si>
    <t>pascale</t>
  </si>
  <si>
    <t>(00377) (97) 97 44 24</t>
  </si>
  <si>
    <t>(00377) (97) 97 44 22</t>
  </si>
  <si>
    <t>URSINI</t>
  </si>
  <si>
    <t>Marion</t>
  </si>
  <si>
    <t>info@sudeurocourtage.com</t>
  </si>
  <si>
    <t>VAN MEENIN</t>
  </si>
  <si>
    <t xml:space="preserve">Grégory </t>
  </si>
  <si>
    <t xml:space="preserve">(0033) 492 17 36 03 </t>
  </si>
  <si>
    <t>VIDEAU</t>
  </si>
  <si>
    <t>pvideau@maritimealbatros.com</t>
  </si>
  <si>
    <t>videau_wycc*</t>
  </si>
  <si>
    <t>VIELFAURE</t>
  </si>
  <si>
    <t>fvielfaure@ponant.com</t>
  </si>
  <si>
    <t>wyccponant1</t>
  </si>
  <si>
    <t>Zambon</t>
  </si>
  <si>
    <t>Sandra</t>
  </si>
  <si>
    <t>hull-div@filhet-allard-marit.com</t>
  </si>
  <si>
    <t>Hull and P&amp;I Department</t>
  </si>
  <si>
    <t>(0033) 557 53 20 15</t>
  </si>
  <si>
    <t>(0033) 5 57 53 20 18</t>
  </si>
  <si>
    <t>ZIANE</t>
  </si>
  <si>
    <t>Myriam</t>
  </si>
  <si>
    <t>mziane@suisscourtage.com</t>
  </si>
  <si>
    <t>SANREMO</t>
  </si>
  <si>
    <t>Italy</t>
  </si>
  <si>
    <t>ZUNINO</t>
  </si>
  <si>
    <t>szunino@aprilyacht.com</t>
  </si>
  <si>
    <t>(0039) 0184.59.02.59</t>
  </si>
  <si>
    <t>(0039) 0184.54.01.75</t>
  </si>
  <si>
    <t>TOUZET</t>
  </si>
  <si>
    <t>Sandrine</t>
  </si>
  <si>
    <t>(0033) 04 93 38 38 29</t>
  </si>
  <si>
    <t>FLOURNOY</t>
  </si>
  <si>
    <t>Charles</t>
  </si>
  <si>
    <t>charles.flournoy@worthaminsurance.com</t>
  </si>
  <si>
    <t>(001) (713) 346-1339</t>
  </si>
  <si>
    <t>(001) (713) 521-8339</t>
  </si>
  <si>
    <t>(001) (713) 857-6639</t>
  </si>
  <si>
    <t>JARAMILLO</t>
  </si>
  <si>
    <t>Jaramillo@gesmaritime.com</t>
  </si>
  <si>
    <t>GRUNBERG</t>
  </si>
  <si>
    <t>Guillaume</t>
  </si>
  <si>
    <t>guillaume.grunberg@yachting-insurance.com</t>
  </si>
  <si>
    <t>ID sco</t>
  </si>
  <si>
    <t>Codeaccess</t>
  </si>
  <si>
    <t>PASSWORD</t>
  </si>
  <si>
    <t>Website</t>
  </si>
  <si>
    <t>GSM</t>
  </si>
  <si>
    <t>%</t>
  </si>
  <si>
    <t xml:space="preserve">Villefranche sur Mer </t>
  </si>
  <si>
    <t>ALLAS</t>
  </si>
  <si>
    <t>Salla</t>
  </si>
  <si>
    <t>darkpelican@wanadoo.fr</t>
  </si>
  <si>
    <t>sallaallas</t>
  </si>
  <si>
    <t>CREW</t>
  </si>
  <si>
    <t>(0033) 493.01.76.54</t>
  </si>
  <si>
    <t>(0033) 685.61.88.54</t>
  </si>
  <si>
    <t>Fraseryachts</t>
  </si>
  <si>
    <t>ANGUSTI</t>
  </si>
  <si>
    <t>Francesca</t>
  </si>
  <si>
    <t>francesca.angusti@fraseryachts.com</t>
  </si>
  <si>
    <t>francesca.angusti</t>
  </si>
  <si>
    <t>ARBEZ</t>
  </si>
  <si>
    <t>Elise</t>
  </si>
  <si>
    <t>elise.arbez@bourbon-online.com</t>
  </si>
  <si>
    <t>elisea</t>
  </si>
  <si>
    <t>CAPTAIN</t>
  </si>
  <si>
    <t>Fax +41 22 363 91 33</t>
  </si>
  <si>
    <t>(0041) 22 363 91 66</t>
  </si>
  <si>
    <t>ASTOLFI</t>
  </si>
  <si>
    <t>castolfi@gaspardyachts.com</t>
  </si>
  <si>
    <t>CHRISTINE</t>
  </si>
  <si>
    <t xml:space="preserve"> </t>
  </si>
  <si>
    <t>Aquamarine</t>
  </si>
  <si>
    <t>BAILLIE</t>
  </si>
  <si>
    <t>Claire</t>
  </si>
  <si>
    <t>clairebaillie@aquamarine.fr</t>
  </si>
  <si>
    <t>claire123</t>
  </si>
  <si>
    <t>(0033) 4 93 76 17 17</t>
  </si>
  <si>
    <t>06 30 24 22 31</t>
  </si>
  <si>
    <t>Camper &amp; Nicholson</t>
  </si>
  <si>
    <t>12 Avenue de la Liberation</t>
  </si>
  <si>
    <t>BELLINI</t>
  </si>
  <si>
    <t>Evelyne</t>
  </si>
  <si>
    <t>eb@ant.cnyachts.com</t>
  </si>
  <si>
    <t>evelyne</t>
  </si>
  <si>
    <t>(0033) 4 97 04 10 50</t>
  </si>
  <si>
    <t>BERTHET</t>
  </si>
  <si>
    <t>Mélanie</t>
  </si>
  <si>
    <t>melanie.berthet@bourbon-online.com</t>
  </si>
  <si>
    <t>melanie</t>
  </si>
  <si>
    <t>MAGELLAN</t>
  </si>
  <si>
    <t>L-8308</t>
  </si>
  <si>
    <t>BEZZINA-PERSONENI</t>
  </si>
  <si>
    <t>Cynthia</t>
  </si>
  <si>
    <t>cp@mmc.lu</t>
  </si>
  <si>
    <t>cynthia</t>
  </si>
  <si>
    <t>YXT LIMITED</t>
  </si>
  <si>
    <t>BORG</t>
  </si>
  <si>
    <t>Karm</t>
  </si>
  <si>
    <t>kborg@beender.net</t>
  </si>
  <si>
    <t>YXTLIMITED</t>
  </si>
  <si>
    <t>Franctema</t>
  </si>
  <si>
    <t>BOUILLE</t>
  </si>
  <si>
    <t>gwenael</t>
  </si>
  <si>
    <t>bouillegwenael@yahoo.fr</t>
  </si>
  <si>
    <t>bouillegwenael</t>
  </si>
  <si>
    <t>BROOKE</t>
  </si>
  <si>
    <t>Alan</t>
  </si>
  <si>
    <t>Alan.BROOKE@bourbon-online.com</t>
  </si>
  <si>
    <t>alanbro</t>
  </si>
  <si>
    <t>BLUEWIN</t>
  </si>
  <si>
    <t>CAFFO</t>
  </si>
  <si>
    <t>Fabien</t>
  </si>
  <si>
    <t>yachtblueice@gmail.com</t>
  </si>
  <si>
    <t>fabien</t>
  </si>
  <si>
    <t>Y.CO</t>
  </si>
  <si>
    <t>1 - 3 Place du Revely</t>
  </si>
  <si>
    <t>Captain</t>
  </si>
  <si>
    <t>Constellation</t>
  </si>
  <si>
    <t>captain@yacht-constellation.com</t>
  </si>
  <si>
    <t>cZ34tf</t>
  </si>
  <si>
    <t>Balhimbar</t>
  </si>
  <si>
    <t>captain@yacht-balhimbar.com</t>
  </si>
  <si>
    <t>balhimbar749*</t>
  </si>
  <si>
    <t>Helaitan</t>
  </si>
  <si>
    <t>captain@yacht-helaitan.com</t>
  </si>
  <si>
    <t>yH78vv</t>
  </si>
  <si>
    <t>Maracunda</t>
  </si>
  <si>
    <t>captain@yacht-maracunda.com</t>
  </si>
  <si>
    <t>maracunda102*</t>
  </si>
  <si>
    <t>Sahm</t>
  </si>
  <si>
    <t>captain@yacht-sahm.com</t>
  </si>
  <si>
    <t>sahm986*</t>
  </si>
  <si>
    <t>Zikrit</t>
  </si>
  <si>
    <t>captain@yacht-zikrit.com</t>
  </si>
  <si>
    <t>zikrit068*</t>
  </si>
  <si>
    <t>Al Adaid</t>
  </si>
  <si>
    <t>captain@yacht-aladaid.com</t>
  </si>
  <si>
    <t>Ngq34Y</t>
  </si>
  <si>
    <t>Al Duhail</t>
  </si>
  <si>
    <t>captain@yacht-alduhail.com</t>
  </si>
  <si>
    <t>alduhail453*</t>
  </si>
  <si>
    <t>Al Mirqab II</t>
  </si>
  <si>
    <t>captain@yacht-almirqabII.com</t>
  </si>
  <si>
    <t>almirqabII913*</t>
  </si>
  <si>
    <t>Al Shoua</t>
  </si>
  <si>
    <t>captain@yacht-alshoua.com</t>
  </si>
  <si>
    <t>zB34cf</t>
  </si>
  <si>
    <t>Katara</t>
  </si>
  <si>
    <t>captain@yacht-katara.com</t>
  </si>
  <si>
    <t>katara672*</t>
  </si>
  <si>
    <t>Katara II</t>
  </si>
  <si>
    <t>captain@yacht-kataraII.com</t>
  </si>
  <si>
    <t>kataraII912*</t>
  </si>
  <si>
    <t>Katara III</t>
  </si>
  <si>
    <t>captain@yacht-kataraIII.com</t>
  </si>
  <si>
    <t>dfgQR4</t>
  </si>
  <si>
    <t>Katara IV</t>
  </si>
  <si>
    <t>captain@yacht-kataraIV.com</t>
  </si>
  <si>
    <t>kataraIV746*</t>
  </si>
  <si>
    <t>Paul Gauguin Cruises</t>
  </si>
  <si>
    <t xml:space="preserve">11100 Main Street, Suite 300 Bellevue, </t>
  </si>
  <si>
    <t>WA 98004</t>
  </si>
  <si>
    <t>CARRIOU</t>
  </si>
  <si>
    <t>Stephane</t>
  </si>
  <si>
    <t>Food &amp; Beverage Manager</t>
  </si>
  <si>
    <t xml:space="preserve">(001) 425 440-6171  </t>
  </si>
  <si>
    <t>(001) 425 440-6186</t>
  </si>
  <si>
    <t>CATOT</t>
  </si>
  <si>
    <t>Aferdita</t>
  </si>
  <si>
    <t>aferdita.catot@bourbon-online.com</t>
  </si>
  <si>
    <t>aferca</t>
  </si>
  <si>
    <t>CHITO</t>
  </si>
  <si>
    <t>Christiane</t>
  </si>
  <si>
    <t>compta@mmc.lu</t>
  </si>
  <si>
    <t>Comptabilité</t>
  </si>
  <si>
    <t>Mediterranean Yacht Services</t>
  </si>
  <si>
    <t>Le Mercator - Etape 11_x000D_
7 Rue de l'industrie</t>
  </si>
  <si>
    <t>CITE</t>
  </si>
  <si>
    <t>Charline</t>
  </si>
  <si>
    <t>charline@mys-monaco.com</t>
  </si>
  <si>
    <t>charline</t>
  </si>
  <si>
    <t>(00377) 93 25 83 02</t>
  </si>
  <si>
    <t>+33 (0) 637 165 799</t>
  </si>
  <si>
    <t>COATES</t>
  </si>
  <si>
    <t>Anne-Laure</t>
  </si>
  <si>
    <t>alcoates@bluewin.ch</t>
  </si>
  <si>
    <t>anne-laure</t>
  </si>
  <si>
    <t>SEASIDE</t>
  </si>
  <si>
    <t>COHEN</t>
  </si>
  <si>
    <t>valerie@seaside.fr</t>
  </si>
  <si>
    <t>valeriesea</t>
  </si>
  <si>
    <t xml:space="preserve"> Port de Fontvieille_x000D_
30, quai J-C Rey_x000D_
       </t>
  </si>
  <si>
    <t>CORPORANDY</t>
  </si>
  <si>
    <t>Gilles</t>
  </si>
  <si>
    <t>gilles@monacoequipage.com</t>
  </si>
  <si>
    <t>00377 97 77 81 77</t>
  </si>
  <si>
    <t>WAAZII</t>
  </si>
  <si>
    <t>Kevin</t>
  </si>
  <si>
    <t>ANP</t>
  </si>
  <si>
    <t>COSSERAT</t>
  </si>
  <si>
    <t>CHRISTIAN</t>
  </si>
  <si>
    <t>c.cosserat@harrel-courtes.fr</t>
  </si>
  <si>
    <t>cc2012</t>
  </si>
  <si>
    <t>COSSON</t>
  </si>
  <si>
    <t>Léonie</t>
  </si>
  <si>
    <t>leonie.cosson@bourbon-online.com</t>
  </si>
  <si>
    <t>leonie</t>
  </si>
  <si>
    <t>Long River Corporate</t>
  </si>
  <si>
    <t>CREACH</t>
  </si>
  <si>
    <t>Mickaël</t>
  </si>
  <si>
    <t>creach.mick@wanadoo.fr</t>
  </si>
  <si>
    <t>mickael</t>
  </si>
  <si>
    <t>(0034) 671967540</t>
  </si>
  <si>
    <t>CREMER</t>
  </si>
  <si>
    <t>Martin</t>
  </si>
  <si>
    <t>mc@mmc.lu</t>
  </si>
  <si>
    <t>martin</t>
  </si>
  <si>
    <t>accountant</t>
  </si>
  <si>
    <t>DE RAIGNIAC</t>
  </si>
  <si>
    <t>Foulques</t>
  </si>
  <si>
    <t>foulques@gaspardyachts.com</t>
  </si>
  <si>
    <t>foulques</t>
  </si>
  <si>
    <t>De Wolf</t>
  </si>
  <si>
    <t>Jean-Pierre</t>
  </si>
  <si>
    <t>jpdewolf@lms.lu</t>
  </si>
  <si>
    <t>(00352) 621 295 398</t>
  </si>
  <si>
    <t>DRZEWIECKI</t>
  </si>
  <si>
    <t>Wojciech</t>
  </si>
  <si>
    <t>wojciech.drzewiecki@bourbon-online.com</t>
  </si>
  <si>
    <t>wojciech</t>
  </si>
  <si>
    <t>DUREPAIRE</t>
  </si>
  <si>
    <t>Damien</t>
  </si>
  <si>
    <t>durepaire.damien@mwafritec.com</t>
  </si>
  <si>
    <t>DAMIEN</t>
  </si>
  <si>
    <t>Seazen II Loisirs</t>
  </si>
  <si>
    <t>EHRARDT</t>
  </si>
  <si>
    <t>Jéremy</t>
  </si>
  <si>
    <t>seazentwo@gmail.com</t>
  </si>
  <si>
    <t>4d4djS</t>
  </si>
  <si>
    <t>Bluepin Ltd-A and A</t>
  </si>
  <si>
    <t>FARMER</t>
  </si>
  <si>
    <t>James</t>
  </si>
  <si>
    <t>captain@myaanda.net</t>
  </si>
  <si>
    <t>eyssautier</t>
  </si>
  <si>
    <t>FERRERO</t>
  </si>
  <si>
    <t>Isabelle</t>
  </si>
  <si>
    <t>isabelle.ferrero@remo-sa.com</t>
  </si>
  <si>
    <t>isabelle</t>
  </si>
  <si>
    <t>C314 Management</t>
  </si>
  <si>
    <t>CHEZ ANP_x000D_
15 RUE BEAUVAU</t>
  </si>
  <si>
    <t>FILIPPI</t>
  </si>
  <si>
    <t>CHRISTOPHE</t>
  </si>
  <si>
    <t>projetfb01@gmail.com</t>
  </si>
  <si>
    <t>c314admin</t>
  </si>
  <si>
    <t>THIERRY VOISIN</t>
  </si>
  <si>
    <t>GEHIN</t>
  </si>
  <si>
    <t>Brigitte</t>
  </si>
  <si>
    <t>brigitteg@thierryvoisin.com</t>
  </si>
  <si>
    <t>tchacou4</t>
  </si>
  <si>
    <t>(0033) 492.00.42.84</t>
  </si>
  <si>
    <t>(0033) 492.00.43.71</t>
  </si>
  <si>
    <t>GIRARDOT</t>
  </si>
  <si>
    <t>myaxioma@ymail.com</t>
  </si>
  <si>
    <t>myaxioma</t>
  </si>
  <si>
    <t>GILHARD</t>
  </si>
  <si>
    <t>caroline</t>
  </si>
  <si>
    <t>cgilhard@burgessyachts.com</t>
  </si>
  <si>
    <t>(00377) 97978121</t>
  </si>
  <si>
    <t>guillaume.grunberg@wycc-insurance.com</t>
  </si>
  <si>
    <t>Commercial</t>
  </si>
  <si>
    <t>(0033) (0) 6 22 43 01 27</t>
  </si>
  <si>
    <t xml:space="preserve">UNIQUE YACHTING MONACO  </t>
  </si>
  <si>
    <t>"Park Palace" 27 avenue de la Costa</t>
  </si>
  <si>
    <t>GUENEBEAUD</t>
  </si>
  <si>
    <t>Cédric</t>
  </si>
  <si>
    <t>direction@unique-yachting-monaco.com</t>
  </si>
  <si>
    <t>vH1yk1</t>
  </si>
  <si>
    <t>Sarnia Yachts Limited</t>
  </si>
  <si>
    <t xml:space="preserve">PO Box 657 La Plaiderie House </t>
  </si>
  <si>
    <t xml:space="preserve">GY1 3PR </t>
  </si>
  <si>
    <t>St Peter Port Guernsey</t>
  </si>
  <si>
    <t>Guernsey</t>
  </si>
  <si>
    <t>HAMILTON</t>
  </si>
  <si>
    <t>Kim</t>
  </si>
  <si>
    <t>kim.hamilton@sarniayachts.com</t>
  </si>
  <si>
    <t>Client Services Officer</t>
  </si>
  <si>
    <t>(0044) 1481 754850</t>
  </si>
  <si>
    <t>(0044) 1481 723335</t>
  </si>
  <si>
    <t>(0044) 1481 754864</t>
  </si>
  <si>
    <t xml:space="preserve">15, rue Beauvau </t>
  </si>
  <si>
    <t>HARREL COURTES</t>
  </si>
  <si>
    <t>g.harrel-courtes@harrel-courtes.fr</t>
  </si>
  <si>
    <t>jules2012</t>
  </si>
  <si>
    <t>HUSSON</t>
  </si>
  <si>
    <t>crew@lngroup.lu</t>
  </si>
  <si>
    <t>kDCU21</t>
  </si>
  <si>
    <t>Vendome Luxury Boats</t>
  </si>
  <si>
    <t>Capitainerie du Port Vauban_x000D_
Bateau Winning Streak</t>
  </si>
  <si>
    <t>JACQUART</t>
  </si>
  <si>
    <t>winningstreak06@yahoo.fr</t>
  </si>
  <si>
    <t>wycc_jacquart*</t>
  </si>
  <si>
    <t>JOUSEAU</t>
  </si>
  <si>
    <t>Estelle</t>
  </si>
  <si>
    <t>estelle.jouseau@bourbon-online.com</t>
  </si>
  <si>
    <t>estelle</t>
  </si>
  <si>
    <t>SUNREEF YACHTS CHARTER</t>
  </si>
  <si>
    <t xml:space="preserve">Gdansk, Poland_x000D_
</t>
  </si>
  <si>
    <t>KOZAK</t>
  </si>
  <si>
    <t>Joanna</t>
  </si>
  <si>
    <t>joanna@sunreef-charter.com</t>
  </si>
  <si>
    <t>joanna</t>
  </si>
  <si>
    <t>00 48 58 776 23 16</t>
  </si>
  <si>
    <t>Captain-OVER THE RAINBOW OF LONDON</t>
  </si>
  <si>
    <t>LEGROS</t>
  </si>
  <si>
    <t>Jean Louis</t>
  </si>
  <si>
    <t>disealand@aol.com</t>
  </si>
  <si>
    <t>legros</t>
  </si>
  <si>
    <t>LORDT</t>
  </si>
  <si>
    <t>Julia</t>
  </si>
  <si>
    <t>julia@equisea.mc</t>
  </si>
  <si>
    <t>Julial</t>
  </si>
  <si>
    <t>(00377) 97982898</t>
  </si>
  <si>
    <t>(00377) 97982897</t>
  </si>
  <si>
    <t>IPHARRA</t>
  </si>
  <si>
    <t>MAERTENS</t>
  </si>
  <si>
    <t>Lieven</t>
  </si>
  <si>
    <t>lieven_maertens@hotmail.com</t>
  </si>
  <si>
    <t>lieven</t>
  </si>
  <si>
    <t>HELIAD II</t>
  </si>
  <si>
    <t>MAILLOT</t>
  </si>
  <si>
    <t>Florent</t>
  </si>
  <si>
    <t>florent.maillot@orange.fr</t>
  </si>
  <si>
    <t>florent</t>
  </si>
  <si>
    <t>Navilux SA</t>
  </si>
  <si>
    <t>MANANCOURT</t>
  </si>
  <si>
    <t>Hana</t>
  </si>
  <si>
    <t>HMANANCOURT@navilux.net</t>
  </si>
  <si>
    <t>Garuda Yachts Charter Unipessoal LDA</t>
  </si>
  <si>
    <t>Rua Nova do Pina, n. 4-B</t>
  </si>
  <si>
    <t>9050-067</t>
  </si>
  <si>
    <t>FUNCHAL, MADEIRA</t>
  </si>
  <si>
    <t>Denis</t>
  </si>
  <si>
    <t>denismartin@mail.ru</t>
  </si>
  <si>
    <t>MARTINEZ</t>
  </si>
  <si>
    <t>Lisa</t>
  </si>
  <si>
    <t>lmartinez@camperandnicholsons.com</t>
  </si>
  <si>
    <t>martinez</t>
  </si>
  <si>
    <t>ODM YACHTS SA</t>
  </si>
  <si>
    <t>28 Avenue du Mail</t>
  </si>
  <si>
    <t xml:space="preserve">CH-1205 </t>
  </si>
  <si>
    <t>Genève</t>
  </si>
  <si>
    <t>MENGE</t>
  </si>
  <si>
    <t>Dominique</t>
  </si>
  <si>
    <t>do.menge@oceandrivemarine.com</t>
  </si>
  <si>
    <t>MD Management Corp.</t>
  </si>
  <si>
    <t>MESSERI</t>
  </si>
  <si>
    <t>anne.messeri@mdmancorp.com</t>
  </si>
  <si>
    <t>mess_wycc45*</t>
  </si>
  <si>
    <t>Fastnet LTD - The Snapper</t>
  </si>
  <si>
    <t>MIREMONT</t>
  </si>
  <si>
    <t>Patrick</t>
  </si>
  <si>
    <t>the.snapper@wanadoo.fr</t>
  </si>
  <si>
    <t>R7j672</t>
  </si>
  <si>
    <t>MOROZOVA</t>
  </si>
  <si>
    <t>Olga</t>
  </si>
  <si>
    <t>olga@unique-yachting-monaco.com</t>
  </si>
  <si>
    <t>b2C8fe</t>
  </si>
  <si>
    <t>Captain-007</t>
  </si>
  <si>
    <t>MOSTACCI</t>
  </si>
  <si>
    <t>Teddy</t>
  </si>
  <si>
    <t>teddy.mostacci@hotmail.fr</t>
  </si>
  <si>
    <t>jamesbond</t>
  </si>
  <si>
    <t>Yachting Concept</t>
  </si>
  <si>
    <t>MOURY</t>
  </si>
  <si>
    <t>laurence@yachtingconcept.com</t>
  </si>
  <si>
    <t>NAFFOUTI</t>
  </si>
  <si>
    <t>fnaffouti@navilux.net</t>
  </si>
  <si>
    <t>naffouti</t>
  </si>
  <si>
    <t xml:space="preserve">(00352) 22 94 97 </t>
  </si>
  <si>
    <t>NOYER</t>
  </si>
  <si>
    <t>info@aquilayachting.com</t>
  </si>
  <si>
    <t>céline</t>
  </si>
  <si>
    <t>(0033) 4 93 63 41 64</t>
  </si>
  <si>
    <t>(0033) 6 11 66 41 64</t>
  </si>
  <si>
    <t>OLLIVRY</t>
  </si>
  <si>
    <t>capitaine007@outlook.com</t>
  </si>
  <si>
    <t>ollivry</t>
  </si>
  <si>
    <t>ORIO</t>
  </si>
  <si>
    <t>Iltud</t>
  </si>
  <si>
    <t>commandant@enigmaxk.com</t>
  </si>
  <si>
    <t>enigmaxk</t>
  </si>
  <si>
    <t>ORTIZ</t>
  </si>
  <si>
    <t>Marie</t>
  </si>
  <si>
    <t>mo@mmc.lu</t>
  </si>
  <si>
    <t>MARIEORTIZ</t>
  </si>
  <si>
    <t>Mann Made Corporate Services Limited</t>
  </si>
  <si>
    <t xml:space="preserve">19/21 Circular Road_x000D_
_x000D_
_x000D_
</t>
  </si>
  <si>
    <t>Douglas</t>
  </si>
  <si>
    <t>IM1 1AF</t>
  </si>
  <si>
    <t>Isle of Man</t>
  </si>
  <si>
    <t>OTIENO</t>
  </si>
  <si>
    <t>christine.otieno@mannmade.eu</t>
  </si>
  <si>
    <t>christine</t>
  </si>
  <si>
    <t>(0044) 1624 682131</t>
  </si>
  <si>
    <t>(0044) 7624 202096</t>
  </si>
  <si>
    <t>Rua Nova do Pina, n.º 4-B</t>
  </si>
  <si>
    <t>PEREIRA</t>
  </si>
  <si>
    <t>José Carlos</t>
  </si>
  <si>
    <t>boatrust@netmadeira.com</t>
  </si>
  <si>
    <t>qsa35P</t>
  </si>
  <si>
    <t>(00351) 291 098295</t>
  </si>
  <si>
    <t>(00351) 916415186</t>
  </si>
  <si>
    <t>PERREL</t>
  </si>
  <si>
    <t>management@unique-yachting-monaco.com</t>
  </si>
  <si>
    <t>7cMMH3</t>
  </si>
  <si>
    <t>Alliance Yacht Management Ltd</t>
  </si>
  <si>
    <t>93-95 Borough High Street</t>
  </si>
  <si>
    <t>SE1 1NL</t>
  </si>
  <si>
    <t>LONDON</t>
  </si>
  <si>
    <t>United Kingdom</t>
  </si>
  <si>
    <t>PETITJEAN</t>
  </si>
  <si>
    <t>Eric</t>
  </si>
  <si>
    <t>captain.petitjean@gmail.com</t>
  </si>
  <si>
    <t>kE5ayt</t>
  </si>
  <si>
    <t>(0044) 7841 503974</t>
  </si>
  <si>
    <t>(0033) 623 90 47 76</t>
  </si>
  <si>
    <t>IDOL YACHTING LIMITED</t>
  </si>
  <si>
    <t>Ghar id-Dud</t>
  </si>
  <si>
    <t>SLM-1573</t>
  </si>
  <si>
    <t>Sielma</t>
  </si>
  <si>
    <t xml:space="preserve">PIALLES </t>
  </si>
  <si>
    <t>(0033) 672159857</t>
  </si>
  <si>
    <t>Ryo Charter Limitada</t>
  </si>
  <si>
    <t>Av, Arriaga, N°30-1 andar, letra A</t>
  </si>
  <si>
    <t>P-9000-064</t>
  </si>
  <si>
    <t>FUNCHAL</t>
  </si>
  <si>
    <t>Portugal</t>
  </si>
  <si>
    <t>PIARDI</t>
  </si>
  <si>
    <t>dvdsail@gmail.com</t>
  </si>
  <si>
    <t>A5a444</t>
  </si>
  <si>
    <t>PICARD</t>
  </si>
  <si>
    <t>management@navilux.net</t>
  </si>
  <si>
    <t>LENGERS YACHTS</t>
  </si>
  <si>
    <t>10 chemin de Frayere || France</t>
  </si>
  <si>
    <t>F-06650</t>
  </si>
  <si>
    <t xml:space="preserve">Le Rouret </t>
  </si>
  <si>
    <t>POCACHARD</t>
  </si>
  <si>
    <t>Christel</t>
  </si>
  <si>
    <t>christel@lengersyachts.nl</t>
  </si>
  <si>
    <t>christel</t>
  </si>
  <si>
    <t xml:space="preserve">Sales and Service Coordinator France </t>
  </si>
  <si>
    <t>(0031) 294 256 156</t>
  </si>
  <si>
    <t>(0033) 6 18 945 432</t>
  </si>
  <si>
    <t>Bachmann Marine</t>
  </si>
  <si>
    <t xml:space="preserve">Bachmann Yachts - 5 avenue Paul Arene </t>
  </si>
  <si>
    <t>Antibes - France</t>
  </si>
  <si>
    <t>POUWELS</t>
  </si>
  <si>
    <t>Karine</t>
  </si>
  <si>
    <t xml:space="preserve">Business Development Manager </t>
  </si>
  <si>
    <t>(0033) 778 146 266</t>
  </si>
  <si>
    <t>Trust Compagny complex ajeltake toad</t>
  </si>
  <si>
    <t>MH96960</t>
  </si>
  <si>
    <t>MAJURO (AJELTALE ISLAND)</t>
  </si>
  <si>
    <t>PRADINES</t>
  </si>
  <si>
    <t>Lionel</t>
  </si>
  <si>
    <t>pradines.lionel@mwafritec.com</t>
  </si>
  <si>
    <t>wycc2014</t>
  </si>
  <si>
    <t>Amiri fleet</t>
  </si>
  <si>
    <t>Purser</t>
  </si>
  <si>
    <t>purser@yacht-constellation.com</t>
  </si>
  <si>
    <t>purserconstellation</t>
  </si>
  <si>
    <t>o.devarreux@me.com</t>
  </si>
  <si>
    <t>SLj4D1</t>
  </si>
  <si>
    <t>chiefstewardess@yacht-maracunda.com</t>
  </si>
  <si>
    <t>w1Tbgu</t>
  </si>
  <si>
    <t>(00974) 4443 0823</t>
  </si>
  <si>
    <t xml:space="preserve">(00974) 6607 7262 </t>
  </si>
  <si>
    <t>krystle.m@hotmail.com</t>
  </si>
  <si>
    <t>cfrt4d</t>
  </si>
  <si>
    <t>Purser Austral</t>
  </si>
  <si>
    <t>purser.austral@ponant-ships.com</t>
  </si>
  <si>
    <t>wyccaustral*</t>
  </si>
  <si>
    <t>Purser Boreal</t>
  </si>
  <si>
    <t>purser.boreal@ponant-ships.com</t>
  </si>
  <si>
    <t>wyccboreal*</t>
  </si>
  <si>
    <t>Purser Ponant</t>
  </si>
  <si>
    <t>staffcaptain.ponant@ponant-ships.com</t>
  </si>
  <si>
    <t>wyccponant*</t>
  </si>
  <si>
    <t>Purser Soleal</t>
  </si>
  <si>
    <t>purser.soleal@ponant-ships.com</t>
  </si>
  <si>
    <t>wyccsoleal*</t>
  </si>
  <si>
    <t>MAX RÄZ</t>
  </si>
  <si>
    <t>S-6362</t>
  </si>
  <si>
    <t>STANSSTAD</t>
  </si>
  <si>
    <t>Sweden</t>
  </si>
  <si>
    <t>RÄZ</t>
  </si>
  <si>
    <t>Max</t>
  </si>
  <si>
    <t>maxraez@raez.com</t>
  </si>
  <si>
    <t>maxraez</t>
  </si>
  <si>
    <t>Blush Yachting Ltd</t>
  </si>
  <si>
    <t>READ</t>
  </si>
  <si>
    <t>Sean</t>
  </si>
  <si>
    <t>captain@my-blush.com</t>
  </si>
  <si>
    <t>SeanRead</t>
  </si>
  <si>
    <t>Yvette</t>
  </si>
  <si>
    <t>yvette.remondiere@bourbon-online.com</t>
  </si>
  <si>
    <t>yvette</t>
  </si>
  <si>
    <t>Marc.REMONDIERE@remo-sa.com</t>
  </si>
  <si>
    <t>marcremo</t>
  </si>
  <si>
    <t>Yachting Partner International</t>
  </si>
  <si>
    <t>RENAR</t>
  </si>
  <si>
    <t>patrick.renar@ypigroup.com</t>
  </si>
  <si>
    <t>patrick.renar</t>
  </si>
  <si>
    <t>RENSHAW</t>
  </si>
  <si>
    <t>krenshaw@burgessyacht.com</t>
  </si>
  <si>
    <t>kevinr</t>
  </si>
  <si>
    <t>(00377) 97978318</t>
  </si>
  <si>
    <t>RIBEIRO</t>
  </si>
  <si>
    <t>Louisa</t>
  </si>
  <si>
    <t>lribeiro@navilux.net</t>
  </si>
  <si>
    <t>louisa</t>
  </si>
  <si>
    <t>RIOU</t>
  </si>
  <si>
    <t>Hervé</t>
  </si>
  <si>
    <t>secondcapitaine@enigmaxk.com</t>
  </si>
  <si>
    <t>A7rent</t>
  </si>
  <si>
    <t>a7rent@pt.lu</t>
  </si>
  <si>
    <t>tatiana</t>
  </si>
  <si>
    <t>BLACK DIAMOND LTD</t>
  </si>
  <si>
    <t>SADOUET</t>
  </si>
  <si>
    <t xml:space="preserve">pascalsadouet@gmail.com </t>
  </si>
  <si>
    <t>SANDRONI</t>
  </si>
  <si>
    <t>VALERIE</t>
  </si>
  <si>
    <t>valeries@thierryvoisin.com</t>
  </si>
  <si>
    <t>valeriethierry</t>
  </si>
  <si>
    <t>Yacht Manager </t>
  </si>
  <si>
    <t>(0033) 492 00 42 40</t>
  </si>
  <si>
    <t xml:space="preserve">(0033) 613 16 70 28 </t>
  </si>
  <si>
    <t>(0033) 492 00 43 71</t>
  </si>
  <si>
    <t>South East Asia Exotic Cruise</t>
  </si>
  <si>
    <t>Jalan Thamrin n9</t>
  </si>
  <si>
    <t>IN-10350</t>
  </si>
  <si>
    <t>Jakarta</t>
  </si>
  <si>
    <t>SATJANU</t>
  </si>
  <si>
    <t>Hari Adi</t>
  </si>
  <si>
    <t>satjanu1957@yahoo.com</t>
  </si>
  <si>
    <t>J2N69e</t>
  </si>
  <si>
    <t>(0061) 439586963</t>
  </si>
  <si>
    <t>F-070310</t>
  </si>
  <si>
    <t>Beaulieu sur Mer</t>
  </si>
  <si>
    <t>(0033) 493011486</t>
  </si>
  <si>
    <t>Globe Skipper</t>
  </si>
  <si>
    <t>STECKAR</t>
  </si>
  <si>
    <t>office@globe-skipper.com</t>
  </si>
  <si>
    <t>steckar_wycc159</t>
  </si>
  <si>
    <t>(0033) 678737206</t>
  </si>
  <si>
    <t>THOUANT</t>
  </si>
  <si>
    <t>stéphanie@monacoequipage.com</t>
  </si>
  <si>
    <t>MW AFRITEC</t>
  </si>
  <si>
    <t>TSHIBANGU</t>
  </si>
  <si>
    <t>Franck Kanyinda</t>
  </si>
  <si>
    <t>fktshibangu@gmail.com</t>
  </si>
  <si>
    <t>N5hbdi</t>
  </si>
  <si>
    <t xml:space="preserve">(00243) 820019988 </t>
  </si>
  <si>
    <t xml:space="preserve">(00243) 844133333 </t>
  </si>
  <si>
    <t>Aquila Yachting</t>
  </si>
  <si>
    <t>29 Port Camille Rayon</t>
  </si>
  <si>
    <t xml:space="preserve">F-06220 </t>
  </si>
  <si>
    <t>GOLFE JUAN</t>
  </si>
  <si>
    <t>VALERA</t>
  </si>
  <si>
    <t>Elisa</t>
  </si>
  <si>
    <t>valera</t>
  </si>
  <si>
    <t>(0033) 493634164</t>
  </si>
  <si>
    <t>(0033) 493631141</t>
  </si>
  <si>
    <t>VALLOT</t>
  </si>
  <si>
    <t>vallot.b@wanadoo.fr</t>
  </si>
  <si>
    <t>Capitaine Luisa May</t>
  </si>
  <si>
    <t>VAN HOUTTE</t>
  </si>
  <si>
    <t>evom@live.fr</t>
  </si>
  <si>
    <t>ericvanhoutte</t>
  </si>
  <si>
    <t>(0033) 642209473</t>
  </si>
  <si>
    <t>VIGNEUX</t>
  </si>
  <si>
    <t>Françoise</t>
  </si>
  <si>
    <t>francoise.vigneux@bourbon-online.com</t>
  </si>
  <si>
    <t>françoise</t>
  </si>
  <si>
    <t xml:space="preserve">(0041) 22 363 92 91 </t>
  </si>
  <si>
    <t>(0033) 665461952</t>
  </si>
  <si>
    <t>VOGELE</t>
  </si>
  <si>
    <t>kolaha-captain@wanadoo.fr</t>
  </si>
  <si>
    <t>Kolaha</t>
  </si>
  <si>
    <t>WAN</t>
  </si>
  <si>
    <t>André</t>
  </si>
  <si>
    <t>wan.andre@mwafritec.com</t>
  </si>
  <si>
    <t>WENDT</t>
  </si>
  <si>
    <t>Frédérique</t>
  </si>
  <si>
    <t>dandb.services@wanadoo.fr</t>
  </si>
  <si>
    <t>frederique</t>
  </si>
  <si>
    <t>(0033) 493340967</t>
  </si>
  <si>
    <t>(0033) 493341237</t>
  </si>
  <si>
    <t xml:space="preserve">Sabrina </t>
  </si>
  <si>
    <t>Groupe ADDOHA</t>
  </si>
  <si>
    <t>Km 7, Route de Rabat (Ain Sebaa)</t>
  </si>
  <si>
    <t>Casablanca</t>
  </si>
  <si>
    <t>MARISSI</t>
  </si>
  <si>
    <t>Saida</t>
  </si>
  <si>
    <t>s.marissi@groupeaddoha.com</t>
  </si>
  <si>
    <t>(00212) 5 22 67 99 00</t>
  </si>
  <si>
    <t>(00212) 5 22 35 17 63</t>
  </si>
  <si>
    <t>Marine Construction Management LLC</t>
  </si>
  <si>
    <t>555 Thames Street</t>
  </si>
  <si>
    <t>RI-02840</t>
  </si>
  <si>
    <t>Newport</t>
  </si>
  <si>
    <t>MAYOU</t>
  </si>
  <si>
    <t>Abigail</t>
  </si>
  <si>
    <t>amayou@mcmnewport.com</t>
  </si>
  <si>
    <t>(001) 401 849 3387 -120</t>
  </si>
  <si>
    <t>(001) 401 849 7728</t>
  </si>
  <si>
    <t>(001)  401 835 8086</t>
  </si>
  <si>
    <t>(00377) 99 99 48 62</t>
  </si>
  <si>
    <t>Adros Shipping Limited</t>
  </si>
  <si>
    <t>F-06230</t>
  </si>
  <si>
    <t>British Virgin Islands</t>
  </si>
  <si>
    <t xml:space="preserve">P-9000 - 068 </t>
  </si>
  <si>
    <t>Centralease SAS</t>
  </si>
  <si>
    <t>Avenue de la grande armée, 80</t>
  </si>
  <si>
    <t>F-75017</t>
  </si>
  <si>
    <t>Fraser Yachts Florida Inc</t>
  </si>
  <si>
    <t>1800 SE 10th Avenue, Suite 400</t>
  </si>
  <si>
    <t>FL-33316</t>
  </si>
  <si>
    <t>Fort Lauderdale, Florida</t>
  </si>
  <si>
    <t>18, Quai St Pierre</t>
  </si>
  <si>
    <t>Grenadines Transportes Maritimos Lda</t>
  </si>
  <si>
    <t>MONACO EQUIPAGE</t>
  </si>
  <si>
    <t>Moonlight Shipping Ltd</t>
  </si>
  <si>
    <t>Marshall islands</t>
  </si>
  <si>
    <t>Neymar investments LTD</t>
  </si>
  <si>
    <t>Indonesia</t>
  </si>
  <si>
    <t>29 rue Georges Clémenceau</t>
  </si>
  <si>
    <t>English</t>
  </si>
  <si>
    <t>Français</t>
  </si>
  <si>
    <t>Deutsch</t>
  </si>
  <si>
    <t>Italien</t>
  </si>
  <si>
    <t>po polsku</t>
  </si>
  <si>
    <t>Rank</t>
  </si>
  <si>
    <t>Grado</t>
  </si>
  <si>
    <t>Pozycja</t>
  </si>
  <si>
    <t>Given Name</t>
  </si>
  <si>
    <t>Nom</t>
  </si>
  <si>
    <t>Nome Di Battesimo</t>
  </si>
  <si>
    <t>Nazwisko Rodowe</t>
  </si>
  <si>
    <t>period           months</t>
  </si>
  <si>
    <t>période     mois</t>
  </si>
  <si>
    <t>Dauer  Monate</t>
  </si>
  <si>
    <t>periodo (mesi)</t>
  </si>
  <si>
    <t>okres miesięcy</t>
  </si>
  <si>
    <t>Annual Salaries</t>
  </si>
  <si>
    <t>Salaires annuels</t>
  </si>
  <si>
    <t>Jährliches Gehalt</t>
  </si>
  <si>
    <t>salario annuo</t>
  </si>
  <si>
    <t>roczne Wynagrodzenie</t>
  </si>
  <si>
    <t>Médicale</t>
  </si>
  <si>
    <t>medico</t>
  </si>
  <si>
    <t>medyczny</t>
  </si>
  <si>
    <t>Formula 1A</t>
  </si>
  <si>
    <t>Formule 1A</t>
  </si>
  <si>
    <t>Formel 1A</t>
  </si>
  <si>
    <t>formula 1A</t>
  </si>
  <si>
    <t>formuła 1A</t>
  </si>
  <si>
    <t>Formula 1B</t>
  </si>
  <si>
    <t>Formule 1B</t>
  </si>
  <si>
    <t>Formel 1B</t>
  </si>
  <si>
    <t>formula 1B</t>
  </si>
  <si>
    <t>formuła 1B</t>
  </si>
  <si>
    <t>Formula 1C</t>
  </si>
  <si>
    <t>Formule 1C</t>
  </si>
  <si>
    <t>Formel 1C</t>
  </si>
  <si>
    <t>formula 1C</t>
  </si>
  <si>
    <t>formuła 1C</t>
  </si>
  <si>
    <t>Formula 2</t>
  </si>
  <si>
    <t>Formule 2</t>
  </si>
  <si>
    <t>Formel 2</t>
  </si>
  <si>
    <t>formula 2</t>
  </si>
  <si>
    <t>formuła 2</t>
  </si>
  <si>
    <t>Formule 3</t>
  </si>
  <si>
    <t>Formel 3</t>
  </si>
  <si>
    <t>formula 3</t>
  </si>
  <si>
    <t>formuła 3</t>
  </si>
  <si>
    <t>TOTAL Annual provisional premium</t>
  </si>
  <si>
    <t>TOTAL prime annuelle prévisionnelle</t>
  </si>
  <si>
    <t>Summe der erwarteten jährlichen Prämien</t>
  </si>
  <si>
    <t>TOTALE premio annuale di previsione</t>
  </si>
  <si>
    <t>Roczna Premia tymczasowa TOTAL</t>
  </si>
  <si>
    <t>TOTAL compared to the annual payroll (%)</t>
  </si>
  <si>
    <t xml:space="preserve">TOTAL comparé à la masse salariale (%) </t>
  </si>
  <si>
    <t>TOTAL im Vergleich zum Lohn (%)</t>
  </si>
  <si>
    <t>TOTAL rispetto al libro paga annuale (%)</t>
  </si>
  <si>
    <t>TOTAL w porównaniu do rocznego liście płac (%)</t>
  </si>
  <si>
    <t>Chosen formula</t>
  </si>
  <si>
    <t>Formule choisie</t>
  </si>
  <si>
    <t>gewählte Formel</t>
  </si>
  <si>
    <t>formula scelta</t>
  </si>
  <si>
    <t>Wybrana formuła</t>
  </si>
  <si>
    <t>Premium</t>
  </si>
  <si>
    <t>Prime</t>
  </si>
  <si>
    <t>Prämie</t>
  </si>
  <si>
    <t>premio</t>
  </si>
  <si>
    <t>premia</t>
  </si>
  <si>
    <t>Monthly Salary</t>
  </si>
  <si>
    <t>salaire mensuel</t>
  </si>
  <si>
    <t>Monatsgehalt</t>
  </si>
  <si>
    <t>Salario mensile</t>
  </si>
  <si>
    <t>Miesięczne wynagrodzenie</t>
  </si>
  <si>
    <t>EUR-RATE 2012</t>
  </si>
  <si>
    <t>EUR-TAUX 2012</t>
  </si>
  <si>
    <t>EUR-KURS 2012</t>
  </si>
  <si>
    <t>EUR-TARIFFA 2012</t>
  </si>
  <si>
    <t>EUR-OCENA 2012</t>
  </si>
  <si>
    <t>USD-RATE 2012</t>
  </si>
  <si>
    <t>USD-TAUX 2012</t>
  </si>
  <si>
    <t>USD-KURS 2012</t>
  </si>
  <si>
    <t>USD-TARIFFA 2012</t>
  </si>
  <si>
    <t>USD-OCENA 2012</t>
  </si>
  <si>
    <t>EUR-RATE 2013-365 days</t>
  </si>
  <si>
    <t>EUR-TAUX 2013-365 jours</t>
  </si>
  <si>
    <t>EUR-KURS 2013-365 Tage</t>
  </si>
  <si>
    <t>EUR-TARIFFA 2013-365 giorni</t>
  </si>
  <si>
    <t>EUR-OCENA 2013-365 days</t>
  </si>
  <si>
    <t>EUR-RATE 2013-120 days</t>
  </si>
  <si>
    <t>EUR-TAUX 2013-120 jours</t>
  </si>
  <si>
    <t>EUR-KURS 2013-120 Tage</t>
  </si>
  <si>
    <t>EUR-TARIFFA 2013-120 giorni</t>
  </si>
  <si>
    <t>EUR-OCENA 2013-120 days</t>
  </si>
  <si>
    <t>USD-RATE 2013-365 days</t>
  </si>
  <si>
    <t>USD-TAUX 2013-365 jours</t>
  </si>
  <si>
    <t>USD-KURS 2013-365 Tage</t>
  </si>
  <si>
    <t>USD-TARIFFA 2013-365 giorni</t>
  </si>
  <si>
    <t>USD-OCENA 2013-365 days</t>
  </si>
  <si>
    <t>USD-RATE 2013-120 days</t>
  </si>
  <si>
    <t>USD-TAUX 2013-120 jours</t>
  </si>
  <si>
    <t>USD-KURS 2013-120 Tage</t>
  </si>
  <si>
    <t>USD-TARIFFA 2013-120 giorni</t>
  </si>
  <si>
    <t>USD-OCENA 2013-120 days</t>
  </si>
  <si>
    <t>USD-RATE 2013-130 days</t>
  </si>
  <si>
    <t>USD-TAUX 2013-130 jours</t>
  </si>
  <si>
    <t>USD-KURS 2013-130 Tage</t>
  </si>
  <si>
    <t>USD-TARIFFA 2013-130 giorni</t>
  </si>
  <si>
    <t>USD-OCENA 2013-130 days</t>
  </si>
  <si>
    <t>EUR-REDUCED RATE ACE-2013-120 days</t>
  </si>
  <si>
    <t>EUR-TAUX REDUIT ACE-2013-120 jours</t>
  </si>
  <si>
    <t>EUR-ERMAßIGTER KURS-2013-120 Tage</t>
  </si>
  <si>
    <t>EUR-TARIFFA RIDOTTO -2013-120 giorni</t>
  </si>
  <si>
    <t>EUR-obniżona OCENA-2013-120 days</t>
  </si>
  <si>
    <t>EUR-REDUCED RATE ACE--2013-365 days</t>
  </si>
  <si>
    <t>EUR-TAUX REDUIT ACE-2013-365 jours</t>
  </si>
  <si>
    <t>EUR-ERMAßIGTER KURS-2013-365 Tage</t>
  </si>
  <si>
    <t>EUR-TARIFFA RIDOTTO -2013-365 giorni</t>
  </si>
  <si>
    <t>EUR-obniżona OCENA-2013-365 days</t>
  </si>
  <si>
    <t>EUR-RATE 2015-365 days</t>
  </si>
  <si>
    <t>EUR-TAUX 2015-365 jours</t>
  </si>
  <si>
    <t>EUR-KURS 2015-365 Tage</t>
  </si>
  <si>
    <t>EUR-TARIFFA 2015-365 giorni</t>
  </si>
  <si>
    <t>EUR-OCENA 2015-365 days</t>
  </si>
  <si>
    <t>EUR-RATE 2015-120 days</t>
  </si>
  <si>
    <t>EUR-TAUX 2015-120 jours</t>
  </si>
  <si>
    <t>EUR-KURS 2015-120 Tage</t>
  </si>
  <si>
    <t>EUR-TARIFFA 2015-120 giorni</t>
  </si>
  <si>
    <t>EUR-OCENA 2015-120 days</t>
  </si>
  <si>
    <t>USD-RATE 2015-365 days</t>
  </si>
  <si>
    <t>USD-TAUX 2015-365 jours</t>
  </si>
  <si>
    <t>USD-KURS 2015-365 Tage</t>
  </si>
  <si>
    <t>USD-TARIFFA 2015-365 giorni</t>
  </si>
  <si>
    <t>USD-OCENA 2015-365 days</t>
  </si>
  <si>
    <t>USD-RATE 2015-120 days</t>
  </si>
  <si>
    <t>USD-TAUX 2015-120 jours</t>
  </si>
  <si>
    <t>USD-KURS 2015-120 Tage</t>
  </si>
  <si>
    <t>USD-TARIFFA 2015-120 giorni</t>
  </si>
  <si>
    <t>USD-OCENA 2015-120 days</t>
  </si>
  <si>
    <t>EUR-REDUCED RATE ACE-2015-120 days</t>
  </si>
  <si>
    <t>EUR-TAUX REDUIT ACE-2015-120 jours</t>
  </si>
  <si>
    <t>EUR-ERMAßIGTER KURS-2015-120 Tage</t>
  </si>
  <si>
    <t>EUR-TARIFFA RIDOTTO -2015-120 giorni</t>
  </si>
  <si>
    <t>EUR-obniżona OCENA-2015-120 days</t>
  </si>
  <si>
    <t>EUR-REDUCED RATE ACE--2015-365 days</t>
  </si>
  <si>
    <t>EUR-TAUX REDUIT ACE-2015-365 jours</t>
  </si>
  <si>
    <t>EUR-ERMAßIGTER KURS-2015-365 Tage</t>
  </si>
  <si>
    <t>EUR-TARIFFA RIDOTTO -2015-365 giorni</t>
  </si>
  <si>
    <t>EUR-obniżona OCENA-2015-365 days</t>
  </si>
  <si>
    <t>DAILY CALCULATION</t>
  </si>
  <si>
    <t>CALCUL PAR JOUR</t>
  </si>
  <si>
    <t>tägliche Berechnung</t>
  </si>
  <si>
    <t>CALCOLO GIORNALIERO</t>
  </si>
  <si>
    <t>CODZIENNA KALKULACJA</t>
  </si>
  <si>
    <t>MONTHLY CALCULATION</t>
  </si>
  <si>
    <t>CALCUL PAR MOIS</t>
  </si>
  <si>
    <t>monatliche Berechnung</t>
  </si>
  <si>
    <t>CALCOLO MENSILE</t>
  </si>
  <si>
    <t>MIESIĘCZNA KALKULACJA</t>
  </si>
  <si>
    <t>proportional salary based</t>
  </si>
  <si>
    <t>calcul proportionnel au salaire</t>
  </si>
  <si>
    <t>proportionale Gehaltsberechnung</t>
  </si>
  <si>
    <t>basato salario proporzionale</t>
  </si>
  <si>
    <t>na podstawie proporcjonalnego wynagrodzenia</t>
  </si>
  <si>
    <t>based on</t>
  </si>
  <si>
    <t>Calcul sur base d'un montant fixe de</t>
  </si>
  <si>
    <t>Berechnung basierend auf</t>
  </si>
  <si>
    <t>basato su</t>
  </si>
  <si>
    <t>oparte na</t>
  </si>
  <si>
    <t>Maklergebühren</t>
  </si>
  <si>
    <t>mediazione</t>
  </si>
  <si>
    <t>Prowizje maklerskie</t>
  </si>
  <si>
    <t xml:space="preserve">Net Premium to be paid: </t>
  </si>
  <si>
    <t>Prime nette à verser</t>
  </si>
  <si>
    <t>Nettoprämie zu entrichten</t>
  </si>
  <si>
    <t>Premio netto da pagare:</t>
  </si>
  <si>
    <t>netto premia do zapłacenia:</t>
  </si>
  <si>
    <t>Duration: 365 days Waiting period: 7 days</t>
  </si>
  <si>
    <t xml:space="preserve">Durée: 365 jours Période d'attente: 7 jours
</t>
  </si>
  <si>
    <t>Laufzeit: 365 Tage Wartezeit: 7 Tage</t>
  </si>
  <si>
    <t>Durata: 365 giorni Periodo di carenza: 7 giorni</t>
  </si>
  <si>
    <t>Czas trwania: 365 dni Okres oczekiwania: 7 dni</t>
  </si>
  <si>
    <t>Duration: 120 days Waiting period: 7 days</t>
  </si>
  <si>
    <t>Durée: 120 jours Période d'attente: 7 jours</t>
  </si>
  <si>
    <t>Laufzeit: 120 Tage Wartezeit: 7 Tage</t>
  </si>
  <si>
    <t>Durata: 120 giorni Periodo di carenza: 7 giorni</t>
  </si>
  <si>
    <t>Czas trwania: 120 dni Okres oczekiwania: 7 dni</t>
  </si>
  <si>
    <t>Duration: 130 days Waiting period: 7 days</t>
  </si>
  <si>
    <t>Durée: 130 jours Période d'attente: 7 jours</t>
  </si>
  <si>
    <t>Laufzeit: 130 Tage Wartezeit: 7 Tage</t>
  </si>
  <si>
    <t>Durata: 130 giorni Periodo di carenza: 7 giorni</t>
  </si>
  <si>
    <t>Czas trwania: 130 dni Okres oczekiwania: 7 dni</t>
  </si>
  <si>
    <t>ALLTHESAME</t>
  </si>
  <si>
    <t>Tout le monde de la même façon</t>
  </si>
  <si>
    <t>CALCMOIS</t>
  </si>
  <si>
    <t>calcul par mois</t>
  </si>
  <si>
    <t>FEESALL</t>
  </si>
  <si>
    <t>frais special tout le monde</t>
  </si>
  <si>
    <t xml:space="preserve">frais special </t>
  </si>
  <si>
    <t>REDUCAIG</t>
  </si>
  <si>
    <t>Réduction de commission sur AIG</t>
  </si>
  <si>
    <t>REDUCANK</t>
  </si>
  <si>
    <t>Réduction de commission sur Anker</t>
  </si>
  <si>
    <t>FIXEAM</t>
  </si>
  <si>
    <t>Montant fixe à assurer</t>
  </si>
  <si>
    <t>YACHTNAME</t>
  </si>
  <si>
    <t>Yachtname</t>
  </si>
  <si>
    <t>Année effective</t>
  </si>
  <si>
    <t>Date de crew list</t>
  </si>
  <si>
    <t>Date effective du certificat</t>
  </si>
  <si>
    <t>DATERENOUV</t>
  </si>
  <si>
    <t>Date de renouvellement</t>
  </si>
  <si>
    <t>DATERENOUVMOINS365</t>
  </si>
  <si>
    <t>DATECANCEL</t>
  </si>
  <si>
    <t>Date de résiliation</t>
  </si>
  <si>
    <t>ANRENOUV</t>
  </si>
  <si>
    <t>Année de renouvellement</t>
  </si>
  <si>
    <t>ANRENOUVMOINSUN</t>
  </si>
  <si>
    <t>Année de renouvellement moins UN</t>
  </si>
  <si>
    <t>ANRENOUVMOINSDEUX</t>
  </si>
  <si>
    <t>Année de renouvellement moins DEUX</t>
  </si>
  <si>
    <t>détermine les années de renouvellements</t>
  </si>
  <si>
    <t>date de renouvellement demande AIG</t>
  </si>
  <si>
    <t>date de renouvellement demande ANKER</t>
  </si>
  <si>
    <t>Date Crew List:</t>
  </si>
  <si>
    <t xml:space="preserve">Effective </t>
  </si>
  <si>
    <t>FR</t>
  </si>
  <si>
    <t>Renewal / Échéance</t>
  </si>
  <si>
    <t>Address/Adresse</t>
  </si>
  <si>
    <t>AIG N°:</t>
  </si>
  <si>
    <t>Flexible</t>
  </si>
  <si>
    <t>Annu</t>
  </si>
  <si>
    <t>Seas</t>
  </si>
  <si>
    <t>Anker N°</t>
  </si>
  <si>
    <t>DW</t>
  </si>
  <si>
    <t>Please fill in the Crew list hereafter for all subscriptions or turn over</t>
  </si>
  <si>
    <t>annual</t>
  </si>
  <si>
    <t>Prestige</t>
  </si>
  <si>
    <t>Merci de compléter la liste de l'équipage pour toute souscription ou modification d'effectifs</t>
  </si>
  <si>
    <t>seasonal</t>
  </si>
  <si>
    <t>ComfortMLC</t>
  </si>
  <si>
    <r>
      <t xml:space="preserve">Boat                              </t>
    </r>
    <r>
      <rPr>
        <i/>
        <sz val="10"/>
        <color indexed="63"/>
        <rFont val="Arial Narrow"/>
        <family val="2"/>
      </rPr>
      <t>bateau</t>
    </r>
  </si>
  <si>
    <t>ID WYCC</t>
  </si>
  <si>
    <r>
      <t xml:space="preserve">Rank                               </t>
    </r>
    <r>
      <rPr>
        <b/>
        <sz val="8"/>
        <color indexed="63"/>
        <rFont val="Arial Narrow"/>
        <family val="2"/>
      </rPr>
      <t>Position</t>
    </r>
  </si>
  <si>
    <r>
      <t xml:space="preserve">Name                                           </t>
    </r>
    <r>
      <rPr>
        <b/>
        <sz val="8"/>
        <color indexed="63"/>
        <rFont val="Arial Narrow"/>
        <family val="2"/>
      </rPr>
      <t>Nom</t>
    </r>
  </si>
  <si>
    <r>
      <t xml:space="preserve">First Name                              </t>
    </r>
    <r>
      <rPr>
        <b/>
        <sz val="8"/>
        <color indexed="63"/>
        <rFont val="Arial Narrow"/>
        <family val="2"/>
      </rPr>
      <t>Prénom</t>
    </r>
  </si>
  <si>
    <r>
      <t>Nationality</t>
    </r>
    <r>
      <rPr>
        <b/>
        <sz val="9"/>
        <color indexed="63"/>
        <rFont val="Arial Narrow"/>
        <family val="2"/>
      </rPr>
      <t xml:space="preserve">   </t>
    </r>
    <r>
      <rPr>
        <sz val="8"/>
        <color indexed="63"/>
        <rFont val="Arial Narrow"/>
        <family val="2"/>
      </rPr>
      <t>nationalité</t>
    </r>
  </si>
  <si>
    <r>
      <t xml:space="preserve">Country </t>
    </r>
    <r>
      <rPr>
        <sz val="8"/>
        <color indexed="63"/>
        <rFont val="Arial Narrow"/>
        <family val="2"/>
      </rPr>
      <t>Pays</t>
    </r>
  </si>
  <si>
    <r>
      <t xml:space="preserve">Gender (M/F) </t>
    </r>
    <r>
      <rPr>
        <sz val="8"/>
        <color indexed="63"/>
        <rFont val="Arial Narrow"/>
        <family val="2"/>
      </rPr>
      <t>Sex</t>
    </r>
  </si>
  <si>
    <r>
      <t xml:space="preserve">D.O.B    </t>
    </r>
    <r>
      <rPr>
        <b/>
        <sz val="8"/>
        <color indexed="63"/>
        <rFont val="Arial Narrow"/>
        <family val="2"/>
      </rPr>
      <t>date de naissance</t>
    </r>
  </si>
  <si>
    <r>
      <t xml:space="preserve">Currency </t>
    </r>
    <r>
      <rPr>
        <b/>
        <sz val="8"/>
        <color indexed="63"/>
        <rFont val="Arial Narrow"/>
        <family val="2"/>
      </rPr>
      <t>Monnaie</t>
    </r>
    <r>
      <rPr>
        <sz val="8"/>
        <color indexed="63"/>
        <rFont val="Arial Narrow"/>
        <family val="2"/>
      </rPr>
      <t xml:space="preserve"> (EUR/USD)</t>
    </r>
  </si>
  <si>
    <r>
      <t xml:space="preserve">Monthly Salary        </t>
    </r>
    <r>
      <rPr>
        <i/>
        <sz val="8"/>
        <color indexed="63"/>
        <rFont val="Arial Narrow"/>
        <family val="2"/>
      </rPr>
      <t>Salaire mensuel</t>
    </r>
  </si>
  <si>
    <t>Insured monthly salary</t>
  </si>
  <si>
    <r>
      <t xml:space="preserve">Children </t>
    </r>
    <r>
      <rPr>
        <i/>
        <sz val="10"/>
        <color indexed="63"/>
        <rFont val="Arial Narrow"/>
        <family val="2"/>
      </rPr>
      <t>enfants</t>
    </r>
  </si>
  <si>
    <r>
      <t xml:space="preserve">Working Period              </t>
    </r>
    <r>
      <rPr>
        <sz val="8"/>
        <color indexed="63"/>
        <rFont val="Arial Narrow"/>
        <family val="2"/>
      </rPr>
      <t>Nb months &amp; days</t>
    </r>
  </si>
  <si>
    <t>in</t>
  </si>
  <si>
    <t>out</t>
  </si>
  <si>
    <t>Time period</t>
  </si>
  <si>
    <r>
      <t xml:space="preserve">WYCC  Invoices                                       </t>
    </r>
    <r>
      <rPr>
        <i/>
        <sz val="9"/>
        <color indexed="63"/>
        <rFont val="Arial Narrow"/>
        <family val="2"/>
      </rPr>
      <t xml:space="preserve">                                                                          factures WYCC</t>
    </r>
  </si>
  <si>
    <r>
      <t xml:space="preserve">Comments                                        </t>
    </r>
    <r>
      <rPr>
        <i/>
        <sz val="9"/>
        <color indexed="63"/>
        <rFont val="Arial Narrow"/>
        <family val="2"/>
      </rPr>
      <t>Commentaires</t>
    </r>
  </si>
  <si>
    <r>
      <t xml:space="preserve">Renewal </t>
    </r>
    <r>
      <rPr>
        <i/>
        <sz val="9"/>
        <color indexed="63"/>
        <rFont val="Arial Narrow"/>
        <family val="2"/>
      </rPr>
      <t>Renouvell</t>
    </r>
  </si>
  <si>
    <t>MED</t>
  </si>
  <si>
    <t>Good</t>
  </si>
  <si>
    <t>DATECERTIF</t>
  </si>
  <si>
    <t>DATECREWLIST</t>
  </si>
  <si>
    <t>ANCERTIF</t>
  </si>
  <si>
    <t>ANRENOUVSHORT</t>
  </si>
  <si>
    <t>Choix Quotation</t>
  </si>
  <si>
    <t>Nouvelle affaire</t>
  </si>
  <si>
    <t>Renouvellement d'affaire</t>
  </si>
  <si>
    <t>Annulation d'affaire</t>
  </si>
  <si>
    <t>Ajout de saisonniers</t>
  </si>
  <si>
    <t>Ajout d'annuels</t>
  </si>
  <si>
    <t>Ajout de capitaine</t>
  </si>
  <si>
    <t>Ajout de day worker</t>
  </si>
  <si>
    <t>Remplacement d'un annuel</t>
  </si>
  <si>
    <t>Remplacement d'un saisonnier</t>
  </si>
  <si>
    <t>Ristourne</t>
  </si>
  <si>
    <t>Regularisation</t>
  </si>
  <si>
    <t>Changement de l'armateur</t>
  </si>
  <si>
    <t>Choix facturation</t>
  </si>
  <si>
    <t>attachment invoice (première facture)</t>
  </si>
  <si>
    <t>Attachment invoice</t>
  </si>
  <si>
    <t>AIG EUROPE &amp; ANKER</t>
  </si>
  <si>
    <t>renewal invoice (facture de renouvellement)</t>
  </si>
  <si>
    <t>Renewal invoice</t>
  </si>
  <si>
    <t>additional invoice (facture additionnelle)</t>
  </si>
  <si>
    <t>Additional invoice</t>
  </si>
  <si>
    <t>regularization invoice (facture de régularisation)</t>
  </si>
  <si>
    <t>Regularization invoice</t>
  </si>
  <si>
    <t>credit note (note de crédit)</t>
  </si>
  <si>
    <t>Credit note</t>
  </si>
  <si>
    <t>invoice Day Work (facture day worker)</t>
  </si>
  <si>
    <t xml:space="preserve">invoice Day Work </t>
  </si>
  <si>
    <t>invoice Vitale (facture vitale)</t>
  </si>
  <si>
    <t>invoice Vitale</t>
  </si>
  <si>
    <t>AIG EUROPE</t>
  </si>
  <si>
    <t>Choix de la langue</t>
  </si>
  <si>
    <t>Italiano</t>
  </si>
  <si>
    <t>Polish</t>
  </si>
  <si>
    <t>lié</t>
  </si>
  <si>
    <t>GBP</t>
  </si>
  <si>
    <t>Choix de devise sur  Facture</t>
  </si>
  <si>
    <t>Choix de devise sur Anker Request</t>
  </si>
  <si>
    <t>Choix de devise sur AIG Request</t>
  </si>
  <si>
    <t>Exemple</t>
  </si>
  <si>
    <t>Demande Chartis</t>
  </si>
  <si>
    <t>REQUEST FOR NEW CONTRACT YACHTING</t>
  </si>
  <si>
    <t>Please confirm this Policy Number :</t>
  </si>
  <si>
    <t xml:space="preserve">RENEWAL OF CONTRACT YACHTING </t>
  </si>
  <si>
    <t>Please renew this Policy Number :</t>
  </si>
  <si>
    <t>CANCELLATION OF CONTRACT</t>
  </si>
  <si>
    <t>Please cancel this Policy Number :</t>
  </si>
  <si>
    <t>MODIFICATION OF YACHT NAME AND OF SHIPOWNER'S NAME</t>
  </si>
  <si>
    <t>POLICY AMANDMENT YACHTING</t>
  </si>
  <si>
    <t>CREW LIST MODIFICATION</t>
  </si>
  <si>
    <t>Please add crew to this Policy Number :</t>
  </si>
  <si>
    <t>MODIFICATION OF SHIPOWNER'S NAME AND/OR ADDRESS</t>
  </si>
  <si>
    <t>MODIFICATION OF BROKER'S NAME AND/OR ADDRESS</t>
  </si>
  <si>
    <t>REGULARIZATION/CREDIT NOTE BEFORE RENEWAL</t>
  </si>
  <si>
    <t>Choix des Entetes pour demandes</t>
  </si>
  <si>
    <t>Time Factor</t>
  </si>
  <si>
    <t>Time Basis Values</t>
  </si>
  <si>
    <r>
      <t xml:space="preserve">NONE </t>
    </r>
    <r>
      <rPr>
        <i/>
        <sz val="9"/>
        <color theme="1"/>
        <rFont val="Arial"/>
        <family val="2"/>
      </rPr>
      <t>(Neant)</t>
    </r>
  </si>
  <si>
    <t>All Crew members, except day workers</t>
  </si>
  <si>
    <t>Semi-Annual</t>
  </si>
  <si>
    <t>Officers only</t>
  </si>
  <si>
    <t>Quarterly</t>
  </si>
  <si>
    <t>Ratings only</t>
  </si>
  <si>
    <t>Prestige S</t>
  </si>
  <si>
    <t>Monthly</t>
  </si>
  <si>
    <t>Annuals only</t>
  </si>
  <si>
    <t>Weekly</t>
  </si>
  <si>
    <t>Seasonals only</t>
  </si>
  <si>
    <t>Medical expenses excellent</t>
  </si>
  <si>
    <t>Daily</t>
  </si>
  <si>
    <t>Day Workers</t>
  </si>
  <si>
    <t>Vitale</t>
  </si>
  <si>
    <t>Captain only</t>
  </si>
  <si>
    <t>Filipinos only</t>
  </si>
  <si>
    <t>Prestige Plus</t>
  </si>
  <si>
    <t>All others on board</t>
  </si>
  <si>
    <t>Privilege 100 Single</t>
  </si>
  <si>
    <t>Masters and chief engineers</t>
  </si>
  <si>
    <t>Privilege 100 Family</t>
  </si>
  <si>
    <t>Crescendo I</t>
  </si>
  <si>
    <t>All crew members, except Filipinos and day workers</t>
  </si>
  <si>
    <t>Crescendo II</t>
  </si>
  <si>
    <t>Executives (captain, 1st mate, chief engineer)</t>
  </si>
  <si>
    <t>Guests</t>
  </si>
  <si>
    <t>not covered</t>
  </si>
  <si>
    <t>Accident</t>
  </si>
  <si>
    <t>Formula 1A Acc</t>
  </si>
  <si>
    <t>after accident</t>
  </si>
  <si>
    <t>any causes</t>
  </si>
  <si>
    <t>Formula 1B any causes</t>
  </si>
  <si>
    <t xml:space="preserve">after any Causes </t>
  </si>
  <si>
    <t>Formula 1C AIG</t>
  </si>
  <si>
    <t xml:space="preserve">after accident </t>
  </si>
  <si>
    <t>Formula Day Worker</t>
  </si>
  <si>
    <t>Formula Filipinos</t>
  </si>
  <si>
    <t>Formula Filipinos with TTD</t>
  </si>
  <si>
    <t>Formula Vitale</t>
  </si>
  <si>
    <t>Mister X and Mister Y</t>
  </si>
  <si>
    <t>POLICY NUMBERS</t>
  </si>
  <si>
    <t>FORMULA=NOT COVERED</t>
  </si>
  <si>
    <t>FORMULA=ANKER</t>
  </si>
  <si>
    <t xml:space="preserve">MEDICAL </t>
  </si>
  <si>
    <t>Duration</t>
  </si>
  <si>
    <t>Names</t>
  </si>
  <si>
    <t>names</t>
  </si>
  <si>
    <t>DEVISEANKER</t>
  </si>
  <si>
    <t>Others</t>
  </si>
  <si>
    <t>Currencies</t>
  </si>
  <si>
    <t>n/A</t>
  </si>
  <si>
    <t>Death illness</t>
  </si>
  <si>
    <t>Permanent Disability illness</t>
  </si>
  <si>
    <t>Comfort</t>
  </si>
  <si>
    <t>Comfort S</t>
  </si>
  <si>
    <t>Comfort MLC S</t>
  </si>
  <si>
    <t>Allianz</t>
  </si>
  <si>
    <t>Privilege 100</t>
  </si>
  <si>
    <t>Medical Excellent and Homeland</t>
  </si>
  <si>
    <t>Working period</t>
  </si>
  <si>
    <t>Frais sur IJ</t>
  </si>
  <si>
    <t xml:space="preserve">       (nb months)</t>
  </si>
  <si>
    <t>nb jours</t>
  </si>
  <si>
    <t>Frais supplémentaires</t>
  </si>
  <si>
    <t>Frais</t>
  </si>
  <si>
    <t>Anker</t>
  </si>
  <si>
    <t>check ID</t>
  </si>
  <si>
    <t>Jours réel</t>
  </si>
  <si>
    <t>Jours minimum</t>
  </si>
  <si>
    <t>Salaire annuel</t>
  </si>
  <si>
    <t>masse salariale</t>
  </si>
  <si>
    <t>Tax and Fees</t>
  </si>
  <si>
    <t>"=IF(V15="";0;IF(V15&lt;&gt;"";IF(W15="";365;IF(T15&lt;28;DAY(DATE(YEAR(V15);MONTH(V15)+1;1)-1);DATEDIF(V15;W15;"D")+1))))</t>
  </si>
  <si>
    <t>TTC</t>
  </si>
  <si>
    <t>DC/IP</t>
  </si>
  <si>
    <t>FIXE</t>
  </si>
  <si>
    <t>SINGLE</t>
  </si>
  <si>
    <t>PROP</t>
  </si>
  <si>
    <t>frais de chargement</t>
  </si>
  <si>
    <t>TRI</t>
  </si>
  <si>
    <t>LOL ILLNESS</t>
  </si>
  <si>
    <t>PTD Accident</t>
  </si>
  <si>
    <t>PTD ILLNESS</t>
  </si>
  <si>
    <t>TTD ACCIDENT</t>
  </si>
  <si>
    <t>TTD ILLNESS</t>
  </si>
  <si>
    <t>REMISE</t>
  </si>
  <si>
    <t>FRAIS</t>
  </si>
  <si>
    <t>Total HT non limité</t>
  </si>
  <si>
    <t>TAXE</t>
  </si>
  <si>
    <t>Taxes d'assurances luxembourgeoise</t>
  </si>
  <si>
    <t>Assistance</t>
  </si>
  <si>
    <t>Taux HT</t>
  </si>
  <si>
    <t>liste déroulante ALLTHESAME</t>
  </si>
  <si>
    <t>LISTALLTHESAME</t>
  </si>
  <si>
    <t>LOL ACCIDENT</t>
  </si>
  <si>
    <t>Assureur</t>
  </si>
  <si>
    <t>TOTAUX</t>
  </si>
  <si>
    <t>Année</t>
  </si>
  <si>
    <t>Remise</t>
  </si>
  <si>
    <t>TOTAL</t>
  </si>
  <si>
    <t>Du</t>
  </si>
  <si>
    <t>Au</t>
  </si>
  <si>
    <t>Année à saisir</t>
  </si>
  <si>
    <t>ASSISTANCE</t>
  </si>
  <si>
    <t>HEALTHCARE</t>
  </si>
  <si>
    <t>YES</t>
  </si>
  <si>
    <t>NO</t>
  </si>
  <si>
    <t>Accounting export Wycc</t>
  </si>
  <si>
    <t>Export start period</t>
  </si>
  <si>
    <t>Export end period</t>
  </si>
  <si>
    <t>Modules</t>
  </si>
  <si>
    <t>Structure name</t>
  </si>
  <si>
    <t>Certificate start</t>
  </si>
  <si>
    <t>Certificate renewal</t>
  </si>
  <si>
    <t>Certificate cancellation</t>
  </si>
  <si>
    <t>Amendment start</t>
  </si>
  <si>
    <t>Amendment end</t>
  </si>
  <si>
    <t>Claims manager ID</t>
  </si>
  <si>
    <t>Position type</t>
  </si>
  <si>
    <t>Monthly salary</t>
  </si>
  <si>
    <t>Salary currency</t>
  </si>
  <si>
    <t>Day(s)</t>
  </si>
  <si>
    <t>Month(s)</t>
  </si>
  <si>
    <t>Family covered</t>
  </si>
  <si>
    <t>Retirement plan</t>
  </si>
  <si>
    <t>Start movement</t>
  </si>
  <si>
    <t>End movement</t>
  </si>
  <si>
    <t>Child(ren)</t>
  </si>
  <si>
    <t>Country</t>
  </si>
  <si>
    <t>Nationality</t>
  </si>
  <si>
    <t>Company</t>
  </si>
  <si>
    <t>Excess</t>
  </si>
  <si>
    <t>Cie HT Basis</t>
  </si>
  <si>
    <t>Taxe</t>
  </si>
  <si>
    <t>HORS TAXES</t>
  </si>
  <si>
    <t>HT Remise 20%</t>
  </si>
  <si>
    <t>Calcul de X mois</t>
  </si>
  <si>
    <t>Facturé de trop?</t>
  </si>
  <si>
    <t>Regule aujourdh'hui</t>
  </si>
  <si>
    <t>Normal</t>
  </si>
  <si>
    <t>with discount</t>
  </si>
  <si>
    <t>special discount</t>
  </si>
  <si>
    <t>Anker HT</t>
  </si>
  <si>
    <t>Tarif dependants AIG</t>
  </si>
  <si>
    <t>ASS</t>
  </si>
  <si>
    <t>PRE</t>
  </si>
  <si>
    <t>AIG HT</t>
  </si>
  <si>
    <t>AIG taxe</t>
  </si>
  <si>
    <t>Frais et taxes</t>
  </si>
  <si>
    <t>S/F</t>
  </si>
  <si>
    <t>Single</t>
  </si>
  <si>
    <t>Family</t>
  </si>
  <si>
    <t>Hide All</t>
  </si>
  <si>
    <t>LOLaccident</t>
  </si>
  <si>
    <t>périodicité</t>
  </si>
  <si>
    <t>nb mois</t>
  </si>
  <si>
    <t>le mois</t>
  </si>
  <si>
    <t>Total HT limité</t>
  </si>
  <si>
    <t>TAXES</t>
  </si>
  <si>
    <t>Net HT CIE/Rate</t>
  </si>
  <si>
    <t>HT Client/ Rate</t>
  </si>
  <si>
    <t>N/A</t>
  </si>
  <si>
    <t>Taxes</t>
  </si>
  <si>
    <t>Product</t>
  </si>
  <si>
    <t>deductible</t>
  </si>
  <si>
    <t>Year</t>
  </si>
  <si>
    <t>TC/RATE without Discount</t>
  </si>
  <si>
    <t>D/M</t>
  </si>
  <si>
    <t/>
  </si>
  <si>
    <t>PrivilegeSingle</t>
  </si>
  <si>
    <t>PrivilegeFamily</t>
  </si>
  <si>
    <t>D</t>
  </si>
  <si>
    <t>somme assurée</t>
  </si>
  <si>
    <t>Healthcare</t>
  </si>
  <si>
    <t>LOL Accident</t>
  </si>
  <si>
    <t>LOL illness</t>
  </si>
  <si>
    <t>PTD illness</t>
  </si>
  <si>
    <t>TTD illness</t>
  </si>
  <si>
    <t>LIMIT AGGREGATE</t>
  </si>
  <si>
    <t>Frais de gestion par an</t>
  </si>
  <si>
    <t>newRates</t>
  </si>
  <si>
    <t>oldRates</t>
  </si>
  <si>
    <t>LOL accident</t>
  </si>
  <si>
    <t>Employeur</t>
  </si>
  <si>
    <t>employé</t>
  </si>
  <si>
    <t>calculer ou mettre à vide</t>
  </si>
  <si>
    <t>calculer oui</t>
  </si>
  <si>
    <t>ligne oui</t>
  </si>
  <si>
    <t>IN oui</t>
  </si>
  <si>
    <t>OUI/NON</t>
  </si>
  <si>
    <t>Sum insured</t>
  </si>
  <si>
    <t>monthly</t>
  </si>
  <si>
    <t>daily</t>
  </si>
  <si>
    <t>COMFORTMLC</t>
  </si>
  <si>
    <t>DETAIL</t>
  </si>
  <si>
    <t>Au choix personne par personne</t>
  </si>
  <si>
    <t>HT annuel</t>
  </si>
  <si>
    <t>HT pro rata</t>
  </si>
  <si>
    <t>Mode</t>
  </si>
  <si>
    <t>Somme assurée</t>
  </si>
  <si>
    <t>Formule de la plateforme</t>
  </si>
  <si>
    <t>Choix pour tout le monde</t>
  </si>
  <si>
    <t>Individuel au choix</t>
  </si>
  <si>
    <t>remise %</t>
  </si>
  <si>
    <t>remise pro rata</t>
  </si>
  <si>
    <t>frais annuel</t>
  </si>
  <si>
    <t>Frais pro rata</t>
  </si>
  <si>
    <t>REMISES</t>
  </si>
  <si>
    <t>REPARTITION</t>
  </si>
  <si>
    <t>INDIVIDUEL</t>
  </si>
  <si>
    <t>BASE</t>
  </si>
  <si>
    <t>Choix de l'affichage</t>
  </si>
  <si>
    <t>Tout</t>
  </si>
  <si>
    <t>Totaux</t>
  </si>
  <si>
    <t>Reste</t>
  </si>
  <si>
    <t>Additional</t>
  </si>
  <si>
    <t>Details</t>
  </si>
  <si>
    <t>Results</t>
  </si>
  <si>
    <t>LOLillness</t>
  </si>
  <si>
    <t>PTDaccident</t>
  </si>
  <si>
    <t>PTDillness</t>
  </si>
  <si>
    <t>TTDaccident</t>
  </si>
  <si>
    <t>TTDillness</t>
  </si>
  <si>
    <t>PTD ACCIDENT</t>
  </si>
  <si>
    <t>HT confondu</t>
  </si>
  <si>
    <t>2014-2015!</t>
  </si>
  <si>
    <t>2014-2014!</t>
  </si>
  <si>
    <t>2015-2015!</t>
  </si>
  <si>
    <t>2015-2016!</t>
  </si>
  <si>
    <t>2016-2016!</t>
  </si>
  <si>
    <t>2016-2017!</t>
  </si>
  <si>
    <t>periodicité</t>
  </si>
  <si>
    <t>INSURANCE OFFER</t>
  </si>
  <si>
    <t>REF</t>
  </si>
  <si>
    <t>Insurer</t>
  </si>
  <si>
    <t>PHname</t>
  </si>
  <si>
    <t>PHaddress</t>
  </si>
  <si>
    <t>PHpostalcode</t>
  </si>
  <si>
    <t>PHcity</t>
  </si>
  <si>
    <t>PHcountry</t>
  </si>
  <si>
    <t>EMname</t>
  </si>
  <si>
    <t>EMaddress</t>
  </si>
  <si>
    <t>EMpostalcode</t>
  </si>
  <si>
    <t>EMcity</t>
  </si>
  <si>
    <t>Emcountry</t>
  </si>
  <si>
    <t>Choix du payeur de la prime</t>
  </si>
  <si>
    <t>Shipowner</t>
  </si>
  <si>
    <t>MAname</t>
  </si>
  <si>
    <t>BRname</t>
  </si>
  <si>
    <t xml:space="preserve">addressé à </t>
  </si>
  <si>
    <t>payé par</t>
  </si>
  <si>
    <t>Choix du destinataire de la facture</t>
  </si>
  <si>
    <t>fix Fees pro rata day</t>
  </si>
  <si>
    <t>fix Fees pro rata month</t>
  </si>
  <si>
    <t>prop Fees pro rata day</t>
  </si>
  <si>
    <t>prop Fees pro rata month</t>
  </si>
  <si>
    <t>FEES</t>
  </si>
  <si>
    <t>FIX</t>
  </si>
  <si>
    <t>TTC annuel</t>
  </si>
  <si>
    <t>commission</t>
  </si>
  <si>
    <t>ID Henner</t>
  </si>
  <si>
    <t>Fees</t>
  </si>
  <si>
    <t>Adulte AIG expat 100% excluding USA/Canada</t>
  </si>
  <si>
    <t>Adulte AIG expat 100% including USA/Canada</t>
  </si>
  <si>
    <t>Adulte AIG expat 80% excluding USA/Canada</t>
  </si>
  <si>
    <t>Adulte AIG expat 80% including USA/Canada</t>
  </si>
  <si>
    <t>Adulte AIG expat 90% excluding USA/Canada</t>
  </si>
  <si>
    <t>Adulte AIG expat 90% including USA/Canada</t>
  </si>
  <si>
    <t>Child AIG expat 100% excluding USA/Canada</t>
  </si>
  <si>
    <t>Child AIG expat 100% including USA/Canada</t>
  </si>
  <si>
    <t>Child AIG expat 80% excluding USA/Canada</t>
  </si>
  <si>
    <t>Child AIG expat 80% including USA/Canada</t>
  </si>
  <si>
    <t>Child AIG expat 90% excluding USA/Canada</t>
  </si>
  <si>
    <t>Child AIG expat 90% including USA/Canada</t>
  </si>
  <si>
    <t>ou</t>
  </si>
  <si>
    <t>MAaddress</t>
  </si>
  <si>
    <t>MApostalcode</t>
  </si>
  <si>
    <t>MAcity</t>
  </si>
  <si>
    <t>MAcountry</t>
  </si>
  <si>
    <t>BRaddress</t>
  </si>
  <si>
    <t>BRpostalcode</t>
  </si>
  <si>
    <t>BRcity</t>
  </si>
  <si>
    <t>BRcountry</t>
  </si>
  <si>
    <t>from</t>
  </si>
  <si>
    <t>to</t>
  </si>
  <si>
    <t>FAMILY MEMBERS</t>
  </si>
  <si>
    <t>Family members</t>
  </si>
  <si>
    <t>Expartcare 100% excluding USA/Canada</t>
  </si>
  <si>
    <t>CREWLIST</t>
  </si>
  <si>
    <t>crewlist OUI/detail plateforme NON</t>
  </si>
  <si>
    <t>version 3</t>
  </si>
  <si>
    <t>Vessel</t>
  </si>
  <si>
    <t>certif</t>
  </si>
  <si>
    <t>SCHEDULE OF BENEFITS</t>
  </si>
  <si>
    <t>Totaux maquette Excel</t>
  </si>
  <si>
    <t>Totaux plateforme</t>
  </si>
  <si>
    <t>PTD accident</t>
  </si>
  <si>
    <t>benefits</t>
  </si>
  <si>
    <t>Rules</t>
  </si>
  <si>
    <t>TTD accident</t>
  </si>
  <si>
    <t>Limit aggregate</t>
  </si>
  <si>
    <t>somme assuré réelle non limitée</t>
  </si>
  <si>
    <t>Single/Family</t>
  </si>
  <si>
    <t>Fixe/Prop</t>
  </si>
  <si>
    <t>Vrai/Faux</t>
  </si>
  <si>
    <t>SCHEDULE OF PREMIUMS</t>
  </si>
  <si>
    <t>COMMISSION A METTRE</t>
  </si>
  <si>
    <t>EMPLOYER'S CONTRIBUTIONS</t>
  </si>
  <si>
    <t>EMPLOYEE'S CONTRIBUTIONS</t>
  </si>
  <si>
    <t>first name</t>
  </si>
  <si>
    <t>last name</t>
  </si>
  <si>
    <t>monthly salary</t>
  </si>
  <si>
    <t>Healtcare plan, assistance and repatriaion</t>
  </si>
  <si>
    <t>Personal accident and sickwages</t>
  </si>
  <si>
    <t>Pension</t>
  </si>
  <si>
    <t>ComfortMLC S</t>
  </si>
  <si>
    <t>REDUIT</t>
  </si>
  <si>
    <t>Code WYCC</t>
  </si>
  <si>
    <t>Broker list</t>
  </si>
  <si>
    <t>Manager list</t>
  </si>
  <si>
    <t>Type plateforme</t>
  </si>
  <si>
    <t>Function</t>
  </si>
  <si>
    <t>Affiché ou caché</t>
  </si>
  <si>
    <t>A2C</t>
  </si>
  <si>
    <t>Affiché</t>
  </si>
  <si>
    <t>(0033) 4 93 38 72 76</t>
  </si>
  <si>
    <t>Agence Sanremo_x000D_, Via del Castillo, 8_x000D_</t>
  </si>
  <si>
    <t xml:space="preserve">CH-6944 </t>
  </si>
  <si>
    <t>AXA Agences Mm Maestracci Et Tauleigne</t>
  </si>
  <si>
    <t>14 Avenue Jean Jaurès</t>
  </si>
  <si>
    <t>F-26200</t>
  </si>
  <si>
    <t>Montélimar</t>
  </si>
  <si>
    <t>(0033) 4 75 01 83 93</t>
  </si>
  <si>
    <t>BDJ</t>
  </si>
  <si>
    <t>11, Rue de Louvain</t>
  </si>
  <si>
    <t>F-92400</t>
  </si>
  <si>
    <t>Courbevoie</t>
  </si>
  <si>
    <t>(0033) 156 37 09 44</t>
  </si>
  <si>
    <t>Junge Verzekeringsmakelaars NV</t>
  </si>
  <si>
    <t>Suikerrui 5</t>
  </si>
  <si>
    <t>Antwerpen</t>
  </si>
  <si>
    <t>(0032) 3 401 00 32</t>
  </si>
  <si>
    <t>(0032) 3 213 15 88</t>
  </si>
  <si>
    <t>Nasco France</t>
  </si>
  <si>
    <t>SLCA SA</t>
  </si>
  <si>
    <t>17, avenue Guillaume</t>
  </si>
  <si>
    <t>L-1651</t>
  </si>
  <si>
    <t>(00352) 27 99 50 50</t>
  </si>
  <si>
    <t>Smith Enterprises</t>
  </si>
  <si>
    <t>"Le Panorama", 57 rue Grimaldi</t>
  </si>
  <si>
    <t>Le Gray d’Albion, 17 Boulevard de la Croisette</t>
  </si>
  <si>
    <t>WILSON EUROPE</t>
  </si>
  <si>
    <t>2nd Floor, Dukes House, 32-38 Dukes Place,</t>
  </si>
  <si>
    <t>EC3A 7LP</t>
  </si>
  <si>
    <t>London</t>
  </si>
  <si>
    <t>(0044) (0)20 7626 9888</t>
  </si>
  <si>
    <t>Caché</t>
  </si>
  <si>
    <t>Trident Chambers- PO Box 146</t>
  </si>
  <si>
    <t>Road Town, Tortola</t>
  </si>
  <si>
    <t>408 Avenue du Prado</t>
  </si>
  <si>
    <t>F-13008</t>
  </si>
  <si>
    <t>20, avenue Pasteur</t>
  </si>
  <si>
    <t>L-2310</t>
  </si>
  <si>
    <t>7 rue du Gabian (Bureau 906, Gildo Pastor Centre)</t>
  </si>
  <si>
    <t>89A parc d'activ. Capellen</t>
  </si>
  <si>
    <t>Malta Nautic Management</t>
  </si>
  <si>
    <t>C 3006 Balluta terrace St Julian's ramp</t>
  </si>
  <si>
    <t>STJ1062</t>
  </si>
  <si>
    <t>St Julian's</t>
  </si>
  <si>
    <t>NATUR’ALLY YACHTING</t>
  </si>
  <si>
    <t>10 chemin de Frayere</t>
  </si>
  <si>
    <t>Port de Plaisance_x000D_</t>
  </si>
  <si>
    <t>TOP CHARTER</t>
  </si>
  <si>
    <t>1 Rue des Voiliers</t>
  </si>
  <si>
    <t>F-83310</t>
  </si>
  <si>
    <t>Port-Grimaud</t>
  </si>
  <si>
    <t>(0033) 04 94 56 35 39</t>
  </si>
  <si>
    <t>(0033)  04 94 56 42 37</t>
  </si>
  <si>
    <t>Tri</t>
  </si>
  <si>
    <t>Société</t>
  </si>
  <si>
    <t>(00377) 97 97 44 22</t>
  </si>
  <si>
    <t>MAESTRACCI</t>
  </si>
  <si>
    <t>Jean-Luc</t>
  </si>
  <si>
    <t>agence.maestracci@axa.fr</t>
  </si>
  <si>
    <t>(0033) 4 93 93 09 39</t>
  </si>
  <si>
    <t>LE MAUT</t>
  </si>
  <si>
    <t>Soazic</t>
  </si>
  <si>
    <t>soazic@gecarcannes.com</t>
  </si>
  <si>
    <t>(0033) 4 92 17 36 00</t>
  </si>
  <si>
    <t>VAN BETS</t>
  </si>
  <si>
    <t>Laurie</t>
  </si>
  <si>
    <t>laurie.van.bets@junge-antwerp.be</t>
  </si>
  <si>
    <t>(00352) 26 30 401</t>
  </si>
  <si>
    <t>CARNIMOLLA</t>
  </si>
  <si>
    <t>maltanauticmanagement@gmail.com</t>
  </si>
  <si>
    <t>christel@naturallyyachting.com</t>
  </si>
  <si>
    <t>(0033) 6 18 94 54 32</t>
  </si>
  <si>
    <t>RAMBALDELLI-FERREIRA</t>
  </si>
  <si>
    <t>TETU</t>
  </si>
  <si>
    <t>Edith</t>
  </si>
  <si>
    <t>SMITH</t>
  </si>
  <si>
    <t>Seamus</t>
  </si>
  <si>
    <t>s@smithents.com</t>
  </si>
  <si>
    <t>6tjXPh</t>
  </si>
  <si>
    <t>ORIGET</t>
  </si>
  <si>
    <t>contact@top-charter.com</t>
  </si>
  <si>
    <t>(0044) 04 94 56 35 39</t>
  </si>
  <si>
    <t>GRAY</t>
  </si>
  <si>
    <t>Colin</t>
  </si>
  <si>
    <t>colin@wilsoneurope.com</t>
  </si>
  <si>
    <t>(0044) (0)207 626 9888</t>
  </si>
  <si>
    <t>(0044) (0)7590 775 558</t>
  </si>
  <si>
    <t>Global configuration</t>
  </si>
  <si>
    <t>CAUTION : Please adjust the columns named "Value" (in green) only!</t>
  </si>
  <si>
    <t>Onglet Source</t>
  </si>
  <si>
    <t>Onglet Company</t>
  </si>
  <si>
    <t>Label</t>
  </si>
  <si>
    <t>Default</t>
  </si>
  <si>
    <t>Value</t>
  </si>
  <si>
    <t>Maximum number of columns dedicated to the modules</t>
  </si>
  <si>
    <t>Limit aggregate defined</t>
  </si>
  <si>
    <t>No</t>
  </si>
  <si>
    <t>Export Date</t>
  </si>
  <si>
    <t>Sending Date</t>
  </si>
  <si>
    <t>Invoice Type</t>
  </si>
  <si>
    <t>Commission Paid</t>
  </si>
  <si>
    <t>Accounting Year</t>
  </si>
  <si>
    <t>Error</t>
  </si>
  <si>
    <t>Insured</t>
  </si>
  <si>
    <t>ID Invoices</t>
  </si>
  <si>
    <t>Commission Wycc</t>
  </si>
  <si>
    <t>NET AMOUNT PRESTIGE</t>
  </si>
  <si>
    <t>WCA/PRE</t>
  </si>
  <si>
    <t>Cotisation</t>
  </si>
  <si>
    <t>cotisations</t>
  </si>
  <si>
    <t>Health formula</t>
  </si>
  <si>
    <t>PA formula</t>
  </si>
  <si>
    <t>LOL/PTD</t>
  </si>
  <si>
    <t>limite aggregate</t>
  </si>
  <si>
    <t>accident/illness</t>
  </si>
  <si>
    <t>after any Causes</t>
  </si>
  <si>
    <t>select members</t>
  </si>
  <si>
    <t>Formula Day Worker: 50000 EUR LOL , 50000 % PTD  after accident  for Day Workers in case of accident</t>
  </si>
  <si>
    <t>DATERENOUVMOINS730</t>
  </si>
  <si>
    <t>M.Y.</t>
  </si>
  <si>
    <t>Totaux limite aggregate</t>
  </si>
  <si>
    <t>based on real staff</t>
  </si>
  <si>
    <t>based on provisional staff</t>
  </si>
  <si>
    <t>Please invoice provisional amount, when known</t>
  </si>
  <si>
    <t>Poe-ma Thai Insurance Brokers Co., Ltd</t>
  </si>
  <si>
    <t>48/11 Sunrise Rd. Moo 9 T Chalong, A Muesang</t>
  </si>
  <si>
    <t>Phuket</t>
  </si>
  <si>
    <t>Thaïlande</t>
  </si>
  <si>
    <t>TH-83130</t>
  </si>
  <si>
    <t>NAMAK</t>
  </si>
  <si>
    <t>Arawan</t>
  </si>
  <si>
    <t>arawan.n@poe-ma.com</t>
  </si>
  <si>
    <t>REGULE</t>
  </si>
  <si>
    <t>taxes&amp;fees</t>
  </si>
  <si>
    <t>discount</t>
  </si>
  <si>
    <t>PLATEFORME</t>
  </si>
  <si>
    <t>Cotation</t>
  </si>
  <si>
    <t>period</t>
  </si>
  <si>
    <t>TTC/jour Anker limité</t>
  </si>
  <si>
    <t>mois</t>
  </si>
  <si>
    <t>Allianz Franck LEBLANC</t>
  </si>
  <si>
    <t>5 rue Vauban</t>
  </si>
  <si>
    <t>(0033) 4 93 34 59 01</t>
  </si>
  <si>
    <t>(0033) 4 93 34 44 85</t>
  </si>
  <si>
    <t>affiché</t>
  </si>
  <si>
    <t>LEBLANC</t>
  </si>
  <si>
    <t>Franck</t>
  </si>
  <si>
    <t>Allianz - Franck LEBLANC</t>
  </si>
  <si>
    <t>franck.leblanc@agents.allianz.fr</t>
  </si>
  <si>
    <t>Excel</t>
  </si>
  <si>
    <t>Limit</t>
  </si>
  <si>
    <t xml:space="preserve">Formula Day Worker: LOL 50000 EUR , PTD 50000 EUR  after accident  for Day Workers in case of accident </t>
  </si>
  <si>
    <t>Vitale-12months</t>
  </si>
  <si>
    <t>Vitale-6months</t>
  </si>
  <si>
    <t>payroll</t>
  </si>
  <si>
    <t>Vessels</t>
  </si>
  <si>
    <t>christian.henry@wycc-insurance.com</t>
  </si>
  <si>
    <t>FROLSON</t>
  </si>
  <si>
    <t>lucas.henry@wycc-insurance.com</t>
  </si>
  <si>
    <t>martine.henry@wycc-insurance.com</t>
  </si>
  <si>
    <t>christian.hudeck@wycc-insurance.com</t>
  </si>
  <si>
    <t>Anker Verzekeringen n,v,</t>
  </si>
  <si>
    <t>Salaire annuel théorique</t>
  </si>
  <si>
    <t>Salaire annuel min</t>
  </si>
  <si>
    <t>CATEGORIES</t>
  </si>
  <si>
    <t>Salaires forfaitaires applicables depuis le 1er avril 2014.</t>
  </si>
  <si>
    <t>(aucun changement en avril 2015 et avril 2016)</t>
  </si>
  <si>
    <t>2014-2016</t>
  </si>
  <si>
    <t>PAR AN</t>
  </si>
  <si>
    <t>PAR JOUR</t>
  </si>
  <si>
    <t>PAR MOIS</t>
  </si>
  <si>
    <t>ENIM Category</t>
  </si>
  <si>
    <t>salaire catégories ENIM</t>
  </si>
  <si>
    <t>différence Salaire réel / ENIM</t>
  </si>
  <si>
    <t>Couverture Annuelle différence Salaire réel / ENIM + 1/3 salaire ENIM</t>
  </si>
  <si>
    <t>Couverture Mensuelle
différence Salaire réel / ENIM + 1/3 salaire ENIM</t>
  </si>
  <si>
    <t>Catégorie ENIM</t>
  </si>
  <si>
    <t>INTRAMAR® insurances</t>
  </si>
  <si>
    <t>P.O. Box 891</t>
  </si>
  <si>
    <t>1780 AW</t>
  </si>
  <si>
    <t>Den Helder</t>
  </si>
  <si>
    <t>The Netherlands</t>
  </si>
  <si>
    <t>(0031) 223 61 22 22</t>
  </si>
  <si>
    <t>(0031) 223 61 55 22</t>
  </si>
  <si>
    <t>Account N°</t>
  </si>
  <si>
    <t>4-122/5988/935</t>
  </si>
  <si>
    <t>KENTER</t>
  </si>
  <si>
    <t>Erik</t>
  </si>
  <si>
    <t>(0031) 6 31 667 287</t>
  </si>
  <si>
    <t>ekenter@intramar.nl</t>
  </si>
  <si>
    <t>Standard</t>
  </si>
  <si>
    <t>StandardMLC</t>
  </si>
  <si>
    <t>Perfect</t>
  </si>
  <si>
    <t>Standard S</t>
  </si>
  <si>
    <t>StandardMLC S</t>
  </si>
  <si>
    <t>Perfect S</t>
  </si>
  <si>
    <t>Perfect Plus</t>
  </si>
  <si>
    <t>NET AMOUNT COMFORTMLC</t>
  </si>
  <si>
    <t>NET AMOUNT ANKER F3</t>
  </si>
  <si>
    <t>NET AMOUNT ANKER F2</t>
  </si>
  <si>
    <t>NET AMOUNT ANKER F1</t>
  </si>
  <si>
    <t>F3</t>
  </si>
  <si>
    <t>F2</t>
  </si>
  <si>
    <t>F1</t>
  </si>
  <si>
    <t>COTATION</t>
  </si>
  <si>
    <t>LIMITED EXCEL</t>
  </si>
  <si>
    <t>frais calculés</t>
  </si>
  <si>
    <t>frais saisies</t>
  </si>
  <si>
    <t>taxes calculées</t>
  </si>
  <si>
    <t>TOTAUX saisis</t>
  </si>
  <si>
    <t>A SAISIR</t>
  </si>
  <si>
    <t>RESULTAT</t>
  </si>
  <si>
    <t>Crewlist</t>
  </si>
  <si>
    <t>Plateforme automatique</t>
  </si>
  <si>
    <t>Plateforme manuelle</t>
  </si>
  <si>
    <t>Salaire annuel max</t>
  </si>
  <si>
    <t>F-06906</t>
  </si>
  <si>
    <t>Sophia Antipolis</t>
  </si>
  <si>
    <t>400 avenue Roumanille, BP309</t>
  </si>
  <si>
    <t>Sum insured and Rules</t>
  </si>
  <si>
    <t>policy currency</t>
  </si>
  <si>
    <t>Les salaires</t>
  </si>
  <si>
    <t>DEVISEAIG</t>
  </si>
  <si>
    <t>Currency converter</t>
  </si>
  <si>
    <t>check ID WYCC</t>
  </si>
  <si>
    <t>salaire mensuel crewlist</t>
  </si>
  <si>
    <t>currency</t>
  </si>
  <si>
    <t>salaire mensuel plateforme</t>
  </si>
  <si>
    <t>currency test</t>
  </si>
  <si>
    <t>LES DATES</t>
  </si>
  <si>
    <t>months</t>
  </si>
  <si>
    <t>sous-totaux HT</t>
  </si>
  <si>
    <t>sous-totaux TC</t>
  </si>
  <si>
    <t>Dates-Salaires</t>
  </si>
  <si>
    <t>DAYS</t>
  </si>
  <si>
    <t>BOAT'in France</t>
  </si>
  <si>
    <t>13, avenue Gabriel</t>
  </si>
  <si>
    <t>F-78170</t>
  </si>
  <si>
    <t>La celle-Saint-Cloud</t>
  </si>
  <si>
    <t>(0033) 678 73 72 06</t>
  </si>
  <si>
    <t>dsteckar@boatinfrance.com</t>
  </si>
  <si>
    <t>(0033) 6 78 73 72 06</t>
  </si>
  <si>
    <t>Legal Assistance</t>
  </si>
  <si>
    <t>Third party liability</t>
  </si>
  <si>
    <t>Third Party liability</t>
  </si>
  <si>
    <t>Legal</t>
  </si>
  <si>
    <t>RC</t>
  </si>
  <si>
    <t>Assistance /Options</t>
  </si>
  <si>
    <t>Legal Ass</t>
  </si>
  <si>
    <t>Personal liability</t>
  </si>
  <si>
    <t>pour qui</t>
  </si>
  <si>
    <t>Produit</t>
  </si>
  <si>
    <t>numéro de police MED/ASS</t>
  </si>
  <si>
    <t>numéro de police option1</t>
  </si>
  <si>
    <t>numéro de police option2</t>
  </si>
  <si>
    <t>numéro de police prévoyance</t>
  </si>
  <si>
    <t>certificateNB</t>
  </si>
  <si>
    <t>numéro de certificat</t>
  </si>
  <si>
    <t>City</t>
  </si>
  <si>
    <t>special note</t>
  </si>
  <si>
    <t>LES AVENANTS</t>
  </si>
  <si>
    <t>Numéro de police</t>
  </si>
  <si>
    <t>fees</t>
  </si>
  <si>
    <t>Basis HT</t>
  </si>
  <si>
    <t>Total
Days</t>
  </si>
  <si>
    <t>Total Months</t>
  </si>
  <si>
    <t>N° Project</t>
  </si>
  <si>
    <t>Limite</t>
  </si>
  <si>
    <t>Paramétrage</t>
  </si>
  <si>
    <t>HT Remisé</t>
  </si>
  <si>
    <t>AU</t>
  </si>
  <si>
    <t>Calcul par</t>
  </si>
  <si>
    <t>Calcul par année complète (365 jours)</t>
  </si>
  <si>
    <t>Calcul par période à déterminer</t>
  </si>
  <si>
    <t>WCA Luxembourg</t>
  </si>
  <si>
    <t>WCA Holland</t>
  </si>
  <si>
    <t>Previnter</t>
  </si>
  <si>
    <t>fees pro rata</t>
  </si>
  <si>
    <t>insured persons</t>
  </si>
  <si>
    <t>Fixe/prop</t>
  </si>
  <si>
    <t>somme prop</t>
  </si>
  <si>
    <t>somme fixe</t>
  </si>
  <si>
    <t>Corporates</t>
  </si>
  <si>
    <t>Address</t>
  </si>
  <si>
    <t>LA COUVERTURE ACTUELLE</t>
  </si>
  <si>
    <t>Mois</t>
  </si>
  <si>
    <t>Jours</t>
  </si>
  <si>
    <t>maximal days</t>
  </si>
  <si>
    <t>maximal months</t>
  </si>
  <si>
    <t>MAXDAYS</t>
  </si>
  <si>
    <t>MAXMONTHS</t>
  </si>
  <si>
    <t>REALDAYS</t>
  </si>
  <si>
    <t>REALMONTHS</t>
  </si>
  <si>
    <t>nb de jours réels</t>
  </si>
  <si>
    <t>nb de mois réels</t>
  </si>
  <si>
    <t>Healtcare plan, assistance and repatriaion, options</t>
  </si>
  <si>
    <t>Third Party Liability</t>
  </si>
  <si>
    <r>
      <t>Insurance Broker</t>
    </r>
    <r>
      <rPr>
        <b/>
        <sz val="12"/>
        <rFont val="Arial Narrow"/>
        <family val="2"/>
      </rPr>
      <t xml:space="preserve">:    </t>
    </r>
  </si>
  <si>
    <t>Premium (MED/ASS-ligne1)</t>
  </si>
  <si>
    <t>Premium (MED/ASS-ligne2)</t>
  </si>
  <si>
    <t>Premium (MED/ASS-ligne3)</t>
  </si>
  <si>
    <t>Premium (PJ)</t>
  </si>
  <si>
    <t>Premium (RC)</t>
  </si>
  <si>
    <t>Premium (LOL/PTD-ligne1)</t>
  </si>
  <si>
    <t>Premium (LOL/PTD-ligne2)</t>
  </si>
  <si>
    <t>Premium (LOL/PTD-ligne3)</t>
  </si>
  <si>
    <t>Premium (TTD-ligne1)</t>
  </si>
  <si>
    <t>Premium (TTD-ligne2)</t>
  </si>
  <si>
    <t>Premium (TTD-ligne3)</t>
  </si>
  <si>
    <t>AIG Europe, AIG EU AH TRAVEL EXPT WORLD CREW COVER LUX-EN-2016</t>
  </si>
  <si>
    <t>Projet numéro</t>
  </si>
  <si>
    <t>Total des mois et jours</t>
  </si>
  <si>
    <t xml:space="preserve">Totaux </t>
  </si>
  <si>
    <t>Quotation</t>
  </si>
  <si>
    <t>Max Mois</t>
  </si>
  <si>
    <t>Max Jours</t>
  </si>
  <si>
    <t>annual insured salary</t>
  </si>
  <si>
    <t>AIG HT (options &amp; DC/IP)</t>
  </si>
  <si>
    <t>AIG HT (MED&amp;ASS)</t>
  </si>
  <si>
    <t>(MED, ASS, LOL, PTD, TTD)</t>
  </si>
  <si>
    <t>Choix2</t>
  </si>
  <si>
    <t>LOSS OF LIFE, PERMANENT TOTAL/PARTIAL DISABILITY, TEMPORARY TOTAL DISABILITY  (LOL, PTD, TTD)</t>
  </si>
  <si>
    <t>LOL, PTD</t>
  </si>
  <si>
    <t>MED, ASS</t>
  </si>
  <si>
    <t>Choix3</t>
  </si>
  <si>
    <t>Module</t>
  </si>
  <si>
    <t>ref/calcul</t>
  </si>
  <si>
    <t>Name dedictated</t>
  </si>
  <si>
    <t>LOL acc</t>
  </si>
  <si>
    <t>LOL ill</t>
  </si>
  <si>
    <t>sum insured</t>
  </si>
  <si>
    <t>sum fix</t>
  </si>
  <si>
    <t>sum prop</t>
  </si>
  <si>
    <t>PTD acc</t>
  </si>
  <si>
    <t>PTD ill</t>
  </si>
  <si>
    <t>TTD acc</t>
  </si>
  <si>
    <t>TTD ill</t>
  </si>
  <si>
    <t xml:space="preserve">Mister X </t>
  </si>
  <si>
    <t>Misses Y</t>
  </si>
  <si>
    <t>partieII</t>
  </si>
  <si>
    <t>check</t>
  </si>
  <si>
    <t>FORMULA</t>
  </si>
  <si>
    <t>CHOIX2</t>
  </si>
  <si>
    <t>Privilege</t>
  </si>
  <si>
    <t>Vitale 6 months</t>
  </si>
  <si>
    <t>Vitale 12 months</t>
  </si>
  <si>
    <t>Accident/any causes</t>
  </si>
  <si>
    <t>TTD covered</t>
  </si>
  <si>
    <t>cellule liée</t>
  </si>
  <si>
    <t>Personnes sur les options (legal, etc)</t>
  </si>
  <si>
    <t>Personnes sur le choix1</t>
  </si>
  <si>
    <t>lig1_Persons</t>
  </si>
  <si>
    <t>lig0_Persons</t>
  </si>
  <si>
    <t>lig0_POL_Legal</t>
  </si>
  <si>
    <t>lig0_POL_RC</t>
  </si>
  <si>
    <t>lig1_POL_MED</t>
  </si>
  <si>
    <t>lig1_POL_PREVOY</t>
  </si>
  <si>
    <t>lig1_Formula_MED</t>
  </si>
  <si>
    <t>lig1_Formula_PREVOY</t>
  </si>
  <si>
    <t>Resultat and Named field</t>
  </si>
  <si>
    <t>Choix1</t>
  </si>
  <si>
    <t>lig2_POL_PREVOY</t>
  </si>
  <si>
    <t>lig2_POL_MED</t>
  </si>
  <si>
    <t>lig2_Persons</t>
  </si>
  <si>
    <t>Policy&amp;Persons</t>
  </si>
  <si>
    <t>CHOIX1</t>
  </si>
  <si>
    <t>CHOIX3</t>
  </si>
  <si>
    <t>lig3_Persons</t>
  </si>
  <si>
    <t>lig3_POL_PREVOY</t>
  </si>
  <si>
    <t>Persons</t>
  </si>
  <si>
    <t>lig3_POL_MED</t>
  </si>
  <si>
    <t>lig2_Formula_MED</t>
  </si>
  <si>
    <t>lig2_Formula_PREVOY</t>
  </si>
  <si>
    <t>lig3_Formula_MED</t>
  </si>
  <si>
    <t>lig3_Formula_PREVOY</t>
  </si>
  <si>
    <t>LEGAL</t>
  </si>
  <si>
    <t>N/A or not</t>
  </si>
  <si>
    <t>lig1_MAXDAYS</t>
  </si>
  <si>
    <t>lig2_MAXDAYS</t>
  </si>
  <si>
    <t>SAGITOVA</t>
  </si>
  <si>
    <t>Katia</t>
  </si>
  <si>
    <t>ksagitova@lms.lu</t>
  </si>
  <si>
    <t>(00352) 42 31 18</t>
  </si>
  <si>
    <t>day worker</t>
  </si>
  <si>
    <t>Formula Day Worker: 50000 EUR LOL, 50000 EUR PTD  for Day Workers in case of accident</t>
  </si>
  <si>
    <t>Taxes %</t>
  </si>
  <si>
    <t>Surcom</t>
  </si>
  <si>
    <t>HT Client+surcom/ Rate</t>
  </si>
  <si>
    <t>HT Annuel+surcom</t>
  </si>
  <si>
    <t>HT+surcom pro rata</t>
  </si>
  <si>
    <t>surcom pro rata</t>
  </si>
  <si>
    <t>TC +surcom</t>
  </si>
  <si>
    <t>surcom</t>
  </si>
  <si>
    <t>EXPORTCLIENT</t>
  </si>
  <si>
    <t>TTC MED</t>
  </si>
  <si>
    <t>TTC prévoy</t>
  </si>
  <si>
    <t>2017-2017!</t>
  </si>
  <si>
    <t>ASN One SA</t>
  </si>
  <si>
    <t>10 Rue du Prince</t>
  </si>
  <si>
    <t>Geneva</t>
  </si>
  <si>
    <t>Business Develoment Manager</t>
  </si>
  <si>
    <t>Spinelli</t>
  </si>
  <si>
    <t>Charles Croce</t>
  </si>
  <si>
    <t>charles.croce-spinelli@asnone.ch</t>
  </si>
  <si>
    <t>(+)41 22 317 78 52</t>
  </si>
  <si>
    <t>(+)41 79 916 43 59</t>
  </si>
  <si>
    <t>2016EURAnker Verzekeringen n.v.-Healthcare PlanMedical Excellent and Homeland</t>
  </si>
  <si>
    <t>2016EURAnker Verzekeringen n.v.-Assistance and RepatriationMedical Excellent and Homeland</t>
  </si>
  <si>
    <t>check sum insured</t>
  </si>
  <si>
    <t>check LOL/PTD</t>
  </si>
  <si>
    <t>partieII limit</t>
  </si>
  <si>
    <t>check limit aggregate</t>
  </si>
  <si>
    <t>ANKER VERZEKERINGEN N.V., TC-ACI-EUR-EN JAN-2017</t>
  </si>
  <si>
    <t>MUST ASSURANCES</t>
  </si>
  <si>
    <t>l.martin@must-assurances.com</t>
  </si>
  <si>
    <t>BASICS</t>
  </si>
  <si>
    <t>MODULE 1</t>
  </si>
  <si>
    <t>MODULE 2</t>
  </si>
  <si>
    <t>MODULE 3</t>
  </si>
  <si>
    <t>MODULE 4</t>
  </si>
  <si>
    <t>com</t>
  </si>
  <si>
    <t>HIDDEN</t>
  </si>
  <si>
    <t>MODULE 5</t>
  </si>
  <si>
    <t>MODULE 6</t>
  </si>
  <si>
    <t>HT Client/Rate</t>
  </si>
  <si>
    <t>Formula 1C accident</t>
  </si>
  <si>
    <t>HEALTHCARE/ASSISTANCE/OPTIONS</t>
  </si>
  <si>
    <t>PERSONAL ACCIDENT</t>
  </si>
  <si>
    <t>Employer/employee</t>
  </si>
  <si>
    <t>Choix de la plateforme</t>
  </si>
  <si>
    <t>Healthcare, LOL acc</t>
  </si>
  <si>
    <t>Assistance, LOL illness</t>
  </si>
  <si>
    <t>Legal assistance, PTD acc</t>
  </si>
  <si>
    <t>Third party, PTD illness</t>
  </si>
  <si>
    <t>All formulas</t>
  </si>
  <si>
    <t>Show formulas</t>
  </si>
  <si>
    <t>PRESTIGE-Family</t>
  </si>
  <si>
    <t>Formule prévoyance</t>
  </si>
  <si>
    <t>Formula 1R</t>
  </si>
  <si>
    <t>Temporary Disability Accident (100%/7/120)</t>
  </si>
  <si>
    <t>Temporary Disability Accident (100%/7/365)</t>
  </si>
  <si>
    <t>Temporary Disability Accident (100%/28/365)</t>
  </si>
  <si>
    <t>Temporary Disability Accident (100%/42/365)</t>
  </si>
  <si>
    <t>Temporary Disability Accident (70%/7/365)</t>
  </si>
  <si>
    <t>Temporary Disability illness (100%/7/365)</t>
  </si>
  <si>
    <t>Temporary Disability illness (100%/28/365)</t>
  </si>
  <si>
    <t>Temporary Disability illness (100%/42/365)</t>
  </si>
  <si>
    <t>Temporary Disability illness (70%/7/365)</t>
  </si>
  <si>
    <t>Temporary Disability illness (100%/7/120)</t>
  </si>
  <si>
    <t>2016EURAnker Verzekeringen n.v.-Temporary Disability illness (100%/7/365)</t>
  </si>
  <si>
    <t>PREVOYANCE</t>
  </si>
  <si>
    <t>TC sans WCA et frais</t>
  </si>
  <si>
    <t>OPT3</t>
  </si>
  <si>
    <t>OPT4</t>
  </si>
  <si>
    <t>Formule MED + Options</t>
  </si>
  <si>
    <t>HT Total</t>
  </si>
  <si>
    <t>HEALTHCARE &amp; OPTIONS</t>
  </si>
  <si>
    <t>TC Total</t>
  </si>
  <si>
    <t>LOLACCIDENT SUPP</t>
  </si>
  <si>
    <t>HT CIE remisé ou non</t>
  </si>
  <si>
    <t>RESTE</t>
  </si>
  <si>
    <t>HEALTHCARE-OPTIONS</t>
  </si>
  <si>
    <t>Healthcare-Options</t>
  </si>
  <si>
    <t>Prevoyance</t>
  </si>
  <si>
    <t>Legal-Assistance</t>
  </si>
  <si>
    <t>Third-Party-Liability</t>
  </si>
  <si>
    <t>Choix plateforme</t>
  </si>
  <si>
    <t>Anker avec taxe</t>
  </si>
  <si>
    <t>LOL ACCIDENT SUPPLEMTAIRE</t>
  </si>
  <si>
    <t>PTDACCIDENT SUPP</t>
  </si>
  <si>
    <t>choix sur plateforme</t>
  </si>
  <si>
    <t>Choisir pour filtrer</t>
  </si>
  <si>
    <t>PTD ACCIDENT SUPPLEMTAIRE</t>
  </si>
  <si>
    <t>PREVOYANCE SUPPLEMENTAIRE</t>
  </si>
  <si>
    <t>2017EURAnker Verzekeringen n.v.-Death AccidentFormula 3</t>
  </si>
  <si>
    <t>2016EURAnker Verzekeringen n.v.-Permanent Disability AccidentFormula 3</t>
  </si>
  <si>
    <t>Choix 1</t>
  </si>
  <si>
    <t>Choix 2</t>
  </si>
  <si>
    <t>Fixe</t>
  </si>
  <si>
    <t>TAUX</t>
  </si>
  <si>
    <t>CHOIX 2</t>
  </si>
  <si>
    <t>HT2</t>
  </si>
  <si>
    <t>HT1</t>
  </si>
  <si>
    <t>HT total</t>
  </si>
  <si>
    <t>HT calcul</t>
  </si>
  <si>
    <t>2017EURAnker Verzekeringen n.v.-Death illnessFormula 3</t>
  </si>
  <si>
    <t>2017EURAnker Verzekeringen n.v.-Permanent Disability AccidentFormula 3</t>
  </si>
  <si>
    <t>2017EURAnker Verzekeringen n.v.-Permanent Disability illnessFormula 3</t>
  </si>
  <si>
    <t>2017EURAnker Verzekeringen n.v.-Temporary Disability Accident (100%/7/365)</t>
  </si>
  <si>
    <t>2017EURAnker Verzekeringen n.v.-Temporary Disability illness (100%/7/365)</t>
  </si>
  <si>
    <t>Perfect with options</t>
  </si>
  <si>
    <t>Perfect S with options</t>
  </si>
  <si>
    <t>Standard with options</t>
  </si>
  <si>
    <t>Standard S with options</t>
  </si>
  <si>
    <t>StandardMLC with options</t>
  </si>
  <si>
    <t>StandardMLC S with options</t>
  </si>
  <si>
    <t>Admin saisie</t>
  </si>
  <si>
    <t>Colonne à remporter sur Company</t>
  </si>
  <si>
    <t>a saisir</t>
  </si>
  <si>
    <t>2017-2018!</t>
  </si>
  <si>
    <t>2018-2018!</t>
  </si>
  <si>
    <t>12278.2</t>
  </si>
  <si>
    <t xml:space="preserve">ENIGMA            </t>
  </si>
  <si>
    <t>Day Worker</t>
  </si>
  <si>
    <t>12278.3</t>
  </si>
  <si>
    <t>2016-2017</t>
  </si>
  <si>
    <t>2017-2018</t>
  </si>
  <si>
    <t>IDOL</t>
  </si>
  <si>
    <t>Level 4, Suite 7; Rosa Marina Buildings</t>
  </si>
  <si>
    <t>PTA 9041</t>
  </si>
  <si>
    <t>Pieta</t>
  </si>
  <si>
    <t>employer CREW EMPLOYMENT SERVICES IDOL
CELL OF CREW EMPLOYMENT SERVICES PCC LTD</t>
  </si>
  <si>
    <t>PrestigeS+ComfortMLCS F3 limité</t>
  </si>
  <si>
    <t>chgt de CG Anker et Henner Portugal</t>
  </si>
  <si>
    <t>L2015408</t>
  </si>
  <si>
    <t>facturation semestrielle</t>
  </si>
  <si>
    <t>2017EURAIG Luxembourg-Healthcare PlanPerfect S</t>
  </si>
  <si>
    <t>2017EURAIG Luxembourg-Assistance and RepatriationPerfect S</t>
  </si>
  <si>
    <t>L2024408</t>
  </si>
  <si>
    <t>L2025408</t>
  </si>
  <si>
    <t>Renouvellement 2016-2017</t>
  </si>
  <si>
    <t>Prestige S  for select members</t>
  </si>
  <si>
    <t>L2018408</t>
  </si>
  <si>
    <t>ComfortMLC S  for select members</t>
  </si>
  <si>
    <t>Formula 3: 300 % LOL and 300 % PTD with a limit aggregate of 1500000 any causes,100 % Annual Salary   for All Crew members, except day workers in case of accident and illness Duration: 365 days Waiting period: 7 days 11500 EUR limit per week</t>
  </si>
  <si>
    <t>Female</t>
  </si>
  <si>
    <t>CANCIAN</t>
  </si>
  <si>
    <t>Alyssa</t>
  </si>
  <si>
    <t>RATING</t>
  </si>
  <si>
    <t>Stewardess</t>
  </si>
  <si>
    <t>n/a</t>
  </si>
  <si>
    <t>Italian</t>
  </si>
  <si>
    <t>COMFORTMLC S</t>
  </si>
  <si>
    <t>Male</t>
  </si>
  <si>
    <t>CSIZMADIA</t>
  </si>
  <si>
    <t>NORBERT</t>
  </si>
  <si>
    <t>norbi.csizmadia@gmail.com</t>
  </si>
  <si>
    <t>sous Chef</t>
  </si>
  <si>
    <t>Hungary</t>
  </si>
  <si>
    <t>Hungarian</t>
  </si>
  <si>
    <t>CSONGRADI</t>
  </si>
  <si>
    <t>Balazs</t>
  </si>
  <si>
    <t>GORDON-FORBES</t>
  </si>
  <si>
    <t>Skye</t>
  </si>
  <si>
    <t>Deckhand/stew</t>
  </si>
  <si>
    <t>Israel</t>
  </si>
  <si>
    <t>Israeli</t>
  </si>
  <si>
    <t>ISAIC</t>
  </si>
  <si>
    <t>Stefan</t>
  </si>
  <si>
    <t>2nd engineer</t>
  </si>
  <si>
    <t>Romania</t>
  </si>
  <si>
    <t>Romanian</t>
  </si>
  <si>
    <t>IVANCIU</t>
  </si>
  <si>
    <t>Sorin</t>
  </si>
  <si>
    <t>OFFICIER</t>
  </si>
  <si>
    <t>Chief Engineer</t>
  </si>
  <si>
    <t>Croatia</t>
  </si>
  <si>
    <t>Croatian</t>
  </si>
  <si>
    <t>IZBRECHT</t>
  </si>
  <si>
    <t>Poland</t>
  </si>
  <si>
    <t>JANICKA</t>
  </si>
  <si>
    <t>Monika</t>
  </si>
  <si>
    <t>monika.janicka11@gmail.com</t>
  </si>
  <si>
    <t>Chief Steward/ess</t>
  </si>
  <si>
    <t>LIO</t>
  </si>
  <si>
    <t>GIANLUIGI</t>
  </si>
  <si>
    <t>Chief cook</t>
  </si>
  <si>
    <t>LOVRIC</t>
  </si>
  <si>
    <t>Marko</t>
  </si>
  <si>
    <t>2nd Mate</t>
  </si>
  <si>
    <t>Montenegro</t>
  </si>
  <si>
    <t>MEHIC</t>
  </si>
  <si>
    <t>Slaven</t>
  </si>
  <si>
    <t>SOLLITT</t>
  </si>
  <si>
    <t>2nd officer</t>
  </si>
  <si>
    <t>British</t>
  </si>
  <si>
    <t>STURGE</t>
  </si>
  <si>
    <t>Benjamin</t>
  </si>
  <si>
    <t>Chief officer</t>
  </si>
  <si>
    <t>VERA ANDREU</t>
  </si>
  <si>
    <t>Francisco</t>
  </si>
  <si>
    <t>Rigger</t>
  </si>
  <si>
    <t>Spain</t>
  </si>
  <si>
    <t>Spanish</t>
  </si>
  <si>
    <t>VOLKER</t>
  </si>
  <si>
    <t>Hans</t>
  </si>
  <si>
    <t>Bosun</t>
  </si>
  <si>
    <t>WILEWSKI</t>
  </si>
  <si>
    <t>Tomasz</t>
  </si>
  <si>
    <t>Deckhand</t>
  </si>
  <si>
    <t>YORDANKA</t>
  </si>
  <si>
    <t>Georgieva</t>
  </si>
  <si>
    <t>2nd stewardess</t>
  </si>
  <si>
    <t>Bulgaria</t>
  </si>
  <si>
    <t>Bulgarian</t>
  </si>
  <si>
    <t>ZINN</t>
  </si>
  <si>
    <t>Aymi</t>
  </si>
  <si>
    <t>aymizinn@gmail.com</t>
  </si>
  <si>
    <t>Germany</t>
  </si>
  <si>
    <t>German</t>
  </si>
  <si>
    <t>PRESTIGES</t>
  </si>
  <si>
    <t>MIKULICIC</t>
  </si>
  <si>
    <t>ZELJKO</t>
  </si>
  <si>
    <t>mzeljko81@yahoo.com</t>
  </si>
  <si>
    <t>Relief captain</t>
  </si>
  <si>
    <t>MILOVAC</t>
  </si>
  <si>
    <t>Renato</t>
  </si>
  <si>
    <t>PIALLES</t>
  </si>
  <si>
    <t>epialles@hotmail.fr</t>
  </si>
  <si>
    <t>Captain/Master</t>
  </si>
  <si>
    <t>French</t>
  </si>
  <si>
    <t>Italie</t>
  </si>
  <si>
    <t>female</t>
  </si>
  <si>
    <t>Hongrie</t>
  </si>
  <si>
    <t>male</t>
  </si>
  <si>
    <t>Israël</t>
  </si>
  <si>
    <t>Roumanie</t>
  </si>
  <si>
    <t>Croatie</t>
  </si>
  <si>
    <t>Pologne</t>
  </si>
  <si>
    <t>Monténégro</t>
  </si>
  <si>
    <t>Royaume-Uni</t>
  </si>
  <si>
    <t>Espagne</t>
  </si>
  <si>
    <t>Bulgarie</t>
  </si>
  <si>
    <t>Allemagne</t>
  </si>
  <si>
    <t>invoiced on renewal 2016 for 6 months</t>
  </si>
  <si>
    <t>ComfortMLCS</t>
  </si>
  <si>
    <t>PrestigeS</t>
  </si>
  <si>
    <t>2016EURAIG Luxembourg-Comfort MLC S</t>
  </si>
  <si>
    <t>2016EURAIG Luxembourg-Prestige S</t>
  </si>
  <si>
    <t>2016EURAnker Verzekeringen n.v.-Formula 3 (7/365)</t>
  </si>
  <si>
    <t>Export date</t>
  </si>
  <si>
    <t>Export start</t>
  </si>
  <si>
    <t>Export end</t>
  </si>
  <si>
    <t>Certificate ID</t>
  </si>
  <si>
    <t>Certificate number</t>
  </si>
  <si>
    <t>Certificate type</t>
  </si>
  <si>
    <t>Renewal date</t>
  </si>
  <si>
    <t>Radiation date</t>
  </si>
  <si>
    <t>Invoice type</t>
  </si>
  <si>
    <t>Prices of year</t>
  </si>
  <si>
    <t>YACHTING</t>
  </si>
  <si>
    <t>Previsionnal</t>
  </si>
  <si>
    <t>Somecassur</t>
  </si>
  <si>
    <t>Le Gray d'Albion, 17, La Croisette</t>
  </si>
  <si>
    <t>SLM 1573</t>
  </si>
  <si>
    <t>Past invoices</t>
  </si>
  <si>
    <t>ID</t>
  </si>
  <si>
    <t>Reference</t>
  </si>
  <si>
    <t>Start date</t>
  </si>
  <si>
    <t>End date</t>
  </si>
  <si>
    <t>Date export</t>
  </si>
  <si>
    <t>Date import</t>
  </si>
  <si>
    <t>Status</t>
  </si>
  <si>
    <t>ID insurance company</t>
  </si>
  <si>
    <t>Insurance company</t>
  </si>
  <si>
    <t>ID formula</t>
  </si>
  <si>
    <t>Wycc commission</t>
  </si>
  <si>
    <t>Limited Fees</t>
  </si>
  <si>
    <t>Limited HT</t>
  </si>
  <si>
    <t>Limited TC</t>
  </si>
  <si>
    <t>Past invoices HT</t>
  </si>
  <si>
    <t>Past invoices TC</t>
  </si>
  <si>
    <t>Total TC</t>
  </si>
  <si>
    <t>Total TC with fees</t>
  </si>
  <si>
    <t>Contribution ID</t>
  </si>
  <si>
    <t>Contribution amount</t>
  </si>
  <si>
    <t>Past invoices contribution amount</t>
  </si>
  <si>
    <t>Total contribution amount</t>
  </si>
  <si>
    <t>Information</t>
  </si>
  <si>
    <t>Internal ID</t>
  </si>
  <si>
    <t>Firstname</t>
  </si>
  <si>
    <t>Worked days</t>
  </si>
  <si>
    <t>Worked months</t>
  </si>
  <si>
    <t>Errors</t>
  </si>
  <si>
    <t>Type of module</t>
  </si>
  <si>
    <t>Number of days</t>
  </si>
  <si>
    <t>Number of months</t>
  </si>
  <si>
    <t>Rate</t>
  </si>
  <si>
    <t>Calculation mode</t>
  </si>
  <si>
    <t>Discount (%)</t>
  </si>
  <si>
    <t>Company commission (%)</t>
  </si>
  <si>
    <t>Broker commission (%)</t>
  </si>
  <si>
    <t>Tax (%)</t>
  </si>
  <si>
    <t>Company HT</t>
  </si>
  <si>
    <t>Company TC</t>
  </si>
  <si>
    <t>Wycc fees</t>
  </si>
  <si>
    <t>Contribution type</t>
  </si>
  <si>
    <t>Client premium</t>
  </si>
  <si>
    <t>Gianluigi</t>
  </si>
  <si>
    <t>F</t>
  </si>
  <si>
    <t>2017-2017</t>
  </si>
  <si>
    <t>Credit note 2016</t>
  </si>
  <si>
    <t>regularized on amendment</t>
  </si>
  <si>
    <t>2017EURAIG Luxembourg-Perfect S</t>
  </si>
  <si>
    <t>2017EURAIG Luxembourg-StandardMLC S</t>
  </si>
  <si>
    <t>2017EURAnker Verzekeringen n.v.-Formula 3 (7/365)</t>
  </si>
  <si>
    <t>X-1</t>
  </si>
  <si>
    <t>X-2</t>
  </si>
  <si>
    <t>X-3</t>
  </si>
  <si>
    <t>2016EURAIG Luxembourg-Healthcare PlanStandardMLC S</t>
  </si>
  <si>
    <t>2016EURAIG Luxembourg-Assistance and RepatriationStandardMLC S</t>
  </si>
  <si>
    <t>12522.3</t>
  </si>
  <si>
    <t>PerfectS/StandardMLCS F3 limitée</t>
  </si>
  <si>
    <t>2017EURAnker Verzekeringen n.v.-Temporary Disability Accident (100%/7/120)</t>
  </si>
  <si>
    <t>2017EURAnker Verzekeringen n.v.-Temporary Disability illness (100%/7/120)</t>
  </si>
  <si>
    <t>All others</t>
  </si>
  <si>
    <t>captain</t>
  </si>
  <si>
    <t>invoice</t>
  </si>
  <si>
    <t>BI-ANNUAL PAYMENT</t>
  </si>
  <si>
    <t>181 days ( POLICY 240450: captain only  TTD, limit 125000 (100%/7/365) 3163,03 EUR HT/ 365 *181 = 1508,19 EUR HT;                                                                                                                                                                                                                   POLICY 240303: all others +captain for LOL/PTD and all others for TTD, limit 450000 EUR (100%/7/120), 5326,90 + 8503,45 EUR HT /365 *181 = 6858,34 HT)</t>
  </si>
  <si>
    <t>invoiced on amendment 2017 for 6 months</t>
  </si>
  <si>
    <t>ALL OTHERS</t>
  </si>
  <si>
    <t>06-01-en-24 hour cover, in case of temporary total disability after accident or illness a waiting period of 7 days applies.
Duration of the indemnity 365 days (Captain) &amp;120 days (all others)  maximum, with a maximum salary insured EUR 11,100 per week and 125,000 EUR person and year</t>
  </si>
  <si>
    <t>06-01-en-24 hour cover, in case of temporary total disability after accident or illness a waiting period of 7 days applies.</t>
  </si>
  <si>
    <t>Duration of the indemnity 365 days (Captain) &amp;120 days (all others)  maximum, with a maximum salary insured EUR 11,100 per week and 125,000 EUR person and year</t>
  </si>
  <si>
    <t>06-01-EN-24 HOUR COVER WITH A LIMIT AGGREGATE OF 1,000,000 EUR A YEAR AND 500,000 EUR PER PERSON AND YEAR</t>
  </si>
  <si>
    <t>HILL ROBINSON Limited</t>
  </si>
  <si>
    <t>Crew Employement Services Idol (a cell of Crew Employement Services PCC Ltd)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</si>
</sst>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#,##0.00\ &quot;€&quot;"/>
    <numFmt numFmtId="166" formatCode="[$-40C]d\-mmm\-yy;@"/>
    <numFmt numFmtId="167" formatCode="#,##0\ &quot;€&quot;"/>
    <numFmt numFmtId="168" formatCode="0.00000%"/>
    <numFmt numFmtId="169" formatCode="0.0000%"/>
    <numFmt numFmtId="170" formatCode="dd/mm/yy;@"/>
    <numFmt numFmtId="171" formatCode="#,##0_ ;\-#,##0\ "/>
    <numFmt numFmtId="172" formatCode="#,##0.00_ ;\-#,##0.00\ 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#,##0.00\ &quot;€&quot;;[Red]#,##0.00\ &quot;€&quot;"/>
    <numFmt numFmtId="176" formatCode="#,##0.00;[Red]#,##0.00"/>
    <numFmt numFmtId="177" formatCode="#,##0.0000"/>
    <numFmt numFmtId="178" formatCode="#,##0.00&quot; &quot;[$€-40C];[Red]&quot;-&quot;#,##0.00&quot; &quot;[$€-40C]"/>
    <numFmt numFmtId="179" formatCode="0.0000"/>
    <numFmt numFmtId="180" formatCode="[$-409]d/m/yy\ h:mm\ AM/PM;@"/>
    <numFmt numFmtId="181" formatCode="#,##0.000"/>
    <numFmt numFmtId="182" formatCode="0.000"/>
    <numFmt numFmtId="183" formatCode="0.00000"/>
    <numFmt numFmtId="184" formatCode="#,##0.0000_ ;\-#,##0.0000\ "/>
    <numFmt numFmtId="185" formatCode="0.0000_ ;\-0.0000\ "/>
    <numFmt numFmtId="186" formatCode="0.000000%"/>
  </numFmts>
  <fonts count="136"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u/>
      <sz val="11"/>
      <color theme="10"/>
      <name val="Calibri"/>
      <family val="2"/>
    </font>
    <font>
      <u/>
      <sz val="10"/>
      <color indexed="12"/>
      <name val="Arial Narrow"/>
      <family val="2"/>
    </font>
    <font>
      <u/>
      <sz val="10"/>
      <color theme="10"/>
      <name val="Arial Narrow"/>
      <family val="2"/>
    </font>
    <font>
      <sz val="10"/>
      <color indexed="8"/>
      <name val="Arial Narrow"/>
      <family val="2"/>
    </font>
    <font>
      <i/>
      <sz val="10"/>
      <color theme="1"/>
      <name val="Arial Narrow"/>
      <family val="2"/>
    </font>
    <font>
      <sz val="10"/>
      <color rgb="FF555555"/>
      <name val="Arial"/>
      <family val="2"/>
    </font>
    <font>
      <b/>
      <sz val="11"/>
      <name val="Arial Narrow"/>
      <family val="2"/>
    </font>
    <font>
      <i/>
      <sz val="10"/>
      <name val="Arial Narrow"/>
      <family val="2"/>
    </font>
    <font>
      <b/>
      <sz val="9"/>
      <name val="Arial Narrow"/>
      <family val="2"/>
    </font>
    <font>
      <i/>
      <sz val="10"/>
      <color indexed="63"/>
      <name val="Arial Narrow"/>
      <family val="2"/>
    </font>
    <font>
      <b/>
      <sz val="7"/>
      <name val="Arial"/>
      <family val="2"/>
    </font>
    <font>
      <b/>
      <sz val="10"/>
      <color indexed="63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0"/>
      <color indexed="63"/>
      <name val="Arial Narrow"/>
      <family val="2"/>
    </font>
    <font>
      <sz val="8"/>
      <color indexed="63"/>
      <name val="Arial Narrow"/>
      <family val="2"/>
    </font>
    <font>
      <b/>
      <sz val="18"/>
      <color theme="1"/>
      <name val="Arial Narrow"/>
      <family val="2"/>
    </font>
    <font>
      <b/>
      <sz val="9"/>
      <color indexed="63"/>
      <name val="Arial Narrow"/>
      <family val="2"/>
    </font>
    <font>
      <b/>
      <sz val="8"/>
      <color indexed="63"/>
      <name val="Arial Narrow"/>
      <family val="2"/>
    </font>
    <font>
      <i/>
      <sz val="8"/>
      <color indexed="63"/>
      <name val="Arial Narrow"/>
      <family val="2"/>
    </font>
    <font>
      <i/>
      <sz val="9"/>
      <color indexed="63"/>
      <name val="Arial Narrow"/>
      <family val="2"/>
    </font>
    <font>
      <sz val="9"/>
      <name val="Arial Narrow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sz val="8"/>
      <color rgb="FF000000"/>
      <name val="Tahoma"/>
      <family val="2"/>
    </font>
    <font>
      <b/>
      <sz val="9"/>
      <color theme="1"/>
      <name val="Arial Narrow"/>
      <family val="2"/>
    </font>
    <font>
      <sz val="16"/>
      <name val="Arial Narrow"/>
      <family val="2"/>
    </font>
    <font>
      <sz val="9"/>
      <color indexed="63"/>
      <name val="Arial Narrow"/>
      <family val="2"/>
    </font>
    <font>
      <b/>
      <sz val="22"/>
      <name val="Arial Narrow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1"/>
      <color rgb="FF000000"/>
      <name val="Calibri"/>
      <family val="2"/>
      <charset val="1"/>
    </font>
    <font>
      <b/>
      <sz val="10"/>
      <name val="Arial"/>
      <family val="2"/>
      <charset val="1"/>
    </font>
    <font>
      <u/>
      <sz val="11"/>
      <color indexed="12"/>
      <name val="Calibri"/>
      <family val="2"/>
    </font>
    <font>
      <sz val="10"/>
      <color indexed="8"/>
      <name val="Arial"/>
      <family val="2"/>
    </font>
    <font>
      <b/>
      <sz val="16"/>
      <name val="Arial Narrow"/>
      <family val="2"/>
    </font>
    <font>
      <b/>
      <sz val="16"/>
      <color indexed="63"/>
      <name val="Arial Narrow"/>
      <family val="2"/>
    </font>
    <font>
      <b/>
      <sz val="10"/>
      <name val="Calibri"/>
      <family val="2"/>
      <scheme val="minor"/>
    </font>
    <font>
      <sz val="10"/>
      <color rgb="FFFF0000"/>
      <name val="Arial Narrow"/>
      <family val="2"/>
    </font>
    <font>
      <b/>
      <sz val="16"/>
      <color theme="1"/>
      <name val="Arial Narrow"/>
      <family val="2"/>
    </font>
    <font>
      <sz val="10"/>
      <color rgb="FF303030"/>
      <name val="Arial Narrow"/>
      <family val="2"/>
    </font>
    <font>
      <sz val="10"/>
      <color rgb="FF2222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Arial Narrow"/>
      <family val="2"/>
    </font>
    <font>
      <sz val="11"/>
      <color rgb="FF0033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9"/>
      <color rgb="FFFF0000"/>
      <name val="Arial Narrow"/>
      <family val="2"/>
    </font>
    <font>
      <sz val="10"/>
      <color rgb="FF000000"/>
      <name val="Times New Roman"/>
      <family val="1"/>
    </font>
    <font>
      <b/>
      <sz val="20"/>
      <color theme="1"/>
      <name val="Arial Narrow"/>
      <family val="2"/>
    </font>
    <font>
      <b/>
      <sz val="11"/>
      <color indexed="63"/>
      <name val="Arial Narrow"/>
      <family val="2"/>
    </font>
    <font>
      <b/>
      <sz val="11"/>
      <color theme="1"/>
      <name val="Arial Narrow"/>
      <family val="2"/>
    </font>
    <font>
      <i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name val="Arial"/>
      <family val="2"/>
    </font>
    <font>
      <i/>
      <sz val="11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12"/>
      <color theme="1"/>
      <name val="Arial Narrow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Arial Narrow"/>
      <family val="2"/>
    </font>
    <font>
      <b/>
      <sz val="18"/>
      <color rgb="FFFF0000"/>
      <name val="Calibri"/>
      <family val="2"/>
      <scheme val="minor"/>
    </font>
  </fonts>
  <fills count="8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0C0C0"/>
        <bgColor rgb="FFBFBFB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43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7952">
    <xf numFmtId="0" fontId="0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3" fillId="0" borderId="14">
      <alignment vertical="top"/>
    </xf>
    <xf numFmtId="0" fontId="13" fillId="0" borderId="0"/>
    <xf numFmtId="43" fontId="1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3" applyNumberFormat="0" applyFill="0" applyAlignment="0" applyProtection="0"/>
    <xf numFmtId="0" fontId="66" fillId="0" borderId="44" applyNumberFormat="0" applyFill="0" applyAlignment="0" applyProtection="0"/>
    <xf numFmtId="0" fontId="67" fillId="0" borderId="45" applyNumberFormat="0" applyFill="0" applyAlignment="0" applyProtection="0"/>
    <xf numFmtId="0" fontId="67" fillId="0" borderId="0" applyNumberFormat="0" applyFill="0" applyBorder="0" applyAlignment="0" applyProtection="0"/>
    <xf numFmtId="0" fontId="68" fillId="21" borderId="0" applyNumberFormat="0" applyBorder="0" applyAlignment="0" applyProtection="0"/>
    <xf numFmtId="0" fontId="69" fillId="22" borderId="0" applyNumberFormat="0" applyBorder="0" applyAlignment="0" applyProtection="0"/>
    <xf numFmtId="0" fontId="70" fillId="23" borderId="0" applyNumberFormat="0" applyBorder="0" applyAlignment="0" applyProtection="0"/>
    <xf numFmtId="0" fontId="71" fillId="24" borderId="46" applyNumberFormat="0" applyAlignment="0" applyProtection="0"/>
    <xf numFmtId="0" fontId="72" fillId="25" borderId="47" applyNumberFormat="0" applyAlignment="0" applyProtection="0"/>
    <xf numFmtId="0" fontId="73" fillId="25" borderId="46" applyNumberFormat="0" applyAlignment="0" applyProtection="0"/>
    <xf numFmtId="0" fontId="74" fillId="0" borderId="48" applyNumberFormat="0" applyFill="0" applyAlignment="0" applyProtection="0"/>
    <xf numFmtId="0" fontId="75" fillId="26" borderId="49" applyNumberFormat="0" applyAlignment="0" applyProtection="0"/>
    <xf numFmtId="0" fontId="55" fillId="0" borderId="0" applyNumberFormat="0" applyFill="0" applyBorder="0" applyAlignment="0" applyProtection="0"/>
    <xf numFmtId="0" fontId="63" fillId="27" borderId="50" applyNumberFormat="0" applyFont="0" applyAlignment="0" applyProtection="0"/>
    <xf numFmtId="0" fontId="76" fillId="0" borderId="0" applyNumberFormat="0" applyFill="0" applyBorder="0" applyAlignment="0" applyProtection="0"/>
    <xf numFmtId="0" fontId="10" fillId="0" borderId="51" applyNumberFormat="0" applyFill="0" applyAlignment="0" applyProtection="0"/>
    <xf numFmtId="0" fontId="77" fillId="28" borderId="0" applyNumberFormat="0" applyBorder="0" applyAlignment="0" applyProtection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77" fillId="31" borderId="0" applyNumberFormat="0" applyBorder="0" applyAlignment="0" applyProtection="0"/>
    <xf numFmtId="0" fontId="77" fillId="32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77" fillId="35" borderId="0" applyNumberFormat="0" applyBorder="0" applyAlignment="0" applyProtection="0"/>
    <xf numFmtId="0" fontId="77" fillId="36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77" fillId="39" borderId="0" applyNumberFormat="0" applyBorder="0" applyAlignment="0" applyProtection="0"/>
    <xf numFmtId="0" fontId="77" fillId="40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77" fillId="43" borderId="0" applyNumberFormat="0" applyBorder="0" applyAlignment="0" applyProtection="0"/>
    <xf numFmtId="0" fontId="77" fillId="44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77" fillId="47" borderId="0" applyNumberFormat="0" applyBorder="0" applyAlignment="0" applyProtection="0"/>
    <xf numFmtId="0" fontId="77" fillId="48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77" fillId="51" borderId="0" applyNumberFormat="0" applyBorder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9" fontId="13" fillId="0" borderId="0" applyFont="0" applyFill="0" applyBorder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6" fillId="0" borderId="44" applyNumberFormat="0" applyFill="0" applyAlignment="0" applyProtection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79" fillId="67" borderId="0" applyNumberFormat="0" applyBorder="0" applyAlignment="0" applyProtection="0"/>
    <xf numFmtId="0" fontId="79" fillId="68" borderId="0" applyNumberFormat="0" applyBorder="0" applyAlignment="0" applyProtection="0"/>
    <xf numFmtId="0" fontId="79" fillId="69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70" borderId="0" applyNumberFormat="0" applyBorder="0" applyAlignment="0" applyProtection="0"/>
    <xf numFmtId="0" fontId="80" fillId="0" borderId="0" applyNumberFormat="0" applyFill="0" applyBorder="0" applyAlignment="0" applyProtection="0"/>
    <xf numFmtId="0" fontId="81" fillId="71" borderId="52" applyNumberFormat="0" applyAlignment="0" applyProtection="0"/>
    <xf numFmtId="0" fontId="82" fillId="0" borderId="53" applyNumberFormat="0" applyFill="0" applyAlignment="0" applyProtection="0"/>
    <xf numFmtId="0" fontId="78" fillId="72" borderId="54" applyNumberFormat="0" applyFont="0" applyAlignment="0" applyProtection="0"/>
    <xf numFmtId="0" fontId="83" fillId="58" borderId="52" applyNumberFormat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84" fillId="54" borderId="0" applyNumberFormat="0" applyBorder="0" applyAlignment="0" applyProtection="0"/>
    <xf numFmtId="0" fontId="85" fillId="73" borderId="0" applyNumberFormat="0" applyBorder="0" applyAlignment="0" applyProtection="0"/>
    <xf numFmtId="0" fontId="86" fillId="55" borderId="0" applyNumberFormat="0" applyBorder="0" applyAlignment="0" applyProtection="0"/>
    <xf numFmtId="0" fontId="87" fillId="71" borderId="55" applyNumberFormat="0" applyAlignment="0" applyProtection="0"/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3" fillId="0" borderId="59" applyNumberFormat="0" applyFill="0" applyAlignment="0" applyProtection="0"/>
    <xf numFmtId="0" fontId="94" fillId="74" borderId="60" applyNumberFormat="0" applyAlignment="0" applyProtection="0"/>
    <xf numFmtId="0" fontId="13" fillId="0" borderId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84" fillId="54" borderId="0" applyNumberFormat="0" applyBorder="0" applyAlignment="0" applyProtection="0"/>
    <xf numFmtId="0" fontId="81" fillId="71" borderId="52" applyNumberFormat="0" applyAlignment="0" applyProtection="0"/>
    <xf numFmtId="0" fontId="94" fillId="74" borderId="60" applyNumberFormat="0" applyAlignment="0" applyProtection="0"/>
    <xf numFmtId="0" fontId="88" fillId="0" borderId="0" applyNumberFormat="0" applyFill="0" applyBorder="0" applyAlignment="0" applyProtection="0"/>
    <xf numFmtId="0" fontId="86" fillId="55" borderId="0" applyNumberFormat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83" fillId="58" borderId="52" applyNumberFormat="0" applyAlignment="0" applyProtection="0"/>
    <xf numFmtId="0" fontId="82" fillId="0" borderId="53" applyNumberFormat="0" applyFill="0" applyAlignment="0" applyProtection="0"/>
    <xf numFmtId="0" fontId="85" fillId="73" borderId="0" applyNumberFormat="0" applyBorder="0" applyAlignment="0" applyProtection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72" borderId="54" applyNumberFormat="0" applyFont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87" fillId="71" borderId="55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92" fillId="0" borderId="58" applyNumberFormat="0" applyFill="0" applyAlignment="0" applyProtection="0"/>
    <xf numFmtId="0" fontId="83" fillId="58" borderId="52" applyNumberForma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83" fillId="58" borderId="52" applyNumberFormat="0" applyAlignment="0" applyProtection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5" fillId="0" borderId="0" applyNumberFormat="0" applyFill="0" applyBorder="0" applyAlignment="0" applyProtection="0"/>
    <xf numFmtId="0" fontId="66" fillId="0" borderId="44" applyNumberFormat="0" applyFill="0" applyAlignment="0" applyProtection="0"/>
    <xf numFmtId="43" fontId="1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99" fillId="0" borderId="0"/>
    <xf numFmtId="0" fontId="100" fillId="0" borderId="0">
      <alignment horizontal="center"/>
    </xf>
    <xf numFmtId="0" fontId="100" fillId="0" borderId="0">
      <alignment horizontal="center" textRotation="90"/>
    </xf>
    <xf numFmtId="0" fontId="101" fillId="0" borderId="0"/>
    <xf numFmtId="178" fontId="101" fillId="0" borderId="0"/>
    <xf numFmtId="0" fontId="66" fillId="0" borderId="44" applyNumberFormat="0" applyFill="0" applyAlignment="0" applyProtection="0"/>
    <xf numFmtId="0" fontId="103" fillId="75" borderId="14">
      <alignment vertical="top"/>
    </xf>
    <xf numFmtId="0" fontId="102" fillId="0" borderId="0"/>
    <xf numFmtId="0" fontId="102" fillId="0" borderId="0"/>
    <xf numFmtId="0" fontId="102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04" fillId="0" borderId="0" applyNumberFormat="0" applyFill="0" applyBorder="0" applyAlignment="0" applyProtection="0">
      <alignment vertical="top"/>
      <protection locked="0"/>
    </xf>
    <xf numFmtId="0" fontId="105" fillId="0" borderId="0"/>
    <xf numFmtId="0" fontId="95" fillId="0" borderId="0" applyNumberFormat="0" applyFill="0" applyBorder="0" applyAlignment="0" applyProtection="0"/>
    <xf numFmtId="0" fontId="92" fillId="0" borderId="80" applyNumberFormat="0" applyFill="0" applyAlignment="0" applyProtection="0"/>
    <xf numFmtId="173" fontId="13" fillId="0" borderId="0" applyFont="0" applyFill="0" applyBorder="0" applyAlignment="0" applyProtection="0"/>
    <xf numFmtId="0" fontId="13" fillId="0" borderId="0"/>
    <xf numFmtId="0" fontId="120" fillId="0" borderId="0"/>
    <xf numFmtId="0" fontId="63" fillId="0" borderId="0"/>
    <xf numFmtId="9" fontId="13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20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3" fillId="27" borderId="50" applyNumberFormat="0" applyFont="0" applyAlignment="0" applyProtection="0"/>
    <xf numFmtId="0" fontId="92" fillId="0" borderId="81" applyNumberFormat="0" applyFill="0" applyAlignment="0" applyProtection="0"/>
    <xf numFmtId="0" fontId="83" fillId="58" borderId="86" applyNumberFormat="0" applyAlignment="0" applyProtection="0"/>
    <xf numFmtId="0" fontId="92" fillId="0" borderId="81" applyNumberFormat="0" applyFill="0" applyAlignment="0" applyProtection="0"/>
    <xf numFmtId="0" fontId="92" fillId="0" borderId="81" applyNumberFormat="0" applyFill="0" applyAlignment="0" applyProtection="0"/>
    <xf numFmtId="0" fontId="13" fillId="72" borderId="87" applyNumberFormat="0" applyFont="0" applyAlignment="0" applyProtection="0"/>
    <xf numFmtId="0" fontId="13" fillId="72" borderId="87" applyNumberFormat="0" applyFon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78" fillId="72" borderId="87" applyNumberFormat="0" applyFont="0" applyAlignment="0" applyProtection="0"/>
    <xf numFmtId="0" fontId="87" fillId="71" borderId="88" applyNumberFormat="0" applyAlignment="0" applyProtection="0"/>
    <xf numFmtId="0" fontId="81" fillId="71" borderId="86" applyNumberFormat="0" applyAlignment="0" applyProtection="0"/>
    <xf numFmtId="0" fontId="87" fillId="71" borderId="88" applyNumberFormat="0" applyAlignment="0" applyProtection="0"/>
    <xf numFmtId="0" fontId="87" fillId="71" borderId="88" applyNumberFormat="0" applyAlignment="0" applyProtection="0"/>
    <xf numFmtId="0" fontId="13" fillId="72" borderId="87" applyNumberFormat="0" applyFont="0" applyAlignment="0" applyProtection="0"/>
    <xf numFmtId="0" fontId="93" fillId="0" borderId="89" applyNumberFormat="0" applyFill="0" applyAlignment="0" applyProtection="0"/>
    <xf numFmtId="0" fontId="93" fillId="0" borderId="89" applyNumberFormat="0" applyFill="0" applyAlignment="0" applyProtection="0"/>
    <xf numFmtId="0" fontId="87" fillId="71" borderId="88" applyNumberForma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83" fillId="58" borderId="86" applyNumberFormat="0" applyAlignment="0" applyProtection="0"/>
    <xf numFmtId="0" fontId="93" fillId="0" borderId="89" applyNumberFormat="0" applyFill="0" applyAlignment="0" applyProtection="0"/>
    <xf numFmtId="0" fontId="81" fillId="71" borderId="86" applyNumberFormat="0" applyAlignment="0" applyProtection="0"/>
    <xf numFmtId="0" fontId="92" fillId="0" borderId="81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83" fillId="58" borderId="96" applyNumberFormat="0" applyAlignment="0" applyProtection="0"/>
    <xf numFmtId="0" fontId="13" fillId="72" borderId="97" applyNumberFormat="0" applyFont="0" applyAlignment="0" applyProtection="0"/>
    <xf numFmtId="0" fontId="92" fillId="0" borderId="94" applyNumberFormat="0" applyFill="0" applyAlignment="0" applyProtection="0"/>
    <xf numFmtId="0" fontId="93" fillId="0" borderId="99" applyNumberFormat="0" applyFill="0" applyAlignment="0" applyProtection="0"/>
    <xf numFmtId="0" fontId="13" fillId="72" borderId="97" applyNumberFormat="0" applyFont="0" applyAlignment="0" applyProtection="0"/>
    <xf numFmtId="0" fontId="93" fillId="0" borderId="99" applyNumberFormat="0" applyFill="0" applyAlignment="0" applyProtection="0"/>
    <xf numFmtId="0" fontId="83" fillId="58" borderId="96" applyNumberFormat="0" applyAlignment="0" applyProtection="0"/>
    <xf numFmtId="0" fontId="87" fillId="71" borderId="98" applyNumberFormat="0" applyAlignment="0" applyProtection="0"/>
    <xf numFmtId="0" fontId="81" fillId="71" borderId="96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87" fillId="71" borderId="98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78" fillId="72" borderId="97" applyNumberFormat="0" applyFont="0" applyAlignment="0" applyProtection="0"/>
    <xf numFmtId="0" fontId="87" fillId="71" borderId="98" applyNumberFormat="0" applyAlignment="0" applyProtection="0"/>
    <xf numFmtId="0" fontId="13" fillId="72" borderId="97" applyNumberFormat="0" applyFont="0" applyAlignment="0" applyProtection="0"/>
    <xf numFmtId="0" fontId="81" fillId="71" borderId="96" applyNumberFormat="0" applyAlignment="0" applyProtection="0"/>
    <xf numFmtId="0" fontId="93" fillId="0" borderId="99" applyNumberFormat="0" applyFill="0" applyAlignment="0" applyProtection="0"/>
    <xf numFmtId="0" fontId="87" fillId="71" borderId="98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0" borderId="100">
      <alignment vertical="top"/>
    </xf>
    <xf numFmtId="0" fontId="16" fillId="52" borderId="100">
      <alignment vertical="top"/>
    </xf>
    <xf numFmtId="0" fontId="83" fillId="58" borderId="111" applyNumberFormat="0" applyAlignment="0" applyProtection="0"/>
    <xf numFmtId="0" fontId="93" fillId="0" borderId="114" applyNumberFormat="0" applyFill="0" applyAlignment="0" applyProtection="0"/>
    <xf numFmtId="0" fontId="78" fillId="72" borderId="112" applyNumberFormat="0" applyFont="0" applyAlignment="0" applyProtection="0"/>
    <xf numFmtId="0" fontId="13" fillId="0" borderId="100">
      <alignment vertical="top"/>
    </xf>
    <xf numFmtId="0" fontId="81" fillId="71" borderId="111" applyNumberFormat="0" applyAlignment="0" applyProtection="0"/>
    <xf numFmtId="0" fontId="87" fillId="71" borderId="113" applyNumberFormat="0" applyAlignment="0" applyProtection="0"/>
    <xf numFmtId="0" fontId="81" fillId="71" borderId="105" applyNumberFormat="0" applyAlignment="0" applyProtection="0"/>
    <xf numFmtId="0" fontId="78" fillId="72" borderId="106" applyNumberFormat="0" applyFont="0" applyAlignment="0" applyProtection="0"/>
    <xf numFmtId="0" fontId="83" fillId="58" borderId="105" applyNumberFormat="0" applyAlignment="0" applyProtection="0"/>
    <xf numFmtId="0" fontId="87" fillId="71" borderId="107" applyNumberFormat="0" applyAlignment="0" applyProtection="0"/>
    <xf numFmtId="0" fontId="93" fillId="0" borderId="108" applyNumberFormat="0" applyFill="0" applyAlignment="0" applyProtection="0"/>
    <xf numFmtId="0" fontId="13" fillId="0" borderId="118">
      <alignment vertical="top"/>
    </xf>
    <xf numFmtId="0" fontId="13" fillId="0" borderId="118">
      <alignment vertical="top"/>
    </xf>
    <xf numFmtId="0" fontId="16" fillId="52" borderId="118">
      <alignment vertical="top"/>
    </xf>
    <xf numFmtId="0" fontId="81" fillId="71" borderId="121" applyNumberFormat="0" applyAlignment="0" applyProtection="0"/>
    <xf numFmtId="0" fontId="78" fillId="72" borderId="122" applyNumberFormat="0" applyFont="0" applyAlignment="0" applyProtection="0"/>
    <xf numFmtId="0" fontId="83" fillId="58" borderId="121" applyNumberForma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6" fillId="52" borderId="118">
      <alignment vertical="top"/>
    </xf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3" fillId="0" borderId="118">
      <alignment vertical="top"/>
    </xf>
    <xf numFmtId="0" fontId="16" fillId="52" borderId="118">
      <alignment vertical="top"/>
    </xf>
    <xf numFmtId="0" fontId="103" fillId="75" borderId="118">
      <alignment vertical="top"/>
    </xf>
    <xf numFmtId="0" fontId="83" fillId="58" borderId="125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72" borderId="126" applyNumberFormat="0" applyFont="0" applyAlignment="0" applyProtection="0"/>
    <xf numFmtId="0" fontId="13" fillId="72" borderId="126" applyNumberFormat="0" applyFon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78" fillId="72" borderId="126" applyNumberFormat="0" applyFont="0" applyAlignment="0" applyProtection="0"/>
    <xf numFmtId="0" fontId="87" fillId="71" borderId="127" applyNumberFormat="0" applyAlignment="0" applyProtection="0"/>
    <xf numFmtId="0" fontId="81" fillId="71" borderId="125" applyNumberFormat="0" applyAlignment="0" applyProtection="0"/>
    <xf numFmtId="0" fontId="87" fillId="71" borderId="127" applyNumberFormat="0" applyAlignment="0" applyProtection="0"/>
    <xf numFmtId="0" fontId="87" fillId="71" borderId="127" applyNumberFormat="0" applyAlignment="0" applyProtection="0"/>
    <xf numFmtId="0" fontId="13" fillId="72" borderId="126" applyNumberFormat="0" applyFont="0" applyAlignment="0" applyProtection="0"/>
    <xf numFmtId="0" fontId="93" fillId="0" borderId="128" applyNumberFormat="0" applyFill="0" applyAlignment="0" applyProtection="0"/>
    <xf numFmtId="0" fontId="93" fillId="0" borderId="128" applyNumberFormat="0" applyFill="0" applyAlignment="0" applyProtection="0"/>
    <xf numFmtId="0" fontId="87" fillId="71" borderId="127" applyNumberForma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83" fillId="58" borderId="125" applyNumberFormat="0" applyAlignment="0" applyProtection="0"/>
    <xf numFmtId="0" fontId="93" fillId="0" borderId="128" applyNumberFormat="0" applyFill="0" applyAlignment="0" applyProtection="0"/>
    <xf numFmtId="0" fontId="81" fillId="71" borderId="125" applyNumberFormat="0" applyAlignment="0" applyProtection="0"/>
    <xf numFmtId="0" fontId="92" fillId="0" borderId="94" applyNumberFormat="0" applyFill="0" applyAlignment="0" applyProtection="0"/>
  </cellStyleXfs>
  <cellXfs count="200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1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" fontId="5" fillId="0" borderId="0" xfId="0" applyNumberFormat="1" applyFont="1" applyFill="1" applyAlignment="1">
      <alignment vertical="center"/>
    </xf>
    <xf numFmtId="14" fontId="4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5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0" fontId="4" fillId="0" borderId="7" xfId="0" applyFont="1" applyBorder="1" applyAlignment="1">
      <alignment vertical="center"/>
    </xf>
    <xf numFmtId="4" fontId="4" fillId="0" borderId="6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1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left" vertical="top" wrapText="1"/>
    </xf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7" borderId="0" xfId="0" applyFill="1" applyAlignment="1">
      <alignment horizontal="center"/>
    </xf>
    <xf numFmtId="0" fontId="0" fillId="0" borderId="14" xfId="0" applyBorder="1"/>
    <xf numFmtId="0" fontId="0" fillId="6" borderId="0" xfId="0" applyFill="1"/>
    <xf numFmtId="0" fontId="13" fillId="0" borderId="0" xfId="1" applyFill="1" applyBorder="1"/>
    <xf numFmtId="0" fontId="13" fillId="0" borderId="0" xfId="1"/>
    <xf numFmtId="0" fontId="16" fillId="0" borderId="0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19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vertical="center" wrapText="1"/>
    </xf>
    <xf numFmtId="0" fontId="15" fillId="0" borderId="0" xfId="1" applyFont="1" applyBorder="1" applyAlignment="1">
      <alignment vertical="center" wrapText="1"/>
    </xf>
    <xf numFmtId="0" fontId="13" fillId="0" borderId="0" xfId="1" applyBorder="1"/>
    <xf numFmtId="0" fontId="13" fillId="0" borderId="0" xfId="1" applyBorder="1" applyAlignment="1"/>
    <xf numFmtId="3" fontId="16" fillId="9" borderId="19" xfId="1" applyNumberFormat="1" applyFont="1" applyFill="1" applyBorder="1" applyAlignment="1">
      <alignment horizontal="center" vertical="center" wrapText="1"/>
    </xf>
    <xf numFmtId="3" fontId="16" fillId="9" borderId="0" xfId="1" applyNumberFormat="1" applyFont="1" applyFill="1" applyBorder="1" applyAlignment="1">
      <alignment horizontal="center" vertical="center" wrapText="1"/>
    </xf>
    <xf numFmtId="0" fontId="13" fillId="9" borderId="0" xfId="1" applyFill="1" applyBorder="1" applyAlignment="1">
      <alignment horizontal="center"/>
    </xf>
    <xf numFmtId="0" fontId="15" fillId="9" borderId="0" xfId="1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/>
    <xf numFmtId="0" fontId="10" fillId="6" borderId="14" xfId="0" applyFont="1" applyFill="1" applyBorder="1" applyAlignment="1">
      <alignment vertical="center" wrapText="1"/>
    </xf>
    <xf numFmtId="0" fontId="32" fillId="7" borderId="0" xfId="0" applyFont="1" applyFill="1" applyAlignment="1">
      <alignment vertical="center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17" fillId="0" borderId="14" xfId="3" applyFill="1" applyBorder="1" applyAlignment="1" applyProtection="1"/>
    <xf numFmtId="0" fontId="34" fillId="0" borderId="14" xfId="4" applyFont="1" applyFill="1" applyBorder="1" applyAlignment="1" applyProtection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6" fillId="0" borderId="14" xfId="0" applyNumberFormat="1" applyFont="1" applyFill="1" applyBorder="1" applyAlignment="1"/>
    <xf numFmtId="0" fontId="34" fillId="0" borderId="14" xfId="4" applyFont="1" applyFill="1" applyBorder="1" applyAlignment="1" applyProtection="1"/>
    <xf numFmtId="0" fontId="32" fillId="0" borderId="14" xfId="0" applyFont="1" applyFill="1" applyBorder="1" applyAlignment="1">
      <alignment wrapText="1"/>
    </xf>
    <xf numFmtId="0" fontId="18" fillId="0" borderId="14" xfId="0" applyNumberFormat="1" applyFont="1" applyFill="1" applyBorder="1" applyAlignment="1"/>
    <xf numFmtId="0" fontId="18" fillId="0" borderId="14" xfId="0" applyFont="1" applyFill="1" applyBorder="1"/>
    <xf numFmtId="3" fontId="32" fillId="0" borderId="14" xfId="0" applyNumberFormat="1" applyFont="1" applyFill="1" applyBorder="1"/>
    <xf numFmtId="0" fontId="34" fillId="0" borderId="14" xfId="3" applyFont="1" applyFill="1" applyBorder="1" applyAlignment="1" applyProtection="1"/>
    <xf numFmtId="0" fontId="34" fillId="0" borderId="14" xfId="3" applyFont="1" applyFill="1" applyBorder="1" applyAlignment="1" applyProtection="1">
      <alignment vertical="center" wrapText="1"/>
    </xf>
    <xf numFmtId="0" fontId="35" fillId="0" borderId="14" xfId="3" applyFont="1" applyFill="1" applyBorder="1" applyAlignment="1" applyProtection="1">
      <alignment vertical="center" wrapText="1"/>
    </xf>
    <xf numFmtId="0" fontId="33" fillId="0" borderId="14" xfId="5" applyFill="1" applyBorder="1" applyAlignment="1" applyProtection="1"/>
    <xf numFmtId="0" fontId="32" fillId="0" borderId="0" xfId="0" applyFont="1" applyFill="1" applyAlignment="1">
      <alignment vertical="center" wrapText="1"/>
    </xf>
    <xf numFmtId="0" fontId="33" fillId="0" borderId="14" xfId="6" applyFont="1" applyFill="1" applyBorder="1" applyAlignment="1" applyProtection="1"/>
    <xf numFmtId="0" fontId="0" fillId="0" borderId="14" xfId="0" applyFill="1" applyBorder="1" applyAlignment="1">
      <alignment wrapText="1"/>
    </xf>
    <xf numFmtId="0" fontId="32" fillId="0" borderId="14" xfId="0" applyFont="1" applyBorder="1"/>
    <xf numFmtId="0" fontId="32" fillId="0" borderId="14" xfId="0" applyFont="1" applyBorder="1" applyAlignment="1">
      <alignment wrapText="1"/>
    </xf>
    <xf numFmtId="0" fontId="39" fillId="6" borderId="16" xfId="0" applyFont="1" applyFill="1" applyBorder="1" applyAlignment="1" applyProtection="1">
      <alignment horizontal="left" wrapText="1"/>
      <protection hidden="1"/>
    </xf>
    <xf numFmtId="0" fontId="10" fillId="6" borderId="0" xfId="0" applyFont="1" applyFill="1"/>
    <xf numFmtId="0" fontId="31" fillId="7" borderId="14" xfId="0" applyFont="1" applyFill="1" applyBorder="1"/>
    <xf numFmtId="0" fontId="18" fillId="0" borderId="14" xfId="0" applyFont="1" applyFill="1" applyBorder="1" applyAlignment="1" applyProtection="1">
      <alignment horizontal="left" wrapText="1"/>
      <protection hidden="1"/>
    </xf>
    <xf numFmtId="0" fontId="18" fillId="0" borderId="14" xfId="1" applyFont="1" applyBorder="1" applyAlignment="1">
      <alignment horizontal="left"/>
    </xf>
    <xf numFmtId="0" fontId="18" fillId="0" borderId="14" xfId="1" applyFont="1" applyFill="1" applyBorder="1"/>
    <xf numFmtId="0" fontId="18" fillId="0" borderId="14" xfId="1" applyFont="1" applyBorder="1"/>
    <xf numFmtId="0" fontId="18" fillId="7" borderId="0" xfId="2" applyFont="1" applyFill="1" applyAlignment="1">
      <alignment horizontal="center" wrapText="1"/>
    </xf>
    <xf numFmtId="0" fontId="18" fillId="12" borderId="14" xfId="2" applyFont="1" applyFill="1" applyBorder="1" applyAlignment="1">
      <alignment horizontal="center" wrapText="1"/>
    </xf>
    <xf numFmtId="0" fontId="18" fillId="12" borderId="14" xfId="2" applyFont="1" applyFill="1" applyBorder="1" applyAlignment="1">
      <alignment horizontal="left" wrapText="1"/>
    </xf>
    <xf numFmtId="0" fontId="18" fillId="12" borderId="14" xfId="2" applyFont="1" applyFill="1" applyBorder="1" applyAlignment="1">
      <alignment horizontal="center" vertical="center"/>
    </xf>
    <xf numFmtId="0" fontId="18" fillId="12" borderId="14" xfId="2" applyFont="1" applyFill="1" applyBorder="1" applyAlignment="1">
      <alignment horizontal="left" vertical="center"/>
    </xf>
    <xf numFmtId="9" fontId="0" fillId="7" borderId="0" xfId="0" applyNumberFormat="1" applyFill="1" applyAlignment="1">
      <alignment horizontal="center"/>
    </xf>
    <xf numFmtId="10" fontId="18" fillId="12" borderId="14" xfId="2" applyNumberFormat="1" applyFont="1" applyFill="1" applyBorder="1" applyAlignment="1">
      <alignment horizontal="center" vertical="center"/>
    </xf>
    <xf numFmtId="10" fontId="18" fillId="12" borderId="14" xfId="2" applyNumberFormat="1" applyFont="1" applyFill="1" applyBorder="1" applyAlignment="1">
      <alignment horizontal="left" vertical="center"/>
    </xf>
    <xf numFmtId="3" fontId="0" fillId="7" borderId="0" xfId="0" applyNumberFormat="1" applyFill="1" applyAlignment="1">
      <alignment horizontal="center"/>
    </xf>
    <xf numFmtId="3" fontId="18" fillId="12" borderId="14" xfId="2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wrapText="1"/>
    </xf>
    <xf numFmtId="14" fontId="0" fillId="7" borderId="0" xfId="0" applyNumberFormat="1" applyFill="1" applyAlignment="1">
      <alignment horizontal="center"/>
    </xf>
    <xf numFmtId="14" fontId="18" fillId="12" borderId="14" xfId="2" applyNumberFormat="1" applyFont="1" applyFill="1" applyBorder="1" applyAlignment="1">
      <alignment horizontal="center" vertical="center"/>
    </xf>
    <xf numFmtId="14" fontId="18" fillId="12" borderId="14" xfId="2" applyNumberFormat="1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0" xfId="0" applyBorder="1" applyAlignment="1">
      <alignment horizontal="center"/>
    </xf>
    <xf numFmtId="0" fontId="0" fillId="7" borderId="0" xfId="0" applyFill="1" applyBorder="1"/>
    <xf numFmtId="0" fontId="0" fillId="0" borderId="0" xfId="0" applyBorder="1"/>
    <xf numFmtId="14" fontId="16" fillId="3" borderId="0" xfId="2" applyNumberFormat="1" applyFont="1" applyFill="1" applyBorder="1" applyAlignment="1">
      <alignment horizontal="left"/>
    </xf>
    <xf numFmtId="0" fontId="30" fillId="0" borderId="0" xfId="0" applyFont="1" applyFill="1" applyBorder="1" applyAlignment="1">
      <alignment horizontal="left" vertical="center"/>
    </xf>
    <xf numFmtId="14" fontId="30" fillId="0" borderId="0" xfId="0" applyNumberFormat="1" applyFont="1" applyFill="1" applyBorder="1" applyAlignment="1">
      <alignment horizontal="left"/>
    </xf>
    <xf numFmtId="0" fontId="40" fillId="0" borderId="5" xfId="0" applyFont="1" applyFill="1" applyBorder="1" applyAlignment="1">
      <alignment horizontal="left"/>
    </xf>
    <xf numFmtId="14" fontId="30" fillId="0" borderId="5" xfId="0" applyNumberFormat="1" applyFont="1" applyFill="1" applyBorder="1" applyAlignment="1">
      <alignment horizontal="left" vertical="center"/>
    </xf>
    <xf numFmtId="0" fontId="3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18" fillId="0" borderId="0" xfId="0" applyFont="1" applyBorder="1" applyAlignment="1">
      <alignment horizontal="left"/>
    </xf>
    <xf numFmtId="0" fontId="32" fillId="0" borderId="0" xfId="0" applyFont="1" applyBorder="1" applyAlignment="1">
      <alignment vertical="top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2" fontId="30" fillId="6" borderId="23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30" fillId="2" borderId="22" xfId="0" applyFont="1" applyFill="1" applyBorder="1" applyAlignment="1">
      <alignment horizontal="center" vertical="center"/>
    </xf>
    <xf numFmtId="0" fontId="32" fillId="0" borderId="0" xfId="0" applyFont="1" applyBorder="1" applyAlignment="1"/>
    <xf numFmtId="0" fontId="47" fillId="0" borderId="0" xfId="0" applyFont="1" applyFill="1" applyBorder="1" applyAlignment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 applyAlignment="1"/>
    <xf numFmtId="0" fontId="44" fillId="6" borderId="28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center"/>
    </xf>
    <xf numFmtId="0" fontId="32" fillId="0" borderId="13" xfId="0" applyFont="1" applyBorder="1" applyAlignment="1">
      <alignment horizontal="left"/>
    </xf>
    <xf numFmtId="3" fontId="40" fillId="0" borderId="29" xfId="0" applyNumberFormat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left" vertical="center"/>
    </xf>
    <xf numFmtId="0" fontId="32" fillId="0" borderId="9" xfId="0" applyFont="1" applyBorder="1" applyAlignment="1">
      <alignment horizontal="left"/>
    </xf>
    <xf numFmtId="0" fontId="32" fillId="0" borderId="7" xfId="0" applyFont="1" applyBorder="1" applyAlignment="1">
      <alignment vertical="top" wrapText="1"/>
    </xf>
    <xf numFmtId="0" fontId="44" fillId="0" borderId="0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0" fontId="44" fillId="13" borderId="15" xfId="0" applyFont="1" applyFill="1" applyBorder="1" applyAlignment="1">
      <alignment horizontal="center" vertical="center" wrapText="1"/>
    </xf>
    <xf numFmtId="0" fontId="44" fillId="13" borderId="13" xfId="0" applyFont="1" applyFill="1" applyBorder="1" applyAlignment="1">
      <alignment horizontal="center" vertical="center" wrapText="1"/>
    </xf>
    <xf numFmtId="166" fontId="44" fillId="13" borderId="15" xfId="0" applyNumberFormat="1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166" fontId="50" fillId="13" borderId="15" xfId="0" applyNumberFormat="1" applyFont="1" applyFill="1" applyBorder="1" applyAlignment="1">
      <alignment horizontal="center" vertical="center" wrapText="1"/>
    </xf>
    <xf numFmtId="166" fontId="50" fillId="13" borderId="11" xfId="0" applyNumberFormat="1" applyFont="1" applyFill="1" applyBorder="1" applyAlignment="1">
      <alignment horizontal="center" vertical="center" wrapText="1"/>
    </xf>
    <xf numFmtId="166" fontId="50" fillId="13" borderId="38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18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/>
    <xf numFmtId="0" fontId="30" fillId="0" borderId="7" xfId="2" applyFont="1" applyFill="1" applyBorder="1" applyAlignment="1">
      <alignment vertical="center" wrapText="1"/>
    </xf>
    <xf numFmtId="0" fontId="31" fillId="0" borderId="7" xfId="0" applyFont="1" applyFill="1" applyBorder="1" applyAlignment="1"/>
    <xf numFmtId="0" fontId="31" fillId="0" borderId="0" xfId="0" applyFont="1" applyFill="1" applyAlignment="1"/>
    <xf numFmtId="0" fontId="18" fillId="15" borderId="2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left"/>
    </xf>
    <xf numFmtId="0" fontId="31" fillId="15" borderId="7" xfId="0" applyFont="1" applyFill="1" applyBorder="1" applyAlignment="1"/>
    <xf numFmtId="0" fontId="0" fillId="15" borderId="0" xfId="0" applyFill="1" applyAlignment="1"/>
    <xf numFmtId="0" fontId="0" fillId="15" borderId="0" xfId="0" applyFill="1"/>
    <xf numFmtId="0" fontId="18" fillId="15" borderId="1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 vertical="center"/>
    </xf>
    <xf numFmtId="0" fontId="18" fillId="15" borderId="14" xfId="2" applyFont="1" applyFill="1" applyBorder="1" applyAlignment="1">
      <alignment horizontal="left" vertical="center"/>
    </xf>
    <xf numFmtId="0" fontId="28" fillId="0" borderId="11" xfId="0" applyFont="1" applyFill="1" applyBorder="1" applyAlignment="1"/>
    <xf numFmtId="0" fontId="28" fillId="0" borderId="12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28" fillId="0" borderId="7" xfId="0" applyFont="1" applyFill="1" applyBorder="1" applyAlignment="1"/>
    <xf numFmtId="0" fontId="28" fillId="0" borderId="0" xfId="0" applyFont="1" applyFill="1" applyBorder="1" applyAlignment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18" xfId="0" applyFill="1" applyBorder="1"/>
    <xf numFmtId="0" fontId="10" fillId="3" borderId="5" xfId="0" applyFont="1" applyFill="1" applyBorder="1" applyAlignment="1"/>
    <xf numFmtId="0" fontId="0" fillId="7" borderId="19" xfId="0" applyFill="1" applyBorder="1"/>
    <xf numFmtId="0" fontId="10" fillId="7" borderId="0" xfId="0" applyFont="1" applyFill="1" applyBorder="1" applyAlignment="1"/>
    <xf numFmtId="0" fontId="0" fillId="0" borderId="22" xfId="0" applyBorder="1"/>
    <xf numFmtId="0" fontId="0" fillId="0" borderId="19" xfId="0" applyBorder="1"/>
    <xf numFmtId="0" fontId="10" fillId="3" borderId="0" xfId="0" applyFont="1" applyFill="1" applyBorder="1" applyAlignment="1"/>
    <xf numFmtId="0" fontId="0" fillId="7" borderId="0" xfId="0" applyFill="1" applyBorder="1" applyAlignment="1"/>
    <xf numFmtId="0" fontId="0" fillId="7" borderId="22" xfId="0" applyFill="1" applyBorder="1" applyAlignment="1"/>
    <xf numFmtId="0" fontId="0" fillId="0" borderId="22" xfId="0" applyBorder="1" applyAlignment="1"/>
    <xf numFmtId="0" fontId="0" fillId="0" borderId="22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28" fillId="7" borderId="0" xfId="0" applyFont="1" applyFill="1" applyBorder="1"/>
    <xf numFmtId="0" fontId="28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Border="1"/>
    <xf numFmtId="0" fontId="29" fillId="7" borderId="0" xfId="0" applyFont="1" applyFill="1" applyBorder="1" applyAlignment="1"/>
    <xf numFmtId="0" fontId="29" fillId="0" borderId="0" xfId="0" applyFont="1" applyFill="1" applyBorder="1" applyAlignment="1"/>
    <xf numFmtId="0" fontId="0" fillId="0" borderId="19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6" fillId="0" borderId="0" xfId="0" applyFont="1"/>
    <xf numFmtId="0" fontId="25" fillId="7" borderId="14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6" fillId="16" borderId="0" xfId="0" applyFont="1" applyFill="1"/>
    <xf numFmtId="0" fontId="20" fillId="16" borderId="0" xfId="0" applyFont="1" applyFill="1"/>
    <xf numFmtId="0" fontId="20" fillId="16" borderId="0" xfId="8" applyFont="1" applyFill="1"/>
    <xf numFmtId="0" fontId="10" fillId="17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0" fillId="0" borderId="0" xfId="0" applyFont="1" applyFill="1" applyBorder="1" applyAlignment="1"/>
    <xf numFmtId="0" fontId="25" fillId="6" borderId="8" xfId="0" applyFont="1" applyFill="1" applyBorder="1" applyAlignment="1"/>
    <xf numFmtId="0" fontId="26" fillId="0" borderId="0" xfId="0" applyFont="1" applyFill="1"/>
    <xf numFmtId="0" fontId="28" fillId="16" borderId="0" xfId="0" applyFont="1" applyFill="1" applyAlignment="1"/>
    <xf numFmtId="0" fontId="19" fillId="3" borderId="8" xfId="0" applyFont="1" applyFill="1" applyBorder="1" applyAlignment="1"/>
    <xf numFmtId="0" fontId="25" fillId="0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6" fillId="16" borderId="12" xfId="0" applyFont="1" applyFill="1" applyBorder="1"/>
    <xf numFmtId="0" fontId="26" fillId="16" borderId="0" xfId="0" applyFont="1" applyFill="1" applyBorder="1"/>
    <xf numFmtId="0" fontId="20" fillId="16" borderId="0" xfId="0" applyFont="1" applyFill="1" applyBorder="1"/>
    <xf numFmtId="0" fontId="0" fillId="16" borderId="0" xfId="0" applyFill="1" applyBorder="1"/>
    <xf numFmtId="0" fontId="13" fillId="0" borderId="0" xfId="2" applyBorder="1"/>
    <xf numFmtId="0" fontId="18" fillId="0" borderId="0" xfId="2" applyFont="1" applyAlignment="1">
      <alignment horizontal="left"/>
    </xf>
    <xf numFmtId="14" fontId="30" fillId="0" borderId="0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vertical="center"/>
    </xf>
    <xf numFmtId="4" fontId="18" fillId="0" borderId="0" xfId="2" applyNumberFormat="1" applyFont="1" applyBorder="1" applyAlignment="1">
      <alignment horizontal="center" vertical="center"/>
    </xf>
    <xf numFmtId="0" fontId="59" fillId="6" borderId="0" xfId="2" applyFont="1" applyFill="1" applyBorder="1" applyAlignment="1">
      <alignment vertical="center"/>
    </xf>
    <xf numFmtId="4" fontId="18" fillId="2" borderId="0" xfId="2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59" fillId="6" borderId="37" xfId="2" applyFont="1" applyFill="1" applyBorder="1" applyAlignment="1">
      <alignment vertical="center"/>
    </xf>
    <xf numFmtId="0" fontId="59" fillId="6" borderId="8" xfId="2" applyFont="1" applyFill="1" applyBorder="1" applyAlignment="1">
      <alignment vertical="center"/>
    </xf>
    <xf numFmtId="4" fontId="54" fillId="0" borderId="14" xfId="2" applyNumberFormat="1" applyFont="1" applyFill="1" applyBorder="1" applyAlignment="1">
      <alignment vertical="center"/>
    </xf>
    <xf numFmtId="2" fontId="54" fillId="0" borderId="14" xfId="2" applyNumberFormat="1" applyFont="1" applyFill="1" applyBorder="1" applyAlignment="1">
      <alignment vertical="center"/>
    </xf>
    <xf numFmtId="0" fontId="30" fillId="0" borderId="30" xfId="2" applyFont="1" applyFill="1" applyBorder="1" applyAlignment="1">
      <alignment horizontal="center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0" fontId="54" fillId="0" borderId="14" xfId="2" applyNumberFormat="1" applyFont="1" applyFill="1" applyBorder="1" applyAlignment="1">
      <alignment horizontal="center" vertical="center"/>
    </xf>
    <xf numFmtId="172" fontId="54" fillId="0" borderId="14" xfId="9" applyNumberFormat="1" applyFont="1" applyFill="1" applyBorder="1" applyAlignment="1">
      <alignment horizontal="center" vertical="center"/>
    </xf>
    <xf numFmtId="9" fontId="41" fillId="0" borderId="13" xfId="2" applyNumberFormat="1" applyFont="1" applyFill="1" applyBorder="1" applyAlignment="1">
      <alignment horizontal="center" vertical="center"/>
    </xf>
    <xf numFmtId="9" fontId="30" fillId="0" borderId="42" xfId="2" applyNumberFormat="1" applyFont="1" applyFill="1" applyBorder="1" applyAlignment="1">
      <alignment horizontal="center" vertical="center"/>
    </xf>
    <xf numFmtId="0" fontId="54" fillId="0" borderId="9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/>
    </xf>
    <xf numFmtId="0" fontId="18" fillId="2" borderId="0" xfId="2" applyNumberFormat="1" applyFont="1" applyFill="1" applyBorder="1" applyAlignment="1">
      <alignment horizontal="center"/>
    </xf>
    <xf numFmtId="165" fontId="30" fillId="3" borderId="33" xfId="2" applyNumberFormat="1" applyFont="1" applyFill="1" applyBorder="1" applyAlignment="1">
      <alignment horizontal="center" vertical="center"/>
    </xf>
    <xf numFmtId="165" fontId="30" fillId="3" borderId="32" xfId="2" applyNumberFormat="1" applyFont="1" applyFill="1" applyBorder="1" applyAlignment="1">
      <alignment horizontal="center" vertical="center"/>
    </xf>
    <xf numFmtId="165" fontId="30" fillId="3" borderId="39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9" fontId="30" fillId="0" borderId="11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4" fontId="41" fillId="0" borderId="0" xfId="2" applyNumberFormat="1" applyFont="1" applyFill="1" applyBorder="1" applyAlignment="1">
      <alignment horizontal="center" vertical="center"/>
    </xf>
    <xf numFmtId="165" fontId="30" fillId="3" borderId="40" xfId="2" applyNumberFormat="1" applyFont="1" applyFill="1" applyBorder="1" applyAlignment="1">
      <alignment horizontal="center" vertical="center"/>
    </xf>
    <xf numFmtId="4" fontId="41" fillId="0" borderId="14" xfId="2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3" fontId="39" fillId="0" borderId="0" xfId="2" applyNumberFormat="1" applyFont="1" applyFill="1" applyBorder="1" applyAlignment="1">
      <alignment vertical="center"/>
    </xf>
    <xf numFmtId="9" fontId="18" fillId="7" borderId="0" xfId="2" applyNumberFormat="1" applyFont="1" applyFill="1" applyAlignment="1">
      <alignment horizontal="center" wrapText="1"/>
    </xf>
    <xf numFmtId="10" fontId="18" fillId="12" borderId="14" xfId="2" applyNumberFormat="1" applyFont="1" applyFill="1" applyBorder="1" applyAlignment="1">
      <alignment horizontal="center" wrapText="1"/>
    </xf>
    <xf numFmtId="0" fontId="30" fillId="0" borderId="0" xfId="2" applyFont="1" applyFill="1" applyBorder="1" applyAlignment="1">
      <alignment horizontal="center" vertical="center"/>
    </xf>
    <xf numFmtId="43" fontId="18" fillId="2" borderId="19" xfId="2" applyNumberFormat="1" applyFont="1" applyFill="1" applyBorder="1" applyAlignment="1">
      <alignment horizontal="center" vertical="center"/>
    </xf>
    <xf numFmtId="43" fontId="18" fillId="0" borderId="19" xfId="2" applyNumberFormat="1" applyFont="1" applyBorder="1" applyAlignment="1">
      <alignment horizontal="center" vertical="center"/>
    </xf>
    <xf numFmtId="43" fontId="18" fillId="2" borderId="25" xfId="2" applyNumberFormat="1" applyFont="1" applyFill="1" applyBorder="1" applyAlignment="1">
      <alignment horizontal="center" vertical="center"/>
    </xf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0" fillId="0" borderId="0" xfId="0" applyFill="1"/>
    <xf numFmtId="0" fontId="0" fillId="0" borderId="14" xfId="0" applyFill="1" applyBorder="1"/>
    <xf numFmtId="0" fontId="0" fillId="0" borderId="0" xfId="0"/>
    <xf numFmtId="0" fontId="0" fillId="0" borderId="0" xfId="0" applyAlignment="1">
      <alignment vertical="center" wrapText="1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 applyAlignment="1"/>
    <xf numFmtId="0" fontId="18" fillId="12" borderId="14" xfId="2" applyNumberFormat="1" applyFont="1" applyFill="1" applyBorder="1" applyAlignment="1">
      <alignment horizontal="center" wrapText="1"/>
    </xf>
    <xf numFmtId="2" fontId="32" fillId="0" borderId="14" xfId="0" applyNumberFormat="1" applyFont="1" applyFill="1" applyBorder="1"/>
    <xf numFmtId="4" fontId="32" fillId="0" borderId="14" xfId="0" applyNumberFormat="1" applyFont="1" applyFill="1" applyBorder="1"/>
    <xf numFmtId="0" fontId="0" fillId="5" borderId="24" xfId="0" applyFill="1" applyBorder="1"/>
    <xf numFmtId="0" fontId="30" fillId="0" borderId="0" xfId="2" applyFont="1" applyFill="1" applyBorder="1" applyAlignment="1">
      <alignment horizontal="center" vertical="center"/>
    </xf>
    <xf numFmtId="165" fontId="30" fillId="3" borderId="18" xfId="2" applyNumberFormat="1" applyFont="1" applyFill="1" applyBorder="1" applyAlignment="1">
      <alignment horizontal="center" vertical="center"/>
    </xf>
    <xf numFmtId="165" fontId="30" fillId="3" borderId="5" xfId="2" applyNumberFormat="1" applyFont="1" applyFill="1" applyBorder="1" applyAlignment="1">
      <alignment horizontal="center" vertical="center"/>
    </xf>
    <xf numFmtId="166" fontId="50" fillId="0" borderId="0" xfId="0" applyNumberFormat="1" applyFont="1" applyFill="1" applyBorder="1" applyAlignment="1">
      <alignment horizontal="center" vertical="center" wrapText="1"/>
    </xf>
    <xf numFmtId="4" fontId="18" fillId="2" borderId="26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2" fontId="32" fillId="0" borderId="31" xfId="0" applyNumberFormat="1" applyFont="1" applyFill="1" applyBorder="1"/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19" xfId="0" applyBorder="1"/>
    <xf numFmtId="4" fontId="32" fillId="0" borderId="31" xfId="0" applyNumberFormat="1" applyFont="1" applyFill="1" applyBorder="1"/>
    <xf numFmtId="43" fontId="18" fillId="2" borderId="0" xfId="2" applyNumberFormat="1" applyFont="1" applyFill="1" applyBorder="1" applyAlignment="1">
      <alignment vertical="center"/>
    </xf>
    <xf numFmtId="43" fontId="18" fillId="0" borderId="0" xfId="2" applyNumberFormat="1" applyFont="1" applyBorder="1" applyAlignment="1">
      <alignment vertical="center"/>
    </xf>
    <xf numFmtId="43" fontId="18" fillId="2" borderId="26" xfId="2" applyNumberFormat="1" applyFont="1" applyFill="1" applyBorder="1" applyAlignment="1">
      <alignment vertical="center"/>
    </xf>
    <xf numFmtId="0" fontId="30" fillId="0" borderId="0" xfId="2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43" fontId="18" fillId="0" borderId="0" xfId="2" applyNumberFormat="1" applyFont="1" applyBorder="1" applyAlignment="1">
      <alignment horizontal="center" vertical="center"/>
    </xf>
    <xf numFmtId="43" fontId="18" fillId="2" borderId="26" xfId="2" applyNumberFormat="1" applyFont="1" applyFill="1" applyBorder="1" applyAlignment="1">
      <alignment horizontal="center" vertical="center"/>
    </xf>
    <xf numFmtId="165" fontId="30" fillId="3" borderId="61" xfId="2" applyNumberFormat="1" applyFont="1" applyFill="1" applyBorder="1" applyAlignment="1">
      <alignment horizontal="center" vertical="center"/>
    </xf>
    <xf numFmtId="165" fontId="30" fillId="3" borderId="62" xfId="2" applyNumberFormat="1" applyFont="1" applyFill="1" applyBorder="1" applyAlignment="1">
      <alignment horizontal="center" vertical="center"/>
    </xf>
    <xf numFmtId="165" fontId="30" fillId="3" borderId="3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left" vertical="top"/>
    </xf>
    <xf numFmtId="8" fontId="0" fillId="0" borderId="0" xfId="0" applyNumberFormat="1" applyBorder="1"/>
    <xf numFmtId="175" fontId="0" fillId="4" borderId="0" xfId="0" applyNumberFormat="1" applyFill="1" applyBorder="1" applyAlignment="1"/>
    <xf numFmtId="175" fontId="0" fillId="0" borderId="0" xfId="0" applyNumberFormat="1" applyFill="1" applyBorder="1" applyAlignment="1"/>
    <xf numFmtId="165" fontId="0" fillId="0" borderId="0" xfId="0" applyNumberFormat="1" applyFont="1" applyBorder="1"/>
    <xf numFmtId="0" fontId="20" fillId="0" borderId="0" xfId="2" applyFont="1" applyBorder="1" applyAlignment="1">
      <alignment vertical="center" wrapText="1"/>
    </xf>
    <xf numFmtId="0" fontId="96" fillId="0" borderId="18" xfId="0" applyFont="1" applyFill="1" applyBorder="1" applyAlignment="1">
      <alignment horizontal="center"/>
    </xf>
    <xf numFmtId="0" fontId="96" fillId="0" borderId="5" xfId="0" applyFont="1" applyFill="1" applyBorder="1" applyAlignment="1">
      <alignment horizontal="center"/>
    </xf>
    <xf numFmtId="4" fontId="58" fillId="0" borderId="19" xfId="0" applyNumberFormat="1" applyFont="1" applyFill="1" applyBorder="1" applyAlignment="1">
      <alignment horizontal="center" vertical="center" wrapText="1"/>
    </xf>
    <xf numFmtId="9" fontId="58" fillId="0" borderId="19" xfId="0" applyNumberFormat="1" applyFont="1" applyFill="1" applyBorder="1" applyAlignment="1">
      <alignment horizontal="center" vertical="center" wrapText="1"/>
    </xf>
    <xf numFmtId="4" fontId="58" fillId="0" borderId="0" xfId="0" applyNumberFormat="1" applyFont="1" applyFill="1" applyBorder="1" applyAlignment="1">
      <alignment horizontal="center" vertical="center" wrapText="1"/>
    </xf>
    <xf numFmtId="9" fontId="58" fillId="0" borderId="25" xfId="0" applyNumberFormat="1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0" fillId="20" borderId="21" xfId="0" applyFill="1" applyBorder="1"/>
    <xf numFmtId="165" fontId="30" fillId="0" borderId="0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top" wrapText="1"/>
    </xf>
    <xf numFmtId="0" fontId="32" fillId="0" borderId="14" xfId="0" applyNumberFormat="1" applyFont="1" applyFill="1" applyBorder="1"/>
    <xf numFmtId="0" fontId="0" fillId="0" borderId="0" xfId="0" applyAlignment="1">
      <alignment horizontal="center"/>
    </xf>
    <xf numFmtId="0" fontId="62" fillId="0" borderId="0" xfId="0" applyFont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18" fillId="0" borderId="14" xfId="9" applyNumberFormat="1" applyFont="1" applyFill="1" applyBorder="1" applyAlignment="1">
      <alignment horizontal="left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2" fontId="54" fillId="0" borderId="38" xfId="2" applyNumberFormat="1" applyFont="1" applyFill="1" applyBorder="1" applyAlignment="1">
      <alignment vertical="center"/>
    </xf>
    <xf numFmtId="0" fontId="54" fillId="0" borderId="14" xfId="2" applyNumberFormat="1" applyFont="1" applyFill="1" applyBorder="1" applyAlignment="1">
      <alignment vertical="center"/>
    </xf>
    <xf numFmtId="166" fontId="50" fillId="0" borderId="0" xfId="0" applyNumberFormat="1" applyFont="1" applyFill="1" applyBorder="1" applyAlignment="1">
      <alignment vertical="center" wrapText="1"/>
    </xf>
    <xf numFmtId="4" fontId="54" fillId="0" borderId="35" xfId="2" applyNumberFormat="1" applyFont="1" applyFill="1" applyBorder="1" applyAlignment="1">
      <alignment vertical="center"/>
    </xf>
    <xf numFmtId="165" fontId="18" fillId="0" borderId="0" xfId="2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/>
    </xf>
    <xf numFmtId="0" fontId="32" fillId="0" borderId="7" xfId="0" applyFont="1" applyBorder="1" applyAlignment="1">
      <alignment horizontal="center" vertical="top" wrapText="1"/>
    </xf>
    <xf numFmtId="14" fontId="29" fillId="0" borderId="0" xfId="0" applyNumberFormat="1" applyFont="1" applyBorder="1" applyAlignment="1">
      <alignment horizontal="center"/>
    </xf>
    <xf numFmtId="167" fontId="18" fillId="0" borderId="0" xfId="2" applyNumberFormat="1" applyFont="1" applyFill="1" applyBorder="1" applyAlignment="1">
      <alignment horizontal="left"/>
    </xf>
    <xf numFmtId="172" fontId="54" fillId="0" borderId="17" xfId="9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left"/>
    </xf>
    <xf numFmtId="0" fontId="30" fillId="0" borderId="0" xfId="2" applyFont="1" applyBorder="1" applyAlignment="1">
      <alignment vertical="center"/>
    </xf>
    <xf numFmtId="0" fontId="54" fillId="0" borderId="9" xfId="2" applyFont="1" applyFill="1" applyBorder="1" applyAlignment="1">
      <alignment vertical="center"/>
    </xf>
    <xf numFmtId="3" fontId="54" fillId="0" borderId="17" xfId="2" applyNumberFormat="1" applyFont="1" applyFill="1" applyBorder="1" applyAlignment="1">
      <alignment horizontal="center" vertical="center"/>
    </xf>
    <xf numFmtId="1" fontId="60" fillId="0" borderId="17" xfId="2" applyNumberFormat="1" applyFont="1" applyFill="1" applyBorder="1" applyAlignment="1">
      <alignment horizontal="center" vertical="center"/>
    </xf>
    <xf numFmtId="0" fontId="61" fillId="0" borderId="5" xfId="2" applyFont="1" applyFill="1" applyBorder="1" applyAlignment="1">
      <alignment vertical="center" wrapText="1"/>
    </xf>
    <xf numFmtId="0" fontId="61" fillId="0" borderId="0" xfId="2" applyFont="1" applyFill="1" applyBorder="1" applyAlignment="1">
      <alignment vertical="center" wrapText="1"/>
    </xf>
    <xf numFmtId="0" fontId="61" fillId="0" borderId="25" xfId="2" applyFont="1" applyFill="1" applyBorder="1" applyAlignment="1">
      <alignment vertical="center" wrapText="1"/>
    </xf>
    <xf numFmtId="0" fontId="61" fillId="0" borderId="26" xfId="2" applyFont="1" applyFill="1" applyBorder="1" applyAlignment="1">
      <alignment vertical="center" wrapText="1"/>
    </xf>
    <xf numFmtId="0" fontId="18" fillId="2" borderId="3" xfId="2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 wrapText="1"/>
    </xf>
    <xf numFmtId="0" fontId="18" fillId="2" borderId="3" xfId="2" applyNumberFormat="1" applyFont="1" applyFill="1" applyBorder="1" applyAlignment="1">
      <alignment horizontal="center" vertical="center"/>
    </xf>
    <xf numFmtId="3" fontId="18" fillId="2" borderId="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left" vertical="center"/>
    </xf>
    <xf numFmtId="4" fontId="18" fillId="0" borderId="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61" fillId="0" borderId="41" xfId="2" applyFont="1" applyFill="1" applyBorder="1" applyAlignment="1">
      <alignment vertical="center" wrapText="1"/>
    </xf>
    <xf numFmtId="0" fontId="61" fillId="0" borderId="6" xfId="2" applyFont="1" applyFill="1" applyBorder="1" applyAlignment="1">
      <alignment vertical="center" wrapText="1"/>
    </xf>
    <xf numFmtId="0" fontId="61" fillId="0" borderId="63" xfId="2" applyFont="1" applyFill="1" applyBorder="1" applyAlignment="1">
      <alignment vertical="center" wrapText="1"/>
    </xf>
    <xf numFmtId="0" fontId="30" fillId="0" borderId="30" xfId="2" applyFont="1" applyBorder="1" applyAlignment="1">
      <alignment vertical="center"/>
    </xf>
    <xf numFmtId="0" fontId="30" fillId="0" borderId="31" xfId="2" applyFont="1" applyBorder="1" applyAlignment="1">
      <alignment vertical="center"/>
    </xf>
    <xf numFmtId="14" fontId="29" fillId="0" borderId="0" xfId="0" applyNumberFormat="1" applyFont="1" applyBorder="1" applyAlignment="1"/>
    <xf numFmtId="0" fontId="29" fillId="0" borderId="0" xfId="0" applyFont="1" applyBorder="1" applyAlignment="1"/>
    <xf numFmtId="0" fontId="37" fillId="0" borderId="7" xfId="0" applyFont="1" applyBorder="1" applyAlignment="1"/>
    <xf numFmtId="3" fontId="30" fillId="0" borderId="0" xfId="0" applyNumberFormat="1" applyFont="1" applyFill="1" applyBorder="1" applyAlignment="1">
      <alignment vertical="center"/>
    </xf>
    <xf numFmtId="168" fontId="0" fillId="0" borderId="5" xfId="0" applyNumberFormat="1" applyFill="1" applyBorder="1"/>
    <xf numFmtId="10" fontId="0" fillId="0" borderId="5" xfId="0" applyNumberFormat="1" applyFill="1" applyBorder="1"/>
    <xf numFmtId="0" fontId="0" fillId="0" borderId="5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 applyBorder="1" applyAlignment="1">
      <alignment vertical="center"/>
    </xf>
    <xf numFmtId="0" fontId="0" fillId="6" borderId="0" xfId="0" applyFill="1"/>
    <xf numFmtId="4" fontId="0" fillId="0" borderId="0" xfId="0" applyNumberFormat="1" applyFill="1" applyBorder="1"/>
    <xf numFmtId="177" fontId="0" fillId="0" borderId="0" xfId="0" applyNumberFormat="1" applyFill="1" applyBorder="1" applyAlignment="1">
      <alignment vertical="center"/>
    </xf>
    <xf numFmtId="4" fontId="0" fillId="7" borderId="0" xfId="0" applyNumberFormat="1" applyFill="1" applyBorder="1" applyAlignment="1">
      <alignment vertical="center"/>
    </xf>
    <xf numFmtId="168" fontId="0" fillId="5" borderId="0" xfId="0" applyNumberFormat="1" applyFill="1" applyBorder="1"/>
    <xf numFmtId="177" fontId="0" fillId="0" borderId="0" xfId="0" applyNumberForma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10" fontId="0" fillId="0" borderId="0" xfId="0" applyNumberFormat="1" applyFill="1" applyBorder="1"/>
    <xf numFmtId="4" fontId="0" fillId="0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22" xfId="0" applyFill="1" applyBorder="1"/>
    <xf numFmtId="0" fontId="0" fillId="6" borderId="19" xfId="0" applyFill="1" applyBorder="1"/>
    <xf numFmtId="0" fontId="0" fillId="0" borderId="0" xfId="0" applyFill="1" applyBorder="1"/>
    <xf numFmtId="0" fontId="0" fillId="0" borderId="0" xfId="0" applyFill="1"/>
    <xf numFmtId="0" fontId="0" fillId="0" borderId="5" xfId="0" applyBorder="1"/>
    <xf numFmtId="0" fontId="0" fillId="0" borderId="5" xfId="0" applyFill="1" applyBorder="1"/>
    <xf numFmtId="168" fontId="0" fillId="0" borderId="0" xfId="0" applyNumberFormat="1" applyBorder="1"/>
    <xf numFmtId="9" fontId="0" fillId="0" borderId="0" xfId="0" applyNumberFormat="1" applyFill="1" applyBorder="1"/>
    <xf numFmtId="0" fontId="0" fillId="0" borderId="1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4" fontId="0" fillId="0" borderId="0" xfId="0" applyNumberFormat="1" applyBorder="1"/>
    <xf numFmtId="0" fontId="0" fillId="0" borderId="0" xfId="0" applyFill="1" applyBorder="1" applyAlignment="1">
      <alignment vertical="center"/>
    </xf>
    <xf numFmtId="168" fontId="0" fillId="0" borderId="0" xfId="0" applyNumberFormat="1" applyFill="1" applyBorder="1"/>
    <xf numFmtId="0" fontId="54" fillId="0" borderId="0" xfId="2" applyFont="1" applyAlignment="1">
      <alignment horizontal="center" vertical="center" textRotation="180"/>
    </xf>
    <xf numFmtId="0" fontId="54" fillId="3" borderId="0" xfId="2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vertical="center"/>
    </xf>
    <xf numFmtId="171" fontId="54" fillId="18" borderId="14" xfId="9" applyNumberFormat="1" applyFont="1" applyFill="1" applyBorder="1" applyAlignment="1">
      <alignment horizontal="center"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/>
    </xf>
    <xf numFmtId="0" fontId="54" fillId="0" borderId="0" xfId="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4" xfId="2" applyNumberFormat="1" applyFont="1" applyFill="1" applyBorder="1" applyAlignment="1">
      <alignment horizontal="center" vertical="center" wrapText="1"/>
    </xf>
    <xf numFmtId="10" fontId="32" fillId="0" borderId="31" xfId="0" applyNumberFormat="1" applyFont="1" applyFill="1" applyBorder="1"/>
    <xf numFmtId="165" fontId="30" fillId="3" borderId="14" xfId="2" applyNumberFormat="1" applyFont="1" applyFill="1" applyBorder="1" applyAlignment="1">
      <alignment horizontal="left" vertical="center"/>
    </xf>
    <xf numFmtId="168" fontId="30" fillId="2" borderId="29" xfId="2" applyNumberFormat="1" applyFont="1" applyFill="1" applyBorder="1" applyAlignment="1">
      <alignment horizontal="center" vertical="center"/>
    </xf>
    <xf numFmtId="7" fontId="4" fillId="0" borderId="14" xfId="0" applyNumberFormat="1" applyFont="1" applyBorder="1" applyAlignment="1">
      <alignment vertical="center"/>
    </xf>
    <xf numFmtId="169" fontId="32" fillId="0" borderId="31" xfId="0" applyNumberFormat="1" applyFont="1" applyFill="1" applyBorder="1"/>
    <xf numFmtId="0" fontId="10" fillId="6" borderId="14" xfId="0" applyFont="1" applyFill="1" applyBorder="1" applyAlignment="1"/>
    <xf numFmtId="165" fontId="30" fillId="3" borderId="29" xfId="2" applyNumberFormat="1" applyFont="1" applyFill="1" applyBorder="1" applyAlignment="1">
      <alignment horizontal="center" vertical="center" wrapText="1"/>
    </xf>
    <xf numFmtId="0" fontId="32" fillId="0" borderId="0" xfId="0" applyNumberFormat="1" applyFont="1" applyFill="1" applyBorder="1"/>
    <xf numFmtId="9" fontId="30" fillId="0" borderId="0" xfId="2" applyNumberFormat="1" applyFont="1" applyFill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 wrapText="1"/>
    </xf>
    <xf numFmtId="0" fontId="18" fillId="0" borderId="0" xfId="2" applyNumberFormat="1" applyFont="1" applyFill="1" applyBorder="1" applyAlignment="1">
      <alignment horizontal="center"/>
    </xf>
    <xf numFmtId="0" fontId="30" fillId="2" borderId="0" xfId="2" applyNumberFormat="1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 wrapText="1"/>
    </xf>
    <xf numFmtId="43" fontId="18" fillId="0" borderId="0" xfId="2" applyNumberFormat="1" applyFont="1" applyFill="1" applyBorder="1" applyAlignment="1">
      <alignment vertical="center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/>
    <xf numFmtId="0" fontId="10" fillId="6" borderId="14" xfId="0" applyFont="1" applyFill="1" applyBorder="1" applyAlignment="1">
      <alignment horizontal="center" vertical="center"/>
    </xf>
    <xf numFmtId="0" fontId="13" fillId="0" borderId="1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4" fillId="0" borderId="0" xfId="2" applyFont="1" applyAlignment="1">
      <alignment horizontal="center" vertical="center" textRotation="180"/>
    </xf>
    <xf numFmtId="2" fontId="30" fillId="0" borderId="0" xfId="2" applyNumberFormat="1" applyFont="1" applyFill="1" applyBorder="1" applyAlignment="1">
      <alignment horizontal="center" vertical="center"/>
    </xf>
    <xf numFmtId="10" fontId="32" fillId="18" borderId="31" xfId="0" applyNumberFormat="1" applyFont="1" applyFill="1" applyBorder="1"/>
    <xf numFmtId="3" fontId="32" fillId="18" borderId="31" xfId="0" applyNumberFormat="1" applyFont="1" applyFill="1" applyBorder="1"/>
    <xf numFmtId="4" fontId="18" fillId="18" borderId="14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center" vertical="center"/>
    </xf>
    <xf numFmtId="10" fontId="32" fillId="18" borderId="14" xfId="0" applyNumberFormat="1" applyFont="1" applyFill="1" applyBorder="1"/>
    <xf numFmtId="2" fontId="32" fillId="18" borderId="31" xfId="0" applyNumberFormat="1" applyFont="1" applyFill="1" applyBorder="1"/>
    <xf numFmtId="4" fontId="54" fillId="0" borderId="31" xfId="2" applyNumberFormat="1" applyFont="1" applyFill="1" applyBorder="1" applyAlignment="1">
      <alignment vertical="center"/>
    </xf>
    <xf numFmtId="10" fontId="41" fillId="0" borderId="29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171" fontId="54" fillId="0" borderId="14" xfId="9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4" fontId="18" fillId="0" borderId="0" xfId="2" applyNumberFormat="1" applyFont="1" applyFill="1" applyAlignment="1">
      <alignment vertical="center" wrapText="1"/>
    </xf>
    <xf numFmtId="0" fontId="12" fillId="0" borderId="14" xfId="0" applyFont="1" applyFill="1" applyBorder="1" applyAlignment="1">
      <alignment horizontal="left" vertical="top" wrapText="1"/>
    </xf>
    <xf numFmtId="22" fontId="4" fillId="0" borderId="0" xfId="0" applyNumberFormat="1" applyFont="1" applyAlignment="1">
      <alignment horizontal="left" vertical="center"/>
    </xf>
    <xf numFmtId="2" fontId="32" fillId="18" borderId="14" xfId="0" applyNumberFormat="1" applyFont="1" applyFill="1" applyBorder="1"/>
    <xf numFmtId="4" fontId="32" fillId="18" borderId="14" xfId="0" applyNumberFormat="1" applyFont="1" applyFill="1" applyBorder="1"/>
    <xf numFmtId="165" fontId="30" fillId="3" borderId="0" xfId="2" applyNumberFormat="1" applyFont="1" applyFill="1" applyBorder="1" applyAlignment="1">
      <alignment horizontal="center" vertical="center"/>
    </xf>
    <xf numFmtId="4" fontId="32" fillId="18" borderId="31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7" fontId="54" fillId="0" borderId="14" xfId="9" applyNumberFormat="1" applyFont="1" applyFill="1" applyBorder="1" applyAlignment="1">
      <alignment horizontal="left" vertical="center"/>
    </xf>
    <xf numFmtId="0" fontId="32" fillId="18" borderId="14" xfId="0" applyFont="1" applyFill="1" applyBorder="1"/>
    <xf numFmtId="3" fontId="18" fillId="18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/>
    </xf>
    <xf numFmtId="0" fontId="0" fillId="0" borderId="29" xfId="0" applyFill="1" applyBorder="1"/>
    <xf numFmtId="0" fontId="30" fillId="2" borderId="0" xfId="2" applyFont="1" applyFill="1" applyBorder="1" applyAlignment="1">
      <alignment horizontal="center" wrapText="1"/>
    </xf>
    <xf numFmtId="0" fontId="18" fillId="2" borderId="0" xfId="2" applyFont="1" applyFill="1" applyBorder="1" applyAlignment="1">
      <alignment horizontal="center" wrapText="1"/>
    </xf>
    <xf numFmtId="165" fontId="30" fillId="3" borderId="7" xfId="2" applyNumberFormat="1" applyFont="1" applyFill="1" applyBorder="1" applyAlignment="1">
      <alignment horizontal="center" vertical="center" wrapText="1"/>
    </xf>
    <xf numFmtId="0" fontId="0" fillId="0" borderId="0" xfId="0"/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0" fillId="0" borderId="19" xfId="0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8" fillId="5" borderId="14" xfId="0" applyFont="1" applyFill="1" applyBorder="1"/>
    <xf numFmtId="4" fontId="54" fillId="0" borderId="29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vertical="top" wrapText="1"/>
    </xf>
    <xf numFmtId="0" fontId="4" fillId="0" borderId="8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vertical="center"/>
    </xf>
    <xf numFmtId="0" fontId="1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0" fillId="17" borderId="19" xfId="0" applyFill="1" applyBorder="1"/>
    <xf numFmtId="0" fontId="0" fillId="17" borderId="0" xfId="0" applyFill="1" applyBorder="1" applyAlignment="1">
      <alignment vertical="center"/>
    </xf>
    <xf numFmtId="0" fontId="0" fillId="17" borderId="0" xfId="0" applyFill="1" applyBorder="1"/>
    <xf numFmtId="177" fontId="0" fillId="17" borderId="0" xfId="0" applyNumberFormat="1" applyFill="1" applyBorder="1" applyAlignment="1">
      <alignment vertical="center"/>
    </xf>
    <xf numFmtId="10" fontId="0" fillId="17" borderId="0" xfId="0" applyNumberFormat="1" applyFill="1" applyBorder="1"/>
    <xf numFmtId="4" fontId="0" fillId="17" borderId="0" xfId="0" applyNumberFormat="1" applyFill="1" applyBorder="1"/>
    <xf numFmtId="4" fontId="0" fillId="17" borderId="0" xfId="0" applyNumberFormat="1" applyFill="1" applyBorder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17" borderId="0" xfId="0" applyFill="1"/>
    <xf numFmtId="0" fontId="0" fillId="17" borderId="22" xfId="0" applyFill="1" applyBorder="1"/>
    <xf numFmtId="0" fontId="108" fillId="4" borderId="14" xfId="0" applyFont="1" applyFill="1" applyBorder="1" applyAlignment="1">
      <alignment vertical="center"/>
    </xf>
    <xf numFmtId="4" fontId="108" fillId="4" borderId="14" xfId="0" applyNumberFormat="1" applyFont="1" applyFill="1" applyBorder="1" applyAlignment="1">
      <alignment vertical="center"/>
    </xf>
    <xf numFmtId="0" fontId="108" fillId="4" borderId="0" xfId="0" applyFont="1" applyFill="1" applyBorder="1" applyAlignment="1">
      <alignment vertical="center"/>
    </xf>
    <xf numFmtId="4" fontId="108" fillId="4" borderId="6" xfId="0" applyNumberFormat="1" applyFont="1" applyFill="1" applyBorder="1" applyAlignment="1">
      <alignment vertical="center"/>
    </xf>
    <xf numFmtId="0" fontId="108" fillId="4" borderId="8" xfId="0" applyFont="1" applyFill="1" applyBorder="1" applyAlignment="1">
      <alignment vertical="center"/>
    </xf>
    <xf numFmtId="4" fontId="108" fillId="4" borderId="9" xfId="0" applyNumberFormat="1" applyFont="1" applyFill="1" applyBorder="1" applyAlignment="1">
      <alignment vertical="center"/>
    </xf>
    <xf numFmtId="0" fontId="32" fillId="0" borderId="14" xfId="0" applyFont="1" applyFill="1" applyBorder="1"/>
    <xf numFmtId="0" fontId="4" fillId="0" borderId="0" xfId="0" applyFont="1" applyFill="1" applyBorder="1" applyAlignment="1">
      <alignment vertical="center"/>
    </xf>
    <xf numFmtId="0" fontId="98" fillId="0" borderId="10" xfId="0" applyFont="1" applyFill="1" applyBorder="1" applyAlignment="1">
      <alignment vertical="center"/>
    </xf>
    <xf numFmtId="0" fontId="98" fillId="0" borderId="8" xfId="0" applyFont="1" applyFill="1" applyBorder="1" applyAlignment="1">
      <alignment vertical="center"/>
    </xf>
    <xf numFmtId="181" fontId="18" fillId="0" borderId="16" xfId="2" applyNumberFormat="1" applyFont="1" applyFill="1" applyBorder="1" applyAlignment="1">
      <alignment horizontal="right" vertical="center"/>
    </xf>
    <xf numFmtId="0" fontId="1" fillId="0" borderId="0" xfId="0" applyFont="1" applyBorder="1" applyAlignment="1">
      <alignment vertical="center" wrapText="1"/>
    </xf>
    <xf numFmtId="14" fontId="4" fillId="0" borderId="0" xfId="0" applyNumberFormat="1" applyFont="1" applyBorder="1" applyAlignment="1">
      <alignment vertical="center"/>
    </xf>
    <xf numFmtId="4" fontId="5" fillId="0" borderId="0" xfId="0" applyNumberFormat="1" applyFont="1" applyBorder="1" applyAlignment="1">
      <alignment vertical="center"/>
    </xf>
    <xf numFmtId="167" fontId="30" fillId="78" borderId="26" xfId="2" applyNumberFormat="1" applyFont="1" applyFill="1" applyBorder="1" applyAlignment="1">
      <alignment horizontal="center"/>
    </xf>
    <xf numFmtId="167" fontId="106" fillId="0" borderId="12" xfId="2" applyNumberFormat="1" applyFont="1" applyFill="1" applyBorder="1" applyAlignment="1">
      <alignment vertical="center"/>
    </xf>
    <xf numFmtId="167" fontId="106" fillId="0" borderId="13" xfId="2" applyNumberFormat="1" applyFont="1" applyFill="1" applyBorder="1" applyAlignment="1">
      <alignment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65" xfId="0" applyFont="1" applyBorder="1" applyAlignment="1">
      <alignment vertical="center"/>
    </xf>
    <xf numFmtId="14" fontId="4" fillId="0" borderId="65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14" fontId="4" fillId="0" borderId="8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0" fontId="4" fillId="0" borderId="14" xfId="0" applyNumberFormat="1" applyFont="1" applyBorder="1" applyAlignment="1">
      <alignment vertical="center"/>
    </xf>
    <xf numFmtId="4" fontId="4" fillId="18" borderId="0" xfId="0" applyNumberFormat="1" applyFont="1" applyFill="1" applyAlignment="1">
      <alignment vertical="center" wrapText="1"/>
    </xf>
    <xf numFmtId="4" fontId="4" fillId="8" borderId="0" xfId="0" applyNumberFormat="1" applyFont="1" applyFill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0" fontId="4" fillId="8" borderId="0" xfId="0" applyFont="1" applyFill="1" applyAlignment="1">
      <alignment vertical="center"/>
    </xf>
    <xf numFmtId="3" fontId="5" fillId="0" borderId="0" xfId="0" applyNumberFormat="1" applyFont="1" applyFill="1" applyAlignment="1">
      <alignment vertical="center"/>
    </xf>
    <xf numFmtId="0" fontId="3" fillId="0" borderId="23" xfId="0" applyFont="1" applyBorder="1" applyAlignment="1">
      <alignment vertical="center"/>
    </xf>
    <xf numFmtId="4" fontId="4" fillId="17" borderId="0" xfId="0" applyNumberFormat="1" applyFont="1" applyFill="1" applyAlignment="1">
      <alignment vertical="center" wrapText="1"/>
    </xf>
    <xf numFmtId="0" fontId="0" fillId="0" borderId="0" xfId="0"/>
    <xf numFmtId="0" fontId="1" fillId="0" borderId="65" xfId="0" applyFont="1" applyBorder="1" applyAlignment="1">
      <alignment vertical="center" wrapText="1"/>
    </xf>
    <xf numFmtId="0" fontId="0" fillId="0" borderId="0" xfId="0"/>
    <xf numFmtId="14" fontId="0" fillId="0" borderId="0" xfId="0" applyNumberFormat="1"/>
    <xf numFmtId="22" fontId="0" fillId="0" borderId="0" xfId="0" applyNumberFormat="1"/>
    <xf numFmtId="0" fontId="10" fillId="2" borderId="15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10" fontId="18" fillId="0" borderId="14" xfId="0" applyNumberFormat="1" applyFont="1" applyFill="1" applyBorder="1" applyAlignment="1"/>
    <xf numFmtId="10" fontId="18" fillId="0" borderId="14" xfId="0" applyNumberFormat="1" applyFont="1" applyFill="1" applyBorder="1"/>
    <xf numFmtId="0" fontId="0" fillId="0" borderId="14" xfId="0" applyFont="1" applyFill="1" applyBorder="1" applyAlignment="1">
      <alignment horizontal="left" vertical="top"/>
    </xf>
    <xf numFmtId="0" fontId="0" fillId="0" borderId="14" xfId="0" applyFont="1" applyFill="1" applyBorder="1"/>
    <xf numFmtId="10" fontId="32" fillId="0" borderId="14" xfId="0" applyNumberFormat="1" applyFont="1" applyFill="1" applyBorder="1"/>
    <xf numFmtId="0" fontId="32" fillId="0" borderId="14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horizontal="left" vertical="top" wrapText="1"/>
    </xf>
    <xf numFmtId="0" fontId="18" fillId="0" borderId="14" xfId="0" applyNumberFormat="1" applyFont="1" applyFill="1" applyBorder="1" applyAlignment="1">
      <alignment horizontal="left" vertical="top"/>
    </xf>
    <xf numFmtId="0" fontId="18" fillId="0" borderId="14" xfId="0" applyNumberFormat="1" applyFont="1" applyFill="1" applyBorder="1" applyAlignment="1">
      <alignment wrapText="1"/>
    </xf>
    <xf numFmtId="10" fontId="18" fillId="0" borderId="14" xfId="0" applyNumberFormat="1" applyFont="1" applyFill="1" applyBorder="1" applyAlignment="1">
      <alignment wrapText="1"/>
    </xf>
    <xf numFmtId="3" fontId="18" fillId="0" borderId="14" xfId="0" applyNumberFormat="1" applyFont="1" applyFill="1" applyBorder="1" applyAlignment="1"/>
    <xf numFmtId="0" fontId="37" fillId="0" borderId="14" xfId="0" applyFont="1" applyFill="1" applyBorder="1" applyAlignment="1">
      <alignment horizontal="left" vertical="top" wrapText="1"/>
    </xf>
    <xf numFmtId="0" fontId="111" fillId="0" borderId="14" xfId="0" applyFont="1" applyFill="1" applyBorder="1"/>
    <xf numFmtId="0" fontId="18" fillId="0" borderId="14" xfId="0" applyNumberFormat="1" applyFont="1" applyFill="1" applyBorder="1" applyAlignment="1">
      <alignment horizontal="left" wrapText="1"/>
    </xf>
    <xf numFmtId="0" fontId="18" fillId="0" borderId="14" xfId="0" applyFont="1" applyFill="1" applyBorder="1" applyAlignment="1">
      <alignment horizontal="left"/>
    </xf>
    <xf numFmtId="0" fontId="17" fillId="0" borderId="14" xfId="3" applyFont="1" applyFill="1" applyBorder="1" applyAlignment="1" applyProtection="1"/>
    <xf numFmtId="0" fontId="18" fillId="5" borderId="14" xfId="0" applyNumberFormat="1" applyFont="1" applyFill="1" applyBorder="1" applyAlignment="1"/>
    <xf numFmtId="0" fontId="17" fillId="0" borderId="14" xfId="3" applyFont="1" applyFill="1" applyBorder="1" applyAlignment="1" applyProtection="1">
      <alignment vertical="center" wrapText="1"/>
    </xf>
    <xf numFmtId="10" fontId="18" fillId="5" borderId="14" xfId="0" applyNumberFormat="1" applyFont="1" applyFill="1" applyBorder="1" applyAlignment="1"/>
    <xf numFmtId="0" fontId="0" fillId="0" borderId="0" xfId="0" applyFont="1" applyFill="1" applyAlignment="1">
      <alignment vertical="center" wrapText="1"/>
    </xf>
    <xf numFmtId="0" fontId="112" fillId="0" borderId="14" xfId="0" applyFont="1" applyFill="1" applyBorder="1"/>
    <xf numFmtId="0" fontId="17" fillId="0" borderId="14" xfId="3" applyFill="1" applyBorder="1" applyAlignment="1" applyProtection="1">
      <alignment wrapText="1"/>
    </xf>
    <xf numFmtId="0" fontId="0" fillId="0" borderId="0" xfId="0" applyFont="1" applyFill="1"/>
    <xf numFmtId="0" fontId="32" fillId="5" borderId="14" xfId="0" applyFont="1" applyFill="1" applyBorder="1"/>
    <xf numFmtId="0" fontId="17" fillId="0" borderId="14" xfId="4" applyFont="1" applyFill="1" applyBorder="1" applyAlignment="1" applyProtection="1"/>
    <xf numFmtId="0" fontId="38" fillId="0" borderId="14" xfId="0" applyFont="1" applyFill="1" applyBorder="1"/>
    <xf numFmtId="3" fontId="17" fillId="0" borderId="14" xfId="4" applyNumberFormat="1" applyFont="1" applyFill="1" applyBorder="1" applyAlignment="1" applyProtection="1"/>
    <xf numFmtId="0" fontId="0" fillId="0" borderId="0" xfId="0" applyAlignment="1">
      <alignment vertical="center"/>
    </xf>
    <xf numFmtId="0" fontId="115" fillId="2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/>
    </xf>
    <xf numFmtId="0" fontId="0" fillId="0" borderId="0" xfId="0" applyNumberFormat="1"/>
    <xf numFmtId="14" fontId="0" fillId="5" borderId="0" xfId="0" applyNumberFormat="1" applyFill="1"/>
    <xf numFmtId="0" fontId="0" fillId="5" borderId="0" xfId="0" applyNumberFormat="1" applyFill="1"/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0" fillId="0" borderId="65" xfId="0" applyBorder="1"/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/>
    <xf numFmtId="7" fontId="54" fillId="0" borderId="14" xfId="9" applyNumberFormat="1" applyFont="1" applyFill="1" applyBorder="1" applyAlignment="1">
      <alignment horizontal="left" vertical="center"/>
    </xf>
    <xf numFmtId="3" fontId="12" fillId="6" borderId="14" xfId="0" applyNumberFormat="1" applyFont="1" applyFill="1" applyBorder="1" applyAlignment="1">
      <alignment horizontal="left" vertical="top" wrapText="1"/>
    </xf>
    <xf numFmtId="14" fontId="0" fillId="7" borderId="0" xfId="0" applyNumberFormat="1" applyFill="1" applyAlignment="1">
      <alignment horizontal="center"/>
    </xf>
    <xf numFmtId="14" fontId="18" fillId="0" borderId="14" xfId="0" applyNumberFormat="1" applyFont="1" applyFill="1" applyBorder="1" applyAlignment="1">
      <alignment horizontal="center"/>
    </xf>
    <xf numFmtId="3" fontId="4" fillId="0" borderId="8" xfId="0" applyNumberFormat="1" applyFont="1" applyBorder="1" applyAlignment="1">
      <alignment vertical="center" wrapText="1"/>
    </xf>
    <xf numFmtId="10" fontId="1" fillId="0" borderId="0" xfId="0" applyNumberFormat="1" applyFont="1" applyBorder="1" applyAlignment="1">
      <alignment vertical="center" wrapText="1"/>
    </xf>
    <xf numFmtId="3" fontId="4" fillId="0" borderId="0" xfId="0" applyNumberFormat="1" applyFont="1" applyBorder="1" applyAlignment="1">
      <alignment vertical="center" wrapText="1"/>
    </xf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4" xfId="0" applyBorder="1"/>
    <xf numFmtId="0" fontId="0" fillId="0" borderId="0" xfId="0" applyFill="1" applyBorder="1"/>
    <xf numFmtId="0" fontId="0" fillId="0" borderId="14" xfId="0" applyBorder="1" applyAlignment="1">
      <alignment horizontal="left"/>
    </xf>
    <xf numFmtId="0" fontId="32" fillId="0" borderId="14" xfId="0" applyFont="1" applyFill="1" applyBorder="1"/>
    <xf numFmtId="14" fontId="18" fillId="0" borderId="14" xfId="0" applyNumberFormat="1" applyFont="1" applyFill="1" applyBorder="1" applyAlignment="1">
      <alignment horizontal="center"/>
    </xf>
    <xf numFmtId="14" fontId="32" fillId="0" borderId="14" xfId="0" applyNumberFormat="1" applyFont="1" applyFill="1" applyBorder="1"/>
    <xf numFmtId="4" fontId="18" fillId="17" borderId="0" xfId="2" applyNumberFormat="1" applyFont="1" applyFill="1" applyBorder="1" applyAlignment="1">
      <alignment horizontal="center" vertical="center"/>
    </xf>
    <xf numFmtId="4" fontId="18" fillId="17" borderId="16" xfId="2" applyNumberFormat="1" applyFont="1" applyFill="1" applyBorder="1" applyAlignment="1">
      <alignment horizontal="center" vertical="center"/>
    </xf>
    <xf numFmtId="181" fontId="18" fillId="17" borderId="16" xfId="2" applyNumberFormat="1" applyFont="1" applyFill="1" applyBorder="1" applyAlignment="1">
      <alignment horizontal="right" vertical="center"/>
    </xf>
    <xf numFmtId="181" fontId="109" fillId="0" borderId="14" xfId="0" applyNumberFormat="1" applyFont="1" applyFill="1" applyBorder="1" applyAlignment="1">
      <alignment horizontal="center" vertical="center"/>
    </xf>
    <xf numFmtId="181" fontId="109" fillId="0" borderId="14" xfId="0" applyNumberFormat="1" applyFont="1" applyFill="1" applyBorder="1" applyAlignment="1">
      <alignment horizontal="right" vertical="center"/>
    </xf>
    <xf numFmtId="181" fontId="30" fillId="0" borderId="14" xfId="2" applyNumberFormat="1" applyFont="1" applyFill="1" applyBorder="1" applyAlignment="1">
      <alignment horizontal="center" vertical="center"/>
    </xf>
    <xf numFmtId="181" fontId="30" fillId="0" borderId="14" xfId="2" applyNumberFormat="1" applyFont="1" applyFill="1" applyBorder="1" applyAlignment="1">
      <alignment horizontal="right" vertical="center"/>
    </xf>
    <xf numFmtId="3" fontId="12" fillId="6" borderId="16" xfId="0" applyNumberFormat="1" applyFont="1" applyFill="1" applyBorder="1" applyAlignment="1">
      <alignment horizontal="left" vertical="top" wrapText="1"/>
    </xf>
    <xf numFmtId="181" fontId="4" fillId="0" borderId="17" xfId="0" applyNumberFormat="1" applyFont="1" applyBorder="1" applyAlignment="1">
      <alignment vertical="center"/>
    </xf>
    <xf numFmtId="181" fontId="4" fillId="0" borderId="14" xfId="0" applyNumberFormat="1" applyFont="1" applyBorder="1" applyAlignment="1">
      <alignment vertical="center"/>
    </xf>
    <xf numFmtId="181" fontId="5" fillId="4" borderId="14" xfId="0" applyNumberFormat="1" applyFont="1" applyFill="1" applyBorder="1" applyAlignment="1">
      <alignment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5" xfId="0" applyFont="1" applyFill="1" applyBorder="1" applyAlignment="1">
      <alignment horizontal="center" vertical="center"/>
    </xf>
    <xf numFmtId="0" fontId="30" fillId="2" borderId="67" xfId="0" applyFont="1" applyFill="1" applyBorder="1" applyAlignment="1">
      <alignment horizontal="center" vertical="center"/>
    </xf>
    <xf numFmtId="0" fontId="58" fillId="0" borderId="5" xfId="0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 wrapText="1"/>
    </xf>
    <xf numFmtId="4" fontId="58" fillId="0" borderId="75" xfId="0" applyNumberFormat="1" applyFont="1" applyFill="1" applyBorder="1" applyAlignment="1">
      <alignment horizontal="center" vertical="center" wrapText="1"/>
    </xf>
    <xf numFmtId="0" fontId="0" fillId="0" borderId="67" xfId="0" applyFill="1" applyBorder="1"/>
    <xf numFmtId="0" fontId="58" fillId="0" borderId="75" xfId="0" applyFont="1" applyFill="1" applyBorder="1" applyAlignment="1">
      <alignment vertical="center" wrapText="1"/>
    </xf>
    <xf numFmtId="1" fontId="41" fillId="0" borderId="14" xfId="2" applyNumberFormat="1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30" fillId="0" borderId="14" xfId="0" applyNumberFormat="1" applyFont="1" applyFill="1" applyBorder="1" applyAlignment="1"/>
    <xf numFmtId="0" fontId="32" fillId="0" borderId="14" xfId="0" applyFont="1" applyFill="1" applyBorder="1" applyAlignment="1">
      <alignment vertical="center" wrapText="1"/>
    </xf>
    <xf numFmtId="3" fontId="32" fillId="0" borderId="14" xfId="0" applyNumberFormat="1" applyFont="1" applyFill="1" applyBorder="1"/>
    <xf numFmtId="9" fontId="4" fillId="0" borderId="0" xfId="0" applyNumberFormat="1" applyFont="1" applyBorder="1" applyAlignment="1">
      <alignment vertical="center"/>
    </xf>
    <xf numFmtId="4" fontId="0" fillId="0" borderId="0" xfId="0" applyNumberFormat="1" applyFill="1"/>
    <xf numFmtId="2" fontId="54" fillId="7" borderId="14" xfId="2" applyNumberFormat="1" applyFont="1" applyFill="1" applyBorder="1" applyAlignment="1">
      <alignment vertical="center"/>
    </xf>
    <xf numFmtId="4" fontId="4" fillId="0" borderId="0" xfId="0" applyNumberFormat="1" applyFont="1" applyAlignment="1">
      <alignment vertical="center"/>
    </xf>
    <xf numFmtId="182" fontId="4" fillId="0" borderId="0" xfId="0" applyNumberFormat="1" applyFont="1" applyAlignment="1">
      <alignment vertical="center"/>
    </xf>
    <xf numFmtId="181" fontId="4" fillId="0" borderId="0" xfId="0" applyNumberFormat="1" applyFont="1" applyFill="1" applyBorder="1" applyAlignment="1">
      <alignment vertical="center"/>
    </xf>
    <xf numFmtId="168" fontId="0" fillId="6" borderId="0" xfId="0" applyNumberFormat="1" applyFill="1" applyBorder="1"/>
    <xf numFmtId="0" fontId="32" fillId="0" borderId="14" xfId="0" applyFont="1" applyFill="1" applyBorder="1"/>
    <xf numFmtId="0" fontId="17" fillId="0" borderId="14" xfId="3" applyFill="1" applyBorder="1" applyAlignment="1" applyProtection="1"/>
    <xf numFmtId="0" fontId="18" fillId="0" borderId="14" xfId="0" applyNumberFormat="1" applyFont="1" applyFill="1" applyBorder="1" applyAlignment="1"/>
    <xf numFmtId="0" fontId="17" fillId="0" borderId="14" xfId="3" applyFill="1" applyBorder="1" applyAlignment="1" applyProtection="1">
      <alignment vertical="center" wrapText="1"/>
    </xf>
    <xf numFmtId="170" fontId="119" fillId="0" borderId="17" xfId="2" applyNumberFormat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vertical="center" wrapText="1"/>
    </xf>
    <xf numFmtId="3" fontId="40" fillId="0" borderId="29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4" fontId="44" fillId="13" borderId="15" xfId="0" applyNumberFormat="1" applyFont="1" applyFill="1" applyBorder="1" applyAlignment="1">
      <alignment horizontal="center" vertical="center" wrapText="1"/>
    </xf>
    <xf numFmtId="0" fontId="32" fillId="0" borderId="14" xfId="0" applyFont="1" applyFill="1" applyBorder="1"/>
    <xf numFmtId="0" fontId="0" fillId="0" borderId="0" xfId="0"/>
    <xf numFmtId="0" fontId="3" fillId="2" borderId="14" xfId="0" applyFont="1" applyFill="1" applyBorder="1" applyAlignment="1">
      <alignment horizontal="center" vertical="center" wrapText="1"/>
    </xf>
    <xf numFmtId="0" fontId="118" fillId="80" borderId="14" xfId="0" applyFont="1" applyFill="1" applyBorder="1" applyAlignment="1">
      <alignment horizontal="center" vertical="center" wrapText="1"/>
    </xf>
    <xf numFmtId="179" fontId="0" fillId="0" borderId="14" xfId="0" applyNumberFormat="1" applyBorder="1"/>
    <xf numFmtId="4" fontId="117" fillId="80" borderId="14" xfId="0" applyNumberFormat="1" applyFont="1" applyFill="1" applyBorder="1" applyAlignment="1">
      <alignment horizontal="center" vertical="center" wrapText="1"/>
    </xf>
    <xf numFmtId="0" fontId="117" fillId="80" borderId="14" xfId="0" applyFont="1" applyFill="1" applyBorder="1" applyAlignment="1">
      <alignment horizontal="center" vertical="center" wrapText="1"/>
    </xf>
    <xf numFmtId="0" fontId="20" fillId="0" borderId="14" xfId="0" applyFont="1" applyBorder="1"/>
    <xf numFmtId="0" fontId="32" fillId="0" borderId="0" xfId="0" applyFont="1" applyFill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181" fontId="39" fillId="0" borderId="14" xfId="2" applyNumberFormat="1" applyFont="1" applyFill="1" applyBorder="1" applyAlignment="1">
      <alignment vertical="center"/>
    </xf>
    <xf numFmtId="14" fontId="18" fillId="0" borderId="15" xfId="0" applyNumberFormat="1" applyFont="1" applyFill="1" applyBorder="1" applyAlignment="1">
      <alignment horizontal="center"/>
    </xf>
    <xf numFmtId="3" fontId="39" fillId="6" borderId="14" xfId="2" applyNumberFormat="1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/>
    <xf numFmtId="0" fontId="18" fillId="0" borderId="14" xfId="0" applyFont="1" applyFill="1" applyBorder="1"/>
    <xf numFmtId="0" fontId="18" fillId="0" borderId="14" xfId="0" applyNumberFormat="1" applyFont="1" applyFill="1" applyBorder="1" applyAlignment="1"/>
    <xf numFmtId="0" fontId="18" fillId="0" borderId="14" xfId="0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0" fillId="0" borderId="14" xfId="0" applyNumberFormat="1" applyFont="1" applyFill="1" applyBorder="1" applyAlignment="1"/>
    <xf numFmtId="14" fontId="18" fillId="0" borderId="14" xfId="0" applyNumberFormat="1" applyFont="1" applyFill="1" applyBorder="1" applyAlignment="1">
      <alignment horizontal="center"/>
    </xf>
    <xf numFmtId="0" fontId="0" fillId="0" borderId="0" xfId="0"/>
    <xf numFmtId="0" fontId="32" fillId="0" borderId="14" xfId="0" applyFont="1" applyFill="1" applyBorder="1"/>
    <xf numFmtId="0" fontId="0" fillId="0" borderId="14" xfId="0" applyBorder="1"/>
    <xf numFmtId="0" fontId="26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3" fillId="0" borderId="10" xfId="1" applyBorder="1" applyAlignment="1">
      <alignment vertical="center" wrapText="1"/>
    </xf>
    <xf numFmtId="0" fontId="13" fillId="0" borderId="8" xfId="1" applyBorder="1" applyAlignment="1">
      <alignment vertical="center" wrapText="1"/>
    </xf>
    <xf numFmtId="0" fontId="13" fillId="0" borderId="9" xfId="1" applyBorder="1" applyAlignment="1">
      <alignment vertical="center" wrapText="1"/>
    </xf>
    <xf numFmtId="0" fontId="0" fillId="0" borderId="82" xfId="0" applyBorder="1" applyAlignment="1"/>
    <xf numFmtId="0" fontId="24" fillId="0" borderId="25" xfId="0" applyFont="1" applyBorder="1" applyAlignment="1">
      <alignment vertical="center" wrapText="1"/>
    </xf>
    <xf numFmtId="0" fontId="24" fillId="0" borderId="82" xfId="0" applyFont="1" applyBorder="1" applyAlignment="1">
      <alignment vertical="center" wrapText="1"/>
    </xf>
    <xf numFmtId="0" fontId="0" fillId="0" borderId="8" xfId="0" applyBorder="1" applyAlignment="1"/>
    <xf numFmtId="0" fontId="26" fillId="0" borderId="0" xfId="0" applyFont="1" applyBorder="1" applyAlignment="1">
      <alignment vertical="center" wrapText="1"/>
    </xf>
    <xf numFmtId="0" fontId="32" fillId="0" borderId="18" xfId="0" applyFont="1" applyFill="1" applyBorder="1"/>
    <xf numFmtId="0" fontId="26" fillId="0" borderId="64" xfId="0" applyFont="1" applyBorder="1" applyAlignment="1">
      <alignment vertical="center"/>
    </xf>
    <xf numFmtId="0" fontId="0" fillId="3" borderId="0" xfId="0" applyFill="1"/>
    <xf numFmtId="0" fontId="32" fillId="0" borderId="26" xfId="0" applyFont="1" applyBorder="1"/>
    <xf numFmtId="176" fontId="32" fillId="18" borderId="9" xfId="0" applyNumberFormat="1" applyFont="1" applyFill="1" applyBorder="1"/>
    <xf numFmtId="4" fontId="32" fillId="5" borderId="20" xfId="0" applyNumberFormat="1" applyFont="1" applyFill="1" applyBorder="1"/>
    <xf numFmtId="4" fontId="31" fillId="0" borderId="2" xfId="0" applyNumberFormat="1" applyFont="1" applyFill="1" applyBorder="1"/>
    <xf numFmtId="176" fontId="31" fillId="17" borderId="2" xfId="0" applyNumberFormat="1" applyFont="1" applyFill="1" applyBorder="1"/>
    <xf numFmtId="0" fontId="32" fillId="0" borderId="0" xfId="0" applyFont="1"/>
    <xf numFmtId="14" fontId="32" fillId="0" borderId="0" xfId="0" applyNumberFormat="1" applyFont="1" applyFill="1" applyBorder="1"/>
    <xf numFmtId="4" fontId="32" fillId="5" borderId="5" xfId="0" applyNumberFormat="1" applyFont="1" applyFill="1" applyBorder="1"/>
    <xf numFmtId="176" fontId="31" fillId="17" borderId="3" xfId="0" applyNumberFormat="1" applyFont="1" applyFill="1" applyBorder="1"/>
    <xf numFmtId="4" fontId="32" fillId="5" borderId="85" xfId="0" applyNumberFormat="1" applyFont="1" applyFill="1" applyBorder="1"/>
    <xf numFmtId="4" fontId="32" fillId="3" borderId="0" xfId="0" applyNumberFormat="1" applyFont="1" applyFill="1" applyBorder="1"/>
    <xf numFmtId="165" fontId="32" fillId="0" borderId="0" xfId="0" applyNumberFormat="1" applyFont="1" applyBorder="1"/>
    <xf numFmtId="2" fontId="32" fillId="5" borderId="14" xfId="0" applyNumberFormat="1" applyFont="1" applyFill="1" applyBorder="1"/>
    <xf numFmtId="0" fontId="32" fillId="0" borderId="0" xfId="0" applyFont="1" applyBorder="1" applyAlignment="1">
      <alignment horizontal="center"/>
    </xf>
    <xf numFmtId="4" fontId="32" fillId="0" borderId="17" xfId="0" applyNumberFormat="1" applyFont="1" applyFill="1" applyBorder="1"/>
    <xf numFmtId="0" fontId="32" fillId="6" borderId="19" xfId="0" applyFont="1" applyFill="1" applyBorder="1"/>
    <xf numFmtId="4" fontId="32" fillId="18" borderId="17" xfId="0" applyNumberFormat="1" applyFont="1" applyFill="1" applyBorder="1"/>
    <xf numFmtId="0" fontId="32" fillId="0" borderId="19" xfId="0" applyFont="1" applyBorder="1"/>
    <xf numFmtId="0" fontId="32" fillId="0" borderId="85" xfId="0" applyFont="1" applyBorder="1"/>
    <xf numFmtId="2" fontId="32" fillId="0" borderId="14" xfId="0" applyNumberFormat="1" applyFont="1" applyBorder="1"/>
    <xf numFmtId="4" fontId="32" fillId="5" borderId="18" xfId="0" applyNumberFormat="1" applyFont="1" applyFill="1" applyBorder="1"/>
    <xf numFmtId="4" fontId="32" fillId="0" borderId="0" xfId="0" applyNumberFormat="1" applyFont="1" applyBorder="1"/>
    <xf numFmtId="4" fontId="32" fillId="3" borderId="14" xfId="0" applyNumberFormat="1" applyFont="1" applyFill="1" applyBorder="1"/>
    <xf numFmtId="4" fontId="32" fillId="5" borderId="25" xfId="0" applyNumberFormat="1" applyFont="1" applyFill="1" applyBorder="1"/>
    <xf numFmtId="4" fontId="32" fillId="5" borderId="83" xfId="0" applyNumberFormat="1" applyFont="1" applyFill="1" applyBorder="1"/>
    <xf numFmtId="0" fontId="26" fillId="0" borderId="92" xfId="0" applyFont="1" applyBorder="1" applyAlignment="1">
      <alignment vertical="center"/>
    </xf>
    <xf numFmtId="4" fontId="18" fillId="0" borderId="14" xfId="2" applyNumberFormat="1" applyFont="1" applyFill="1" applyBorder="1" applyAlignment="1">
      <alignment horizontal="right" vertical="center" wrapText="1"/>
    </xf>
    <xf numFmtId="4" fontId="31" fillId="17" borderId="0" xfId="0" applyNumberFormat="1" applyFont="1" applyFill="1" applyBorder="1"/>
    <xf numFmtId="0" fontId="26" fillId="0" borderId="91" xfId="0" applyFont="1" applyBorder="1" applyAlignment="1">
      <alignment vertical="center"/>
    </xf>
    <xf numFmtId="0" fontId="31" fillId="17" borderId="5" xfId="0" applyFont="1" applyFill="1" applyBorder="1"/>
    <xf numFmtId="4" fontId="31" fillId="0" borderId="0" xfId="0" applyNumberFormat="1" applyFont="1" applyFill="1" applyBorder="1"/>
    <xf numFmtId="0" fontId="32" fillId="0" borderId="20" xfId="0" applyFont="1" applyFill="1" applyBorder="1"/>
    <xf numFmtId="22" fontId="31" fillId="0" borderId="0" xfId="0" applyNumberFormat="1" applyFont="1" applyFill="1" applyBorder="1" applyAlignment="1">
      <alignment horizontal="center"/>
    </xf>
    <xf numFmtId="0" fontId="32" fillId="0" borderId="38" xfId="0" applyFont="1" applyBorder="1" applyAlignment="1">
      <alignment vertical="top" wrapText="1"/>
    </xf>
    <xf numFmtId="175" fontId="109" fillId="0" borderId="0" xfId="0" applyNumberFormat="1" applyFont="1"/>
    <xf numFmtId="0" fontId="32" fillId="0" borderId="17" xfId="0" applyFont="1" applyFill="1" applyBorder="1"/>
    <xf numFmtId="0" fontId="32" fillId="0" borderId="23" xfId="0" applyFont="1" applyBorder="1"/>
    <xf numFmtId="4" fontId="31" fillId="0" borderId="3" xfId="0" applyNumberFormat="1" applyFont="1" applyFill="1" applyBorder="1"/>
    <xf numFmtId="22" fontId="31" fillId="0" borderId="29" xfId="0" applyNumberFormat="1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0" borderId="16" xfId="0" applyFont="1" applyFill="1" applyBorder="1"/>
    <xf numFmtId="0" fontId="32" fillId="0" borderId="15" xfId="0" applyFont="1" applyFill="1" applyBorder="1"/>
    <xf numFmtId="14" fontId="32" fillId="0" borderId="5" xfId="0" applyNumberFormat="1" applyFont="1" applyFill="1" applyBorder="1"/>
    <xf numFmtId="0" fontId="32" fillId="0" borderId="18" xfId="0" applyFont="1" applyBorder="1" applyAlignment="1">
      <alignment horizontal="center" vertical="center"/>
    </xf>
    <xf numFmtId="176" fontId="32" fillId="18" borderId="31" xfId="0" applyNumberFormat="1" applyFont="1" applyFill="1" applyBorder="1"/>
    <xf numFmtId="0" fontId="32" fillId="0" borderId="26" xfId="0" applyFont="1" applyFill="1" applyBorder="1"/>
    <xf numFmtId="14" fontId="32" fillId="0" borderId="26" xfId="0" applyNumberFormat="1" applyFont="1" applyBorder="1"/>
    <xf numFmtId="175" fontId="31" fillId="17" borderId="85" xfId="0" applyNumberFormat="1" applyFont="1" applyFill="1" applyBorder="1"/>
    <xf numFmtId="14" fontId="32" fillId="0" borderId="0" xfId="0" applyNumberFormat="1" applyFont="1" applyFill="1"/>
    <xf numFmtId="14" fontId="32" fillId="0" borderId="0" xfId="0" applyNumberFormat="1" applyFont="1" applyBorder="1"/>
    <xf numFmtId="0" fontId="32" fillId="0" borderId="2" xfId="0" applyFont="1" applyBorder="1"/>
    <xf numFmtId="176" fontId="32" fillId="5" borderId="14" xfId="0" applyNumberFormat="1" applyFont="1" applyFill="1" applyBorder="1"/>
    <xf numFmtId="176" fontId="31" fillId="17" borderId="23" xfId="0" applyNumberFormat="1" applyFont="1" applyFill="1" applyBorder="1"/>
    <xf numFmtId="4" fontId="32" fillId="0" borderId="14" xfId="0" applyNumberFormat="1" applyFont="1" applyBorder="1"/>
    <xf numFmtId="0" fontId="32" fillId="0" borderId="5" xfId="0" applyFont="1" applyFill="1" applyBorder="1"/>
    <xf numFmtId="0" fontId="32" fillId="0" borderId="5" xfId="0" applyFont="1" applyBorder="1"/>
    <xf numFmtId="4" fontId="18" fillId="0" borderId="0" xfId="2" applyNumberFormat="1" applyFont="1" applyFill="1" applyBorder="1" applyAlignment="1">
      <alignment horizontal="right" vertical="center" wrapText="1"/>
    </xf>
    <xf numFmtId="0" fontId="32" fillId="0" borderId="0" xfId="0" applyFont="1" applyFill="1" applyBorder="1" applyAlignment="1">
      <alignment horizontal="center"/>
    </xf>
    <xf numFmtId="14" fontId="32" fillId="0" borderId="26" xfId="0" applyNumberFormat="1" applyFont="1" applyFill="1" applyBorder="1"/>
    <xf numFmtId="0" fontId="32" fillId="20" borderId="19" xfId="0" applyFont="1" applyFill="1" applyBorder="1"/>
    <xf numFmtId="0" fontId="32" fillId="0" borderId="83" xfId="0" applyFont="1" applyBorder="1"/>
    <xf numFmtId="176" fontId="31" fillId="17" borderId="14" xfId="0" applyNumberFormat="1" applyFont="1" applyFill="1" applyBorder="1"/>
    <xf numFmtId="0" fontId="32" fillId="3" borderId="0" xfId="0" applyFont="1" applyFill="1"/>
    <xf numFmtId="4" fontId="32" fillId="2" borderId="17" xfId="0" applyNumberFormat="1" applyFont="1" applyFill="1" applyBorder="1"/>
    <xf numFmtId="8" fontId="32" fillId="17" borderId="0" xfId="0" applyNumberFormat="1" applyFont="1" applyFill="1" applyBorder="1" applyAlignment="1">
      <alignment horizontal="right"/>
    </xf>
    <xf numFmtId="0" fontId="32" fillId="0" borderId="25" xfId="0" applyFont="1" applyBorder="1"/>
    <xf numFmtId="4" fontId="32" fillId="2" borderId="14" xfId="0" applyNumberFormat="1" applyFont="1" applyFill="1" applyBorder="1"/>
    <xf numFmtId="0" fontId="32" fillId="0" borderId="14" xfId="0" applyFont="1" applyBorder="1" applyAlignment="1">
      <alignment vertical="top" wrapText="1"/>
    </xf>
    <xf numFmtId="0" fontId="32" fillId="0" borderId="25" xfId="0" applyFont="1" applyBorder="1" applyAlignment="1">
      <alignment horizontal="center" vertical="center"/>
    </xf>
    <xf numFmtId="176" fontId="31" fillId="17" borderId="4" xfId="0" applyNumberFormat="1" applyFont="1" applyFill="1" applyBorder="1"/>
    <xf numFmtId="0" fontId="32" fillId="0" borderId="19" xfId="0" applyFont="1" applyBorder="1" applyAlignment="1">
      <alignment horizontal="center" vertical="center"/>
    </xf>
    <xf numFmtId="0" fontId="32" fillId="0" borderId="19" xfId="0" applyFont="1" applyFill="1" applyBorder="1"/>
    <xf numFmtId="0" fontId="32" fillId="0" borderId="0" xfId="0" applyFont="1" applyBorder="1"/>
    <xf numFmtId="0" fontId="0" fillId="0" borderId="0" xfId="0"/>
    <xf numFmtId="165" fontId="24" fillId="10" borderId="0" xfId="0" applyNumberFormat="1" applyFont="1" applyFill="1" applyAlignment="1">
      <alignment horizontal="center" vertical="center" wrapText="1"/>
    </xf>
    <xf numFmtId="164" fontId="24" fillId="10" borderId="0" xfId="0" applyNumberFormat="1" applyFont="1" applyFill="1" applyBorder="1" applyAlignment="1">
      <alignment horizontal="right" vertical="center" wrapText="1"/>
    </xf>
    <xf numFmtId="2" fontId="0" fillId="0" borderId="0" xfId="0" applyNumberFormat="1" applyAlignment="1">
      <alignment horizontal="center" vertical="center" wrapText="1"/>
    </xf>
    <xf numFmtId="0" fontId="32" fillId="0" borderId="14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32" fillId="0" borderId="0" xfId="0" applyFont="1" applyFill="1"/>
    <xf numFmtId="4" fontId="32" fillId="0" borderId="14" xfId="0" applyNumberFormat="1" applyFont="1" applyFill="1" applyBorder="1"/>
    <xf numFmtId="0" fontId="96" fillId="0" borderId="5" xfId="0" applyFont="1" applyFill="1" applyBorder="1" applyAlignment="1">
      <alignment horizontal="center"/>
    </xf>
    <xf numFmtId="4" fontId="58" fillId="0" borderId="0" xfId="0" applyNumberFormat="1" applyFont="1" applyFill="1" applyBorder="1" applyAlignment="1">
      <alignment horizontal="center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0" fontId="0" fillId="18" borderId="0" xfId="0" applyFill="1"/>
    <xf numFmtId="4" fontId="32" fillId="18" borderId="14" xfId="0" applyNumberFormat="1" applyFont="1" applyFill="1" applyBorder="1"/>
    <xf numFmtId="0" fontId="32" fillId="0" borderId="0" xfId="0" applyFont="1" applyFill="1" applyBorder="1"/>
    <xf numFmtId="4" fontId="58" fillId="0" borderId="85" xfId="0" applyNumberFormat="1" applyFont="1" applyFill="1" applyBorder="1" applyAlignment="1">
      <alignment horizontal="center" vertical="center" wrapText="1"/>
    </xf>
    <xf numFmtId="164" fontId="24" fillId="10" borderId="2" xfId="0" applyNumberFormat="1" applyFont="1" applyFill="1" applyBorder="1" applyAlignment="1">
      <alignment vertical="center" wrapText="1"/>
    </xf>
    <xf numFmtId="164" fontId="24" fillId="10" borderId="7" xfId="0" applyNumberFormat="1" applyFont="1" applyFill="1" applyBorder="1" applyAlignment="1">
      <alignment horizontal="right" vertical="center"/>
    </xf>
    <xf numFmtId="164" fontId="24" fillId="10" borderId="7" xfId="0" applyNumberFormat="1" applyFont="1" applyFill="1" applyBorder="1" applyAlignment="1">
      <alignment horizontal="right" vertical="center" wrapText="1"/>
    </xf>
    <xf numFmtId="0" fontId="25" fillId="0" borderId="14" xfId="0" applyFont="1" applyFill="1" applyBorder="1" applyAlignment="1"/>
    <xf numFmtId="3" fontId="4" fillId="0" borderId="0" xfId="0" applyNumberFormat="1" applyFont="1" applyBorder="1" applyAlignment="1">
      <alignment horizontal="left" vertical="center"/>
    </xf>
    <xf numFmtId="4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0" fillId="8" borderId="0" xfId="0" applyFill="1" applyBorder="1"/>
    <xf numFmtId="0" fontId="15" fillId="0" borderId="0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7" fontId="54" fillId="0" borderId="14" xfId="9" applyNumberFormat="1" applyFont="1" applyFill="1" applyBorder="1" applyAlignment="1">
      <alignment horizontal="left" vertical="center"/>
    </xf>
    <xf numFmtId="0" fontId="0" fillId="0" borderId="0" xfId="0"/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18" fillId="8" borderId="14" xfId="0" applyFont="1" applyFill="1" applyBorder="1" applyAlignment="1">
      <alignment vertical="center"/>
    </xf>
    <xf numFmtId="0" fontId="0" fillId="8" borderId="0" xfId="0" applyFill="1"/>
    <xf numFmtId="0" fontId="4" fillId="0" borderId="23" xfId="0" applyFont="1" applyBorder="1" applyAlignment="1">
      <alignment vertical="center"/>
    </xf>
    <xf numFmtId="9" fontId="41" fillId="0" borderId="0" xfId="2" applyNumberFormat="1" applyFont="1" applyFill="1" applyBorder="1" applyAlignment="1">
      <alignment horizontal="center" vertical="center"/>
    </xf>
    <xf numFmtId="4" fontId="30" fillId="0" borderId="14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4" fillId="18" borderId="9" xfId="2" applyFont="1" applyFill="1" applyBorder="1" applyAlignment="1">
      <alignment vertical="center"/>
    </xf>
    <xf numFmtId="2" fontId="54" fillId="3" borderId="3" xfId="2" applyNumberFormat="1" applyFont="1" applyFill="1" applyBorder="1" applyAlignment="1">
      <alignment horizontal="center" vertical="center"/>
    </xf>
    <xf numFmtId="2" fontId="54" fillId="3" borderId="5" xfId="2" applyNumberFormat="1" applyFont="1" applyFill="1" applyBorder="1" applyAlignment="1">
      <alignment horizontal="center" vertical="center"/>
    </xf>
    <xf numFmtId="2" fontId="54" fillId="3" borderId="18" xfId="2" applyNumberFormat="1" applyFont="1" applyFill="1" applyBorder="1" applyAlignment="1">
      <alignment horizontal="center" vertical="center"/>
    </xf>
    <xf numFmtId="2" fontId="54" fillId="3" borderId="20" xfId="2" applyNumberFormat="1" applyFont="1" applyFill="1" applyBorder="1" applyAlignment="1">
      <alignment horizontal="center" vertical="center"/>
    </xf>
    <xf numFmtId="2" fontId="54" fillId="3" borderId="0" xfId="2" applyNumberFormat="1" applyFont="1" applyFill="1" applyBorder="1" applyAlignment="1">
      <alignment horizontal="center" vertical="center"/>
    </xf>
    <xf numFmtId="2" fontId="54" fillId="3" borderId="26" xfId="2" applyNumberFormat="1" applyFont="1" applyFill="1" applyBorder="1" applyAlignment="1">
      <alignment horizontal="center" vertical="center"/>
    </xf>
    <xf numFmtId="2" fontId="54" fillId="3" borderId="27" xfId="2" applyNumberFormat="1" applyFont="1" applyFill="1" applyBorder="1" applyAlignment="1">
      <alignment horizontal="center" vertical="center"/>
    </xf>
    <xf numFmtId="0" fontId="18" fillId="3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horizontal="center" vertical="center"/>
    </xf>
    <xf numFmtId="9" fontId="41" fillId="14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vertical="center" wrapText="1"/>
    </xf>
    <xf numFmtId="0" fontId="41" fillId="2" borderId="14" xfId="2" applyFont="1" applyFill="1" applyBorder="1" applyAlignment="1">
      <alignment vertical="center" wrapText="1"/>
    </xf>
    <xf numFmtId="3" fontId="18" fillId="0" borderId="14" xfId="0" applyNumberFormat="1" applyFont="1" applyFill="1" applyBorder="1"/>
    <xf numFmtId="0" fontId="28" fillId="0" borderId="0" xfId="0" applyFont="1" applyFill="1"/>
    <xf numFmtId="10" fontId="18" fillId="0" borderId="30" xfId="9" applyNumberFormat="1" applyFont="1" applyFill="1" applyBorder="1" applyAlignment="1">
      <alignment horizontal="center" vertical="center"/>
    </xf>
    <xf numFmtId="4" fontId="18" fillId="0" borderId="31" xfId="0" applyNumberFormat="1" applyFont="1" applyFill="1" applyBorder="1"/>
    <xf numFmtId="10" fontId="18" fillId="0" borderId="31" xfId="0" applyNumberFormat="1" applyFont="1" applyFill="1" applyBorder="1"/>
    <xf numFmtId="2" fontId="18" fillId="0" borderId="31" xfId="0" applyNumberFormat="1" applyFont="1" applyFill="1" applyBorder="1"/>
    <xf numFmtId="4" fontId="18" fillId="0" borderId="14" xfId="0" applyNumberFormat="1" applyFont="1" applyFill="1" applyBorder="1"/>
    <xf numFmtId="0" fontId="18" fillId="0" borderId="0" xfId="0" applyNumberFormat="1" applyFont="1" applyFill="1" applyBorder="1"/>
    <xf numFmtId="2" fontId="18" fillId="0" borderId="14" xfId="0" applyNumberFormat="1" applyFont="1" applyFill="1" applyBorder="1"/>
    <xf numFmtId="2" fontId="18" fillId="0" borderId="0" xfId="0" applyNumberFormat="1" applyFont="1" applyFill="1" applyBorder="1"/>
    <xf numFmtId="3" fontId="32" fillId="0" borderId="31" xfId="0" applyNumberFormat="1" applyFont="1" applyFill="1" applyBorder="1"/>
    <xf numFmtId="3" fontId="54" fillId="18" borderId="9" xfId="2" applyNumberFormat="1" applyFont="1" applyFill="1" applyBorder="1" applyAlignment="1">
      <alignment vertical="center"/>
    </xf>
    <xf numFmtId="9" fontId="41" fillId="3" borderId="29" xfId="2" applyNumberFormat="1" applyFont="1" applyFill="1" applyBorder="1" applyAlignment="1">
      <alignment horizontal="center" vertical="center"/>
    </xf>
    <xf numFmtId="2" fontId="54" fillId="3" borderId="2" xfId="2" applyNumberFormat="1" applyFont="1" applyFill="1" applyBorder="1" applyAlignment="1">
      <alignment horizontal="center" vertical="center"/>
    </xf>
    <xf numFmtId="2" fontId="54" fillId="3" borderId="4" xfId="2" applyNumberFormat="1" applyFont="1" applyFill="1" applyBorder="1" applyAlignment="1">
      <alignment horizontal="center" vertical="center"/>
    </xf>
    <xf numFmtId="0" fontId="32" fillId="5" borderId="0" xfId="0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170" fontId="119" fillId="0" borderId="9" xfId="2" applyNumberFormat="1" applyFont="1" applyFill="1" applyBorder="1" applyAlignment="1">
      <alignment vertical="center"/>
    </xf>
    <xf numFmtId="3" fontId="16" fillId="0" borderId="19" xfId="1" applyNumberFormat="1" applyFont="1" applyFill="1" applyBorder="1" applyAlignment="1">
      <alignment horizontal="center" vertical="center" wrapText="1"/>
    </xf>
    <xf numFmtId="3" fontId="19" fillId="0" borderId="0" xfId="1" applyNumberFormat="1" applyFont="1" applyFill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/>
    </xf>
    <xf numFmtId="0" fontId="24" fillId="10" borderId="0" xfId="0" applyNumberFormat="1" applyFont="1" applyFill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top" wrapText="1"/>
    </xf>
    <xf numFmtId="164" fontId="24" fillId="10" borderId="0" xfId="0" applyNumberFormat="1" applyFont="1" applyFill="1" applyBorder="1" applyAlignment="1">
      <alignment horizontal="right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3" fontId="54" fillId="0" borderId="17" xfId="2" applyNumberFormat="1" applyFont="1" applyFill="1" applyBorder="1" applyAlignment="1">
      <alignment horizontal="center" vertical="center"/>
    </xf>
    <xf numFmtId="4" fontId="32" fillId="18" borderId="14" xfId="0" applyNumberFormat="1" applyFont="1" applyFill="1" applyBorder="1"/>
    <xf numFmtId="0" fontId="0" fillId="0" borderId="0" xfId="0"/>
    <xf numFmtId="0" fontId="32" fillId="0" borderId="14" xfId="0" applyFont="1" applyFill="1" applyBorder="1"/>
    <xf numFmtId="0" fontId="0" fillId="0" borderId="14" xfId="0" applyFill="1" applyBorder="1"/>
    <xf numFmtId="0" fontId="32" fillId="0" borderId="14" xfId="0" applyFont="1" applyBorder="1"/>
    <xf numFmtId="9" fontId="108" fillId="7" borderId="0" xfId="0" applyNumberFormat="1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3" fillId="0" borderId="0" xfId="1" applyBorder="1" applyAlignment="1">
      <alignment horizontal="center"/>
    </xf>
    <xf numFmtId="0" fontId="116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81" fontId="4" fillId="0" borderId="8" xfId="0" applyNumberFormat="1" applyFont="1" applyFill="1" applyBorder="1" applyAlignment="1">
      <alignment vertical="center"/>
    </xf>
    <xf numFmtId="3" fontId="3" fillId="0" borderId="0" xfId="0" applyNumberFormat="1" applyFont="1" applyBorder="1" applyAlignment="1">
      <alignment horizontal="center" vertical="center"/>
    </xf>
    <xf numFmtId="0" fontId="15" fillId="0" borderId="19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6" fillId="0" borderId="0" xfId="1" applyFont="1" applyBorder="1" applyAlignment="1">
      <alignment vertical="center"/>
    </xf>
    <xf numFmtId="0" fontId="22" fillId="0" borderId="0" xfId="2" applyFont="1" applyFill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4" fontId="13" fillId="0" borderId="91" xfId="1" applyNumberFormat="1" applyFont="1" applyFill="1" applyBorder="1" applyAlignment="1">
      <alignment vertical="center" wrapText="1"/>
    </xf>
    <xf numFmtId="0" fontId="13" fillId="0" borderId="0" xfId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0" fillId="0" borderId="7" xfId="0" applyFill="1" applyBorder="1"/>
    <xf numFmtId="0" fontId="0" fillId="0" borderId="10" xfId="0" applyFill="1" applyBorder="1"/>
    <xf numFmtId="0" fontId="14" fillId="0" borderId="0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10" fontId="30" fillId="8" borderId="14" xfId="2" applyNumberFormat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22" fillId="0" borderId="0" xfId="2" applyFont="1" applyFill="1" applyBorder="1" applyAlignment="1">
      <alignment vertical="center" wrapText="1"/>
    </xf>
    <xf numFmtId="1" fontId="41" fillId="8" borderId="14" xfId="2" applyNumberFormat="1" applyFont="1" applyFill="1" applyBorder="1" applyAlignment="1">
      <alignment horizontal="center" vertical="center"/>
    </xf>
    <xf numFmtId="7" fontId="54" fillId="8" borderId="0" xfId="9" applyNumberFormat="1" applyFont="1" applyFill="1" applyBorder="1" applyAlignment="1">
      <alignment vertical="center" wrapText="1"/>
    </xf>
    <xf numFmtId="7" fontId="54" fillId="8" borderId="91" xfId="9" applyNumberFormat="1" applyFont="1" applyFill="1" applyBorder="1" applyAlignment="1">
      <alignment vertical="center" wrapText="1"/>
    </xf>
    <xf numFmtId="0" fontId="15" fillId="0" borderId="0" xfId="1" applyFont="1" applyFill="1" applyBorder="1" applyAlignment="1">
      <alignment horizontal="left" vertical="center"/>
    </xf>
    <xf numFmtId="177" fontId="22" fillId="0" borderId="0" xfId="2" applyNumberFormat="1" applyFont="1" applyFill="1" applyBorder="1" applyAlignment="1">
      <alignment horizontal="center" vertical="center" wrapText="1"/>
    </xf>
    <xf numFmtId="177" fontId="22" fillId="0" borderId="14" xfId="2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0" borderId="16" xfId="0" applyFill="1" applyBorder="1"/>
    <xf numFmtId="0" fontId="0" fillId="7" borderId="0" xfId="0" applyFill="1"/>
    <xf numFmtId="0" fontId="18" fillId="0" borderId="0" xfId="2" applyFont="1" applyBorder="1" applyAlignment="1">
      <alignment vertical="center"/>
    </xf>
    <xf numFmtId="4" fontId="22" fillId="17" borderId="14" xfId="2" applyNumberFormat="1" applyFont="1" applyFill="1" applyBorder="1" applyAlignment="1">
      <alignment horizontal="center" vertical="center" wrapText="1"/>
    </xf>
    <xf numFmtId="14" fontId="13" fillId="0" borderId="0" xfId="1" applyNumberFormat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13" fillId="0" borderId="14" xfId="1" applyFont="1" applyFill="1" applyBorder="1" applyAlignment="1">
      <alignment horizontal="center" vertical="center" wrapText="1"/>
    </xf>
    <xf numFmtId="0" fontId="13" fillId="8" borderId="17" xfId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 wrapText="1"/>
    </xf>
    <xf numFmtId="9" fontId="13" fillId="8" borderId="17" xfId="1" applyNumberFormat="1" applyFill="1" applyBorder="1" applyAlignment="1">
      <alignment horizontal="center" vertical="center"/>
    </xf>
    <xf numFmtId="4" fontId="41" fillId="18" borderId="14" xfId="2" applyNumberFormat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3" fontId="13" fillId="18" borderId="14" xfId="1" applyNumberFormat="1" applyFill="1" applyBorder="1" applyAlignment="1">
      <alignment horizontal="center" vertical="center"/>
    </xf>
    <xf numFmtId="0" fontId="13" fillId="0" borderId="0" xfId="1" applyFill="1" applyBorder="1" applyAlignment="1">
      <alignment horizontal="center" vertical="center"/>
    </xf>
    <xf numFmtId="169" fontId="22" fillId="0" borderId="0" xfId="2" applyNumberFormat="1" applyFont="1" applyFill="1" applyBorder="1" applyAlignment="1">
      <alignment horizontal="center" vertical="center" wrapText="1"/>
    </xf>
    <xf numFmtId="9" fontId="13" fillId="0" borderId="0" xfId="1" applyNumberFormat="1" applyFill="1" applyBorder="1" applyAlignment="1">
      <alignment horizontal="center" vertical="center"/>
    </xf>
    <xf numFmtId="3" fontId="13" fillId="0" borderId="0" xfId="1" applyNumberForma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9" fontId="18" fillId="0" borderId="8" xfId="2" applyNumberFormat="1" applyFont="1" applyBorder="1" applyAlignment="1">
      <alignment horizontal="center" vertical="center"/>
    </xf>
    <xf numFmtId="0" fontId="126" fillId="6" borderId="14" xfId="1" applyFont="1" applyFill="1" applyBorder="1" applyAlignment="1">
      <alignment horizontal="center" vertical="center" wrapText="1"/>
    </xf>
    <xf numFmtId="0" fontId="127" fillId="0" borderId="14" xfId="1" applyFont="1" applyFill="1" applyBorder="1" applyAlignment="1">
      <alignment vertical="center" wrapText="1"/>
    </xf>
    <xf numFmtId="0" fontId="0" fillId="0" borderId="8" xfId="0" applyBorder="1"/>
    <xf numFmtId="0" fontId="125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3" fillId="0" borderId="8" xfId="1" applyNumberFormat="1" applyFont="1" applyFill="1" applyBorder="1" applyAlignment="1">
      <alignment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5" fillId="0" borderId="11" xfId="1" applyFont="1" applyFill="1" applyBorder="1" applyAlignment="1">
      <alignment horizontal="left" vertical="center"/>
    </xf>
    <xf numFmtId="0" fontId="0" fillId="0" borderId="91" xfId="0" applyBorder="1"/>
    <xf numFmtId="14" fontId="0" fillId="0" borderId="92" xfId="0" applyNumberFormat="1" applyBorder="1" applyAlignment="1">
      <alignment horizontal="center"/>
    </xf>
    <xf numFmtId="0" fontId="15" fillId="0" borderId="7" xfId="1" applyFont="1" applyFill="1" applyBorder="1" applyAlignment="1">
      <alignment horizontal="left" vertical="center"/>
    </xf>
    <xf numFmtId="14" fontId="0" fillId="0" borderId="6" xfId="0" applyNumberFormat="1" applyBorder="1" applyAlignment="1">
      <alignment horizontal="center"/>
    </xf>
    <xf numFmtId="0" fontId="15" fillId="0" borderId="10" xfId="1" applyFont="1" applyFill="1" applyBorder="1" applyAlignment="1">
      <alignment horizontal="left" vertical="center"/>
    </xf>
    <xf numFmtId="14" fontId="0" fillId="0" borderId="9" xfId="0" applyNumberFormat="1" applyBorder="1" applyAlignment="1">
      <alignment horizontal="center"/>
    </xf>
    <xf numFmtId="7" fontId="54" fillId="8" borderId="14" xfId="9" applyNumberFormat="1" applyFont="1" applyFill="1" applyBorder="1" applyAlignment="1">
      <alignment vertical="center" wrapText="1"/>
    </xf>
    <xf numFmtId="0" fontId="125" fillId="0" borderId="0" xfId="0" applyFont="1" applyFill="1" applyBorder="1" applyAlignment="1">
      <alignment vertical="center"/>
    </xf>
    <xf numFmtId="1" fontId="16" fillId="0" borderId="14" xfId="1" applyNumberFormat="1" applyFont="1" applyBorder="1" applyAlignment="1">
      <alignment horizontal="center" vertical="center"/>
    </xf>
    <xf numFmtId="1" fontId="0" fillId="7" borderId="0" xfId="0" applyNumberFormat="1" applyFill="1" applyAlignment="1">
      <alignment horizontal="center"/>
    </xf>
    <xf numFmtId="0" fontId="18" fillId="12" borderId="14" xfId="2" applyNumberFormat="1" applyFont="1" applyFill="1" applyBorder="1" applyAlignment="1">
      <alignment horizontal="center" vertical="center"/>
    </xf>
    <xf numFmtId="0" fontId="43" fillId="0" borderId="7" xfId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vertical="center"/>
    </xf>
    <xf numFmtId="4" fontId="54" fillId="0" borderId="0" xfId="2" applyNumberFormat="1" applyFont="1" applyAlignment="1">
      <alignment horizontal="center" vertical="center"/>
    </xf>
    <xf numFmtId="3" fontId="32" fillId="0" borderId="0" xfId="0" applyNumberFormat="1" applyFont="1" applyBorder="1" applyAlignment="1"/>
    <xf numFmtId="0" fontId="39" fillId="0" borderId="14" xfId="0" applyFont="1" applyBorder="1" applyAlignment="1">
      <alignment vertical="top" wrapText="1"/>
    </xf>
    <xf numFmtId="0" fontId="39" fillId="0" borderId="14" xfId="0" applyFont="1" applyFill="1" applyBorder="1" applyAlignment="1">
      <alignment vertical="top" wrapText="1"/>
    </xf>
    <xf numFmtId="4" fontId="125" fillId="0" borderId="14" xfId="0" applyNumberFormat="1" applyFont="1" applyBorder="1" applyAlignment="1">
      <alignment horizontal="left"/>
    </xf>
    <xf numFmtId="0" fontId="11" fillId="0" borderId="0" xfId="0" applyFont="1" applyBorder="1" applyAlignment="1">
      <alignment vertical="top" wrapText="1"/>
    </xf>
    <xf numFmtId="4" fontId="0" fillId="0" borderId="0" xfId="0" applyNumberFormat="1" applyAlignment="1">
      <alignment horizontal="center"/>
    </xf>
    <xf numFmtId="0" fontId="18" fillId="0" borderId="11" xfId="2" applyFont="1" applyBorder="1" applyAlignment="1">
      <alignment horizontal="center" vertical="center"/>
    </xf>
    <xf numFmtId="0" fontId="0" fillId="0" borderId="0" xfId="0"/>
    <xf numFmtId="0" fontId="15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/>
    </xf>
    <xf numFmtId="181" fontId="30" fillId="0" borderId="100" xfId="2" applyNumberFormat="1" applyFont="1" applyFill="1" applyBorder="1" applyAlignment="1">
      <alignment horizontal="right" vertical="center"/>
    </xf>
    <xf numFmtId="0" fontId="98" fillId="0" borderId="0" xfId="0" applyFont="1" applyFill="1" applyBorder="1" applyAlignment="1">
      <alignment vertical="center"/>
    </xf>
    <xf numFmtId="7" fontId="41" fillId="8" borderId="15" xfId="9" applyNumberFormat="1" applyFont="1" applyFill="1" applyBorder="1" applyAlignment="1">
      <alignment horizontal="center" vertical="center"/>
    </xf>
    <xf numFmtId="1" fontId="16" fillId="0" borderId="0" xfId="1" applyNumberFormat="1" applyFont="1" applyBorder="1" applyAlignment="1">
      <alignment horizontal="center" vertical="center"/>
    </xf>
    <xf numFmtId="1" fontId="16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16" fillId="2" borderId="10" xfId="1" applyFont="1" applyFill="1" applyBorder="1" applyAlignment="1">
      <alignment vertical="center"/>
    </xf>
    <xf numFmtId="0" fontId="15" fillId="0" borderId="7" xfId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/>
    </xf>
    <xf numFmtId="7" fontId="41" fillId="8" borderId="100" xfId="9" applyNumberFormat="1" applyFont="1" applyFill="1" applyBorder="1" applyAlignment="1">
      <alignment horizontal="center" vertical="center"/>
    </xf>
    <xf numFmtId="10" fontId="30" fillId="8" borderId="100" xfId="2" applyNumberFormat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 wrapText="1"/>
    </xf>
    <xf numFmtId="0" fontId="15" fillId="0" borderId="103" xfId="1" applyFont="1" applyFill="1" applyBorder="1" applyAlignment="1">
      <alignment horizontal="center" vertical="center"/>
    </xf>
    <xf numFmtId="0" fontId="41" fillId="8" borderId="103" xfId="2" applyFont="1" applyFill="1" applyBorder="1" applyAlignment="1">
      <alignment horizontal="center" vertical="center"/>
    </xf>
    <xf numFmtId="4" fontId="22" fillId="17" borderId="17" xfId="2" applyNumberFormat="1" applyFont="1" applyFill="1" applyBorder="1" applyAlignment="1">
      <alignment horizontal="center" vertical="center" wrapText="1"/>
    </xf>
    <xf numFmtId="7" fontId="54" fillId="8" borderId="100" xfId="9" applyNumberFormat="1" applyFont="1" applyFill="1" applyBorder="1" applyAlignment="1">
      <alignment vertical="center" wrapText="1"/>
    </xf>
    <xf numFmtId="0" fontId="13" fillId="8" borderId="100" xfId="1" applyFill="1" applyBorder="1" applyAlignment="1">
      <alignment horizontal="center" vertical="center"/>
    </xf>
    <xf numFmtId="169" fontId="22" fillId="0" borderId="100" xfId="2" applyNumberFormat="1" applyFont="1" applyFill="1" applyBorder="1" applyAlignment="1">
      <alignment horizontal="center" vertical="center" wrapText="1"/>
    </xf>
    <xf numFmtId="9" fontId="13" fillId="8" borderId="100" xfId="1" applyNumberFormat="1" applyFill="1" applyBorder="1" applyAlignment="1">
      <alignment horizontal="center" vertical="center"/>
    </xf>
    <xf numFmtId="4" fontId="22" fillId="0" borderId="100" xfId="2" applyNumberFormat="1" applyFont="1" applyFill="1" applyBorder="1" applyAlignment="1">
      <alignment horizontal="center" vertical="center" wrapText="1"/>
    </xf>
    <xf numFmtId="4" fontId="41" fillId="8" borderId="100" xfId="2" applyNumberFormat="1" applyFont="1" applyFill="1" applyBorder="1" applyAlignment="1">
      <alignment horizontal="center" vertical="center"/>
    </xf>
    <xf numFmtId="4" fontId="41" fillId="0" borderId="100" xfId="2" applyNumberFormat="1" applyFont="1" applyFill="1" applyBorder="1" applyAlignment="1">
      <alignment horizontal="center" vertical="center"/>
    </xf>
    <xf numFmtId="4" fontId="41" fillId="8" borderId="17" xfId="2" applyNumberFormat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 wrapText="1"/>
    </xf>
    <xf numFmtId="0" fontId="129" fillId="0" borderId="29" xfId="1" applyFont="1" applyFill="1" applyBorder="1" applyAlignment="1">
      <alignment horizontal="center" vertical="center" wrapText="1"/>
    </xf>
    <xf numFmtId="7" fontId="41" fillId="0" borderId="0" xfId="9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 wrapText="1"/>
    </xf>
    <xf numFmtId="0" fontId="15" fillId="0" borderId="101" xfId="1" applyFont="1" applyFill="1" applyBorder="1" applyAlignment="1">
      <alignment vertical="center" wrapText="1"/>
    </xf>
    <xf numFmtId="0" fontId="16" fillId="0" borderId="8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3" fontId="13" fillId="8" borderId="100" xfId="1" applyNumberFormat="1" applyFill="1" applyBorder="1" applyAlignment="1">
      <alignment horizontal="center" vertical="center"/>
    </xf>
    <xf numFmtId="0" fontId="16" fillId="0" borderId="6" xfId="1" applyFont="1" applyFill="1" applyBorder="1" applyAlignment="1">
      <alignment vertical="center" wrapText="1"/>
    </xf>
    <xf numFmtId="0" fontId="21" fillId="0" borderId="100" xfId="0" applyFont="1" applyBorder="1" applyAlignment="1">
      <alignment horizontal="center" vertical="center" wrapText="1"/>
    </xf>
    <xf numFmtId="0" fontId="124" fillId="0" borderId="15" xfId="0" applyFont="1" applyBorder="1" applyAlignment="1">
      <alignment horizontal="center" vertical="center" wrapText="1"/>
    </xf>
    <xf numFmtId="0" fontId="124" fillId="0" borderId="100" xfId="0" applyFont="1" applyBorder="1" applyAlignment="1">
      <alignment horizontal="center" vertical="center" wrapText="1"/>
    </xf>
    <xf numFmtId="0" fontId="41" fillId="8" borderId="100" xfId="2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6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18" fillId="0" borderId="10" xfId="2" applyFont="1" applyBorder="1" applyAlignment="1">
      <alignment horizontal="center" vertical="center"/>
    </xf>
    <xf numFmtId="172" fontId="54" fillId="0" borderId="100" xfId="9" applyNumberFormat="1" applyFont="1" applyFill="1" applyBorder="1" applyAlignment="1">
      <alignment horizontal="center" vertical="center"/>
    </xf>
    <xf numFmtId="0" fontId="0" fillId="0" borderId="100" xfId="0" applyBorder="1"/>
    <xf numFmtId="0" fontId="0" fillId="0" borderId="100" xfId="0" applyFill="1" applyBorder="1"/>
    <xf numFmtId="0" fontId="10" fillId="3" borderId="0" xfId="0" applyFont="1" applyFill="1"/>
    <xf numFmtId="0" fontId="18" fillId="12" borderId="17" xfId="2" applyFont="1" applyFill="1" applyBorder="1" applyAlignment="1">
      <alignment horizontal="left" wrapText="1"/>
    </xf>
    <xf numFmtId="10" fontId="18" fillId="12" borderId="17" xfId="2" applyNumberFormat="1" applyFont="1" applyFill="1" applyBorder="1" applyAlignment="1">
      <alignment horizontal="center" wrapText="1"/>
    </xf>
    <xf numFmtId="0" fontId="16" fillId="0" borderId="0" xfId="1" applyFont="1" applyFill="1" applyBorder="1" applyAlignment="1">
      <alignment horizontal="center" vertical="center" wrapText="1"/>
    </xf>
    <xf numFmtId="0" fontId="0" fillId="0" borderId="101" xfId="0" applyFill="1" applyBorder="1"/>
    <xf numFmtId="0" fontId="26" fillId="0" borderId="100" xfId="0" applyFont="1" applyFill="1" applyBorder="1"/>
    <xf numFmtId="0" fontId="0" fillId="18" borderId="110" xfId="0" applyFill="1" applyBorder="1" applyAlignment="1">
      <alignment horizontal="left"/>
    </xf>
    <xf numFmtId="0" fontId="0" fillId="18" borderId="109" xfId="0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0" fillId="18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0" fillId="3" borderId="0" xfId="0" applyFont="1" applyFill="1" applyBorder="1"/>
    <xf numFmtId="0" fontId="0" fillId="3" borderId="14" xfId="0" applyFill="1" applyBorder="1"/>
    <xf numFmtId="0" fontId="31" fillId="0" borderId="0" xfId="0" applyFont="1" applyFill="1" applyBorder="1" applyAlignment="1"/>
    <xf numFmtId="0" fontId="16" fillId="17" borderId="0" xfId="1" applyFont="1" applyFill="1" applyBorder="1" applyAlignment="1">
      <alignment vertical="center" wrapText="1"/>
    </xf>
    <xf numFmtId="0" fontId="125" fillId="17" borderId="0" xfId="0" applyFont="1" applyFill="1" applyAlignment="1">
      <alignment horizontal="center" vertical="center"/>
    </xf>
    <xf numFmtId="0" fontId="15" fillId="17" borderId="0" xfId="1" applyFont="1" applyFill="1" applyBorder="1" applyAlignment="1">
      <alignment horizontal="center" vertical="center"/>
    </xf>
    <xf numFmtId="7" fontId="41" fillId="17" borderId="0" xfId="9" applyNumberFormat="1" applyFont="1" applyFill="1" applyBorder="1" applyAlignment="1">
      <alignment horizontal="center" vertical="center"/>
    </xf>
    <xf numFmtId="10" fontId="30" fillId="17" borderId="0" xfId="2" applyNumberFormat="1" applyFont="1" applyFill="1" applyBorder="1" applyAlignment="1">
      <alignment horizontal="center" vertical="center"/>
    </xf>
    <xf numFmtId="0" fontId="125" fillId="17" borderId="0" xfId="0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/>
    </xf>
    <xf numFmtId="0" fontId="124" fillId="0" borderId="17" xfId="0" applyFont="1" applyBorder="1" applyAlignment="1">
      <alignment horizontal="center" vertical="center" wrapText="1"/>
    </xf>
    <xf numFmtId="1" fontId="41" fillId="0" borderId="0" xfId="2" applyNumberFormat="1" applyFont="1" applyFill="1" applyBorder="1" applyAlignment="1">
      <alignment horizontal="center" vertical="center"/>
    </xf>
    <xf numFmtId="0" fontId="129" fillId="0" borderId="14" xfId="1" applyFont="1" applyFill="1" applyBorder="1" applyAlignment="1">
      <alignment horizontal="center" vertical="center" wrapText="1"/>
    </xf>
    <xf numFmtId="0" fontId="125" fillId="0" borderId="0" xfId="0" applyFont="1" applyBorder="1" applyAlignment="1">
      <alignment horizontal="center" vertical="center"/>
    </xf>
    <xf numFmtId="1" fontId="16" fillId="0" borderId="29" xfId="1" applyNumberFormat="1" applyFont="1" applyBorder="1" applyAlignment="1">
      <alignment horizontal="center" vertical="center"/>
    </xf>
    <xf numFmtId="1" fontId="16" fillId="0" borderId="11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vertical="center"/>
    </xf>
    <xf numFmtId="0" fontId="126" fillId="6" borderId="5" xfId="1" applyFont="1" applyFill="1" applyBorder="1" applyAlignment="1">
      <alignment horizontal="center" vertical="center"/>
    </xf>
    <xf numFmtId="0" fontId="16" fillId="0" borderId="5" xfId="1" applyFont="1" applyBorder="1" applyAlignment="1">
      <alignment vertical="center"/>
    </xf>
    <xf numFmtId="0" fontId="22" fillId="2" borderId="5" xfId="2" applyFont="1" applyFill="1" applyBorder="1" applyAlignment="1">
      <alignment vertical="center" wrapText="1"/>
    </xf>
    <xf numFmtId="0" fontId="15" fillId="2" borderId="115" xfId="1" applyFont="1" applyFill="1" applyBorder="1" applyAlignment="1">
      <alignment horizontal="center" vertical="center" wrapText="1"/>
    </xf>
    <xf numFmtId="0" fontId="15" fillId="2" borderId="76" xfId="1" applyFont="1" applyFill="1" applyBorder="1" applyAlignment="1">
      <alignment horizontal="center" vertical="center" wrapText="1"/>
    </xf>
    <xf numFmtId="0" fontId="16" fillId="0" borderId="19" xfId="1" applyFont="1" applyBorder="1" applyAlignment="1">
      <alignment vertical="center"/>
    </xf>
    <xf numFmtId="0" fontId="18" fillId="0" borderId="91" xfId="2" applyFont="1" applyBorder="1" applyAlignment="1">
      <alignment vertical="center"/>
    </xf>
    <xf numFmtId="0" fontId="18" fillId="0" borderId="92" xfId="2" applyFont="1" applyBorder="1" applyAlignment="1">
      <alignment vertical="center"/>
    </xf>
    <xf numFmtId="1" fontId="16" fillId="0" borderId="15" xfId="1" applyNumberFormat="1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14" xfId="2" applyFont="1" applyBorder="1" applyAlignment="1">
      <alignment vertical="center"/>
    </xf>
    <xf numFmtId="0" fontId="16" fillId="0" borderId="19" xfId="1" applyFont="1" applyFill="1" applyBorder="1" applyAlignment="1">
      <alignment vertical="center"/>
    </xf>
    <xf numFmtId="0" fontId="16" fillId="0" borderId="25" xfId="1" applyFont="1" applyFill="1" applyBorder="1" applyAlignment="1">
      <alignment vertical="center"/>
    </xf>
    <xf numFmtId="0" fontId="18" fillId="0" borderId="93" xfId="2" applyFont="1" applyFill="1" applyBorder="1" applyAlignment="1">
      <alignment vertical="center"/>
    </xf>
    <xf numFmtId="0" fontId="18" fillId="0" borderId="93" xfId="2" applyFont="1" applyFill="1" applyBorder="1" applyAlignment="1">
      <alignment horizontal="center" vertical="center"/>
    </xf>
    <xf numFmtId="0" fontId="18" fillId="0" borderId="93" xfId="2" applyFont="1" applyBorder="1" applyAlignment="1">
      <alignment horizontal="center" vertical="center"/>
    </xf>
    <xf numFmtId="0" fontId="18" fillId="0" borderId="93" xfId="2" applyFont="1" applyBorder="1" applyAlignment="1">
      <alignment vertical="center"/>
    </xf>
    <xf numFmtId="1" fontId="16" fillId="0" borderId="93" xfId="1" applyNumberFormat="1" applyFont="1" applyBorder="1" applyAlignment="1">
      <alignment horizontal="center" vertical="center"/>
    </xf>
    <xf numFmtId="0" fontId="22" fillId="0" borderId="93" xfId="2" applyFont="1" applyFill="1" applyBorder="1" applyAlignment="1">
      <alignment horizontal="left" vertical="center" wrapText="1"/>
    </xf>
    <xf numFmtId="0" fontId="0" fillId="0" borderId="93" xfId="0" applyFill="1" applyBorder="1"/>
    <xf numFmtId="0" fontId="0" fillId="0" borderId="83" xfId="0" applyFill="1" applyBorder="1"/>
    <xf numFmtId="0" fontId="18" fillId="12" borderId="100" xfId="2" applyFont="1" applyFill="1" applyBorder="1" applyAlignment="1">
      <alignment horizontal="left" wrapText="1"/>
    </xf>
    <xf numFmtId="0" fontId="18" fillId="12" borderId="16" xfId="2" applyFont="1" applyFill="1" applyBorder="1" applyAlignment="1">
      <alignment horizontal="left" wrapText="1"/>
    </xf>
    <xf numFmtId="0" fontId="0" fillId="0" borderId="118" xfId="0" applyBorder="1"/>
    <xf numFmtId="4" fontId="0" fillId="0" borderId="118" xfId="0" applyNumberFormat="1" applyBorder="1"/>
    <xf numFmtId="0" fontId="0" fillId="0" borderId="118" xfId="0" applyFill="1" applyBorder="1"/>
    <xf numFmtId="0" fontId="0" fillId="2" borderId="116" xfId="0" applyFill="1" applyBorder="1"/>
    <xf numFmtId="0" fontId="0" fillId="2" borderId="118" xfId="0" applyFill="1" applyBorder="1"/>
    <xf numFmtId="4" fontId="16" fillId="0" borderId="0" xfId="1" applyNumberFormat="1" applyFont="1" applyBorder="1" applyAlignment="1">
      <alignment vertical="center"/>
    </xf>
    <xf numFmtId="0" fontId="4" fillId="0" borderId="0" xfId="0" applyNumberFormat="1" applyFont="1" applyAlignment="1">
      <alignment vertical="center" wrapText="1"/>
    </xf>
    <xf numFmtId="0" fontId="0" fillId="18" borderId="118" xfId="0" applyFill="1" applyBorder="1" applyAlignment="1">
      <alignment horizontal="left"/>
    </xf>
    <xf numFmtId="0" fontId="0" fillId="0" borderId="118" xfId="0" applyBorder="1" applyAlignment="1">
      <alignment horizontal="left"/>
    </xf>
    <xf numFmtId="0" fontId="0" fillId="0" borderId="118" xfId="0" applyFill="1" applyBorder="1" applyAlignment="1">
      <alignment horizontal="left"/>
    </xf>
    <xf numFmtId="3" fontId="0" fillId="0" borderId="14" xfId="0" applyNumberFormat="1" applyBorder="1" applyAlignment="1">
      <alignment horizontal="center" vertical="center"/>
    </xf>
    <xf numFmtId="0" fontId="22" fillId="0" borderId="14" xfId="2" applyFont="1" applyFill="1" applyBorder="1" applyAlignment="1">
      <alignment horizontal="left" vertical="center" wrapText="1"/>
    </xf>
    <xf numFmtId="14" fontId="16" fillId="0" borderId="0" xfId="1" applyNumberFormat="1" applyFont="1" applyBorder="1" applyAlignment="1">
      <alignment horizontal="center" vertical="center"/>
    </xf>
    <xf numFmtId="169" fontId="130" fillId="0" borderId="14" xfId="2" applyNumberFormat="1" applyFont="1" applyFill="1" applyBorder="1" applyAlignment="1">
      <alignment horizontal="center" vertical="center" wrapText="1"/>
    </xf>
    <xf numFmtId="0" fontId="128" fillId="0" borderId="14" xfId="2" applyFont="1" applyFill="1" applyBorder="1" applyAlignment="1">
      <alignment horizontal="center" vertical="center" wrapText="1"/>
    </xf>
    <xf numFmtId="4" fontId="22" fillId="17" borderId="14" xfId="2" applyNumberFormat="1" applyFont="1" applyFill="1" applyBorder="1" applyAlignment="1">
      <alignment horizontal="right" vertical="center" wrapText="1"/>
    </xf>
    <xf numFmtId="4" fontId="22" fillId="0" borderId="14" xfId="2" applyNumberFormat="1" applyFont="1" applyFill="1" applyBorder="1" applyAlignment="1">
      <alignment vertical="center" wrapText="1"/>
    </xf>
    <xf numFmtId="1" fontId="16" fillId="0" borderId="17" xfId="1" applyNumberFormat="1" applyFont="1" applyBorder="1" applyAlignment="1">
      <alignment horizontal="center" vertical="center"/>
    </xf>
    <xf numFmtId="14" fontId="16" fillId="0" borderId="7" xfId="1" applyNumberFormat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4" fontId="22" fillId="0" borderId="120" xfId="2" applyNumberFormat="1" applyFont="1" applyFill="1" applyBorder="1" applyAlignment="1">
      <alignment vertical="center" wrapText="1"/>
    </xf>
    <xf numFmtId="0" fontId="0" fillId="0" borderId="0" xfId="0"/>
    <xf numFmtId="0" fontId="0" fillId="0" borderId="0" xfId="0" applyAlignment="1"/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0" borderId="14" xfId="0" applyBorder="1"/>
    <xf numFmtId="0" fontId="18" fillId="12" borderId="14" xfId="2" applyFont="1" applyFill="1" applyBorder="1" applyAlignment="1">
      <alignment horizontal="left" vertical="center"/>
    </xf>
    <xf numFmtId="0" fontId="31" fillId="0" borderId="0" xfId="0" applyFont="1" applyFill="1" applyAlignment="1"/>
    <xf numFmtId="0" fontId="54" fillId="0" borderId="14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0" fillId="0" borderId="29" xfId="0" applyFill="1" applyBorder="1"/>
    <xf numFmtId="0" fontId="0" fillId="0" borderId="17" xfId="0" applyBorder="1"/>
    <xf numFmtId="0" fontId="30" fillId="0" borderId="0" xfId="0" applyFont="1" applyFill="1" applyBorder="1" applyAlignment="1">
      <alignment horizontal="left" vertical="center" wrapText="1"/>
    </xf>
    <xf numFmtId="0" fontId="18" fillId="0" borderId="17" xfId="0" applyFont="1" applyFill="1" applyBorder="1" applyAlignment="1">
      <alignment vertical="center"/>
    </xf>
    <xf numFmtId="0" fontId="15" fillId="8" borderId="17" xfId="1" applyFont="1" applyFill="1" applyBorder="1" applyAlignment="1">
      <alignment horizontal="center" vertical="center"/>
    </xf>
    <xf numFmtId="14" fontId="10" fillId="8" borderId="16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8" fillId="4" borderId="110" xfId="0" applyFont="1" applyFill="1" applyBorder="1" applyAlignment="1">
      <alignment vertical="center"/>
    </xf>
    <xf numFmtId="4" fontId="4" fillId="0" borderId="109" xfId="0" applyNumberFormat="1" applyFont="1" applyBorder="1" applyAlignment="1">
      <alignment vertical="center"/>
    </xf>
    <xf numFmtId="0" fontId="4" fillId="0" borderId="110" xfId="0" applyFont="1" applyBorder="1" applyAlignment="1">
      <alignment vertical="center"/>
    </xf>
    <xf numFmtId="0" fontId="4" fillId="0" borderId="131" xfId="0" applyFont="1" applyBorder="1" applyAlignment="1">
      <alignment horizontal="center" vertical="center"/>
    </xf>
    <xf numFmtId="0" fontId="32" fillId="18" borderId="118" xfId="0" applyFont="1" applyFill="1" applyBorder="1" applyAlignment="1">
      <alignment horizontal="center"/>
    </xf>
    <xf numFmtId="4" fontId="108" fillId="4" borderId="109" xfId="0" applyNumberFormat="1" applyFont="1" applyFill="1" applyBorder="1" applyAlignment="1">
      <alignment vertical="center"/>
    </xf>
    <xf numFmtId="3" fontId="19" fillId="0" borderId="0" xfId="1" applyNumberFormat="1" applyFont="1" applyFill="1" applyBorder="1" applyAlignment="1">
      <alignment vertical="center" wrapText="1"/>
    </xf>
    <xf numFmtId="3" fontId="16" fillId="0" borderId="19" xfId="1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14" fontId="32" fillId="0" borderId="14" xfId="0" applyNumberFormat="1" applyFont="1" applyFill="1" applyBorder="1"/>
    <xf numFmtId="0" fontId="54" fillId="0" borderId="0" xfId="2" applyFont="1" applyAlignment="1">
      <alignment horizontal="center" vertical="center" textRotation="180"/>
    </xf>
    <xf numFmtId="168" fontId="0" fillId="0" borderId="95" xfId="0" applyNumberFormat="1" applyFill="1" applyBorder="1"/>
    <xf numFmtId="177" fontId="0" fillId="0" borderId="0" xfId="0" applyNumberFormat="1" applyBorder="1"/>
    <xf numFmtId="165" fontId="30" fillId="3" borderId="118" xfId="2" applyNumberFormat="1" applyFont="1" applyFill="1" applyBorder="1" applyAlignment="1">
      <alignment horizontal="center" vertical="center" wrapText="1"/>
    </xf>
    <xf numFmtId="43" fontId="18" fillId="2" borderId="95" xfId="2" applyNumberFormat="1" applyFont="1" applyFill="1" applyBorder="1" applyAlignment="1">
      <alignment horizontal="center" vertical="center"/>
    </xf>
    <xf numFmtId="2" fontId="32" fillId="18" borderId="118" xfId="0" applyNumberFormat="1" applyFont="1" applyFill="1" applyBorder="1"/>
    <xf numFmtId="2" fontId="32" fillId="0" borderId="118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/>
    <xf numFmtId="14" fontId="32" fillId="0" borderId="118" xfId="0" applyNumberFormat="1" applyFont="1" applyFill="1" applyBorder="1"/>
    <xf numFmtId="0" fontId="0" fillId="0" borderId="0" xfId="0" applyFill="1" applyBorder="1"/>
    <xf numFmtId="0" fontId="32" fillId="18" borderId="118" xfId="0" applyNumberFormat="1" applyFont="1" applyFill="1" applyBorder="1" applyAlignment="1">
      <alignment horizontal="center"/>
    </xf>
    <xf numFmtId="0" fontId="18" fillId="18" borderId="118" xfId="0" applyNumberFormat="1" applyFont="1" applyFill="1" applyBorder="1" applyAlignment="1">
      <alignment horizontal="center"/>
    </xf>
    <xf numFmtId="4" fontId="54" fillId="0" borderId="118" xfId="2" applyNumberFormat="1" applyFont="1" applyFill="1" applyBorder="1" applyAlignment="1">
      <alignment vertical="center"/>
    </xf>
    <xf numFmtId="3" fontId="39" fillId="0" borderId="118" xfId="2" applyNumberFormat="1" applyFont="1" applyFill="1" applyBorder="1" applyAlignment="1">
      <alignment vertical="center"/>
    </xf>
    <xf numFmtId="181" fontId="109" fillId="0" borderId="118" xfId="0" applyNumberFormat="1" applyFont="1" applyFill="1" applyBorder="1" applyAlignment="1">
      <alignment horizontal="center" vertical="center"/>
    </xf>
    <xf numFmtId="181" fontId="30" fillId="0" borderId="118" xfId="2" applyNumberFormat="1" applyFont="1" applyFill="1" applyBorder="1" applyAlignment="1">
      <alignment horizontal="center" vertical="center"/>
    </xf>
    <xf numFmtId="182" fontId="4" fillId="0" borderId="118" xfId="0" applyNumberFormat="1" applyFont="1" applyBorder="1" applyAlignment="1">
      <alignment vertical="center"/>
    </xf>
    <xf numFmtId="4" fontId="4" fillId="0" borderId="118" xfId="0" applyNumberFormat="1" applyFont="1" applyBorder="1" applyAlignment="1">
      <alignment vertical="center"/>
    </xf>
    <xf numFmtId="0" fontId="4" fillId="0" borderId="118" xfId="0" applyFont="1" applyBorder="1" applyAlignment="1">
      <alignment vertical="center"/>
    </xf>
    <xf numFmtId="3" fontId="4" fillId="0" borderId="8" xfId="0" applyNumberFormat="1" applyFont="1" applyBorder="1" applyAlignment="1">
      <alignment horizontal="left" vertical="center"/>
    </xf>
    <xf numFmtId="4" fontId="32" fillId="0" borderId="118" xfId="0" applyNumberFormat="1" applyFont="1" applyFill="1" applyBorder="1"/>
    <xf numFmtId="171" fontId="54" fillId="0" borderId="14" xfId="9" applyNumberFormat="1" applyFont="1" applyFill="1" applyBorder="1" applyAlignment="1">
      <alignment horizontal="center" vertical="center"/>
    </xf>
    <xf numFmtId="0" fontId="32" fillId="0" borderId="118" xfId="0" applyFont="1" applyFill="1" applyBorder="1"/>
    <xf numFmtId="0" fontId="32" fillId="0" borderId="118" xfId="0" applyFont="1" applyFill="1" applyBorder="1" applyAlignment="1">
      <alignment vertical="center" wrapText="1"/>
    </xf>
    <xf numFmtId="10" fontId="32" fillId="0" borderId="118" xfId="0" applyNumberFormat="1" applyFont="1" applyFill="1" applyBorder="1"/>
    <xf numFmtId="0" fontId="32" fillId="0" borderId="118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vertical="center" wrapText="1"/>
    </xf>
    <xf numFmtId="0" fontId="0" fillId="0" borderId="0" xfId="0" applyFill="1"/>
    <xf numFmtId="0" fontId="17" fillId="0" borderId="14" xfId="3" applyFill="1" applyBorder="1" applyAlignment="1" applyProtection="1">
      <alignment vertical="center" wrapText="1"/>
    </xf>
    <xf numFmtId="0" fontId="32" fillId="0" borderId="14" xfId="0" applyFont="1" applyFill="1" applyBorder="1"/>
    <xf numFmtId="0" fontId="18" fillId="0" borderId="14" xfId="0" applyNumberFormat="1" applyFont="1" applyFill="1" applyBorder="1" applyAlignment="1"/>
    <xf numFmtId="0" fontId="0" fillId="0" borderId="0" xfId="0"/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54" fillId="6" borderId="14" xfId="2" applyFont="1" applyFill="1" applyBorder="1" applyAlignment="1">
      <alignment horizontal="center" vertical="center"/>
    </xf>
    <xf numFmtId="171" fontId="54" fillId="0" borderId="14" xfId="9" applyNumberFormat="1" applyFont="1" applyFill="1" applyBorder="1" applyAlignment="1">
      <alignment horizontal="center" vertical="center"/>
    </xf>
    <xf numFmtId="0" fontId="18" fillId="18" borderId="14" xfId="0" applyNumberFormat="1" applyFont="1" applyFill="1" applyBorder="1" applyAlignment="1"/>
    <xf numFmtId="0" fontId="18" fillId="5" borderId="118" xfId="0" applyNumberFormat="1" applyFont="1" applyFill="1" applyBorder="1" applyAlignment="1"/>
    <xf numFmtId="0" fontId="35" fillId="0" borderId="118" xfId="4" applyFont="1" applyFill="1" applyBorder="1" applyAlignment="1" applyProtection="1">
      <alignment vertical="center" wrapText="1"/>
    </xf>
    <xf numFmtId="0" fontId="17" fillId="0" borderId="14" xfId="3" applyBorder="1" applyAlignment="1" applyProtection="1"/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0" fontId="30" fillId="7" borderId="100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18" xfId="0" applyBorder="1"/>
    <xf numFmtId="14" fontId="0" fillId="0" borderId="0" xfId="0" applyNumberFormat="1"/>
    <xf numFmtId="0" fontId="0" fillId="0" borderId="0" xfId="0" applyBorder="1" applyAlignment="1">
      <alignment horizontal="left"/>
    </xf>
    <xf numFmtId="22" fontId="0" fillId="0" borderId="0" xfId="0" applyNumberFormat="1"/>
    <xf numFmtId="0" fontId="16" fillId="0" borderId="0" xfId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center"/>
    </xf>
    <xf numFmtId="0" fontId="0" fillId="2" borderId="64" xfId="0" applyFill="1" applyBorder="1"/>
    <xf numFmtId="0" fontId="0" fillId="0" borderId="132" xfId="0" applyFill="1" applyBorder="1"/>
    <xf numFmtId="0" fontId="4" fillId="0" borderId="64" xfId="0" applyFont="1" applyBorder="1" applyAlignment="1">
      <alignment vertical="center"/>
    </xf>
    <xf numFmtId="0" fontId="3" fillId="0" borderId="65" xfId="0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vertical="center"/>
    </xf>
    <xf numFmtId="0" fontId="4" fillId="0" borderId="66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24" fillId="10" borderId="0" xfId="0" applyFont="1" applyFill="1" applyAlignment="1">
      <alignment horizontal="center" vertical="center" wrapText="1"/>
    </xf>
    <xf numFmtId="0" fontId="32" fillId="0" borderId="118" xfId="0" applyFont="1" applyFill="1" applyBorder="1"/>
    <xf numFmtId="2" fontId="32" fillId="0" borderId="132" xfId="0" applyNumberFormat="1" applyFont="1" applyFill="1" applyBorder="1"/>
    <xf numFmtId="0" fontId="18" fillId="0" borderId="118" xfId="0" applyNumberFormat="1" applyFont="1" applyFill="1" applyBorder="1" applyAlignment="1"/>
    <xf numFmtId="171" fontId="54" fillId="0" borderId="14" xfId="9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10" fillId="17" borderId="118" xfId="0" applyFont="1" applyFill="1" applyBorder="1" applyAlignment="1">
      <alignment horizontal="center" vertical="center" wrapText="1"/>
    </xf>
    <xf numFmtId="0" fontId="10" fillId="17" borderId="118" xfId="0" applyFont="1" applyFill="1" applyBorder="1" applyAlignment="1">
      <alignment vertical="center" wrapText="1"/>
    </xf>
    <xf numFmtId="4" fontId="63" fillId="0" borderId="0" xfId="245" applyNumberFormat="1" applyFill="1" applyBorder="1" applyAlignment="1">
      <alignment vertical="center"/>
    </xf>
    <xf numFmtId="10" fontId="63" fillId="0" borderId="0" xfId="245" applyNumberFormat="1" applyFill="1" applyBorder="1"/>
    <xf numFmtId="4" fontId="63" fillId="0" borderId="0" xfId="245" applyNumberFormat="1" applyBorder="1"/>
    <xf numFmtId="183" fontId="63" fillId="10" borderId="0" xfId="245" applyNumberFormat="1" applyFill="1" applyBorder="1"/>
    <xf numFmtId="4" fontId="63" fillId="0" borderId="0" xfId="245" applyNumberFormat="1" applyFill="1" applyBorder="1"/>
    <xf numFmtId="4" fontId="63" fillId="10" borderId="0" xfId="245" applyNumberFormat="1" applyFill="1" applyBorder="1"/>
    <xf numFmtId="177" fontId="63" fillId="0" borderId="0" xfId="245" applyNumberForma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 wrapText="1"/>
    </xf>
    <xf numFmtId="0" fontId="0" fillId="7" borderId="118" xfId="0" applyFill="1" applyBorder="1"/>
    <xf numFmtId="0" fontId="10" fillId="7" borderId="118" xfId="0" applyFont="1" applyFill="1" applyBorder="1" applyAlignment="1">
      <alignment horizontal="center" vertical="center"/>
    </xf>
    <xf numFmtId="183" fontId="0" fillId="18" borderId="0" xfId="0" applyNumberFormat="1" applyFill="1" applyBorder="1"/>
    <xf numFmtId="4" fontId="0" fillId="18" borderId="0" xfId="0" applyNumberFormat="1" applyFill="1" applyBorder="1"/>
    <xf numFmtId="168" fontId="0" fillId="10" borderId="0" xfId="0" applyNumberFormat="1" applyFill="1" applyBorder="1"/>
    <xf numFmtId="0" fontId="10" fillId="17" borderId="132" xfId="0" applyFont="1" applyFill="1" applyBorder="1" applyAlignment="1">
      <alignment vertical="center" wrapText="1"/>
    </xf>
    <xf numFmtId="0" fontId="0" fillId="5" borderId="19" xfId="0" applyFill="1" applyBorder="1"/>
    <xf numFmtId="0" fontId="0" fillId="5" borderId="0" xfId="0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10" fontId="0" fillId="5" borderId="0" xfId="0" applyNumberFormat="1" applyFill="1" applyBorder="1"/>
    <xf numFmtId="0" fontId="0" fillId="5" borderId="22" xfId="0" applyFill="1" applyBorder="1"/>
    <xf numFmtId="0" fontId="0" fillId="5" borderId="0" xfId="0" applyFill="1"/>
    <xf numFmtId="4" fontId="0" fillId="5" borderId="0" xfId="0" applyNumberFormat="1" applyFill="1" applyBorder="1" applyAlignment="1">
      <alignment vertical="center"/>
    </xf>
    <xf numFmtId="0" fontId="10" fillId="17" borderId="134" xfId="0" applyFont="1" applyFill="1" applyBorder="1" applyAlignment="1">
      <alignment vertical="center"/>
    </xf>
    <xf numFmtId="0" fontId="10" fillId="17" borderId="135" xfId="0" applyFont="1" applyFill="1" applyBorder="1" applyAlignment="1">
      <alignment vertical="center" wrapText="1"/>
    </xf>
    <xf numFmtId="0" fontId="0" fillId="0" borderId="19" xfId="245" applyFont="1" applyFill="1" applyBorder="1"/>
    <xf numFmtId="0" fontId="63" fillId="0" borderId="19" xfId="245" applyFill="1" applyBorder="1" applyAlignment="1">
      <alignment vertical="center"/>
    </xf>
    <xf numFmtId="4" fontId="63" fillId="0" borderId="22" xfId="245" applyNumberFormat="1" applyFill="1" applyBorder="1" applyAlignment="1">
      <alignment vertical="center"/>
    </xf>
    <xf numFmtId="168" fontId="0" fillId="10" borderId="22" xfId="0" applyNumberFormat="1" applyFill="1" applyBorder="1"/>
    <xf numFmtId="168" fontId="0" fillId="5" borderId="22" xfId="0" applyNumberFormat="1" applyFill="1" applyBorder="1"/>
    <xf numFmtId="0" fontId="0" fillId="0" borderId="25" xfId="0" applyBorder="1" applyAlignment="1">
      <alignment vertical="center"/>
    </xf>
    <xf numFmtId="168" fontId="0" fillId="0" borderId="95" xfId="0" applyNumberFormat="1" applyBorder="1"/>
    <xf numFmtId="10" fontId="0" fillId="0" borderId="95" xfId="0" applyNumberFormat="1" applyFill="1" applyBorder="1"/>
    <xf numFmtId="168" fontId="0" fillId="10" borderId="95" xfId="0" applyNumberFormat="1" applyFill="1" applyBorder="1"/>
    <xf numFmtId="168" fontId="0" fillId="10" borderId="83" xfId="0" applyNumberFormat="1" applyFill="1" applyBorder="1"/>
    <xf numFmtId="0" fontId="0" fillId="0" borderId="19" xfId="245" applyFont="1" applyFill="1" applyBorder="1" applyAlignment="1">
      <alignment vertical="center"/>
    </xf>
    <xf numFmtId="0" fontId="0" fillId="0" borderId="95" xfId="0" applyBorder="1"/>
    <xf numFmtId="0" fontId="0" fillId="0" borderId="95" xfId="0" applyFill="1" applyBorder="1"/>
    <xf numFmtId="0" fontId="63" fillId="0" borderId="19" xfId="245" applyFill="1" applyBorder="1"/>
    <xf numFmtId="4" fontId="0" fillId="0" borderId="22" xfId="0" applyNumberFormat="1" applyFill="1" applyBorder="1" applyAlignment="1">
      <alignment vertical="center"/>
    </xf>
    <xf numFmtId="4" fontId="0" fillId="0" borderId="19" xfId="0" applyNumberFormat="1" applyFill="1" applyBorder="1" applyAlignment="1">
      <alignment vertical="center"/>
    </xf>
    <xf numFmtId="4" fontId="0" fillId="17" borderId="22" xfId="0" applyNumberFormat="1" applyFill="1" applyBorder="1" applyAlignment="1">
      <alignment vertical="center"/>
    </xf>
    <xf numFmtId="0" fontId="10" fillId="2" borderId="10" xfId="0" applyFont="1" applyFill="1" applyBorder="1" applyAlignment="1">
      <alignment vertical="center" wrapText="1"/>
    </xf>
    <xf numFmtId="177" fontId="0" fillId="0" borderId="22" xfId="0" applyNumberFormat="1" applyFill="1" applyBorder="1" applyAlignment="1">
      <alignment vertical="center"/>
    </xf>
    <xf numFmtId="177" fontId="0" fillId="17" borderId="22" xfId="0" applyNumberFormat="1" applyFill="1" applyBorder="1" applyAlignment="1">
      <alignment vertical="center"/>
    </xf>
    <xf numFmtId="4" fontId="0" fillId="7" borderId="22" xfId="0" applyNumberFormat="1" applyFill="1" applyBorder="1" applyAlignment="1">
      <alignment vertical="center"/>
    </xf>
    <xf numFmtId="4" fontId="0" fillId="0" borderId="22" xfId="0" applyNumberFormat="1" applyFill="1" applyBorder="1"/>
    <xf numFmtId="4" fontId="0" fillId="0" borderId="95" xfId="0" applyNumberFormat="1" applyFill="1" applyBorder="1" applyAlignment="1">
      <alignment vertical="center"/>
    </xf>
    <xf numFmtId="0" fontId="10" fillId="5" borderId="8" xfId="0" applyFont="1" applyFill="1" applyBorder="1" applyAlignment="1">
      <alignment horizontal="center"/>
    </xf>
    <xf numFmtId="0" fontId="10" fillId="5" borderId="8" xfId="0" applyFont="1" applyFill="1" applyBorder="1" applyAlignment="1">
      <alignment vertical="center" wrapText="1"/>
    </xf>
    <xf numFmtId="0" fontId="10" fillId="5" borderId="119" xfId="0" applyFont="1" applyFill="1" applyBorder="1" applyAlignment="1">
      <alignment horizontal="center"/>
    </xf>
    <xf numFmtId="177" fontId="0" fillId="5" borderId="0" xfId="0" applyNumberFormat="1" applyFill="1" applyBorder="1"/>
    <xf numFmtId="165" fontId="30" fillId="3" borderId="14" xfId="2" applyNumberFormat="1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8" fontId="30" fillId="2" borderId="10" xfId="2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/>
    </xf>
    <xf numFmtId="4" fontId="18" fillId="2" borderId="93" xfId="2" applyNumberFormat="1" applyFont="1" applyFill="1" applyBorder="1" applyAlignment="1">
      <alignment horizontal="center" vertical="center"/>
    </xf>
    <xf numFmtId="10" fontId="18" fillId="18" borderId="119" xfId="9" applyNumberFormat="1" applyFont="1" applyFill="1" applyBorder="1" applyAlignment="1">
      <alignment horizontal="left" vertical="center"/>
    </xf>
    <xf numFmtId="10" fontId="18" fillId="18" borderId="119" xfId="9" applyNumberFormat="1" applyFont="1" applyFill="1" applyBorder="1" applyAlignment="1">
      <alignment vertical="center"/>
    </xf>
    <xf numFmtId="177" fontId="0" fillId="10" borderId="0" xfId="0" applyNumberFormat="1" applyFill="1" applyBorder="1"/>
    <xf numFmtId="0" fontId="10" fillId="17" borderId="139" xfId="0" applyFont="1" applyFill="1" applyBorder="1" applyAlignment="1">
      <alignment horizontal="center" vertical="center" wrapText="1"/>
    </xf>
    <xf numFmtId="0" fontId="10" fillId="17" borderId="139" xfId="0" applyFont="1" applyFill="1" applyBorder="1" applyAlignment="1">
      <alignment vertical="center" wrapText="1"/>
    </xf>
    <xf numFmtId="0" fontId="10" fillId="17" borderId="140" xfId="0" applyFont="1" applyFill="1" applyBorder="1" applyAlignment="1">
      <alignment vertical="center" wrapText="1"/>
    </xf>
    <xf numFmtId="0" fontId="0" fillId="10" borderId="0" xfId="0" applyFill="1" applyBorder="1"/>
    <xf numFmtId="0" fontId="10" fillId="17" borderId="141" xfId="0" applyFont="1" applyFill="1" applyBorder="1" applyAlignment="1">
      <alignment vertical="center"/>
    </xf>
    <xf numFmtId="0" fontId="10" fillId="7" borderId="118" xfId="0" applyFont="1" applyFill="1" applyBorder="1" applyAlignment="1"/>
    <xf numFmtId="0" fontId="10" fillId="7" borderId="118" xfId="0" applyFont="1" applyFill="1" applyBorder="1" applyAlignment="1">
      <alignment vertical="center" wrapText="1"/>
    </xf>
    <xf numFmtId="165" fontId="30" fillId="10" borderId="2" xfId="2" applyNumberFormat="1" applyFont="1" applyFill="1" applyBorder="1" applyAlignment="1">
      <alignment horizontal="center" vertical="center"/>
    </xf>
    <xf numFmtId="177" fontId="0" fillId="17" borderId="0" xfId="0" applyNumberFormat="1" applyFill="1" applyBorder="1"/>
    <xf numFmtId="183" fontId="0" fillId="17" borderId="0" xfId="0" applyNumberFormat="1" applyFill="1" applyBorder="1"/>
    <xf numFmtId="0" fontId="63" fillId="17" borderId="19" xfId="245" applyFill="1" applyBorder="1"/>
    <xf numFmtId="183" fontId="63" fillId="17" borderId="0" xfId="245" applyNumberFormat="1" applyFill="1" applyBorder="1"/>
    <xf numFmtId="4" fontId="63" fillId="17" borderId="0" xfId="245" applyNumberFormat="1" applyFill="1" applyBorder="1"/>
    <xf numFmtId="0" fontId="63" fillId="17" borderId="19" xfId="245" applyFill="1" applyBorder="1" applyAlignment="1">
      <alignment vertical="center"/>
    </xf>
    <xf numFmtId="0" fontId="0" fillId="17" borderId="19" xfId="245" applyFont="1" applyFill="1" applyBorder="1" applyAlignment="1">
      <alignment vertical="center"/>
    </xf>
    <xf numFmtId="0" fontId="0" fillId="17" borderId="19" xfId="245" applyFont="1" applyFill="1" applyBorder="1"/>
    <xf numFmtId="10" fontId="18" fillId="18" borderId="119" xfId="9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32" fillId="10" borderId="0" xfId="0" applyNumberFormat="1" applyFont="1" applyFill="1" applyBorder="1"/>
    <xf numFmtId="0" fontId="30" fillId="0" borderId="118" xfId="2" applyFont="1" applyFill="1" applyBorder="1" applyAlignment="1">
      <alignment vertical="center" wrapText="1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30" fillId="6" borderId="10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16" xfId="2" applyNumberFormat="1" applyFont="1" applyFill="1" applyBorder="1" applyAlignment="1">
      <alignment horizontal="center" vertical="center" wrapText="1"/>
    </xf>
    <xf numFmtId="0" fontId="18" fillId="0" borderId="0" xfId="9" applyNumberFormat="1" applyFont="1" applyFill="1" applyBorder="1" applyAlignment="1">
      <alignment horizontal="left" vertical="center"/>
    </xf>
    <xf numFmtId="2" fontId="32" fillId="0" borderId="117" xfId="0" applyNumberFormat="1" applyFont="1" applyFill="1" applyBorder="1"/>
    <xf numFmtId="2" fontId="32" fillId="0" borderId="119" xfId="0" applyNumberFormat="1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4" fontId="32" fillId="10" borderId="0" xfId="0" applyNumberFormat="1" applyFont="1" applyFill="1" applyBorder="1"/>
    <xf numFmtId="0" fontId="32" fillId="0" borderId="118" xfId="0" applyNumberFormat="1" applyFont="1" applyFill="1" applyBorder="1"/>
    <xf numFmtId="4" fontId="32" fillId="10" borderId="117" xfId="0" applyNumberFormat="1" applyFont="1" applyFill="1" applyBorder="1"/>
    <xf numFmtId="0" fontId="0" fillId="0" borderId="0" xfId="0" applyAlignment="1">
      <alignment horizontal="center" vertical="center"/>
    </xf>
    <xf numFmtId="4" fontId="18" fillId="0" borderId="118" xfId="9" applyNumberFormat="1" applyFont="1" applyFill="1" applyBorder="1" applyAlignment="1">
      <alignment horizontal="right" vertical="top"/>
    </xf>
    <xf numFmtId="4" fontId="18" fillId="18" borderId="118" xfId="9" applyNumberFormat="1" applyFont="1" applyFill="1" applyBorder="1" applyAlignment="1">
      <alignment horizontal="right" vertical="top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0" fillId="0" borderId="15" xfId="2" applyFont="1" applyFill="1" applyBorder="1" applyAlignment="1">
      <alignment vertical="center" wrapText="1"/>
    </xf>
    <xf numFmtId="0" fontId="30" fillId="0" borderId="6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30" xfId="2" applyFont="1" applyFill="1" applyBorder="1" applyAlignment="1">
      <alignment vertical="center" wrapText="1"/>
    </xf>
    <xf numFmtId="0" fontId="30" fillId="0" borderId="31" xfId="2" applyFont="1" applyFill="1" applyBorder="1" applyAlignment="1">
      <alignment vertical="center" wrapText="1"/>
    </xf>
    <xf numFmtId="165" fontId="30" fillId="3" borderId="9" xfId="2" applyNumberFormat="1" applyFont="1" applyFill="1" applyBorder="1" applyAlignment="1">
      <alignment horizontal="center" vertical="center"/>
    </xf>
    <xf numFmtId="0" fontId="0" fillId="10" borderId="0" xfId="0" applyFill="1"/>
    <xf numFmtId="10" fontId="18" fillId="10" borderId="119" xfId="9" applyNumberFormat="1" applyFont="1" applyFill="1" applyBorder="1" applyAlignment="1">
      <alignment horizontal="left" vertical="center"/>
    </xf>
    <xf numFmtId="4" fontId="18" fillId="10" borderId="14" xfId="9" applyNumberFormat="1" applyFont="1" applyFill="1" applyBorder="1" applyAlignment="1">
      <alignment horizontal="left" vertical="center"/>
    </xf>
    <xf numFmtId="10" fontId="41" fillId="10" borderId="14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69" fontId="106" fillId="0" borderId="0" xfId="2" applyNumberFormat="1" applyFont="1" applyFill="1" applyBorder="1" applyAlignment="1">
      <alignment vertical="center"/>
    </xf>
    <xf numFmtId="0" fontId="16" fillId="0" borderId="10" xfId="1" applyFont="1" applyFill="1" applyBorder="1" applyAlignment="1">
      <alignment vertical="center" wrapText="1"/>
    </xf>
    <xf numFmtId="177" fontId="22" fillId="0" borderId="118" xfId="2" applyNumberFormat="1" applyFont="1" applyFill="1" applyBorder="1" applyAlignment="1">
      <alignment horizontal="center" vertical="center" wrapText="1"/>
    </xf>
    <xf numFmtId="4" fontId="41" fillId="8" borderId="118" xfId="2" applyNumberFormat="1" applyFont="1" applyFill="1" applyBorder="1" applyAlignment="1">
      <alignment horizontal="center" vertical="center"/>
    </xf>
    <xf numFmtId="4" fontId="41" fillId="0" borderId="118" xfId="2" applyNumberFormat="1" applyFont="1" applyFill="1" applyBorder="1" applyAlignment="1">
      <alignment horizontal="center" vertical="center"/>
    </xf>
    <xf numFmtId="4" fontId="41" fillId="18" borderId="118" xfId="2" applyNumberFormat="1" applyFont="1" applyFill="1" applyBorder="1" applyAlignment="1">
      <alignment horizontal="center" vertical="center"/>
    </xf>
    <xf numFmtId="169" fontId="130" fillId="0" borderId="17" xfId="2" applyNumberFormat="1" applyFont="1" applyFill="1" applyBorder="1" applyAlignment="1">
      <alignment horizontal="center" vertical="center" wrapText="1"/>
    </xf>
    <xf numFmtId="169" fontId="22" fillId="0" borderId="118" xfId="2" applyNumberFormat="1" applyFont="1" applyFill="1" applyBorder="1" applyAlignment="1">
      <alignment horizontal="center" vertical="center" wrapText="1"/>
    </xf>
    <xf numFmtId="4" fontId="22" fillId="0" borderId="118" xfId="2" applyNumberFormat="1" applyFont="1" applyFill="1" applyBorder="1" applyAlignment="1">
      <alignment horizontal="center" vertical="center" wrapText="1"/>
    </xf>
    <xf numFmtId="10" fontId="41" fillId="0" borderId="0" xfId="2" applyNumberFormat="1" applyFont="1" applyFill="1" applyBorder="1" applyAlignment="1">
      <alignment horizontal="center" vertical="center"/>
    </xf>
    <xf numFmtId="43" fontId="0" fillId="0" borderId="119" xfId="0" applyNumberFormat="1" applyBorder="1" applyAlignment="1">
      <alignment vertical="center"/>
    </xf>
    <xf numFmtId="171" fontId="54" fillId="10" borderId="14" xfId="9" applyNumberFormat="1" applyFont="1" applyFill="1" applyBorder="1" applyAlignment="1">
      <alignment horizontal="center" vertical="center"/>
    </xf>
    <xf numFmtId="9" fontId="41" fillId="10" borderId="13" xfId="2" applyNumberFormat="1" applyFont="1" applyFill="1" applyBorder="1" applyAlignment="1">
      <alignment horizontal="center" vertical="center"/>
    </xf>
    <xf numFmtId="43" fontId="0" fillId="0" borderId="0" xfId="0" applyNumberFormat="1" applyBorder="1" applyAlignment="1">
      <alignment vertical="center"/>
    </xf>
    <xf numFmtId="171" fontId="30" fillId="10" borderId="118" xfId="9" applyNumberFormat="1" applyFont="1" applyFill="1" applyBorder="1" applyAlignment="1">
      <alignment vertical="center"/>
    </xf>
    <xf numFmtId="9" fontId="30" fillId="10" borderId="118" xfId="2" applyNumberFormat="1" applyFont="1" applyFill="1" applyBorder="1" applyAlignment="1">
      <alignment vertical="center"/>
    </xf>
    <xf numFmtId="177" fontId="30" fillId="0" borderId="118" xfId="2" applyNumberFormat="1" applyFont="1" applyFill="1" applyBorder="1" applyAlignment="1">
      <alignment vertical="center"/>
    </xf>
    <xf numFmtId="3" fontId="30" fillId="8" borderId="118" xfId="2" applyNumberFormat="1" applyFont="1" applyFill="1" applyBorder="1" applyAlignment="1">
      <alignment vertical="center"/>
    </xf>
    <xf numFmtId="3" fontId="30" fillId="0" borderId="118" xfId="2" applyNumberFormat="1" applyFont="1" applyFill="1" applyBorder="1" applyAlignment="1">
      <alignment vertical="center"/>
    </xf>
    <xf numFmtId="177" fontId="30" fillId="17" borderId="118" xfId="2" applyNumberFormat="1" applyFont="1" applyFill="1" applyBorder="1" applyAlignment="1">
      <alignment vertical="center"/>
    </xf>
    <xf numFmtId="0" fontId="37" fillId="0" borderId="64" xfId="0" applyFont="1" applyBorder="1" applyAlignment="1">
      <alignment vertical="center"/>
    </xf>
    <xf numFmtId="0" fontId="37" fillId="0" borderId="65" xfId="0" applyFont="1" applyBorder="1" applyAlignment="1">
      <alignment vertical="center"/>
    </xf>
    <xf numFmtId="0" fontId="37" fillId="0" borderId="7" xfId="0" applyFont="1" applyBorder="1" applyAlignment="1">
      <alignment vertical="center"/>
    </xf>
    <xf numFmtId="0" fontId="37" fillId="0" borderId="0" xfId="0" applyFont="1" applyAlignment="1">
      <alignment vertical="center"/>
    </xf>
    <xf numFmtId="169" fontId="3" fillId="0" borderId="118" xfId="0" applyNumberFormat="1" applyFont="1" applyBorder="1" applyAlignment="1">
      <alignment vertical="center"/>
    </xf>
    <xf numFmtId="0" fontId="54" fillId="0" borderId="118" xfId="2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left" vertical="center"/>
    </xf>
    <xf numFmtId="7" fontId="54" fillId="0" borderId="118" xfId="9" applyNumberFormat="1" applyFont="1" applyFill="1" applyBorder="1" applyAlignment="1">
      <alignment horizontal="left" vertical="center" wrapText="1"/>
    </xf>
    <xf numFmtId="10" fontId="30" fillId="0" borderId="118" xfId="2" applyNumberFormat="1" applyFont="1" applyFill="1" applyBorder="1" applyAlignment="1">
      <alignment horizontal="center" vertical="center"/>
    </xf>
    <xf numFmtId="10" fontId="41" fillId="0" borderId="118" xfId="2" applyNumberFormat="1" applyFont="1" applyFill="1" applyBorder="1" applyAlignment="1">
      <alignment horizontal="center" vertical="center"/>
    </xf>
    <xf numFmtId="184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 vertical="center"/>
    </xf>
    <xf numFmtId="0" fontId="10" fillId="81" borderId="0" xfId="0" applyFont="1" applyFill="1" applyBorder="1" applyAlignment="1">
      <alignment horizontal="center" vertical="center"/>
    </xf>
    <xf numFmtId="185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/>
    </xf>
    <xf numFmtId="181" fontId="30" fillId="0" borderId="0" xfId="2" applyNumberFormat="1" applyFont="1" applyFill="1" applyBorder="1" applyAlignment="1">
      <alignment horizontal="right" vertical="center"/>
    </xf>
    <xf numFmtId="181" fontId="18" fillId="0" borderId="6" xfId="2" applyNumberFormat="1" applyFont="1" applyFill="1" applyBorder="1" applyAlignment="1">
      <alignment horizontal="right" vertical="center"/>
    </xf>
    <xf numFmtId="10" fontId="30" fillId="7" borderId="117" xfId="2" applyNumberFormat="1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center" vertical="center"/>
    </xf>
    <xf numFmtId="169" fontId="132" fillId="0" borderId="118" xfId="2" applyNumberFormat="1" applyFont="1" applyFill="1" applyBorder="1" applyAlignment="1">
      <alignment horizontal="center" vertical="center"/>
    </xf>
    <xf numFmtId="167" fontId="106" fillId="0" borderId="130" xfId="2" applyNumberFormat="1" applyFont="1" applyFill="1" applyBorder="1" applyAlignment="1">
      <alignment vertical="center"/>
    </xf>
    <xf numFmtId="165" fontId="30" fillId="3" borderId="17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vertical="center"/>
    </xf>
    <xf numFmtId="2" fontId="30" fillId="0" borderId="14" xfId="2" applyNumberFormat="1" applyFont="1" applyFill="1" applyBorder="1" applyAlignment="1">
      <alignment horizontal="right" vertical="center"/>
    </xf>
    <xf numFmtId="4" fontId="30" fillId="3" borderId="14" xfId="2" applyNumberFormat="1" applyFont="1" applyFill="1" applyBorder="1" applyAlignment="1">
      <alignment vertical="center"/>
    </xf>
    <xf numFmtId="7" fontId="54" fillId="8" borderId="118" xfId="9" applyNumberFormat="1" applyFont="1" applyFill="1" applyBorder="1" applyAlignment="1">
      <alignment vertical="center" wrapText="1"/>
    </xf>
    <xf numFmtId="3" fontId="39" fillId="0" borderId="118" xfId="2" applyNumberFormat="1" applyFont="1" applyFill="1" applyBorder="1" applyAlignment="1">
      <alignment horizontal="right" vertical="center"/>
    </xf>
    <xf numFmtId="4" fontId="39" fillId="0" borderId="118" xfId="2" applyNumberFormat="1" applyFont="1" applyFill="1" applyBorder="1" applyAlignment="1">
      <alignment horizontal="right" vertical="center"/>
    </xf>
    <xf numFmtId="4" fontId="39" fillId="8" borderId="118" xfId="2" applyNumberFormat="1" applyFont="1" applyFill="1" applyBorder="1" applyAlignment="1">
      <alignment horizontal="right" vertical="center"/>
    </xf>
    <xf numFmtId="177" fontId="32" fillId="0" borderId="118" xfId="0" applyNumberFormat="1" applyFont="1" applyBorder="1" applyAlignment="1">
      <alignment horizontal="right" vertical="center"/>
    </xf>
    <xf numFmtId="4" fontId="133" fillId="0" borderId="0" xfId="0" applyNumberFormat="1" applyFont="1" applyFill="1" applyBorder="1" applyAlignment="1">
      <alignment horizontal="center" vertical="center"/>
    </xf>
    <xf numFmtId="169" fontId="0" fillId="0" borderId="0" xfId="0" applyNumberFormat="1"/>
    <xf numFmtId="43" fontId="0" fillId="0" borderId="0" xfId="0" applyNumberFormat="1"/>
    <xf numFmtId="43" fontId="0" fillId="0" borderId="0" xfId="0" applyNumberFormat="1" applyBorder="1"/>
    <xf numFmtId="181" fontId="0" fillId="0" borderId="0" xfId="0" applyNumberFormat="1"/>
    <xf numFmtId="0" fontId="32" fillId="0" borderId="118" xfId="0" applyFont="1" applyBorder="1"/>
    <xf numFmtId="14" fontId="32" fillId="0" borderId="118" xfId="0" applyNumberFormat="1" applyFont="1" applyBorder="1"/>
    <xf numFmtId="0" fontId="4" fillId="0" borderId="132" xfId="0" applyFont="1" applyBorder="1" applyAlignment="1">
      <alignment vertical="center"/>
    </xf>
    <xf numFmtId="170" fontId="41" fillId="0" borderId="9" xfId="2" applyNumberFormat="1" applyFont="1" applyFill="1" applyBorder="1" applyAlignment="1">
      <alignment vertical="center"/>
    </xf>
    <xf numFmtId="170" fontId="41" fillId="0" borderId="17" xfId="2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" fillId="0" borderId="131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131" xfId="0" applyFont="1" applyBorder="1" applyAlignment="1">
      <alignment vertical="center"/>
    </xf>
    <xf numFmtId="0" fontId="3" fillId="0" borderId="130" xfId="0" applyFont="1" applyFill="1" applyBorder="1" applyAlignment="1">
      <alignment vertical="center"/>
    </xf>
    <xf numFmtId="0" fontId="5" fillId="0" borderId="131" xfId="0" applyFont="1" applyBorder="1" applyAlignment="1">
      <alignment vertical="center"/>
    </xf>
    <xf numFmtId="0" fontId="4" fillId="0" borderId="130" xfId="0" applyFont="1" applyBorder="1" applyAlignment="1">
      <alignment vertical="center"/>
    </xf>
    <xf numFmtId="4" fontId="5" fillId="0" borderId="130" xfId="0" applyNumberFormat="1" applyFont="1" applyBorder="1" applyAlignment="1">
      <alignment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31" xfId="0" applyBorder="1"/>
    <xf numFmtId="0" fontId="0" fillId="0" borderId="130" xfId="0" applyBorder="1"/>
    <xf numFmtId="0" fontId="3" fillId="0" borderId="6" xfId="0" applyFont="1" applyFill="1" applyBorder="1" applyAlignment="1">
      <alignment horizontal="center" vertical="center"/>
    </xf>
    <xf numFmtId="0" fontId="0" fillId="0" borderId="6" xfId="0" applyBorder="1"/>
    <xf numFmtId="0" fontId="0" fillId="0" borderId="9" xfId="0" applyBorder="1"/>
    <xf numFmtId="0" fontId="0" fillId="2" borderId="130" xfId="0" applyFill="1" applyBorder="1"/>
    <xf numFmtId="0" fontId="0" fillId="2" borderId="117" xfId="0" applyFill="1" applyBorder="1" applyAlignment="1">
      <alignment wrapText="1"/>
    </xf>
    <xf numFmtId="0" fontId="0" fillId="2" borderId="119" xfId="0" applyFill="1" applyBorder="1"/>
    <xf numFmtId="0" fontId="3" fillId="0" borderId="7" xfId="0" applyFont="1" applyFill="1" applyBorder="1" applyAlignment="1">
      <alignment horizontal="center" vertical="center"/>
    </xf>
    <xf numFmtId="0" fontId="0" fillId="0" borderId="16" xfId="0" applyBorder="1"/>
    <xf numFmtId="0" fontId="0" fillId="2" borderId="10" xfId="0" applyFill="1" applyBorder="1"/>
    <xf numFmtId="0" fontId="0" fillId="2" borderId="8" xfId="0" applyFill="1" applyBorder="1"/>
    <xf numFmtId="0" fontId="0" fillId="2" borderId="9" xfId="0" applyFill="1" applyBorder="1" applyAlignment="1">
      <alignment wrapText="1"/>
    </xf>
    <xf numFmtId="0" fontId="0" fillId="0" borderId="7" xfId="0" applyBorder="1"/>
    <xf numFmtId="0" fontId="0" fillId="0" borderId="10" xfId="0" applyBorder="1"/>
    <xf numFmtId="0" fontId="0" fillId="2" borderId="131" xfId="0" applyFill="1" applyBorder="1"/>
    <xf numFmtId="0" fontId="0" fillId="2" borderId="129" xfId="0" applyFill="1" applyBorder="1" applyAlignment="1">
      <alignment wrapText="1"/>
    </xf>
    <xf numFmtId="0" fontId="0" fillId="14" borderId="0" xfId="0" applyFill="1" applyBorder="1"/>
    <xf numFmtId="0" fontId="0" fillId="14" borderId="8" xfId="0" applyFill="1" applyBorder="1"/>
    <xf numFmtId="14" fontId="13" fillId="8" borderId="7" xfId="1" applyNumberFormat="1" applyFont="1" applyFill="1" applyBorder="1" applyAlignment="1">
      <alignment vertical="center" wrapText="1"/>
    </xf>
    <xf numFmtId="14" fontId="13" fillId="8" borderId="10" xfId="1" applyNumberFormat="1" applyFont="1" applyFill="1" applyBorder="1" applyAlignment="1">
      <alignment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19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2" fontId="0" fillId="5" borderId="118" xfId="0" applyNumberFormat="1" applyFill="1" applyBorder="1"/>
    <xf numFmtId="14" fontId="134" fillId="10" borderId="118" xfId="0" applyNumberFormat="1" applyFont="1" applyFill="1" applyBorder="1"/>
    <xf numFmtId="0" fontId="18" fillId="10" borderId="118" xfId="0" applyFont="1" applyFill="1" applyBorder="1"/>
    <xf numFmtId="14" fontId="134" fillId="0" borderId="118" xfId="0" applyNumberFormat="1" applyFont="1" applyFill="1" applyBorder="1"/>
    <xf numFmtId="0" fontId="18" fillId="0" borderId="118" xfId="0" applyFont="1" applyFill="1" applyBorder="1"/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77" fontId="41" fillId="6" borderId="14" xfId="2" applyNumberFormat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8" borderId="132" xfId="1" applyFont="1" applyFill="1" applyBorder="1" applyAlignment="1">
      <alignment horizontal="center" vertical="center" wrapText="1"/>
    </xf>
    <xf numFmtId="14" fontId="16" fillId="8" borderId="16" xfId="1" applyNumberFormat="1" applyFont="1" applyFill="1" applyBorder="1" applyAlignment="1">
      <alignment horizontal="center" vertical="center"/>
    </xf>
    <xf numFmtId="0" fontId="32" fillId="0" borderId="132" xfId="0" applyFont="1" applyFill="1" applyBorder="1"/>
    <xf numFmtId="14" fontId="32" fillId="0" borderId="132" xfId="0" applyNumberFormat="1" applyFont="1" applyFill="1" applyBorder="1"/>
    <xf numFmtId="14" fontId="134" fillId="0" borderId="132" xfId="0" applyNumberFormat="1" applyFont="1" applyFill="1" applyBorder="1"/>
    <xf numFmtId="0" fontId="115" fillId="0" borderId="132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31" xfId="1" applyFont="1" applyFill="1" applyBorder="1" applyAlignment="1">
      <alignment vertical="center"/>
    </xf>
    <xf numFmtId="0" fontId="16" fillId="0" borderId="130" xfId="1" applyFont="1" applyFill="1" applyBorder="1" applyAlignment="1">
      <alignment horizontal="left" vertical="center" wrapText="1"/>
    </xf>
    <xf numFmtId="14" fontId="0" fillId="0" borderId="0" xfId="0" applyNumberFormat="1" applyFill="1"/>
    <xf numFmtId="10" fontId="0" fillId="0" borderId="0" xfId="0" applyNumberFormat="1" applyFill="1"/>
    <xf numFmtId="14" fontId="13" fillId="8" borderId="131" xfId="1" applyNumberFormat="1" applyFont="1" applyFill="1" applyBorder="1" applyAlignment="1">
      <alignment vertical="center" wrapText="1"/>
    </xf>
    <xf numFmtId="0" fontId="24" fillId="0" borderId="19" xfId="0" applyFont="1" applyBorder="1" applyAlignment="1">
      <alignment horizontal="center" vertical="center" wrapText="1"/>
    </xf>
    <xf numFmtId="186" fontId="0" fillId="0" borderId="0" xfId="0" applyNumberFormat="1" applyFill="1" applyBorder="1"/>
    <xf numFmtId="186" fontId="0" fillId="5" borderId="0" xfId="0" applyNumberFormat="1" applyFill="1" applyBorder="1"/>
    <xf numFmtId="186" fontId="0" fillId="0" borderId="0" xfId="0" applyNumberFormat="1" applyBorder="1"/>
    <xf numFmtId="186" fontId="0" fillId="18" borderId="0" xfId="0" applyNumberFormat="1" applyFill="1" applyBorder="1"/>
    <xf numFmtId="186" fontId="0" fillId="0" borderId="95" xfId="0" applyNumberFormat="1" applyBorder="1"/>
    <xf numFmtId="186" fontId="0" fillId="0" borderId="0" xfId="0" applyNumberFormat="1"/>
    <xf numFmtId="186" fontId="10" fillId="0" borderId="0" xfId="0" applyNumberFormat="1" applyFont="1" applyFill="1" applyBorder="1" applyAlignment="1">
      <alignment vertical="center" wrapText="1"/>
    </xf>
    <xf numFmtId="186" fontId="63" fillId="10" borderId="0" xfId="245" applyNumberFormat="1" applyFill="1" applyBorder="1"/>
    <xf numFmtId="186" fontId="0" fillId="10" borderId="0" xfId="0" applyNumberFormat="1" applyFill="1" applyBorder="1"/>
    <xf numFmtId="0" fontId="4" fillId="0" borderId="0" xfId="0" applyFont="1" applyBorder="1" applyAlignment="1">
      <alignment horizontal="left" vertical="center"/>
    </xf>
    <xf numFmtId="0" fontId="135" fillId="0" borderId="0" xfId="0" applyFont="1" applyFill="1" applyBorder="1" applyAlignment="1">
      <alignment vertical="center"/>
    </xf>
    <xf numFmtId="10" fontId="0" fillId="0" borderId="0" xfId="0" applyNumberFormat="1"/>
    <xf numFmtId="14" fontId="0" fillId="10" borderId="0" xfId="0" applyNumberFormat="1" applyFill="1"/>
    <xf numFmtId="10" fontId="0" fillId="10" borderId="0" xfId="0" applyNumberFormat="1" applyFill="1"/>
    <xf numFmtId="14" fontId="125" fillId="0" borderId="0" xfId="0" applyNumberFormat="1" applyFont="1"/>
    <xf numFmtId="14" fontId="125" fillId="10" borderId="0" xfId="0" applyNumberFormat="1" applyFont="1" applyFill="1"/>
    <xf numFmtId="0" fontId="32" fillId="10" borderId="118" xfId="0" applyFont="1" applyFill="1" applyBorder="1"/>
    <xf numFmtId="14" fontId="32" fillId="10" borderId="118" xfId="0" applyNumberFormat="1" applyFont="1" applyFill="1" applyBorder="1"/>
    <xf numFmtId="0" fontId="18" fillId="10" borderId="14" xfId="0" applyFont="1" applyFill="1" applyBorder="1" applyAlignment="1">
      <alignment vertical="center"/>
    </xf>
    <xf numFmtId="14" fontId="18" fillId="10" borderId="14" xfId="0" applyNumberFormat="1" applyFont="1" applyFill="1" applyBorder="1" applyAlignment="1">
      <alignment horizontal="center"/>
    </xf>
    <xf numFmtId="0" fontId="30" fillId="10" borderId="14" xfId="2" applyFont="1" applyFill="1" applyBorder="1" applyAlignment="1">
      <alignment vertical="center"/>
    </xf>
    <xf numFmtId="171" fontId="54" fillId="10" borderId="14" xfId="9" applyNumberFormat="1" applyFont="1" applyFill="1" applyBorder="1" applyAlignment="1">
      <alignment horizontal="left" vertical="center"/>
    </xf>
    <xf numFmtId="0" fontId="54" fillId="10" borderId="14" xfId="2" applyFont="1" applyFill="1" applyBorder="1" applyAlignment="1">
      <alignment horizontal="center" vertical="center"/>
    </xf>
    <xf numFmtId="0" fontId="54" fillId="10" borderId="14" xfId="2" applyNumberFormat="1" applyFont="1" applyFill="1" applyBorder="1" applyAlignment="1">
      <alignment horizontal="center" vertical="center"/>
    </xf>
    <xf numFmtId="0" fontId="54" fillId="10" borderId="9" xfId="2" applyFont="1" applyFill="1" applyBorder="1" applyAlignment="1">
      <alignment vertical="center"/>
    </xf>
    <xf numFmtId="170" fontId="41" fillId="10" borderId="9" xfId="2" applyNumberFormat="1" applyFont="1" applyFill="1" applyBorder="1" applyAlignment="1">
      <alignment vertical="center"/>
    </xf>
    <xf numFmtId="170" fontId="41" fillId="10" borderId="17" xfId="2" applyNumberFormat="1" applyFont="1" applyFill="1" applyBorder="1" applyAlignment="1">
      <alignment horizontal="center" vertical="center"/>
    </xf>
    <xf numFmtId="3" fontId="54" fillId="10" borderId="17" xfId="2" applyNumberFormat="1" applyFont="1" applyFill="1" applyBorder="1" applyAlignment="1">
      <alignment horizontal="center" vertical="center"/>
    </xf>
    <xf numFmtId="1" fontId="60" fillId="10" borderId="17" xfId="2" applyNumberFormat="1" applyFont="1" applyFill="1" applyBorder="1" applyAlignment="1">
      <alignment horizontal="center" vertical="center"/>
    </xf>
    <xf numFmtId="171" fontId="54" fillId="10" borderId="10" xfId="9" applyNumberFormat="1" applyFont="1" applyFill="1" applyBorder="1" applyAlignment="1">
      <alignment horizontal="left" vertical="center"/>
    </xf>
    <xf numFmtId="172" fontId="54" fillId="10" borderId="14" xfId="9" applyNumberFormat="1" applyFont="1" applyFill="1" applyBorder="1" applyAlignment="1">
      <alignment horizontal="center" vertical="center"/>
    </xf>
    <xf numFmtId="172" fontId="54" fillId="10" borderId="17" xfId="9" applyNumberFormat="1" applyFont="1" applyFill="1" applyBorder="1" applyAlignment="1">
      <alignment horizontal="center" vertical="center"/>
    </xf>
    <xf numFmtId="7" fontId="54" fillId="10" borderId="118" xfId="9" applyNumberFormat="1" applyFont="1" applyFill="1" applyBorder="1" applyAlignment="1">
      <alignment horizontal="center" vertical="center"/>
    </xf>
    <xf numFmtId="7" fontId="54" fillId="10" borderId="14" xfId="9" applyNumberFormat="1" applyFont="1" applyFill="1" applyBorder="1" applyAlignment="1">
      <alignment horizontal="left" vertical="center"/>
    </xf>
    <xf numFmtId="7" fontId="54" fillId="10" borderId="14" xfId="9" applyNumberFormat="1" applyFont="1" applyFill="1" applyBorder="1" applyAlignment="1">
      <alignment horizontal="left" vertical="top" wrapText="1"/>
    </xf>
    <xf numFmtId="10" fontId="41" fillId="10" borderId="29" xfId="2" applyNumberFormat="1" applyFont="1" applyFill="1" applyBorder="1" applyAlignment="1">
      <alignment horizontal="center" vertical="center"/>
    </xf>
    <xf numFmtId="7" fontId="54" fillId="10" borderId="14" xfId="9" applyNumberFormat="1" applyFont="1" applyFill="1" applyBorder="1" applyAlignment="1">
      <alignment horizontal="left" vertical="center" wrapText="1"/>
    </xf>
    <xf numFmtId="185" fontId="54" fillId="10" borderId="118" xfId="9" applyNumberFormat="1" applyFont="1" applyFill="1" applyBorder="1" applyAlignment="1">
      <alignment horizontal="right" vertical="center" wrapText="1"/>
    </xf>
    <xf numFmtId="9" fontId="30" fillId="10" borderId="42" xfId="2" applyNumberFormat="1" applyFont="1" applyFill="1" applyBorder="1" applyAlignment="1">
      <alignment horizontal="center" vertical="center"/>
    </xf>
    <xf numFmtId="9" fontId="30" fillId="10" borderId="11" xfId="2" applyNumberFormat="1" applyFont="1" applyFill="1" applyBorder="1" applyAlignment="1">
      <alignment horizontal="center" vertical="center"/>
    </xf>
    <xf numFmtId="4" fontId="41" fillId="10" borderId="14" xfId="2" applyNumberFormat="1" applyFont="1" applyFill="1" applyBorder="1" applyAlignment="1">
      <alignment horizontal="center" vertical="center"/>
    </xf>
    <xf numFmtId="10" fontId="41" fillId="10" borderId="0" xfId="2" applyNumberFormat="1" applyFont="1" applyFill="1" applyBorder="1" applyAlignment="1">
      <alignment horizontal="center" vertical="center"/>
    </xf>
    <xf numFmtId="3" fontId="41" fillId="7" borderId="17" xfId="2" applyNumberFormat="1" applyFont="1" applyFill="1" applyBorder="1" applyAlignment="1">
      <alignment horizontal="center" vertical="center"/>
    </xf>
    <xf numFmtId="10" fontId="41" fillId="7" borderId="14" xfId="2" applyNumberFormat="1" applyFont="1" applyFill="1" applyBorder="1" applyAlignment="1">
      <alignment horizontal="center" vertical="center"/>
    </xf>
    <xf numFmtId="9" fontId="4" fillId="0" borderId="0" xfId="0" applyNumberFormat="1" applyFont="1" applyAlignment="1">
      <alignment horizontal="left" vertical="center"/>
    </xf>
    <xf numFmtId="177" fontId="41" fillId="7" borderId="14" xfId="2" applyNumberFormat="1" applyFont="1" applyFill="1" applyBorder="1" applyAlignment="1">
      <alignment horizontal="center" vertical="center"/>
    </xf>
    <xf numFmtId="177" fontId="37" fillId="0" borderId="0" xfId="0" applyNumberFormat="1" applyFont="1" applyAlignment="1">
      <alignment vertical="center"/>
    </xf>
    <xf numFmtId="0" fontId="30" fillId="8" borderId="0" xfId="0" applyFont="1" applyFill="1" applyBorder="1" applyAlignment="1">
      <alignment horizontal="left" vertical="center" wrapText="1"/>
    </xf>
    <xf numFmtId="1" fontId="5" fillId="6" borderId="0" xfId="0" applyNumberFormat="1" applyFont="1" applyFill="1" applyAlignment="1">
      <alignment vertical="center"/>
    </xf>
    <xf numFmtId="0" fontId="13" fillId="0" borderId="101" xfId="1" applyFont="1" applyFill="1" applyBorder="1" applyAlignment="1">
      <alignment horizontal="center" vertical="center" wrapText="1"/>
    </xf>
    <xf numFmtId="0" fontId="13" fillId="0" borderId="104" xfId="1" applyFont="1" applyFill="1" applyBorder="1" applyAlignment="1">
      <alignment horizontal="center" vertical="center" wrapText="1"/>
    </xf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15" fillId="0" borderId="101" xfId="1" applyFont="1" applyFill="1" applyBorder="1" applyAlignment="1">
      <alignment horizontal="center" vertical="center" wrapText="1"/>
    </xf>
    <xf numFmtId="0" fontId="15" fillId="0" borderId="104" xfId="1" applyFont="1" applyFill="1" applyBorder="1" applyAlignment="1">
      <alignment horizontal="center" vertical="center" wrapText="1"/>
    </xf>
    <xf numFmtId="0" fontId="16" fillId="17" borderId="0" xfId="1" applyFont="1" applyFill="1" applyBorder="1" applyAlignment="1">
      <alignment horizontal="center" vertical="center"/>
    </xf>
    <xf numFmtId="0" fontId="15" fillId="0" borderId="29" xfId="1" applyFont="1" applyFill="1" applyBorder="1" applyAlignment="1">
      <alignment horizontal="center" vertical="center" wrapText="1"/>
    </xf>
    <xf numFmtId="0" fontId="15" fillId="0" borderId="31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5" fillId="0" borderId="130" xfId="1" applyFont="1" applyFill="1" applyBorder="1" applyAlignment="1">
      <alignment vertical="center" wrapText="1"/>
    </xf>
    <xf numFmtId="0" fontId="15" fillId="0" borderId="129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5" fillId="0" borderId="6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5" fillId="0" borderId="6" xfId="1" applyFont="1" applyFill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0" fillId="0" borderId="65" xfId="0" applyFill="1" applyBorder="1" applyAlignment="1">
      <alignment vertical="center" wrapText="1"/>
    </xf>
    <xf numFmtId="0" fontId="16" fillId="0" borderId="0" xfId="1" applyFont="1" applyFill="1" applyBorder="1" applyAlignment="1">
      <alignment horizontal="left" vertical="center"/>
    </xf>
    <xf numFmtId="0" fontId="124" fillId="0" borderId="131" xfId="0" applyFont="1" applyBorder="1" applyAlignment="1">
      <alignment horizontal="center" vertical="center" wrapText="1"/>
    </xf>
    <xf numFmtId="0" fontId="124" fillId="0" borderId="130" xfId="0" applyFont="1" applyBorder="1" applyAlignment="1">
      <alignment horizontal="center" vertical="center" wrapText="1"/>
    </xf>
    <xf numFmtId="0" fontId="124" fillId="0" borderId="129" xfId="0" applyFont="1" applyBorder="1" applyAlignment="1">
      <alignment horizontal="center" vertical="center" wrapText="1"/>
    </xf>
    <xf numFmtId="0" fontId="16" fillId="0" borderId="13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0" borderId="130" xfId="1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5" fillId="0" borderId="0" xfId="0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 vertical="center"/>
    </xf>
    <xf numFmtId="0" fontId="125" fillId="0" borderId="9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29" xfId="1" applyFont="1" applyFill="1" applyBorder="1" applyAlignment="1">
      <alignment horizontal="left" vertical="center" wrapText="1"/>
    </xf>
    <xf numFmtId="0" fontId="16" fillId="0" borderId="6" xfId="1" applyFont="1" applyFill="1" applyBorder="1" applyAlignment="1">
      <alignment horizontal="left" vertical="center" wrapText="1"/>
    </xf>
    <xf numFmtId="0" fontId="16" fillId="0" borderId="6" xfId="2" applyFont="1" applyFill="1" applyBorder="1" applyAlignment="1">
      <alignment horizontal="left" vertical="center" wrapText="1"/>
    </xf>
    <xf numFmtId="0" fontId="16" fillId="2" borderId="118" xfId="1" applyFont="1" applyFill="1" applyBorder="1" applyAlignment="1">
      <alignment horizontal="center" vertical="center" wrapText="1"/>
    </xf>
    <xf numFmtId="0" fontId="16" fillId="2" borderId="131" xfId="1" applyFont="1" applyFill="1" applyBorder="1" applyAlignment="1">
      <alignment horizontal="center" vertical="center" wrapText="1"/>
    </xf>
    <xf numFmtId="0" fontId="16" fillId="2" borderId="7" xfId="1" applyFont="1" applyFill="1" applyBorder="1" applyAlignment="1">
      <alignment horizontal="center" vertical="center" wrapText="1"/>
    </xf>
    <xf numFmtId="0" fontId="16" fillId="79" borderId="0" xfId="1" applyFont="1" applyFill="1" applyBorder="1" applyAlignment="1">
      <alignment horizontal="center" vertical="center" wrapText="1"/>
    </xf>
    <xf numFmtId="0" fontId="17" fillId="0" borderId="0" xfId="3" applyFill="1" applyBorder="1" applyAlignment="1" applyProtection="1">
      <alignment horizontal="left" vertical="center" wrapText="1"/>
    </xf>
    <xf numFmtId="0" fontId="17" fillId="0" borderId="8" xfId="3" applyFill="1" applyBorder="1" applyAlignment="1" applyProtection="1">
      <alignment horizontal="left" vertical="center" wrapText="1"/>
    </xf>
    <xf numFmtId="0" fontId="16" fillId="0" borderId="8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6" xfId="1" applyFont="1" applyFill="1" applyBorder="1" applyAlignment="1">
      <alignment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91" xfId="0" applyFont="1" applyFill="1" applyBorder="1" applyAlignment="1">
      <alignment horizontal="center" vertical="center"/>
    </xf>
    <xf numFmtId="0" fontId="27" fillId="6" borderId="92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 wrapText="1"/>
    </xf>
    <xf numFmtId="0" fontId="20" fillId="0" borderId="0" xfId="2" applyFont="1" applyBorder="1" applyAlignment="1">
      <alignment horizontal="left" vertical="center" wrapText="1"/>
    </xf>
    <xf numFmtId="0" fontId="13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10" borderId="0" xfId="0" applyFont="1" applyFill="1" applyBorder="1" applyAlignment="1">
      <alignment horizontal="left" vertical="center" wrapText="1"/>
    </xf>
    <xf numFmtId="0" fontId="26" fillId="0" borderId="0" xfId="0" applyFont="1" applyBorder="1" applyAlignment="1">
      <alignment vertical="center"/>
    </xf>
    <xf numFmtId="0" fontId="13" fillId="0" borderId="0" xfId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3" fillId="10" borderId="0" xfId="1" applyFill="1" applyAlignment="1">
      <alignment horizontal="center"/>
    </xf>
    <xf numFmtId="0" fontId="0" fillId="0" borderId="0" xfId="0" applyBorder="1" applyAlignment="1">
      <alignment horizontal="center" vertical="center" wrapText="1"/>
    </xf>
    <xf numFmtId="14" fontId="21" fillId="0" borderId="14" xfId="0" applyNumberFormat="1" applyFont="1" applyFill="1" applyBorder="1" applyAlignment="1">
      <alignment horizontal="center" vertical="center" wrapText="1"/>
    </xf>
    <xf numFmtId="3" fontId="16" fillId="0" borderId="0" xfId="1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horizontal="left" vertical="center"/>
    </xf>
    <xf numFmtId="14" fontId="24" fillId="10" borderId="17" xfId="0" applyNumberFormat="1" applyFont="1" applyFill="1" applyBorder="1" applyAlignment="1">
      <alignment horizontal="center" vertical="center"/>
    </xf>
    <xf numFmtId="14" fontId="24" fillId="10" borderId="14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14" fontId="16" fillId="0" borderId="17" xfId="1" applyNumberFormat="1" applyFont="1" applyBorder="1" applyAlignment="1">
      <alignment horizontal="center" vertical="center"/>
    </xf>
    <xf numFmtId="14" fontId="16" fillId="0" borderId="14" xfId="1" applyNumberFormat="1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14" fontId="23" fillId="0" borderId="18" xfId="0" applyNumberFormat="1" applyFont="1" applyBorder="1" applyAlignment="1">
      <alignment horizontal="center" vertical="center" wrapText="1"/>
    </xf>
    <xf numFmtId="14" fontId="23" fillId="0" borderId="5" xfId="0" applyNumberFormat="1" applyFont="1" applyBorder="1" applyAlignment="1">
      <alignment horizontal="center" vertical="center" wrapText="1"/>
    </xf>
    <xf numFmtId="14" fontId="23" fillId="0" borderId="19" xfId="0" applyNumberFormat="1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23" fillId="11" borderId="5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/>
    </xf>
    <xf numFmtId="0" fontId="24" fillId="10" borderId="28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165" fontId="16" fillId="10" borderId="0" xfId="1" applyNumberFormat="1" applyFont="1" applyFill="1" applyAlignment="1">
      <alignment horizontal="left" vertical="center" wrapText="1"/>
    </xf>
    <xf numFmtId="165" fontId="25" fillId="10" borderId="0" xfId="0" applyNumberFormat="1" applyFont="1" applyFill="1" applyBorder="1" applyAlignment="1">
      <alignment horizontal="left" vertical="center" wrapText="1"/>
    </xf>
    <xf numFmtId="0" fontId="27" fillId="0" borderId="7" xfId="0" applyFont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0" fontId="0" fillId="0" borderId="85" xfId="0" applyBorder="1" applyAlignment="1">
      <alignment horizontal="center"/>
    </xf>
    <xf numFmtId="0" fontId="24" fillId="0" borderId="85" xfId="0" applyFont="1" applyBorder="1" applyAlignment="1">
      <alignment horizontal="center" vertical="center" wrapText="1"/>
    </xf>
    <xf numFmtId="0" fontId="13" fillId="0" borderId="6" xfId="1" applyBorder="1" applyAlignment="1">
      <alignment horizontal="center" vertical="center" wrapText="1"/>
    </xf>
    <xf numFmtId="0" fontId="13" fillId="0" borderId="8" xfId="1" applyBorder="1" applyAlignment="1">
      <alignment horizontal="center" vertical="center" wrapText="1"/>
    </xf>
    <xf numFmtId="0" fontId="13" fillId="0" borderId="9" xfId="1" applyBorder="1" applyAlignment="1">
      <alignment horizontal="center" vertical="center" wrapText="1"/>
    </xf>
    <xf numFmtId="0" fontId="16" fillId="0" borderId="0" xfId="1" applyFont="1" applyAlignment="1">
      <alignment horizontal="left" wrapText="1"/>
    </xf>
    <xf numFmtId="165" fontId="25" fillId="10" borderId="0" xfId="0" applyNumberFormat="1" applyFont="1" applyFill="1" applyBorder="1" applyAlignment="1">
      <alignment vertical="center" wrapText="1"/>
    </xf>
    <xf numFmtId="165" fontId="25" fillId="10" borderId="6" xfId="0" applyNumberFormat="1" applyFont="1" applyFill="1" applyBorder="1" applyAlignment="1">
      <alignment vertical="center" wrapText="1"/>
    </xf>
    <xf numFmtId="0" fontId="0" fillId="0" borderId="68" xfId="0" applyBorder="1" applyAlignment="1">
      <alignment horizontal="center"/>
    </xf>
    <xf numFmtId="0" fontId="24" fillId="10" borderId="68" xfId="0" applyFont="1" applyFill="1" applyBorder="1" applyAlignment="1">
      <alignment horizontal="center" vertical="center"/>
    </xf>
    <xf numFmtId="0" fontId="24" fillId="10" borderId="67" xfId="0" applyFont="1" applyFill="1" applyBorder="1" applyAlignment="1">
      <alignment horizontal="center" vertical="center"/>
    </xf>
    <xf numFmtId="0" fontId="24" fillId="0" borderId="68" xfId="0" applyFont="1" applyBorder="1" applyAlignment="1">
      <alignment horizontal="center" vertical="center" wrapText="1"/>
    </xf>
    <xf numFmtId="0" fontId="16" fillId="10" borderId="0" xfId="1" applyFont="1" applyFill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4" fontId="24" fillId="10" borderId="16" xfId="0" applyNumberFormat="1" applyFont="1" applyFill="1" applyBorder="1" applyAlignment="1">
      <alignment horizontal="center" vertical="center"/>
    </xf>
    <xf numFmtId="14" fontId="24" fillId="10" borderId="62" xfId="0" applyNumberFormat="1" applyFont="1" applyFill="1" applyBorder="1" applyAlignment="1">
      <alignment horizontal="center" vertical="center"/>
    </xf>
    <xf numFmtId="0" fontId="116" fillId="0" borderId="0" xfId="0" applyFont="1" applyBorder="1" applyAlignment="1">
      <alignment horizontal="center" vertical="center" wrapText="1"/>
    </xf>
    <xf numFmtId="14" fontId="16" fillId="0" borderId="90" xfId="1" applyNumberFormat="1" applyFont="1" applyBorder="1" applyAlignment="1">
      <alignment horizontal="center" vertical="center"/>
    </xf>
    <xf numFmtId="14" fontId="16" fillId="0" borderId="79" xfId="1" applyNumberFormat="1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23" fillId="82" borderId="5" xfId="0" applyFont="1" applyFill="1" applyBorder="1" applyAlignment="1">
      <alignment horizontal="center" vertical="center" wrapText="1"/>
    </xf>
    <xf numFmtId="0" fontId="23" fillId="82" borderId="0" xfId="0" applyFont="1" applyFill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4" fontId="23" fillId="0" borderId="25" xfId="0" applyNumberFormat="1" applyFont="1" applyBorder="1" applyAlignment="1">
      <alignment horizontal="center" vertical="center" wrapText="1"/>
    </xf>
    <xf numFmtId="14" fontId="23" fillId="0" borderId="82" xfId="0" applyNumberFormat="1" applyFont="1" applyBorder="1" applyAlignment="1">
      <alignment horizontal="center" vertical="center" wrapText="1"/>
    </xf>
    <xf numFmtId="0" fontId="23" fillId="6" borderId="82" xfId="0" applyFont="1" applyFill="1" applyBorder="1" applyAlignment="1">
      <alignment horizontal="center" vertical="center" wrapText="1"/>
    </xf>
    <xf numFmtId="0" fontId="24" fillId="10" borderId="82" xfId="0" applyFont="1" applyFill="1" applyBorder="1" applyAlignment="1">
      <alignment horizontal="center" vertical="center"/>
    </xf>
    <xf numFmtId="0" fontId="24" fillId="10" borderId="83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14" fontId="24" fillId="10" borderId="15" xfId="0" applyNumberFormat="1" applyFont="1" applyFill="1" applyBorder="1" applyAlignment="1">
      <alignment horizontal="center" vertical="center"/>
    </xf>
    <xf numFmtId="14" fontId="16" fillId="0" borderId="15" xfId="1" applyNumberFormat="1" applyFont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/>
    </xf>
    <xf numFmtId="0" fontId="13" fillId="0" borderId="82" xfId="1" applyBorder="1" applyAlignment="1">
      <alignment horizontal="center" vertical="center" wrapText="1"/>
    </xf>
    <xf numFmtId="0" fontId="13" fillId="0" borderId="83" xfId="1" applyBorder="1" applyAlignment="1">
      <alignment horizontal="center" vertical="center" wrapText="1"/>
    </xf>
    <xf numFmtId="0" fontId="24" fillId="0" borderId="95" xfId="0" applyFont="1" applyBorder="1" applyAlignment="1">
      <alignment horizontal="center" vertical="center" wrapText="1"/>
    </xf>
    <xf numFmtId="0" fontId="25" fillId="10" borderId="6" xfId="0" applyFont="1" applyFill="1" applyBorder="1" applyAlignment="1">
      <alignment vertical="center" wrapText="1"/>
    </xf>
    <xf numFmtId="0" fontId="23" fillId="6" borderId="20" xfId="0" applyFont="1" applyFill="1" applyBorder="1" applyAlignment="1">
      <alignment horizontal="center" vertical="center" wrapText="1"/>
    </xf>
    <xf numFmtId="0" fontId="23" fillId="6" borderId="22" xfId="0" applyFont="1" applyFill="1" applyBorder="1" applyAlignment="1">
      <alignment horizontal="center" vertical="center" wrapText="1"/>
    </xf>
    <xf numFmtId="0" fontId="24" fillId="10" borderId="95" xfId="0" applyFont="1" applyFill="1" applyBorder="1" applyAlignment="1">
      <alignment horizontal="center" vertical="center"/>
    </xf>
    <xf numFmtId="0" fontId="23" fillId="76" borderId="5" xfId="0" applyFont="1" applyFill="1" applyBorder="1" applyAlignment="1">
      <alignment horizontal="center" vertical="center" wrapText="1"/>
    </xf>
    <xf numFmtId="0" fontId="23" fillId="76" borderId="0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24" fillId="0" borderId="93" xfId="0" applyFont="1" applyBorder="1" applyAlignment="1">
      <alignment horizontal="center" vertical="center" wrapText="1"/>
    </xf>
    <xf numFmtId="0" fontId="0" fillId="0" borderId="93" xfId="0" applyBorder="1" applyAlignment="1">
      <alignment horizontal="center"/>
    </xf>
    <xf numFmtId="0" fontId="16" fillId="2" borderId="91" xfId="2" applyFont="1" applyFill="1" applyBorder="1" applyAlignment="1">
      <alignment horizontal="left" vertical="center" wrapText="1"/>
    </xf>
    <xf numFmtId="0" fontId="16" fillId="2" borderId="92" xfId="2" applyFont="1" applyFill="1" applyBorder="1" applyAlignment="1">
      <alignment horizontal="left" vertical="center" wrapText="1"/>
    </xf>
    <xf numFmtId="0" fontId="16" fillId="2" borderId="0" xfId="2" applyFont="1" applyFill="1" applyBorder="1" applyAlignment="1">
      <alignment horizontal="left" vertical="center" wrapText="1"/>
    </xf>
    <xf numFmtId="0" fontId="16" fillId="2" borderId="6" xfId="2" applyFont="1" applyFill="1" applyBorder="1" applyAlignment="1">
      <alignment horizontal="left" vertical="center" wrapText="1"/>
    </xf>
    <xf numFmtId="0" fontId="15" fillId="0" borderId="91" xfId="1" applyFont="1" applyFill="1" applyBorder="1" applyAlignment="1">
      <alignment horizontal="left" vertical="center" wrapText="1"/>
    </xf>
    <xf numFmtId="0" fontId="15" fillId="0" borderId="92" xfId="1" applyFont="1" applyFill="1" applyBorder="1" applyAlignment="1">
      <alignment horizontal="left" vertical="center" wrapText="1"/>
    </xf>
    <xf numFmtId="0" fontId="16" fillId="2" borderId="8" xfId="2" applyFont="1" applyFill="1" applyBorder="1" applyAlignment="1">
      <alignment horizontal="left" vertical="center" wrapText="1"/>
    </xf>
    <xf numFmtId="0" fontId="16" fillId="2" borderId="9" xfId="2" applyFont="1" applyFill="1" applyBorder="1" applyAlignment="1">
      <alignment horizontal="left" vertical="center" wrapText="1"/>
    </xf>
    <xf numFmtId="0" fontId="13" fillId="0" borderId="26" xfId="1" applyFill="1" applyBorder="1" applyAlignment="1">
      <alignment horizontal="center"/>
    </xf>
    <xf numFmtId="0" fontId="24" fillId="10" borderId="93" xfId="0" applyFont="1" applyFill="1" applyBorder="1" applyAlignment="1">
      <alignment horizontal="center" vertical="center"/>
    </xf>
    <xf numFmtId="167" fontId="30" fillId="5" borderId="2" xfId="2" applyNumberFormat="1" applyFont="1" applyFill="1" applyBorder="1" applyAlignment="1">
      <alignment horizontal="center"/>
    </xf>
    <xf numFmtId="167" fontId="30" fillId="5" borderId="3" xfId="2" applyNumberFormat="1" applyFont="1" applyFill="1" applyBorder="1" applyAlignment="1">
      <alignment horizontal="center"/>
    </xf>
    <xf numFmtId="167" fontId="30" fillId="5" borderId="4" xfId="2" applyNumberFormat="1" applyFont="1" applyFill="1" applyBorder="1" applyAlignment="1">
      <alignment horizontal="center"/>
    </xf>
    <xf numFmtId="167" fontId="30" fillId="78" borderId="2" xfId="2" applyNumberFormat="1" applyFont="1" applyFill="1" applyBorder="1" applyAlignment="1">
      <alignment horizontal="center"/>
    </xf>
    <xf numFmtId="167" fontId="30" fillId="78" borderId="3" xfId="2" applyNumberFormat="1" applyFont="1" applyFill="1" applyBorder="1" applyAlignment="1">
      <alignment horizontal="center"/>
    </xf>
    <xf numFmtId="167" fontId="30" fillId="77" borderId="2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>
      <alignment horizontal="center"/>
    </xf>
    <xf numFmtId="167" fontId="30" fillId="77" borderId="4" xfId="2" applyNumberFormat="1" applyFont="1" applyFill="1" applyBorder="1" applyAlignment="1">
      <alignment horizontal="center"/>
    </xf>
    <xf numFmtId="0" fontId="54" fillId="2" borderId="65" xfId="2" applyFont="1" applyFill="1" applyBorder="1" applyAlignment="1">
      <alignment horizontal="center" vertical="center" wrapText="1"/>
    </xf>
    <xf numFmtId="0" fontId="54" fillId="2" borderId="8" xfId="2" applyFont="1" applyFill="1" applyBorder="1" applyAlignment="1">
      <alignment horizontal="center" vertical="center" wrapText="1"/>
    </xf>
    <xf numFmtId="181" fontId="109" fillId="0" borderId="101" xfId="0" applyNumberFormat="1" applyFont="1" applyFill="1" applyBorder="1" applyAlignment="1">
      <alignment horizontal="center" vertical="center"/>
    </xf>
    <xf numFmtId="181" fontId="109" fillId="0" borderId="102" xfId="0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117" xfId="2" applyNumberFormat="1" applyFont="1" applyFill="1" applyBorder="1" applyAlignment="1">
      <alignment horizontal="center" vertical="center" wrapText="1"/>
    </xf>
    <xf numFmtId="167" fontId="30" fillId="8" borderId="2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>
      <alignment horizontal="center"/>
    </xf>
    <xf numFmtId="167" fontId="30" fillId="8" borderId="4" xfId="2" applyNumberFormat="1" applyFont="1" applyFill="1" applyBorder="1" applyAlignment="1">
      <alignment horizontal="center"/>
    </xf>
    <xf numFmtId="167" fontId="30" fillId="4" borderId="2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167" fontId="30" fillId="4" borderId="4" xfId="2" applyNumberFormat="1" applyFont="1" applyFill="1" applyBorder="1" applyAlignment="1">
      <alignment horizontal="center"/>
    </xf>
    <xf numFmtId="167" fontId="30" fillId="76" borderId="2" xfId="2" applyNumberFormat="1" applyFont="1" applyFill="1" applyBorder="1" applyAlignment="1">
      <alignment horizontal="center"/>
    </xf>
    <xf numFmtId="167" fontId="30" fillId="76" borderId="3" xfId="2" applyNumberFormat="1" applyFont="1" applyFill="1" applyBorder="1" applyAlignment="1">
      <alignment horizontal="center"/>
    </xf>
    <xf numFmtId="167" fontId="30" fillId="76" borderId="4" xfId="2" applyNumberFormat="1" applyFont="1" applyFill="1" applyBorder="1" applyAlignment="1">
      <alignment horizontal="center"/>
    </xf>
    <xf numFmtId="167" fontId="30" fillId="78" borderId="4" xfId="2" applyNumberFormat="1" applyFont="1" applyFill="1" applyBorder="1" applyAlignment="1">
      <alignment horizontal="center"/>
    </xf>
    <xf numFmtId="0" fontId="62" fillId="0" borderId="14" xfId="0" applyFont="1" applyFill="1" applyBorder="1" applyAlignment="1">
      <alignment horizontal="center" vertical="center"/>
    </xf>
    <xf numFmtId="0" fontId="62" fillId="0" borderId="118" xfId="0" applyFont="1" applyFill="1" applyBorder="1" applyAlignment="1">
      <alignment horizontal="center" vertical="center"/>
    </xf>
    <xf numFmtId="0" fontId="62" fillId="0" borderId="100" xfId="0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6" xfId="2" applyFon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0" fontId="110" fillId="18" borderId="131" xfId="0" applyFont="1" applyFill="1" applyBorder="1" applyAlignment="1">
      <alignment horizontal="center" vertical="center"/>
    </xf>
    <xf numFmtId="0" fontId="110" fillId="18" borderId="130" xfId="0" applyFont="1" applyFill="1" applyBorder="1" applyAlignment="1">
      <alignment horizontal="center" vertical="center"/>
    </xf>
    <xf numFmtId="0" fontId="110" fillId="18" borderId="7" xfId="0" applyFont="1" applyFill="1" applyBorder="1" applyAlignment="1">
      <alignment horizontal="center" vertical="center"/>
    </xf>
    <xf numFmtId="0" fontId="110" fillId="18" borderId="6" xfId="0" applyFont="1" applyFill="1" applyBorder="1" applyAlignment="1">
      <alignment horizontal="center" vertical="center"/>
    </xf>
    <xf numFmtId="167" fontId="30" fillId="18" borderId="2" xfId="2" applyNumberFormat="1" applyFont="1" applyFill="1" applyBorder="1" applyAlignment="1">
      <alignment horizontal="center"/>
    </xf>
    <xf numFmtId="167" fontId="30" fillId="18" borderId="4" xfId="2" applyNumberFormat="1" applyFont="1" applyFill="1" applyBorder="1" applyAlignment="1">
      <alignment horizontal="center"/>
    </xf>
    <xf numFmtId="0" fontId="41" fillId="3" borderId="7" xfId="2" applyFont="1" applyFill="1" applyBorder="1" applyAlignment="1">
      <alignment horizontal="center" vertical="center" wrapText="1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1" fillId="3" borderId="39" xfId="2" applyFont="1" applyFill="1" applyBorder="1" applyAlignment="1">
      <alignment horizontal="center" vertical="center" wrapText="1"/>
    </xf>
    <xf numFmtId="0" fontId="41" fillId="3" borderId="16" xfId="2" applyFont="1" applyFill="1" applyBorder="1" applyAlignment="1">
      <alignment horizontal="center" vertical="center" wrapText="1"/>
    </xf>
    <xf numFmtId="0" fontId="54" fillId="0" borderId="65" xfId="2" applyFont="1" applyBorder="1" applyAlignment="1">
      <alignment horizontal="center" vertical="center"/>
    </xf>
    <xf numFmtId="0" fontId="54" fillId="0" borderId="68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26" xfId="2" applyFont="1" applyBorder="1" applyAlignment="1">
      <alignment horizontal="center" vertical="center" textRotation="180" wrapText="1"/>
    </xf>
    <xf numFmtId="0" fontId="54" fillId="2" borderId="64" xfId="2" applyFont="1" applyFill="1" applyBorder="1" applyAlignment="1">
      <alignment horizontal="center" vertical="center" wrapText="1"/>
    </xf>
    <xf numFmtId="0" fontId="54" fillId="2" borderId="10" xfId="2" applyFont="1" applyFill="1" applyBorder="1" applyAlignment="1">
      <alignment horizontal="center" vertical="center" wrapText="1"/>
    </xf>
    <xf numFmtId="0" fontId="41" fillId="3" borderId="91" xfId="2" applyFont="1" applyFill="1" applyBorder="1" applyAlignment="1">
      <alignment horizontal="center" vertical="center" wrapText="1"/>
    </xf>
    <xf numFmtId="0" fontId="41" fillId="3" borderId="93" xfId="2" applyFont="1" applyFill="1" applyBorder="1" applyAlignment="1">
      <alignment horizontal="center" vertical="center" wrapText="1"/>
    </xf>
    <xf numFmtId="167" fontId="30" fillId="19" borderId="118" xfId="2" applyNumberFormat="1" applyFont="1" applyFill="1" applyBorder="1" applyAlignment="1">
      <alignment horizontal="center" vertical="center"/>
    </xf>
    <xf numFmtId="0" fontId="30" fillId="17" borderId="30" xfId="2" applyFont="1" applyFill="1" applyBorder="1" applyAlignment="1">
      <alignment horizontal="center" vertical="center"/>
    </xf>
    <xf numFmtId="0" fontId="54" fillId="2" borderId="66" xfId="2" applyFont="1" applyFill="1" applyBorder="1" applyAlignment="1">
      <alignment horizontal="center" vertical="center"/>
    </xf>
    <xf numFmtId="0" fontId="54" fillId="2" borderId="9" xfId="2" applyFont="1" applyFill="1" applyBorder="1" applyAlignment="1">
      <alignment horizontal="center" vertical="center"/>
    </xf>
    <xf numFmtId="0" fontId="54" fillId="2" borderId="0" xfId="2" applyFont="1" applyFill="1" applyBorder="1" applyAlignment="1">
      <alignment horizontal="center" vertical="center"/>
    </xf>
    <xf numFmtId="0" fontId="54" fillId="2" borderId="26" xfId="2" applyFont="1" applyFill="1" applyBorder="1" applyAlignment="1">
      <alignment horizontal="center" vertical="center"/>
    </xf>
    <xf numFmtId="167" fontId="30" fillId="5" borderId="2" xfId="2" applyNumberFormat="1" applyFont="1" applyFill="1" applyBorder="1" applyAlignment="1">
      <alignment horizontal="center" vertical="center"/>
    </xf>
    <xf numFmtId="167" fontId="30" fillId="5" borderId="3" xfId="2" applyNumberFormat="1" applyFont="1" applyFill="1" applyBorder="1" applyAlignment="1">
      <alignment horizontal="center" vertical="center"/>
    </xf>
    <xf numFmtId="167" fontId="30" fillId="5" borderId="4" xfId="2" applyNumberFormat="1" applyFont="1" applyFill="1" applyBorder="1" applyAlignment="1">
      <alignment horizontal="center" vertical="center"/>
    </xf>
    <xf numFmtId="167" fontId="30" fillId="78" borderId="2" xfId="2" applyNumberFormat="1" applyFont="1" applyFill="1" applyBorder="1" applyAlignment="1">
      <alignment horizontal="center" vertical="center"/>
    </xf>
    <xf numFmtId="167" fontId="30" fillId="78" borderId="4" xfId="2" applyNumberFormat="1" applyFont="1" applyFill="1" applyBorder="1" applyAlignment="1">
      <alignment horizontal="center" vertical="center"/>
    </xf>
    <xf numFmtId="167" fontId="30" fillId="19" borderId="2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>
      <alignment horizontal="center"/>
    </xf>
    <xf numFmtId="167" fontId="30" fillId="19" borderId="4" xfId="2" applyNumberFormat="1" applyFont="1" applyFill="1" applyBorder="1" applyAlignment="1">
      <alignment horizontal="center"/>
    </xf>
    <xf numFmtId="3" fontId="39" fillId="0" borderId="14" xfId="2" applyNumberFormat="1" applyFont="1" applyFill="1" applyBorder="1" applyAlignment="1">
      <alignment vertical="center"/>
    </xf>
    <xf numFmtId="0" fontId="41" fillId="3" borderId="15" xfId="2" applyFont="1" applyFill="1" applyBorder="1" applyAlignment="1">
      <alignment horizontal="center" vertical="center" wrapText="1"/>
    </xf>
    <xf numFmtId="0" fontId="41" fillId="3" borderId="62" xfId="2" applyFont="1" applyFill="1" applyBorder="1" applyAlignment="1">
      <alignment horizontal="center" vertical="center" wrapText="1"/>
    </xf>
    <xf numFmtId="3" fontId="39" fillId="0" borderId="29" xfId="2" applyNumberFormat="1" applyFont="1" applyFill="1" applyBorder="1" applyAlignment="1">
      <alignment horizontal="center" vertical="center"/>
    </xf>
    <xf numFmtId="3" fontId="39" fillId="0" borderId="30" xfId="2" applyNumberFormat="1" applyFont="1" applyFill="1" applyBorder="1" applyAlignment="1">
      <alignment horizontal="center" vertical="center"/>
    </xf>
    <xf numFmtId="167" fontId="30" fillId="76" borderId="118" xfId="2" applyNumberFormat="1" applyFont="1" applyFill="1" applyBorder="1" applyAlignment="1">
      <alignment horizontal="center"/>
    </xf>
    <xf numFmtId="0" fontId="29" fillId="3" borderId="118" xfId="0" applyFont="1" applyFill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0" fontId="30" fillId="0" borderId="118" xfId="2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0" fillId="4" borderId="118" xfId="2" applyNumberFormat="1" applyFont="1" applyFill="1" applyBorder="1" applyAlignment="1">
      <alignment horizontal="center" vertical="center"/>
    </xf>
    <xf numFmtId="167" fontId="30" fillId="5" borderId="118" xfId="2" applyNumberFormat="1" applyFont="1" applyFill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/>
    </xf>
    <xf numFmtId="167" fontId="30" fillId="78" borderId="116" xfId="2" applyNumberFormat="1" applyFont="1" applyFill="1" applyBorder="1" applyAlignment="1">
      <alignment horizontal="center"/>
    </xf>
    <xf numFmtId="167" fontId="30" fillId="78" borderId="119" xfId="2" applyNumberFormat="1" applyFont="1" applyFill="1" applyBorder="1" applyAlignment="1">
      <alignment horizontal="center"/>
    </xf>
    <xf numFmtId="167" fontId="30" fillId="78" borderId="117" xfId="2" applyNumberFormat="1" applyFont="1" applyFill="1" applyBorder="1" applyAlignment="1">
      <alignment horizontal="center"/>
    </xf>
    <xf numFmtId="0" fontId="31" fillId="78" borderId="132" xfId="0" applyFont="1" applyFill="1" applyBorder="1" applyAlignment="1">
      <alignment horizontal="center" vertical="center"/>
    </xf>
    <xf numFmtId="0" fontId="31" fillId="78" borderId="16" xfId="0" applyFont="1" applyFill="1" applyBorder="1" applyAlignment="1">
      <alignment horizontal="center" vertical="center"/>
    </xf>
    <xf numFmtId="0" fontId="31" fillId="78" borderId="17" xfId="0" applyFont="1" applyFill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0" fillId="0" borderId="119" xfId="0" applyFont="1" applyBorder="1" applyAlignment="1">
      <alignment horizontal="center" vertical="center"/>
    </xf>
    <xf numFmtId="167" fontId="106" fillId="10" borderId="116" xfId="2" applyNumberFormat="1" applyFont="1" applyFill="1" applyBorder="1" applyAlignment="1">
      <alignment horizontal="center" vertical="center"/>
    </xf>
    <xf numFmtId="167" fontId="106" fillId="10" borderId="119" xfId="2" applyNumberFormat="1" applyFont="1" applyFill="1" applyBorder="1" applyAlignment="1">
      <alignment horizontal="center" vertical="center"/>
    </xf>
    <xf numFmtId="0" fontId="110" fillId="78" borderId="116" xfId="0" applyFont="1" applyFill="1" applyBorder="1" applyAlignment="1">
      <alignment horizontal="center" vertical="center"/>
    </xf>
    <xf numFmtId="0" fontId="110" fillId="78" borderId="117" xfId="0" applyFont="1" applyFill="1" applyBorder="1" applyAlignment="1">
      <alignment horizontal="center" vertical="center"/>
    </xf>
    <xf numFmtId="0" fontId="131" fillId="0" borderId="116" xfId="0" applyFont="1" applyFill="1" applyBorder="1" applyAlignment="1">
      <alignment horizontal="center" vertical="center"/>
    </xf>
    <xf numFmtId="0" fontId="131" fillId="0" borderId="117" xfId="0" applyFont="1" applyFill="1" applyBorder="1" applyAlignment="1">
      <alignment horizontal="center" vertical="center"/>
    </xf>
    <xf numFmtId="0" fontId="3" fillId="7" borderId="116" xfId="0" applyFont="1" applyFill="1" applyBorder="1" applyAlignment="1">
      <alignment horizontal="center"/>
    </xf>
    <xf numFmtId="0" fontId="3" fillId="7" borderId="117" xfId="0" applyFont="1" applyFill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 vertical="center"/>
    </xf>
    <xf numFmtId="167" fontId="30" fillId="77" borderId="118" xfId="2" applyNumberFormat="1" applyFont="1" applyFill="1" applyBorder="1" applyAlignment="1">
      <alignment horizontal="center" vertical="center"/>
    </xf>
    <xf numFmtId="167" fontId="30" fillId="8" borderId="118" xfId="2" applyNumberFormat="1" applyFont="1" applyFill="1" applyBorder="1" applyAlignment="1">
      <alignment horizontal="center" vertical="center"/>
    </xf>
    <xf numFmtId="166" fontId="107" fillId="0" borderId="15" xfId="0" applyNumberFormat="1" applyFont="1" applyFill="1" applyBorder="1" applyAlignment="1">
      <alignment horizontal="center" vertical="center" wrapText="1"/>
    </xf>
    <xf numFmtId="166" fontId="107" fillId="0" borderId="17" xfId="0" applyNumberFormat="1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/>
    </xf>
    <xf numFmtId="0" fontId="30" fillId="0" borderId="119" xfId="2" applyFont="1" applyFill="1" applyBorder="1" applyAlignment="1">
      <alignment horizontal="center" vertical="center"/>
    </xf>
    <xf numFmtId="0" fontId="30" fillId="0" borderId="30" xfId="2" applyFont="1" applyFill="1" applyBorder="1" applyAlignment="1">
      <alignment horizontal="center" vertical="center"/>
    </xf>
    <xf numFmtId="0" fontId="30" fillId="0" borderId="31" xfId="2" applyFont="1" applyFill="1" applyBorder="1" applyAlignment="1">
      <alignment horizontal="center" vertical="center"/>
    </xf>
    <xf numFmtId="166" fontId="50" fillId="0" borderId="5" xfId="0" applyNumberFormat="1" applyFont="1" applyFill="1" applyBorder="1" applyAlignment="1">
      <alignment horizontal="center" vertical="center" wrapText="1"/>
    </xf>
    <xf numFmtId="0" fontId="30" fillId="0" borderId="116" xfId="2" applyFont="1" applyFill="1" applyBorder="1" applyAlignment="1">
      <alignment horizontal="center" vertical="center" wrapText="1"/>
    </xf>
    <xf numFmtId="0" fontId="30" fillId="0" borderId="119" xfId="2" applyFont="1" applyFill="1" applyBorder="1" applyAlignment="1">
      <alignment horizontal="center" vertical="center" wrapText="1"/>
    </xf>
    <xf numFmtId="0" fontId="30" fillId="0" borderId="117" xfId="2" applyFont="1" applyFill="1" applyBorder="1" applyAlignment="1">
      <alignment horizontal="center" vertical="center" wrapText="1"/>
    </xf>
    <xf numFmtId="0" fontId="30" fillId="0" borderId="15" xfId="2" applyFont="1" applyFill="1" applyBorder="1" applyAlignment="1">
      <alignment horizontal="center" vertical="center" wrapText="1"/>
    </xf>
    <xf numFmtId="0" fontId="30" fillId="0" borderId="120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/>
    </xf>
    <xf numFmtId="0" fontId="30" fillId="6" borderId="118" xfId="2" applyFont="1" applyFill="1" applyBorder="1" applyAlignment="1">
      <alignment horizontal="center" vertical="center"/>
    </xf>
    <xf numFmtId="0" fontId="30" fillId="6" borderId="116" xfId="2" applyFont="1" applyFill="1" applyBorder="1" applyAlignment="1">
      <alignment horizontal="center" vertical="center" wrapText="1"/>
    </xf>
    <xf numFmtId="0" fontId="30" fillId="6" borderId="119" xfId="2" applyFont="1" applyFill="1" applyBorder="1" applyAlignment="1">
      <alignment horizontal="center" vertical="center" wrapText="1"/>
    </xf>
    <xf numFmtId="0" fontId="30" fillId="6" borderId="117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 wrapText="1"/>
    </xf>
    <xf numFmtId="0" fontId="30" fillId="0" borderId="30" xfId="2" applyFont="1" applyFill="1" applyBorder="1" applyAlignment="1">
      <alignment horizontal="center" vertical="center" wrapText="1"/>
    </xf>
    <xf numFmtId="0" fontId="30" fillId="0" borderId="31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 wrapText="1"/>
    </xf>
    <xf numFmtId="0" fontId="30" fillId="0" borderId="118" xfId="2" applyFont="1" applyFill="1" applyBorder="1" applyAlignment="1">
      <alignment horizontal="center" vertical="center" wrapText="1"/>
    </xf>
    <xf numFmtId="0" fontId="30" fillId="6" borderId="118" xfId="2" applyFont="1" applyFill="1" applyBorder="1" applyAlignment="1">
      <alignment horizontal="center" vertical="center" wrapText="1"/>
    </xf>
    <xf numFmtId="0" fontId="30" fillId="3" borderId="14" xfId="2" applyFont="1" applyFill="1" applyBorder="1" applyAlignment="1">
      <alignment horizontal="center" vertical="center"/>
    </xf>
    <xf numFmtId="4" fontId="44" fillId="2" borderId="17" xfId="0" applyNumberFormat="1" applyFont="1" applyFill="1" applyBorder="1" applyAlignment="1">
      <alignment horizontal="center" vertical="center" wrapText="1"/>
    </xf>
    <xf numFmtId="4" fontId="44" fillId="2" borderId="14" xfId="0" applyNumberFormat="1" applyFont="1" applyFill="1" applyBorder="1" applyAlignment="1">
      <alignment horizontal="center" vertical="center" wrapText="1"/>
    </xf>
    <xf numFmtId="0" fontId="123" fillId="3" borderId="14" xfId="0" applyFont="1" applyFill="1" applyBorder="1" applyAlignment="1">
      <alignment horizontal="center"/>
    </xf>
    <xf numFmtId="166" fontId="122" fillId="3" borderId="14" xfId="0" applyNumberFormat="1" applyFont="1" applyFill="1" applyBorder="1" applyAlignment="1">
      <alignment horizontal="center" vertical="center" wrapText="1"/>
    </xf>
    <xf numFmtId="166" fontId="50" fillId="0" borderId="14" xfId="0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65" fontId="30" fillId="3" borderId="30" xfId="2" applyNumberFormat="1" applyFont="1" applyFill="1" applyBorder="1" applyAlignment="1">
      <alignment horizontal="center" vertical="center" wrapText="1"/>
    </xf>
    <xf numFmtId="165" fontId="30" fillId="3" borderId="31" xfId="2" applyNumberFormat="1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4" fontId="30" fillId="0" borderId="29" xfId="2" applyNumberFormat="1" applyFont="1" applyFill="1" applyBorder="1" applyAlignment="1">
      <alignment horizontal="center" vertical="center"/>
    </xf>
    <xf numFmtId="4" fontId="30" fillId="0" borderId="30" xfId="2" applyNumberFormat="1" applyFont="1" applyFill="1" applyBorder="1" applyAlignment="1">
      <alignment horizontal="center" vertical="center"/>
    </xf>
    <xf numFmtId="4" fontId="30" fillId="0" borderId="31" xfId="2" applyNumberFormat="1" applyFont="1" applyFill="1" applyBorder="1" applyAlignment="1">
      <alignment horizontal="center" vertical="center"/>
    </xf>
    <xf numFmtId="0" fontId="54" fillId="0" borderId="130" xfId="2" applyFont="1" applyBorder="1" applyAlignment="1">
      <alignment horizontal="center" vertical="center" textRotation="180"/>
    </xf>
    <xf numFmtId="0" fontId="54" fillId="0" borderId="95" xfId="2" applyFont="1" applyBorder="1" applyAlignment="1">
      <alignment horizontal="center" vertical="center" textRotation="180"/>
    </xf>
    <xf numFmtId="0" fontId="30" fillId="6" borderId="10" xfId="2" applyFont="1" applyFill="1" applyBorder="1" applyAlignment="1">
      <alignment horizontal="center" vertical="center" wrapText="1"/>
    </xf>
    <xf numFmtId="0" fontId="30" fillId="6" borderId="8" xfId="2" applyFont="1" applyFill="1" applyBorder="1" applyAlignment="1">
      <alignment horizontal="center" vertical="center" wrapText="1"/>
    </xf>
    <xf numFmtId="0" fontId="30" fillId="0" borderId="7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0" fontId="54" fillId="0" borderId="0" xfId="2" applyFont="1" applyAlignment="1">
      <alignment horizontal="center" vertical="center" textRotation="180"/>
    </xf>
    <xf numFmtId="0" fontId="54" fillId="0" borderId="75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0" fillId="5" borderId="0" xfId="0" applyFill="1" applyAlignment="1">
      <alignment horizontal="center"/>
    </xf>
    <xf numFmtId="0" fontId="10" fillId="6" borderId="29" xfId="0" applyFont="1" applyFill="1" applyBorder="1" applyAlignment="1">
      <alignment horizontal="center"/>
    </xf>
    <xf numFmtId="166" fontId="50" fillId="2" borderId="3" xfId="0" applyNumberFormat="1" applyFont="1" applyFill="1" applyBorder="1" applyAlignment="1">
      <alignment horizontal="center" vertical="center" wrapText="1"/>
    </xf>
    <xf numFmtId="166" fontId="50" fillId="2" borderId="5" xfId="0" applyNumberFormat="1" applyFont="1" applyFill="1" applyBorder="1" applyAlignment="1">
      <alignment horizontal="center" vertical="center" wrapText="1"/>
    </xf>
    <xf numFmtId="4" fontId="30" fillId="0" borderId="14" xfId="2" applyNumberFormat="1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 wrapText="1"/>
    </xf>
    <xf numFmtId="0" fontId="44" fillId="2" borderId="17" xfId="0" applyFont="1" applyFill="1" applyBorder="1" applyAlignment="1">
      <alignment horizontal="center" vertical="center" wrapText="1"/>
    </xf>
    <xf numFmtId="0" fontId="10" fillId="17" borderId="2" xfId="0" applyFont="1" applyFill="1" applyBorder="1" applyAlignment="1">
      <alignment horizontal="center"/>
    </xf>
    <xf numFmtId="0" fontId="10" fillId="17" borderId="3" xfId="0" applyFont="1" applyFill="1" applyBorder="1" applyAlignment="1">
      <alignment horizontal="center"/>
    </xf>
    <xf numFmtId="4" fontId="44" fillId="2" borderId="16" xfId="0" applyNumberFormat="1" applyFont="1" applyFill="1" applyBorder="1" applyAlignment="1">
      <alignment horizontal="center" vertical="center" wrapText="1"/>
    </xf>
    <xf numFmtId="0" fontId="58" fillId="2" borderId="10" xfId="0" applyFont="1" applyFill="1" applyBorder="1" applyAlignment="1">
      <alignment horizontal="center"/>
    </xf>
    <xf numFmtId="0" fontId="58" fillId="2" borderId="9" xfId="0" applyFont="1" applyFill="1" applyBorder="1" applyAlignment="1">
      <alignment horizontal="center"/>
    </xf>
    <xf numFmtId="0" fontId="54" fillId="0" borderId="68" xfId="2" applyFont="1" applyBorder="1" applyAlignment="1">
      <alignment horizontal="center" vertical="center" textRotation="180"/>
    </xf>
    <xf numFmtId="0" fontId="54" fillId="0" borderId="91" xfId="2" applyFont="1" applyBorder="1" applyAlignment="1">
      <alignment horizontal="center" vertical="center" textRotation="180"/>
    </xf>
    <xf numFmtId="0" fontId="39" fillId="0" borderId="116" xfId="2" applyFont="1" applyFill="1" applyBorder="1" applyAlignment="1">
      <alignment horizontal="center" vertical="center"/>
    </xf>
    <xf numFmtId="0" fontId="39" fillId="0" borderId="119" xfId="2" applyFont="1" applyFill="1" applyBorder="1" applyAlignment="1">
      <alignment horizontal="center" vertical="center"/>
    </xf>
    <xf numFmtId="0" fontId="39" fillId="0" borderId="117" xfId="2" applyFont="1" applyFill="1" applyBorder="1" applyAlignment="1">
      <alignment horizontal="center" vertical="center"/>
    </xf>
    <xf numFmtId="0" fontId="10" fillId="0" borderId="117" xfId="0" applyFont="1" applyBorder="1" applyAlignment="1">
      <alignment horizontal="center" vertical="center"/>
    </xf>
    <xf numFmtId="0" fontId="10" fillId="0" borderId="116" xfId="0" applyFont="1" applyFill="1" applyBorder="1" applyAlignment="1">
      <alignment horizontal="center" vertical="center"/>
    </xf>
    <xf numFmtId="0" fontId="10" fillId="0" borderId="119" xfId="0" applyFont="1" applyFill="1" applyBorder="1" applyAlignment="1">
      <alignment horizontal="center" vertical="center"/>
    </xf>
    <xf numFmtId="0" fontId="10" fillId="0" borderId="117" xfId="0" applyFont="1" applyFill="1" applyBorder="1" applyAlignment="1">
      <alignment horizontal="center" vertical="center"/>
    </xf>
    <xf numFmtId="0" fontId="54" fillId="0" borderId="142" xfId="2" applyFont="1" applyBorder="1" applyAlignment="1">
      <alignment horizontal="center" vertical="center" textRotation="180"/>
    </xf>
    <xf numFmtId="0" fontId="10" fillId="17" borderId="134" xfId="0" applyFont="1" applyFill="1" applyBorder="1" applyAlignment="1">
      <alignment horizontal="center"/>
    </xf>
    <xf numFmtId="0" fontId="10" fillId="17" borderId="118" xfId="0" applyFont="1" applyFill="1" applyBorder="1" applyAlignment="1">
      <alignment horizontal="center"/>
    </xf>
    <xf numFmtId="0" fontId="10" fillId="17" borderId="135" xfId="0" applyFont="1" applyFill="1" applyBorder="1" applyAlignment="1">
      <alignment horizontal="center"/>
    </xf>
    <xf numFmtId="0" fontId="10" fillId="17" borderId="133" xfId="0" applyFont="1" applyFill="1" applyBorder="1" applyAlignment="1">
      <alignment horizontal="center"/>
    </xf>
    <xf numFmtId="0" fontId="10" fillId="17" borderId="115" xfId="0" applyFont="1" applyFill="1" applyBorder="1" applyAlignment="1">
      <alignment horizontal="center"/>
    </xf>
    <xf numFmtId="0" fontId="10" fillId="17" borderId="76" xfId="0" applyFont="1" applyFill="1" applyBorder="1" applyAlignment="1">
      <alignment horizontal="center"/>
    </xf>
    <xf numFmtId="0" fontId="29" fillId="7" borderId="116" xfId="0" applyFont="1" applyFill="1" applyBorder="1" applyAlignment="1">
      <alignment horizontal="center"/>
    </xf>
    <xf numFmtId="0" fontId="29" fillId="7" borderId="119" xfId="0" applyFont="1" applyFill="1" applyBorder="1" applyAlignment="1">
      <alignment horizontal="center"/>
    </xf>
    <xf numFmtId="0" fontId="29" fillId="7" borderId="117" xfId="0" applyFont="1" applyFill="1" applyBorder="1" applyAlignment="1">
      <alignment horizontal="center"/>
    </xf>
    <xf numFmtId="0" fontId="10" fillId="2" borderId="117" xfId="0" applyFont="1" applyFill="1" applyBorder="1" applyAlignment="1">
      <alignment horizontal="center"/>
    </xf>
    <xf numFmtId="0" fontId="10" fillId="2" borderId="118" xfId="0" applyFont="1" applyFill="1" applyBorder="1" applyAlignment="1">
      <alignment horizontal="center"/>
    </xf>
    <xf numFmtId="0" fontId="10" fillId="2" borderId="116" xfId="0" applyFont="1" applyFill="1" applyBorder="1" applyAlignment="1">
      <alignment horizontal="center"/>
    </xf>
    <xf numFmtId="0" fontId="10" fillId="17" borderId="137" xfId="0" applyFont="1" applyFill="1" applyBorder="1" applyAlignment="1">
      <alignment horizontal="center"/>
    </xf>
    <xf numFmtId="0" fontId="10" fillId="17" borderId="138" xfId="0" applyFont="1" applyFill="1" applyBorder="1" applyAlignment="1">
      <alignment horizontal="center"/>
    </xf>
    <xf numFmtId="0" fontId="10" fillId="17" borderId="37" xfId="0" applyFont="1" applyFill="1" applyBorder="1" applyAlignment="1">
      <alignment horizontal="center"/>
    </xf>
    <xf numFmtId="0" fontId="10" fillId="17" borderId="8" xfId="0" applyFont="1" applyFill="1" applyBorder="1" applyAlignment="1">
      <alignment horizontal="center"/>
    </xf>
    <xf numFmtId="0" fontId="10" fillId="17" borderId="136" xfId="0" applyFont="1" applyFill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83" xfId="0" applyFont="1" applyBorder="1" applyAlignment="1">
      <alignment horizontal="center"/>
    </xf>
    <xf numFmtId="0" fontId="121" fillId="0" borderId="22" xfId="0" applyFont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top" wrapText="1"/>
    </xf>
    <xf numFmtId="0" fontId="32" fillId="0" borderId="85" xfId="0" applyFont="1" applyFill="1" applyBorder="1" applyAlignment="1">
      <alignment horizontal="center" vertical="top" wrapText="1"/>
    </xf>
    <xf numFmtId="0" fontId="31" fillId="3" borderId="2" xfId="0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/>
    </xf>
    <xf numFmtId="0" fontId="31" fillId="0" borderId="29" xfId="0" applyFont="1" applyBorder="1" applyAlignment="1">
      <alignment horizontal="left"/>
    </xf>
    <xf numFmtId="0" fontId="31" fillId="0" borderId="31" xfId="0" applyFont="1" applyBorder="1" applyAlignment="1">
      <alignment horizontal="left"/>
    </xf>
    <xf numFmtId="0" fontId="121" fillId="0" borderId="0" xfId="0" applyFont="1" applyAlignment="1">
      <alignment horizontal="center" vertical="center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0" fillId="7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1" fillId="0" borderId="24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0" fontId="31" fillId="0" borderId="27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top" wrapText="1"/>
    </xf>
    <xf numFmtId="0" fontId="32" fillId="0" borderId="22" xfId="0" applyFont="1" applyFill="1" applyBorder="1" applyAlignment="1">
      <alignment horizontal="center" vertical="top" wrapText="1"/>
    </xf>
    <xf numFmtId="0" fontId="32" fillId="0" borderId="83" xfId="0" applyFont="1" applyFill="1" applyBorder="1" applyAlignment="1">
      <alignment horizontal="center" vertical="top" wrapText="1"/>
    </xf>
    <xf numFmtId="0" fontId="110" fillId="0" borderId="18" xfId="0" applyFont="1" applyBorder="1" applyAlignment="1">
      <alignment horizontal="center" vertical="center" wrapText="1"/>
    </xf>
    <xf numFmtId="0" fontId="110" fillId="0" borderId="20" xfId="0" applyFont="1" applyBorder="1" applyAlignment="1">
      <alignment horizontal="center" vertical="center" wrapText="1"/>
    </xf>
    <xf numFmtId="0" fontId="110" fillId="0" borderId="25" xfId="0" applyFont="1" applyBorder="1" applyAlignment="1">
      <alignment horizontal="center" vertical="center" wrapText="1"/>
    </xf>
    <xf numFmtId="0" fontId="110" fillId="0" borderId="8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1" fillId="3" borderId="19" xfId="0" applyFont="1" applyFill="1" applyBorder="1" applyAlignment="1">
      <alignment horizontal="left"/>
    </xf>
    <xf numFmtId="0" fontId="31" fillId="3" borderId="22" xfId="0" applyFont="1" applyFill="1" applyBorder="1" applyAlignment="1">
      <alignment horizontal="left"/>
    </xf>
    <xf numFmtId="0" fontId="31" fillId="0" borderId="25" xfId="0" applyFont="1" applyBorder="1" applyAlignment="1">
      <alignment horizontal="left"/>
    </xf>
    <xf numFmtId="0" fontId="31" fillId="0" borderId="83" xfId="0" applyFont="1" applyBorder="1" applyAlignment="1">
      <alignment horizontal="left"/>
    </xf>
    <xf numFmtId="4" fontId="44" fillId="13" borderId="15" xfId="0" applyNumberFormat="1" applyFont="1" applyFill="1" applyBorder="1" applyAlignment="1">
      <alignment horizontal="center" vertical="center" wrapText="1"/>
    </xf>
    <xf numFmtId="0" fontId="43" fillId="0" borderId="0" xfId="1" applyFont="1" applyFill="1" applyBorder="1" applyAlignment="1">
      <alignment horizontal="left" vertical="center"/>
    </xf>
    <xf numFmtId="0" fontId="43" fillId="0" borderId="0" xfId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center" vertical="center" wrapText="1"/>
    </xf>
    <xf numFmtId="0" fontId="40" fillId="0" borderId="8" xfId="0" applyFont="1" applyFill="1" applyBorder="1" applyAlignment="1">
      <alignment horizontal="center" vertical="center" wrapText="1"/>
    </xf>
    <xf numFmtId="0" fontId="40" fillId="0" borderId="9" xfId="0" applyFont="1" applyFill="1" applyBorder="1" applyAlignment="1">
      <alignment horizontal="center" vertical="center" wrapText="1"/>
    </xf>
    <xf numFmtId="0" fontId="42" fillId="0" borderId="1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right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4" fillId="13" borderId="65" xfId="0" applyFont="1" applyFill="1" applyBorder="1" applyAlignment="1">
      <alignment horizontal="center" vertical="center" wrapText="1"/>
    </xf>
    <xf numFmtId="0" fontId="44" fillId="13" borderId="66" xfId="0" applyFont="1" applyFill="1" applyBorder="1" applyAlignment="1">
      <alignment horizontal="center" vertical="center" wrapText="1"/>
    </xf>
    <xf numFmtId="0" fontId="43" fillId="8" borderId="0" xfId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left" wrapText="1"/>
    </xf>
    <xf numFmtId="0" fontId="49" fillId="0" borderId="14" xfId="0" applyFont="1" applyBorder="1" applyAlignment="1">
      <alignment horizontal="center" vertical="center" wrapText="1"/>
    </xf>
    <xf numFmtId="14" fontId="30" fillId="0" borderId="5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center"/>
    </xf>
    <xf numFmtId="14" fontId="30" fillId="0" borderId="5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3" fillId="0" borderId="6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1" fillId="0" borderId="131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5" fillId="0" borderId="130" xfId="0" applyFont="1" applyBorder="1" applyAlignment="1">
      <alignment horizontal="center" vertical="center"/>
    </xf>
    <xf numFmtId="0" fontId="5" fillId="0" borderId="12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8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left" vertical="center" wrapText="1"/>
    </xf>
    <xf numFmtId="14" fontId="108" fillId="7" borderId="0" xfId="0" applyNumberFormat="1" applyFont="1" applyFill="1" applyBorder="1" applyAlignment="1">
      <alignment horizontal="center" vertical="center"/>
    </xf>
    <xf numFmtId="0" fontId="108" fillId="4" borderId="10" xfId="0" applyFont="1" applyFill="1" applyBorder="1" applyAlignment="1">
      <alignment horizontal="center" vertical="center"/>
    </xf>
    <xf numFmtId="0" fontId="108" fillId="4" borderId="8" xfId="0" applyFont="1" applyFill="1" applyBorder="1" applyAlignment="1">
      <alignment horizontal="center" vertical="center"/>
    </xf>
    <xf numFmtId="0" fontId="108" fillId="4" borderId="131" xfId="0" applyFont="1" applyFill="1" applyBorder="1" applyAlignment="1">
      <alignment horizontal="center" vertical="center"/>
    </xf>
    <xf numFmtId="0" fontId="108" fillId="4" borderId="1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108" fillId="4" borderId="7" xfId="0" applyFont="1" applyFill="1" applyBorder="1" applyAlignment="1">
      <alignment horizontal="center" vertical="center"/>
    </xf>
    <xf numFmtId="0" fontId="108" fillId="4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0" fontId="108" fillId="4" borderId="14" xfId="0" applyFont="1" applyFill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left" vertical="center"/>
    </xf>
    <xf numFmtId="0" fontId="4" fillId="0" borderId="11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0" fillId="0" borderId="116" xfId="0" applyFill="1" applyBorder="1" applyAlignment="1">
      <alignment horizontal="center"/>
    </xf>
    <xf numFmtId="0" fontId="0" fillId="0" borderId="117" xfId="0" applyFill="1" applyBorder="1" applyAlignment="1">
      <alignment horizontal="center"/>
    </xf>
    <xf numFmtId="0" fontId="0" fillId="0" borderId="100" xfId="0" applyBorder="1" applyAlignment="1">
      <alignment horizontal="left" vertical="top" wrapText="1"/>
    </xf>
    <xf numFmtId="0" fontId="0" fillId="0" borderId="101" xfId="0" applyBorder="1" applyAlignment="1">
      <alignment horizontal="left"/>
    </xf>
    <xf numFmtId="0" fontId="0" fillId="0" borderId="104" xfId="0" applyBorder="1" applyAlignment="1">
      <alignment horizontal="left"/>
    </xf>
    <xf numFmtId="0" fontId="0" fillId="0" borderId="102" xfId="0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0" xfId="0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00" xfId="0" applyFill="1" applyBorder="1" applyAlignment="1">
      <alignment horizontal="center"/>
    </xf>
    <xf numFmtId="0" fontId="0" fillId="7" borderId="117" xfId="0" applyFill="1" applyBorder="1" applyAlignment="1">
      <alignment horizontal="center"/>
    </xf>
    <xf numFmtId="0" fontId="0" fillId="0" borderId="117" xfId="0" applyBorder="1" applyAlignment="1">
      <alignment horizontal="left" vertical="top" wrapText="1"/>
    </xf>
    <xf numFmtId="0" fontId="0" fillId="0" borderId="117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0" borderId="119" xfId="0" applyBorder="1" applyAlignment="1">
      <alignment horizontal="left"/>
    </xf>
    <xf numFmtId="0" fontId="0" fillId="7" borderId="117" xfId="0" applyFill="1" applyBorder="1" applyAlignment="1">
      <alignment horizontal="left" vertical="top" wrapText="1"/>
    </xf>
    <xf numFmtId="0" fontId="0" fillId="7" borderId="100" xfId="0" applyFill="1" applyBorder="1" applyAlignment="1">
      <alignment horizontal="left" vertical="top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0" fillId="0" borderId="129" xfId="2" applyFont="1" applyFill="1" applyBorder="1" applyAlignment="1">
      <alignment horizontal="center" vertical="center"/>
    </xf>
    <xf numFmtId="0" fontId="30" fillId="0" borderId="6" xfId="2" applyFont="1" applyFill="1" applyBorder="1" applyAlignment="1">
      <alignment horizontal="center" vertical="center"/>
    </xf>
    <xf numFmtId="0" fontId="30" fillId="0" borderId="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113" fillId="79" borderId="69" xfId="0" applyFont="1" applyFill="1" applyBorder="1" applyAlignment="1">
      <alignment horizontal="center" vertical="center" wrapText="1"/>
    </xf>
    <xf numFmtId="0" fontId="113" fillId="79" borderId="70" xfId="0" applyFont="1" applyFill="1" applyBorder="1" applyAlignment="1">
      <alignment horizontal="center" vertical="center" wrapText="1"/>
    </xf>
    <xf numFmtId="0" fontId="113" fillId="79" borderId="71" xfId="0" applyFont="1" applyFill="1" applyBorder="1" applyAlignment="1">
      <alignment horizontal="center" vertical="center" wrapText="1"/>
    </xf>
    <xf numFmtId="0" fontId="113" fillId="79" borderId="72" xfId="0" applyFont="1" applyFill="1" applyBorder="1" applyAlignment="1">
      <alignment horizontal="center" vertical="center" wrapText="1"/>
    </xf>
    <xf numFmtId="0" fontId="113" fillId="79" borderId="73" xfId="0" applyFont="1" applyFill="1" applyBorder="1" applyAlignment="1">
      <alignment horizontal="center" vertical="center" wrapText="1"/>
    </xf>
    <xf numFmtId="0" fontId="113" fillId="79" borderId="74" xfId="0" applyFont="1" applyFill="1" applyBorder="1" applyAlignment="1">
      <alignment horizontal="center" vertical="center" wrapText="1"/>
    </xf>
    <xf numFmtId="0" fontId="114" fillId="3" borderId="0" xfId="0" applyFont="1" applyFill="1" applyAlignment="1">
      <alignment horizontal="center" vertical="center"/>
    </xf>
    <xf numFmtId="0" fontId="115" fillId="2" borderId="0" xfId="0" applyFont="1" applyFill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</cellXfs>
  <cellStyles count="17952">
    <cellStyle name="20 % - Accent1" xfId="28" builtinId="30" customBuiltin="1"/>
    <cellStyle name="20 % - Accent1 2" xfId="169"/>
    <cellStyle name="20 % - Accent1 2 2" xfId="3645"/>
    <cellStyle name="20 % - Accent1 2 2 2" xfId="9187"/>
    <cellStyle name="20 % - Accent1 2 2 3" xfId="14726"/>
    <cellStyle name="20 % - Accent1 2 3" xfId="4682"/>
    <cellStyle name="20 % - Accent1 2 3 2" xfId="10221"/>
    <cellStyle name="20 % - Accent1 2 3 3" xfId="15760"/>
    <cellStyle name="20 % - Accent1 2 4" xfId="5617"/>
    <cellStyle name="20 % - Accent1 2 4 2" xfId="11156"/>
    <cellStyle name="20 % - Accent1 2 4 3" xfId="16695"/>
    <cellStyle name="20 % - Accent1 2 5" xfId="2319"/>
    <cellStyle name="20 % - Accent1 2 5 2" xfId="7865"/>
    <cellStyle name="20 % - Accent1 2 5 3" xfId="13404"/>
    <cellStyle name="20 % - Accent1 2 6" xfId="6660"/>
    <cellStyle name="20 % - Accent1 2 7" xfId="12199"/>
    <cellStyle name="20 % - Accent1 2 8" xfId="1115"/>
    <cellStyle name="20 % - Accent1 3" xfId="1799"/>
    <cellStyle name="20 % - Accent1 3 2" xfId="7345"/>
    <cellStyle name="20 % - Accent1 3 3" xfId="12884"/>
    <cellStyle name="20 % - Accent1 4" xfId="6137"/>
    <cellStyle name="20 % - Accent1 5" xfId="11679"/>
    <cellStyle name="20 % - Accent2" xfId="32" builtinId="34" customBuiltin="1"/>
    <cellStyle name="20 % - Accent2 2" xfId="170"/>
    <cellStyle name="20 % - Accent2 2 2" xfId="3647"/>
    <cellStyle name="20 % - Accent2 2 2 2" xfId="9189"/>
    <cellStyle name="20 % - Accent2 2 2 3" xfId="14728"/>
    <cellStyle name="20 % - Accent2 2 3" xfId="4684"/>
    <cellStyle name="20 % - Accent2 2 3 2" xfId="10223"/>
    <cellStyle name="20 % - Accent2 2 3 3" xfId="15762"/>
    <cellStyle name="20 % - Accent2 2 4" xfId="5619"/>
    <cellStyle name="20 % - Accent2 2 4 2" xfId="11158"/>
    <cellStyle name="20 % - Accent2 2 4 3" xfId="16697"/>
    <cellStyle name="20 % - Accent2 2 5" xfId="2321"/>
    <cellStyle name="20 % - Accent2 2 5 2" xfId="7867"/>
    <cellStyle name="20 % - Accent2 2 5 3" xfId="13406"/>
    <cellStyle name="20 % - Accent2 2 6" xfId="6662"/>
    <cellStyle name="20 % - Accent2 2 7" xfId="12201"/>
    <cellStyle name="20 % - Accent2 2 8" xfId="1117"/>
    <cellStyle name="20 % - Accent2 3" xfId="1801"/>
    <cellStyle name="20 % - Accent2 3 2" xfId="7347"/>
    <cellStyle name="20 % - Accent2 3 3" xfId="12886"/>
    <cellStyle name="20 % - Accent2 4" xfId="6139"/>
    <cellStyle name="20 % - Accent2 5" xfId="11681"/>
    <cellStyle name="20 % - Accent3" xfId="36" builtinId="38" customBuiltin="1"/>
    <cellStyle name="20 % - Accent3 2" xfId="171"/>
    <cellStyle name="20 % - Accent3 2 2" xfId="3649"/>
    <cellStyle name="20 % - Accent3 2 2 2" xfId="9191"/>
    <cellStyle name="20 % - Accent3 2 2 3" xfId="14730"/>
    <cellStyle name="20 % - Accent3 2 3" xfId="4686"/>
    <cellStyle name="20 % - Accent3 2 3 2" xfId="10225"/>
    <cellStyle name="20 % - Accent3 2 3 3" xfId="15764"/>
    <cellStyle name="20 % - Accent3 2 4" xfId="5621"/>
    <cellStyle name="20 % - Accent3 2 4 2" xfId="11160"/>
    <cellStyle name="20 % - Accent3 2 4 3" xfId="16699"/>
    <cellStyle name="20 % - Accent3 2 5" xfId="2323"/>
    <cellStyle name="20 % - Accent3 2 5 2" xfId="7869"/>
    <cellStyle name="20 % - Accent3 2 5 3" xfId="13408"/>
    <cellStyle name="20 % - Accent3 2 6" xfId="6664"/>
    <cellStyle name="20 % - Accent3 2 7" xfId="12203"/>
    <cellStyle name="20 % - Accent3 2 8" xfId="1119"/>
    <cellStyle name="20 % - Accent3 3" xfId="1803"/>
    <cellStyle name="20 % - Accent3 3 2" xfId="7349"/>
    <cellStyle name="20 % - Accent3 3 3" xfId="12888"/>
    <cellStyle name="20 % - Accent3 4" xfId="6141"/>
    <cellStyle name="20 % - Accent3 5" xfId="11683"/>
    <cellStyle name="20 % - Accent4" xfId="40" builtinId="42" customBuiltin="1"/>
    <cellStyle name="20 % - Accent4 2" xfId="172"/>
    <cellStyle name="20 % - Accent4 2 2" xfId="3651"/>
    <cellStyle name="20 % - Accent4 2 2 2" xfId="9193"/>
    <cellStyle name="20 % - Accent4 2 2 3" xfId="14732"/>
    <cellStyle name="20 % - Accent4 2 3" xfId="4688"/>
    <cellStyle name="20 % - Accent4 2 3 2" xfId="10227"/>
    <cellStyle name="20 % - Accent4 2 3 3" xfId="15766"/>
    <cellStyle name="20 % - Accent4 2 4" xfId="5623"/>
    <cellStyle name="20 % - Accent4 2 4 2" xfId="11162"/>
    <cellStyle name="20 % - Accent4 2 4 3" xfId="16701"/>
    <cellStyle name="20 % - Accent4 2 5" xfId="2325"/>
    <cellStyle name="20 % - Accent4 2 5 2" xfId="7871"/>
    <cellStyle name="20 % - Accent4 2 5 3" xfId="13410"/>
    <cellStyle name="20 % - Accent4 2 6" xfId="6666"/>
    <cellStyle name="20 % - Accent4 2 7" xfId="12205"/>
    <cellStyle name="20 % - Accent4 2 8" xfId="1121"/>
    <cellStyle name="20 % - Accent4 3" xfId="1805"/>
    <cellStyle name="20 % - Accent4 3 2" xfId="7351"/>
    <cellStyle name="20 % - Accent4 3 3" xfId="12890"/>
    <cellStyle name="20 % - Accent4 4" xfId="6143"/>
    <cellStyle name="20 % - Accent4 5" xfId="11685"/>
    <cellStyle name="20 % - Accent5" xfId="44" builtinId="46" customBuiltin="1"/>
    <cellStyle name="20 % - Accent5 2" xfId="173"/>
    <cellStyle name="20 % - Accent5 2 2" xfId="3653"/>
    <cellStyle name="20 % - Accent5 2 2 2" xfId="9195"/>
    <cellStyle name="20 % - Accent5 2 2 3" xfId="14734"/>
    <cellStyle name="20 % - Accent5 2 3" xfId="4690"/>
    <cellStyle name="20 % - Accent5 2 3 2" xfId="10229"/>
    <cellStyle name="20 % - Accent5 2 3 3" xfId="15768"/>
    <cellStyle name="20 % - Accent5 2 4" xfId="5625"/>
    <cellStyle name="20 % - Accent5 2 4 2" xfId="11164"/>
    <cellStyle name="20 % - Accent5 2 4 3" xfId="16703"/>
    <cellStyle name="20 % - Accent5 2 5" xfId="2327"/>
    <cellStyle name="20 % - Accent5 2 5 2" xfId="7873"/>
    <cellStyle name="20 % - Accent5 2 5 3" xfId="13412"/>
    <cellStyle name="20 % - Accent5 2 6" xfId="6668"/>
    <cellStyle name="20 % - Accent5 2 7" xfId="12207"/>
    <cellStyle name="20 % - Accent5 2 8" xfId="1123"/>
    <cellStyle name="20 % - Accent5 3" xfId="1807"/>
    <cellStyle name="20 % - Accent5 3 2" xfId="7353"/>
    <cellStyle name="20 % - Accent5 3 3" xfId="12892"/>
    <cellStyle name="20 % - Accent5 4" xfId="6145"/>
    <cellStyle name="20 % - Accent5 5" xfId="11687"/>
    <cellStyle name="20 % - Accent6" xfId="48" builtinId="50" customBuiltin="1"/>
    <cellStyle name="20 % - Accent6 2" xfId="174"/>
    <cellStyle name="20 % - Accent6 2 2" xfId="3655"/>
    <cellStyle name="20 % - Accent6 2 2 2" xfId="9197"/>
    <cellStyle name="20 % - Accent6 2 2 3" xfId="14736"/>
    <cellStyle name="20 % - Accent6 2 3" xfId="4692"/>
    <cellStyle name="20 % - Accent6 2 3 2" xfId="10231"/>
    <cellStyle name="20 % - Accent6 2 3 3" xfId="15770"/>
    <cellStyle name="20 % - Accent6 2 4" xfId="5627"/>
    <cellStyle name="20 % - Accent6 2 4 2" xfId="11166"/>
    <cellStyle name="20 % - Accent6 2 4 3" xfId="16705"/>
    <cellStyle name="20 % - Accent6 2 5" xfId="2329"/>
    <cellStyle name="20 % - Accent6 2 5 2" xfId="7875"/>
    <cellStyle name="20 % - Accent6 2 5 3" xfId="13414"/>
    <cellStyle name="20 % - Accent6 2 6" xfId="6670"/>
    <cellStyle name="20 % - Accent6 2 7" xfId="12209"/>
    <cellStyle name="20 % - Accent6 2 8" xfId="1125"/>
    <cellStyle name="20 % - Accent6 3" xfId="1809"/>
    <cellStyle name="20 % - Accent6 3 2" xfId="7355"/>
    <cellStyle name="20 % - Accent6 3 3" xfId="12894"/>
    <cellStyle name="20 % - Accent6 4" xfId="6147"/>
    <cellStyle name="20 % - Accent6 5" xfId="11689"/>
    <cellStyle name="20% - Accent1 2" xfId="213"/>
    <cellStyle name="20% - Accent1 3" xfId="3034"/>
    <cellStyle name="20% - Accent1 3 2" xfId="8577"/>
    <cellStyle name="20% - Accent1 3 3" xfId="14116"/>
    <cellStyle name="20% - Accent1 4" xfId="4077"/>
    <cellStyle name="20% - Accent1 4 2" xfId="9618"/>
    <cellStyle name="20% - Accent1 4 3" xfId="15157"/>
    <cellStyle name="20% - Accent1 5" xfId="5097"/>
    <cellStyle name="20% - Accent1 5 2" xfId="10636"/>
    <cellStyle name="20% - Accent1 5 3" xfId="16175"/>
    <cellStyle name="20% - Accent2 2" xfId="214"/>
    <cellStyle name="20% - Accent2 3" xfId="3038"/>
    <cellStyle name="20% - Accent2 3 2" xfId="8581"/>
    <cellStyle name="20% - Accent2 3 3" xfId="14120"/>
    <cellStyle name="20% - Accent2 4" xfId="4081"/>
    <cellStyle name="20% - Accent2 4 2" xfId="9622"/>
    <cellStyle name="20% - Accent2 4 3" xfId="15161"/>
    <cellStyle name="20% - Accent2 5" xfId="5099"/>
    <cellStyle name="20% - Accent2 5 2" xfId="10638"/>
    <cellStyle name="20% - Accent2 5 3" xfId="16177"/>
    <cellStyle name="20% - Accent3 2" xfId="215"/>
    <cellStyle name="20% - Accent3 3" xfId="3042"/>
    <cellStyle name="20% - Accent3 3 2" xfId="8585"/>
    <cellStyle name="20% - Accent3 3 3" xfId="14124"/>
    <cellStyle name="20% - Accent3 4" xfId="4085"/>
    <cellStyle name="20% - Accent3 4 2" xfId="9626"/>
    <cellStyle name="20% - Accent3 4 3" xfId="15165"/>
    <cellStyle name="20% - Accent3 5" xfId="5101"/>
    <cellStyle name="20% - Accent3 5 2" xfId="10640"/>
    <cellStyle name="20% - Accent3 5 3" xfId="16179"/>
    <cellStyle name="20% - Accent4 2" xfId="216"/>
    <cellStyle name="20% - Accent4 3" xfId="3046"/>
    <cellStyle name="20% - Accent4 3 2" xfId="8589"/>
    <cellStyle name="20% - Accent4 3 3" xfId="14128"/>
    <cellStyle name="20% - Accent4 4" xfId="4089"/>
    <cellStyle name="20% - Accent4 4 2" xfId="9630"/>
    <cellStyle name="20% - Accent4 4 3" xfId="15169"/>
    <cellStyle name="20% - Accent4 5" xfId="5103"/>
    <cellStyle name="20% - Accent4 5 2" xfId="10642"/>
    <cellStyle name="20% - Accent4 5 3" xfId="16181"/>
    <cellStyle name="20% - Accent5 2" xfId="217"/>
    <cellStyle name="20% - Accent5 3" xfId="3050"/>
    <cellStyle name="20% - Accent5 3 2" xfId="8593"/>
    <cellStyle name="20% - Accent5 3 3" xfId="14132"/>
    <cellStyle name="20% - Accent5 4" xfId="4093"/>
    <cellStyle name="20% - Accent5 4 2" xfId="9634"/>
    <cellStyle name="20% - Accent5 4 3" xfId="15173"/>
    <cellStyle name="20% - Accent5 5" xfId="5105"/>
    <cellStyle name="20% - Accent5 5 2" xfId="10644"/>
    <cellStyle name="20% - Accent5 5 3" xfId="16183"/>
    <cellStyle name="20% - Accent6 2" xfId="218"/>
    <cellStyle name="20% - Accent6 3" xfId="3054"/>
    <cellStyle name="20% - Accent6 3 2" xfId="8597"/>
    <cellStyle name="20% - Accent6 3 3" xfId="14136"/>
    <cellStyle name="20% - Accent6 4" xfId="4097"/>
    <cellStyle name="20% - Accent6 4 2" xfId="9638"/>
    <cellStyle name="20% - Accent6 4 3" xfId="15177"/>
    <cellStyle name="20% - Accent6 5" xfId="5107"/>
    <cellStyle name="20% - Accent6 5 2" xfId="10646"/>
    <cellStyle name="20% - Accent6 5 3" xfId="16185"/>
    <cellStyle name="40 % - Accent1" xfId="29" builtinId="31" customBuiltin="1"/>
    <cellStyle name="40 % - Accent1 2" xfId="175"/>
    <cellStyle name="40 % - Accent1 2 2" xfId="3646"/>
    <cellStyle name="40 % - Accent1 2 2 2" xfId="9188"/>
    <cellStyle name="40 % - Accent1 2 2 3" xfId="14727"/>
    <cellStyle name="40 % - Accent1 2 3" xfId="4683"/>
    <cellStyle name="40 % - Accent1 2 3 2" xfId="10222"/>
    <cellStyle name="40 % - Accent1 2 3 3" xfId="15761"/>
    <cellStyle name="40 % - Accent1 2 4" xfId="5618"/>
    <cellStyle name="40 % - Accent1 2 4 2" xfId="11157"/>
    <cellStyle name="40 % - Accent1 2 4 3" xfId="16696"/>
    <cellStyle name="40 % - Accent1 2 5" xfId="2320"/>
    <cellStyle name="40 % - Accent1 2 5 2" xfId="7866"/>
    <cellStyle name="40 % - Accent1 2 5 3" xfId="13405"/>
    <cellStyle name="40 % - Accent1 2 6" xfId="6661"/>
    <cellStyle name="40 % - Accent1 2 7" xfId="12200"/>
    <cellStyle name="40 % - Accent1 2 8" xfId="1116"/>
    <cellStyle name="40 % - Accent1 3" xfId="1800"/>
    <cellStyle name="40 % - Accent1 3 2" xfId="7346"/>
    <cellStyle name="40 % - Accent1 3 3" xfId="12885"/>
    <cellStyle name="40 % - Accent1 4" xfId="6138"/>
    <cellStyle name="40 % - Accent1 5" xfId="11680"/>
    <cellStyle name="40 % - Accent2" xfId="33" builtinId="35" customBuiltin="1"/>
    <cellStyle name="40 % - Accent2 2" xfId="176"/>
    <cellStyle name="40 % - Accent2 2 2" xfId="3648"/>
    <cellStyle name="40 % - Accent2 2 2 2" xfId="9190"/>
    <cellStyle name="40 % - Accent2 2 2 3" xfId="14729"/>
    <cellStyle name="40 % - Accent2 2 3" xfId="4685"/>
    <cellStyle name="40 % - Accent2 2 3 2" xfId="10224"/>
    <cellStyle name="40 % - Accent2 2 3 3" xfId="15763"/>
    <cellStyle name="40 % - Accent2 2 4" xfId="5620"/>
    <cellStyle name="40 % - Accent2 2 4 2" xfId="11159"/>
    <cellStyle name="40 % - Accent2 2 4 3" xfId="16698"/>
    <cellStyle name="40 % - Accent2 2 5" xfId="2322"/>
    <cellStyle name="40 % - Accent2 2 5 2" xfId="7868"/>
    <cellStyle name="40 % - Accent2 2 5 3" xfId="13407"/>
    <cellStyle name="40 % - Accent2 2 6" xfId="6663"/>
    <cellStyle name="40 % - Accent2 2 7" xfId="12202"/>
    <cellStyle name="40 % - Accent2 2 8" xfId="1118"/>
    <cellStyle name="40 % - Accent2 3" xfId="1802"/>
    <cellStyle name="40 % - Accent2 3 2" xfId="7348"/>
    <cellStyle name="40 % - Accent2 3 3" xfId="12887"/>
    <cellStyle name="40 % - Accent2 4" xfId="6140"/>
    <cellStyle name="40 % - Accent2 5" xfId="11682"/>
    <cellStyle name="40 % - Accent3" xfId="37" builtinId="39" customBuiltin="1"/>
    <cellStyle name="40 % - Accent3 2" xfId="177"/>
    <cellStyle name="40 % - Accent3 2 2" xfId="3650"/>
    <cellStyle name="40 % - Accent3 2 2 2" xfId="9192"/>
    <cellStyle name="40 % - Accent3 2 2 3" xfId="14731"/>
    <cellStyle name="40 % - Accent3 2 3" xfId="4687"/>
    <cellStyle name="40 % - Accent3 2 3 2" xfId="10226"/>
    <cellStyle name="40 % - Accent3 2 3 3" xfId="15765"/>
    <cellStyle name="40 % - Accent3 2 4" xfId="5622"/>
    <cellStyle name="40 % - Accent3 2 4 2" xfId="11161"/>
    <cellStyle name="40 % - Accent3 2 4 3" xfId="16700"/>
    <cellStyle name="40 % - Accent3 2 5" xfId="2324"/>
    <cellStyle name="40 % - Accent3 2 5 2" xfId="7870"/>
    <cellStyle name="40 % - Accent3 2 5 3" xfId="13409"/>
    <cellStyle name="40 % - Accent3 2 6" xfId="6665"/>
    <cellStyle name="40 % - Accent3 2 7" xfId="12204"/>
    <cellStyle name="40 % - Accent3 2 8" xfId="1120"/>
    <cellStyle name="40 % - Accent3 3" xfId="1804"/>
    <cellStyle name="40 % - Accent3 3 2" xfId="7350"/>
    <cellStyle name="40 % - Accent3 3 3" xfId="12889"/>
    <cellStyle name="40 % - Accent3 4" xfId="6142"/>
    <cellStyle name="40 % - Accent3 5" xfId="11684"/>
    <cellStyle name="40 % - Accent4" xfId="41" builtinId="43" customBuiltin="1"/>
    <cellStyle name="40 % - Accent4 2" xfId="178"/>
    <cellStyle name="40 % - Accent4 2 2" xfId="3652"/>
    <cellStyle name="40 % - Accent4 2 2 2" xfId="9194"/>
    <cellStyle name="40 % - Accent4 2 2 3" xfId="14733"/>
    <cellStyle name="40 % - Accent4 2 3" xfId="4689"/>
    <cellStyle name="40 % - Accent4 2 3 2" xfId="10228"/>
    <cellStyle name="40 % - Accent4 2 3 3" xfId="15767"/>
    <cellStyle name="40 % - Accent4 2 4" xfId="5624"/>
    <cellStyle name="40 % - Accent4 2 4 2" xfId="11163"/>
    <cellStyle name="40 % - Accent4 2 4 3" xfId="16702"/>
    <cellStyle name="40 % - Accent4 2 5" xfId="2326"/>
    <cellStyle name="40 % - Accent4 2 5 2" xfId="7872"/>
    <cellStyle name="40 % - Accent4 2 5 3" xfId="13411"/>
    <cellStyle name="40 % - Accent4 2 6" xfId="6667"/>
    <cellStyle name="40 % - Accent4 2 7" xfId="12206"/>
    <cellStyle name="40 % - Accent4 2 8" xfId="1122"/>
    <cellStyle name="40 % - Accent4 3" xfId="1806"/>
    <cellStyle name="40 % - Accent4 3 2" xfId="7352"/>
    <cellStyle name="40 % - Accent4 3 3" xfId="12891"/>
    <cellStyle name="40 % - Accent4 4" xfId="6144"/>
    <cellStyle name="40 % - Accent4 5" xfId="11686"/>
    <cellStyle name="40 % - Accent5" xfId="45" builtinId="47" customBuiltin="1"/>
    <cellStyle name="40 % - Accent5 2" xfId="179"/>
    <cellStyle name="40 % - Accent5 2 2" xfId="3654"/>
    <cellStyle name="40 % - Accent5 2 2 2" xfId="9196"/>
    <cellStyle name="40 % - Accent5 2 2 3" xfId="14735"/>
    <cellStyle name="40 % - Accent5 2 3" xfId="4691"/>
    <cellStyle name="40 % - Accent5 2 3 2" xfId="10230"/>
    <cellStyle name="40 % - Accent5 2 3 3" xfId="15769"/>
    <cellStyle name="40 % - Accent5 2 4" xfId="5626"/>
    <cellStyle name="40 % - Accent5 2 4 2" xfId="11165"/>
    <cellStyle name="40 % - Accent5 2 4 3" xfId="16704"/>
    <cellStyle name="40 % - Accent5 2 5" xfId="2328"/>
    <cellStyle name="40 % - Accent5 2 5 2" xfId="7874"/>
    <cellStyle name="40 % - Accent5 2 5 3" xfId="13413"/>
    <cellStyle name="40 % - Accent5 2 6" xfId="6669"/>
    <cellStyle name="40 % - Accent5 2 7" xfId="12208"/>
    <cellStyle name="40 % - Accent5 2 8" xfId="1124"/>
    <cellStyle name="40 % - Accent5 3" xfId="1808"/>
    <cellStyle name="40 % - Accent5 3 2" xfId="7354"/>
    <cellStyle name="40 % - Accent5 3 3" xfId="12893"/>
    <cellStyle name="40 % - Accent5 4" xfId="6146"/>
    <cellStyle name="40 % - Accent5 5" xfId="11688"/>
    <cellStyle name="40 % - Accent6" xfId="49" builtinId="51" customBuiltin="1"/>
    <cellStyle name="40 % - Accent6 2" xfId="180"/>
    <cellStyle name="40 % - Accent6 2 2" xfId="3656"/>
    <cellStyle name="40 % - Accent6 2 2 2" xfId="9198"/>
    <cellStyle name="40 % - Accent6 2 2 3" xfId="14737"/>
    <cellStyle name="40 % - Accent6 2 3" xfId="4693"/>
    <cellStyle name="40 % - Accent6 2 3 2" xfId="10232"/>
    <cellStyle name="40 % - Accent6 2 3 3" xfId="15771"/>
    <cellStyle name="40 % - Accent6 2 4" xfId="5628"/>
    <cellStyle name="40 % - Accent6 2 4 2" xfId="11167"/>
    <cellStyle name="40 % - Accent6 2 4 3" xfId="16706"/>
    <cellStyle name="40 % - Accent6 2 5" xfId="2330"/>
    <cellStyle name="40 % - Accent6 2 5 2" xfId="7876"/>
    <cellStyle name="40 % - Accent6 2 5 3" xfId="13415"/>
    <cellStyle name="40 % - Accent6 2 6" xfId="6671"/>
    <cellStyle name="40 % - Accent6 2 7" xfId="12210"/>
    <cellStyle name="40 % - Accent6 2 8" xfId="1126"/>
    <cellStyle name="40 % - Accent6 3" xfId="1810"/>
    <cellStyle name="40 % - Accent6 3 2" xfId="7356"/>
    <cellStyle name="40 % - Accent6 3 3" xfId="12895"/>
    <cellStyle name="40 % - Accent6 4" xfId="6148"/>
    <cellStyle name="40 % - Accent6 5" xfId="11690"/>
    <cellStyle name="40% - Accent1 2" xfId="219"/>
    <cellStyle name="40% - Accent1 3" xfId="3035"/>
    <cellStyle name="40% - Accent1 3 2" xfId="8578"/>
    <cellStyle name="40% - Accent1 3 3" xfId="14117"/>
    <cellStyle name="40% - Accent1 4" xfId="4078"/>
    <cellStyle name="40% - Accent1 4 2" xfId="9619"/>
    <cellStyle name="40% - Accent1 4 3" xfId="15158"/>
    <cellStyle name="40% - Accent1 5" xfId="5098"/>
    <cellStyle name="40% - Accent1 5 2" xfId="10637"/>
    <cellStyle name="40% - Accent1 5 3" xfId="16176"/>
    <cellStyle name="40% - Accent2 2" xfId="220"/>
    <cellStyle name="40% - Accent2 3" xfId="3039"/>
    <cellStyle name="40% - Accent2 3 2" xfId="8582"/>
    <cellStyle name="40% - Accent2 3 3" xfId="14121"/>
    <cellStyle name="40% - Accent2 4" xfId="4082"/>
    <cellStyle name="40% - Accent2 4 2" xfId="9623"/>
    <cellStyle name="40% - Accent2 4 3" xfId="15162"/>
    <cellStyle name="40% - Accent2 5" xfId="5100"/>
    <cellStyle name="40% - Accent2 5 2" xfId="10639"/>
    <cellStyle name="40% - Accent2 5 3" xfId="16178"/>
    <cellStyle name="40% - Accent3 2" xfId="221"/>
    <cellStyle name="40% - Accent3 3" xfId="3043"/>
    <cellStyle name="40% - Accent3 3 2" xfId="8586"/>
    <cellStyle name="40% - Accent3 3 3" xfId="14125"/>
    <cellStyle name="40% - Accent3 4" xfId="4086"/>
    <cellStyle name="40% - Accent3 4 2" xfId="9627"/>
    <cellStyle name="40% - Accent3 4 3" xfId="15166"/>
    <cellStyle name="40% - Accent3 5" xfId="5102"/>
    <cellStyle name="40% - Accent3 5 2" xfId="10641"/>
    <cellStyle name="40% - Accent3 5 3" xfId="16180"/>
    <cellStyle name="40% - Accent4 2" xfId="222"/>
    <cellStyle name="40% - Accent4 3" xfId="3047"/>
    <cellStyle name="40% - Accent4 3 2" xfId="8590"/>
    <cellStyle name="40% - Accent4 3 3" xfId="14129"/>
    <cellStyle name="40% - Accent4 4" xfId="4090"/>
    <cellStyle name="40% - Accent4 4 2" xfId="9631"/>
    <cellStyle name="40% - Accent4 4 3" xfId="15170"/>
    <cellStyle name="40% - Accent4 5" xfId="5104"/>
    <cellStyle name="40% - Accent4 5 2" xfId="10643"/>
    <cellStyle name="40% - Accent4 5 3" xfId="16182"/>
    <cellStyle name="40% - Accent5 2" xfId="223"/>
    <cellStyle name="40% - Accent5 3" xfId="3051"/>
    <cellStyle name="40% - Accent5 3 2" xfId="8594"/>
    <cellStyle name="40% - Accent5 3 3" xfId="14133"/>
    <cellStyle name="40% - Accent5 4" xfId="4094"/>
    <cellStyle name="40% - Accent5 4 2" xfId="9635"/>
    <cellStyle name="40% - Accent5 4 3" xfId="15174"/>
    <cellStyle name="40% - Accent5 5" xfId="5106"/>
    <cellStyle name="40% - Accent5 5 2" xfId="10645"/>
    <cellStyle name="40% - Accent5 5 3" xfId="16184"/>
    <cellStyle name="40% - Accent6 2" xfId="224"/>
    <cellStyle name="40% - Accent6 3" xfId="3055"/>
    <cellStyle name="40% - Accent6 3 2" xfId="8598"/>
    <cellStyle name="40% - Accent6 3 3" xfId="14137"/>
    <cellStyle name="40% - Accent6 4" xfId="4098"/>
    <cellStyle name="40% - Accent6 4 2" xfId="9639"/>
    <cellStyle name="40% - Accent6 4 3" xfId="15178"/>
    <cellStyle name="40% - Accent6 5" xfId="5108"/>
    <cellStyle name="40% - Accent6 5 2" xfId="10647"/>
    <cellStyle name="40% - Accent6 5 3" xfId="16186"/>
    <cellStyle name="60 % - Accent1" xfId="30" builtinId="32" customBuiltin="1"/>
    <cellStyle name="60 % - Accent1 2" xfId="181"/>
    <cellStyle name="60 % - Accent2" xfId="34" builtinId="36" customBuiltin="1"/>
    <cellStyle name="60 % - Accent2 2" xfId="182"/>
    <cellStyle name="60 % - Accent3" xfId="38" builtinId="40" customBuiltin="1"/>
    <cellStyle name="60 % - Accent3 2" xfId="183"/>
    <cellStyle name="60 % - Accent4" xfId="42" builtinId="44" customBuiltin="1"/>
    <cellStyle name="60 % - Accent4 2" xfId="184"/>
    <cellStyle name="60 % - Accent5" xfId="46" builtinId="48" customBuiltin="1"/>
    <cellStyle name="60 % - Accent5 2" xfId="185"/>
    <cellStyle name="60 % - Accent6" xfId="50" builtinId="52" customBuiltin="1"/>
    <cellStyle name="60 % - Accent6 2" xfId="186"/>
    <cellStyle name="60% - Accent1 2" xfId="225"/>
    <cellStyle name="60% - Accent2 2" xfId="226"/>
    <cellStyle name="60% - Accent3 2" xfId="227"/>
    <cellStyle name="60% - Accent4 2" xfId="228"/>
    <cellStyle name="60% - Accent5 2" xfId="229"/>
    <cellStyle name="60% - Accent6 2" xfId="230"/>
    <cellStyle name="Accent1" xfId="27" builtinId="29" customBuiltin="1"/>
    <cellStyle name="Accent1 2" xfId="187"/>
    <cellStyle name="Accent2" xfId="31" builtinId="33" customBuiltin="1"/>
    <cellStyle name="Accent2 2" xfId="188"/>
    <cellStyle name="Accent3" xfId="35" builtinId="37" customBuiltin="1"/>
    <cellStyle name="Accent3 2" xfId="189"/>
    <cellStyle name="Accent4" xfId="39" builtinId="41" customBuiltin="1"/>
    <cellStyle name="Accent4 2" xfId="190"/>
    <cellStyle name="Accent5" xfId="43" builtinId="45" customBuiltin="1"/>
    <cellStyle name="Accent5 2" xfId="191"/>
    <cellStyle name="Accent6" xfId="47" builtinId="49" customBuiltin="1"/>
    <cellStyle name="Accent6 2" xfId="192"/>
    <cellStyle name="Avertissement" xfId="23" builtinId="11" customBuiltin="1"/>
    <cellStyle name="Avertissement 2" xfId="193"/>
    <cellStyle name="Bad 2" xfId="231"/>
    <cellStyle name="Calcul" xfId="20" builtinId="22" customBuiltin="1"/>
    <cellStyle name="Calcul 2" xfId="194"/>
    <cellStyle name="Calcul 2 2" xfId="17850"/>
    <cellStyle name="Calcul 2 2 2" xfId="17936"/>
    <cellStyle name="Calcul 2 3" xfId="17878"/>
    <cellStyle name="Calcul 2 4" xfId="17899"/>
    <cellStyle name="Calcul 2 5" xfId="17897"/>
    <cellStyle name="Calcul 2 6" xfId="17907"/>
    <cellStyle name="Calculation 2" xfId="232"/>
    <cellStyle name="Calculation 2 2" xfId="448"/>
    <cellStyle name="Calculation 2 2 2" xfId="17853"/>
    <cellStyle name="Calculation 2 2 2 2" xfId="17939"/>
    <cellStyle name="Calculation 2 2 3" xfId="17885"/>
    <cellStyle name="Calculation 2 2 4" xfId="17916"/>
    <cellStyle name="Calculation 2 3" xfId="781"/>
    <cellStyle name="Calculation 2 3 2" xfId="17861"/>
    <cellStyle name="Calculation 2 3 2 2" xfId="17947"/>
    <cellStyle name="Calculation 2 3 3" xfId="17881"/>
    <cellStyle name="Calculation 2 3 4" xfId="17922"/>
    <cellStyle name="Calculation 2 4" xfId="17864"/>
    <cellStyle name="Calculation 2 4 2" xfId="17950"/>
    <cellStyle name="Calculation 2 5" xfId="17876"/>
    <cellStyle name="Calculation 2 6" xfId="17912"/>
    <cellStyle name="Cellule liée" xfId="21" builtinId="24" customBuiltin="1"/>
    <cellStyle name="Cellule liée 2" xfId="195"/>
    <cellStyle name="Check Cell 2" xfId="233"/>
    <cellStyle name="Commentaire" xfId="24" builtinId="10" customBuiltin="1"/>
    <cellStyle name="Commentaire 2" xfId="51"/>
    <cellStyle name="Commentaire 2 2" xfId="196"/>
    <cellStyle name="Commentaire 2 2 10" xfId="17882"/>
    <cellStyle name="Commentaire 2 2 11" xfId="17900"/>
    <cellStyle name="Commentaire 2 2 12" xfId="17895"/>
    <cellStyle name="Commentaire 2 2 13" xfId="17908"/>
    <cellStyle name="Commentaire 2 2 2" xfId="4000"/>
    <cellStyle name="Commentaire 2 2 2 2" xfId="9542"/>
    <cellStyle name="Commentaire 2 2 2 3" xfId="15081"/>
    <cellStyle name="Commentaire 2 2 3" xfId="5037"/>
    <cellStyle name="Commentaire 2 2 3 2" xfId="10576"/>
    <cellStyle name="Commentaire 2 2 3 3" xfId="16115"/>
    <cellStyle name="Commentaire 2 2 4" xfId="5971"/>
    <cellStyle name="Commentaire 2 2 4 2" xfId="11510"/>
    <cellStyle name="Commentaire 2 2 4 3" xfId="17049"/>
    <cellStyle name="Commentaire 2 2 5" xfId="2673"/>
    <cellStyle name="Commentaire 2 2 5 2" xfId="8219"/>
    <cellStyle name="Commentaire 2 2 5 3" xfId="13758"/>
    <cellStyle name="Commentaire 2 2 6" xfId="7014"/>
    <cellStyle name="Commentaire 2 2 7" xfId="12553"/>
    <cellStyle name="Commentaire 2 2 8" xfId="1468"/>
    <cellStyle name="Commentaire 2 2 9" xfId="17851"/>
    <cellStyle name="Commentaire 2 2 9 2" xfId="17937"/>
    <cellStyle name="Commentaire 2 3" xfId="3306"/>
    <cellStyle name="Commentaire 2 3 2" xfId="8848"/>
    <cellStyle name="Commentaire 2 3 3" xfId="14387"/>
    <cellStyle name="Commentaire 2 4" xfId="4343"/>
    <cellStyle name="Commentaire 2 4 2" xfId="9882"/>
    <cellStyle name="Commentaire 2 4 3" xfId="15421"/>
    <cellStyle name="Commentaire 2 5" xfId="5286"/>
    <cellStyle name="Commentaire 2 5 2" xfId="10825"/>
    <cellStyle name="Commentaire 2 5 3" xfId="16364"/>
    <cellStyle name="Commentaire 2 6" xfId="1988"/>
    <cellStyle name="Commentaire 2 6 2" xfId="7534"/>
    <cellStyle name="Commentaire 2 6 3" xfId="13073"/>
    <cellStyle name="Commentaire 2 7" xfId="6329"/>
    <cellStyle name="Commentaire 2 8" xfId="11868"/>
    <cellStyle name="Commentaire 3" xfId="52"/>
    <cellStyle name="Commentaire 4" xfId="17842"/>
    <cellStyle name="Entrée" xfId="18" builtinId="20" customBuiltin="1"/>
    <cellStyle name="Entrée 2" xfId="197"/>
    <cellStyle name="Entrée 2 2" xfId="17844"/>
    <cellStyle name="Entrée 2 2 2" xfId="17930"/>
    <cellStyle name="Entrée 2 3" xfId="17874"/>
    <cellStyle name="Entrée 2 4" xfId="17901"/>
    <cellStyle name="Entrée 2 5" xfId="17893"/>
    <cellStyle name="Entrée 2 6" xfId="17909"/>
    <cellStyle name="Euro" xfId="198"/>
    <cellStyle name="Euro 2" xfId="199"/>
    <cellStyle name="Explanatory Text 2" xfId="234"/>
    <cellStyle name="Good 2" xfId="235"/>
    <cellStyle name="Heading" xfId="17809"/>
    <cellStyle name="Heading 1 2" xfId="236"/>
    <cellStyle name="Heading 2 2" xfId="237"/>
    <cellStyle name="Heading 3 2" xfId="238"/>
    <cellStyle name="Heading 3 2 2" xfId="449"/>
    <cellStyle name="Heading 3 2 2 2" xfId="17846"/>
    <cellStyle name="Heading 3 2 2 2 2" xfId="17932"/>
    <cellStyle name="Heading 3 2 2 3" xfId="17870"/>
    <cellStyle name="Heading 3 2 3" xfId="17845"/>
    <cellStyle name="Heading 3 2 3 2" xfId="17931"/>
    <cellStyle name="Heading 3 2 4" xfId="17867"/>
    <cellStyle name="Heading 4 2" xfId="239"/>
    <cellStyle name="Heading1" xfId="17810"/>
    <cellStyle name="Hyperlink 2" xfId="53"/>
    <cellStyle name="Hyperlink 2 10" xfId="54"/>
    <cellStyle name="Hyperlink 2 11" xfId="55"/>
    <cellStyle name="Hyperlink 2 12" xfId="56"/>
    <cellStyle name="Hyperlink 2 13" xfId="240"/>
    <cellStyle name="Hyperlink 2 13 2" xfId="17807"/>
    <cellStyle name="Hyperlink 2 13 3" xfId="17804"/>
    <cellStyle name="Hyperlink 2 13 4" xfId="17713"/>
    <cellStyle name="Hyperlink 2 14" xfId="17714"/>
    <cellStyle name="Hyperlink 2 15" xfId="17715"/>
    <cellStyle name="Hyperlink 2 16" xfId="17716"/>
    <cellStyle name="Hyperlink 2 17" xfId="17717"/>
    <cellStyle name="Hyperlink 2 18" xfId="17718"/>
    <cellStyle name="Hyperlink 2 19" xfId="17719"/>
    <cellStyle name="Hyperlink 2 2" xfId="57"/>
    <cellStyle name="Hyperlink 2 20" xfId="17720"/>
    <cellStyle name="Hyperlink 2 21" xfId="17721"/>
    <cellStyle name="Hyperlink 2 22" xfId="17776"/>
    <cellStyle name="Hyperlink 2 23" xfId="17777"/>
    <cellStyle name="Hyperlink 2 24" xfId="17778"/>
    <cellStyle name="Hyperlink 2 25" xfId="17779"/>
    <cellStyle name="Hyperlink 2 3" xfId="58"/>
    <cellStyle name="Hyperlink 2 4" xfId="59"/>
    <cellStyle name="Hyperlink 2 5" xfId="60"/>
    <cellStyle name="Hyperlink 2 6" xfId="61"/>
    <cellStyle name="Hyperlink 2 7" xfId="62"/>
    <cellStyle name="Hyperlink 2 8" xfId="63"/>
    <cellStyle name="Hyperlink 2 9" xfId="64"/>
    <cellStyle name="Input 2" xfId="241"/>
    <cellStyle name="Input 2 2" xfId="450"/>
    <cellStyle name="Input 2 2 2" xfId="17860"/>
    <cellStyle name="Input 2 2 2 2" xfId="17946"/>
    <cellStyle name="Input 2 2 3" xfId="17880"/>
    <cellStyle name="Input 2 2 4" xfId="17917"/>
    <cellStyle name="Input 2 3" xfId="782"/>
    <cellStyle name="Input 2 3 2" xfId="17849"/>
    <cellStyle name="Input 2 3 2 2" xfId="17935"/>
    <cellStyle name="Input 2 3 3" xfId="17877"/>
    <cellStyle name="Input 2 3 4" xfId="17923"/>
    <cellStyle name="Input 2 4" xfId="17862"/>
    <cellStyle name="Input 2 4 2" xfId="17948"/>
    <cellStyle name="Input 2 5" xfId="17868"/>
    <cellStyle name="Input 2 6" xfId="17913"/>
    <cellStyle name="Insatisfaisant" xfId="16" builtinId="27" customBuiltin="1"/>
    <cellStyle name="Insatisfaisant 2" xfId="200"/>
    <cellStyle name="Komma 2" xfId="17835"/>
    <cellStyle name="Komma 3" xfId="17829"/>
    <cellStyle name="Lien hypertexte" xfId="3" builtinId="8"/>
    <cellStyle name="Lien hypertexte 2" xfId="65"/>
    <cellStyle name="Lien hypertexte 2 10" xfId="66"/>
    <cellStyle name="Lien hypertexte 2 11" xfId="67"/>
    <cellStyle name="Lien hypertexte 2 12" xfId="68"/>
    <cellStyle name="Lien hypertexte 2 13" xfId="17722"/>
    <cellStyle name="Lien hypertexte 2 14" xfId="17723"/>
    <cellStyle name="Lien hypertexte 2 15" xfId="17724"/>
    <cellStyle name="Lien hypertexte 2 16" xfId="17725"/>
    <cellStyle name="Lien hypertexte 2 17" xfId="17726"/>
    <cellStyle name="Lien hypertexte 2 18" xfId="17727"/>
    <cellStyle name="Lien hypertexte 2 19" xfId="17728"/>
    <cellStyle name="Lien hypertexte 2 2" xfId="6"/>
    <cellStyle name="Lien hypertexte 2 20" xfId="17729"/>
    <cellStyle name="Lien hypertexte 2 21" xfId="17730"/>
    <cellStyle name="Lien hypertexte 2 22" xfId="17780"/>
    <cellStyle name="Lien hypertexte 2 23" xfId="17781"/>
    <cellStyle name="Lien hypertexte 2 24" xfId="17782"/>
    <cellStyle name="Lien hypertexte 2 25" xfId="17783"/>
    <cellStyle name="Lien hypertexte 2 3" xfId="69"/>
    <cellStyle name="Lien hypertexte 2 4" xfId="70"/>
    <cellStyle name="Lien hypertexte 2 5" xfId="71"/>
    <cellStyle name="Lien hypertexte 2 6" xfId="72"/>
    <cellStyle name="Lien hypertexte 2 7" xfId="73"/>
    <cellStyle name="Lien hypertexte 2 8" xfId="74"/>
    <cellStyle name="Lien hypertexte 2 9" xfId="75"/>
    <cellStyle name="Lien hypertexte 3" xfId="5"/>
    <cellStyle name="Lien hypertexte 3 2" xfId="17825"/>
    <cellStyle name="Lien hypertexte 4" xfId="4"/>
    <cellStyle name="Lien hypertexte 5" xfId="76"/>
    <cellStyle name="Lien hypertexte 6" xfId="77"/>
    <cellStyle name="Lien hypertexte 6 2" xfId="17827"/>
    <cellStyle name="Linked Cell 2" xfId="242"/>
    <cellStyle name="Milliers 2" xfId="9"/>
    <cellStyle name="Milliers 2 10" xfId="78"/>
    <cellStyle name="Milliers 2 11" xfId="79"/>
    <cellStyle name="Milliers 2 12" xfId="80"/>
    <cellStyle name="Milliers 2 13" xfId="81"/>
    <cellStyle name="Milliers 2 14" xfId="82"/>
    <cellStyle name="Milliers 2 15" xfId="17731"/>
    <cellStyle name="Milliers 2 16" xfId="17732"/>
    <cellStyle name="Milliers 2 16 2" xfId="17834"/>
    <cellStyle name="Milliers 2 17" xfId="17733"/>
    <cellStyle name="Milliers 2 18" xfId="17734"/>
    <cellStyle name="Milliers 2 19" xfId="17735"/>
    <cellStyle name="Milliers 2 2" xfId="83"/>
    <cellStyle name="Milliers 2 2 10" xfId="84"/>
    <cellStyle name="Milliers 2 2 11" xfId="85"/>
    <cellStyle name="Milliers 2 2 12" xfId="86"/>
    <cellStyle name="Milliers 2 2 13" xfId="87"/>
    <cellStyle name="Milliers 2 2 14" xfId="17736"/>
    <cellStyle name="Milliers 2 2 15" xfId="17737"/>
    <cellStyle name="Milliers 2 2 16" xfId="17738"/>
    <cellStyle name="Milliers 2 2 17" xfId="17739"/>
    <cellStyle name="Milliers 2 2 18" xfId="17740"/>
    <cellStyle name="Milliers 2 2 19" xfId="17741"/>
    <cellStyle name="Milliers 2 2 2" xfId="88"/>
    <cellStyle name="Milliers 2 2 20" xfId="17742"/>
    <cellStyle name="Milliers 2 2 21" xfId="17743"/>
    <cellStyle name="Milliers 2 2 22" xfId="17744"/>
    <cellStyle name="Milliers 2 2 23" xfId="17784"/>
    <cellStyle name="Milliers 2 2 24" xfId="17785"/>
    <cellStyle name="Milliers 2 2 25" xfId="17786"/>
    <cellStyle name="Milliers 2 2 26" xfId="17787"/>
    <cellStyle name="Milliers 2 2 3" xfId="89"/>
    <cellStyle name="Milliers 2 2 4" xfId="90"/>
    <cellStyle name="Milliers 2 2 5" xfId="91"/>
    <cellStyle name="Milliers 2 2 6" xfId="92"/>
    <cellStyle name="Milliers 2 2 7" xfId="93"/>
    <cellStyle name="Milliers 2 2 8" xfId="94"/>
    <cellStyle name="Milliers 2 2 9" xfId="95"/>
    <cellStyle name="Milliers 2 20" xfId="17745"/>
    <cellStyle name="Milliers 2 21" xfId="17746"/>
    <cellStyle name="Milliers 2 22" xfId="17747"/>
    <cellStyle name="Milliers 2 23" xfId="17748"/>
    <cellStyle name="Milliers 2 24" xfId="17788"/>
    <cellStyle name="Milliers 2 25" xfId="17789"/>
    <cellStyle name="Milliers 2 26" xfId="17790"/>
    <cellStyle name="Milliers 2 27" xfId="17791"/>
    <cellStyle name="Milliers 2 3" xfId="96"/>
    <cellStyle name="Milliers 2 3 2" xfId="97"/>
    <cellStyle name="Milliers 2 4" xfId="98"/>
    <cellStyle name="Milliers 2 5" xfId="99"/>
    <cellStyle name="Milliers 2 6" xfId="100"/>
    <cellStyle name="Milliers 2 7" xfId="101"/>
    <cellStyle name="Milliers 2 7 2" xfId="17806"/>
    <cellStyle name="Milliers 2 7 3" xfId="17818"/>
    <cellStyle name="Milliers 2 7 4" xfId="17819"/>
    <cellStyle name="Milliers 2 7 5" xfId="17820"/>
    <cellStyle name="Milliers 2 7 6" xfId="17822"/>
    <cellStyle name="Milliers 2 7 7" xfId="17821"/>
    <cellStyle name="Milliers 2 7 8" xfId="17823"/>
    <cellStyle name="Milliers 2 7 9" xfId="17824"/>
    <cellStyle name="Milliers 2 8" xfId="102"/>
    <cellStyle name="Milliers 2 9" xfId="103"/>
    <cellStyle name="Milliers 3" xfId="104"/>
    <cellStyle name="Milliers 3 10" xfId="105"/>
    <cellStyle name="Milliers 3 11" xfId="106"/>
    <cellStyle name="Milliers 3 12" xfId="107"/>
    <cellStyle name="Milliers 3 13" xfId="108"/>
    <cellStyle name="Milliers 3 14" xfId="17749"/>
    <cellStyle name="Milliers 3 15" xfId="17750"/>
    <cellStyle name="Milliers 3 16" xfId="17751"/>
    <cellStyle name="Milliers 3 17" xfId="17752"/>
    <cellStyle name="Milliers 3 18" xfId="17753"/>
    <cellStyle name="Milliers 3 19" xfId="17754"/>
    <cellStyle name="Milliers 3 2" xfId="109"/>
    <cellStyle name="Milliers 3 20" xfId="17755"/>
    <cellStyle name="Milliers 3 21" xfId="17756"/>
    <cellStyle name="Milliers 3 22" xfId="17757"/>
    <cellStyle name="Milliers 3 23" xfId="17792"/>
    <cellStyle name="Milliers 3 24" xfId="17793"/>
    <cellStyle name="Milliers 3 25" xfId="17794"/>
    <cellStyle name="Milliers 3 26" xfId="17795"/>
    <cellStyle name="Milliers 3 3" xfId="110"/>
    <cellStyle name="Milliers 3 4" xfId="111"/>
    <cellStyle name="Milliers 3 5" xfId="112"/>
    <cellStyle name="Milliers 3 6" xfId="113"/>
    <cellStyle name="Milliers 3 7" xfId="114"/>
    <cellStyle name="Milliers 3 8" xfId="115"/>
    <cellStyle name="Milliers 3 9" xfId="116"/>
    <cellStyle name="Milliers 4" xfId="117"/>
    <cellStyle name="Milliers 5" xfId="17838"/>
    <cellStyle name="Monétaire 2" xfId="118"/>
    <cellStyle name="Neutral 2" xfId="243"/>
    <cellStyle name="Neutre" xfId="17" builtinId="28" customBuiltin="1"/>
    <cellStyle name="Neutre 2" xfId="201"/>
    <cellStyle name="Normal" xfId="0" builtinId="0"/>
    <cellStyle name="Normal 10" xfId="244"/>
    <cellStyle name="Normal 10 2" xfId="17808"/>
    <cellStyle name="Normal 10 3" xfId="17832"/>
    <cellStyle name="Normal 11" xfId="419"/>
    <cellStyle name="Normal 11 2" xfId="17831"/>
    <cellStyle name="Normal 12" xfId="273"/>
    <cellStyle name="Normal 12 2" xfId="17815"/>
    <cellStyle name="Normal 13" xfId="421"/>
    <cellStyle name="Normal 13 2" xfId="17816"/>
    <cellStyle name="Normal 14" xfId="440"/>
    <cellStyle name="Normal 14 2" xfId="444"/>
    <cellStyle name="Normal 14 3" xfId="17817"/>
    <cellStyle name="Normal 15" xfId="445"/>
    <cellStyle name="Normal 15 2" xfId="1292"/>
    <cellStyle name="Normal 15 2 2" xfId="3822"/>
    <cellStyle name="Normal 15 2 2 2" xfId="9364"/>
    <cellStyle name="Normal 15 2 2 3" xfId="14903"/>
    <cellStyle name="Normal 15 2 3" xfId="4859"/>
    <cellStyle name="Normal 15 2 3 2" xfId="10398"/>
    <cellStyle name="Normal 15 2 3 3" xfId="15937"/>
    <cellStyle name="Normal 15 2 4" xfId="5794"/>
    <cellStyle name="Normal 15 2 4 2" xfId="11333"/>
    <cellStyle name="Normal 15 2 4 3" xfId="16872"/>
    <cellStyle name="Normal 15 2 5" xfId="2496"/>
    <cellStyle name="Normal 15 2 5 2" xfId="8042"/>
    <cellStyle name="Normal 15 2 5 3" xfId="13581"/>
    <cellStyle name="Normal 15 2 6" xfId="6837"/>
    <cellStyle name="Normal 15 2 7" xfId="12376"/>
    <cellStyle name="Normal 15 3" xfId="3057"/>
    <cellStyle name="Normal 15 3 2" xfId="8600"/>
    <cellStyle name="Normal 15 3 3" xfId="14139"/>
    <cellStyle name="Normal 15 4" xfId="4100"/>
    <cellStyle name="Normal 15 4 2" xfId="9641"/>
    <cellStyle name="Normal 15 4 3" xfId="15180"/>
    <cellStyle name="Normal 15 5" xfId="5109"/>
    <cellStyle name="Normal 15 5 2" xfId="10648"/>
    <cellStyle name="Normal 15 5 3" xfId="16187"/>
    <cellStyle name="Normal 15 6" xfId="1811"/>
    <cellStyle name="Normal 15 6 2" xfId="7357"/>
    <cellStyle name="Normal 15 6 3" xfId="12896"/>
    <cellStyle name="Normal 15 7" xfId="6152"/>
    <cellStyle name="Normal 15 8" xfId="11691"/>
    <cellStyle name="Normal 16" xfId="433"/>
    <cellStyle name="Normal 17" xfId="438"/>
    <cellStyle name="Normal 18" xfId="17377"/>
    <cellStyle name="Normal 19" xfId="17380"/>
    <cellStyle name="Normal 2" xfId="1"/>
    <cellStyle name="Normal 2 2" xfId="119"/>
    <cellStyle name="Normal 2 2 10" xfId="120"/>
    <cellStyle name="Normal 2 2 11" xfId="121"/>
    <cellStyle name="Normal 2 2 12" xfId="122"/>
    <cellStyle name="Normal 2 2 13" xfId="17758"/>
    <cellStyle name="Normal 2 2 14" xfId="17759"/>
    <cellStyle name="Normal 2 2 15" xfId="17760"/>
    <cellStyle name="Normal 2 2 16" xfId="17761"/>
    <cellStyle name="Normal 2 2 17" xfId="17762"/>
    <cellStyle name="Normal 2 2 18" xfId="17763"/>
    <cellStyle name="Normal 2 2 19" xfId="17764"/>
    <cellStyle name="Normal 2 2 2" xfId="2"/>
    <cellStyle name="Normal 2 2 2 2" xfId="123"/>
    <cellStyle name="Normal 2 2 20" xfId="17765"/>
    <cellStyle name="Normal 2 2 21" xfId="17766"/>
    <cellStyle name="Normal 2 2 22" xfId="17796"/>
    <cellStyle name="Normal 2 2 23" xfId="17797"/>
    <cellStyle name="Normal 2 2 24" xfId="17798"/>
    <cellStyle name="Normal 2 2 25" xfId="17799"/>
    <cellStyle name="Normal 2 2 3" xfId="124"/>
    <cellStyle name="Normal 2 2 4" xfId="125"/>
    <cellStyle name="Normal 2 2 5" xfId="126"/>
    <cellStyle name="Normal 2 2 6" xfId="127"/>
    <cellStyle name="Normal 2 2 7" xfId="128"/>
    <cellStyle name="Normal 2 2 8" xfId="129"/>
    <cellStyle name="Normal 2 2 9" xfId="130"/>
    <cellStyle name="Normal 2 3" xfId="131"/>
    <cellStyle name="Normal 2 3 2" xfId="132"/>
    <cellStyle name="Normal 2 4" xfId="133"/>
    <cellStyle name="Normal 2 4 2" xfId="17826"/>
    <cellStyle name="Normal 2 5" xfId="134"/>
    <cellStyle name="Normal 2 6" xfId="245"/>
    <cellStyle name="Normal 2 6 2" xfId="1295"/>
    <cellStyle name="Normal 2 6 2 2" xfId="3825"/>
    <cellStyle name="Normal 2 6 2 2 2" xfId="9367"/>
    <cellStyle name="Normal 2 6 2 2 3" xfId="14906"/>
    <cellStyle name="Normal 2 6 2 3" xfId="4862"/>
    <cellStyle name="Normal 2 6 2 3 2" xfId="10401"/>
    <cellStyle name="Normal 2 6 2 3 3" xfId="15940"/>
    <cellStyle name="Normal 2 6 2 4" xfId="5797"/>
    <cellStyle name="Normal 2 6 2 4 2" xfId="11336"/>
    <cellStyle name="Normal 2 6 2 4 3" xfId="16875"/>
    <cellStyle name="Normal 2 6 2 5" xfId="2499"/>
    <cellStyle name="Normal 2 6 2 5 2" xfId="8045"/>
    <cellStyle name="Normal 2 6 2 5 3" xfId="13584"/>
    <cellStyle name="Normal 2 6 2 6" xfId="6840"/>
    <cellStyle name="Normal 2 6 2 7" xfId="12379"/>
    <cellStyle name="Normal 2 6 3" xfId="3099"/>
    <cellStyle name="Normal 2 6 3 2" xfId="8642"/>
    <cellStyle name="Normal 2 6 3 3" xfId="14181"/>
    <cellStyle name="Normal 2 6 4" xfId="4142"/>
    <cellStyle name="Normal 2 6 4 2" xfId="9683"/>
    <cellStyle name="Normal 2 6 4 3" xfId="15222"/>
    <cellStyle name="Normal 2 6 5" xfId="5112"/>
    <cellStyle name="Normal 2 6 5 2" xfId="10651"/>
    <cellStyle name="Normal 2 6 5 3" xfId="16190"/>
    <cellStyle name="Normal 2 6 6" xfId="1814"/>
    <cellStyle name="Normal 2 6 6 2" xfId="7360"/>
    <cellStyle name="Normal 2 6 6 3" xfId="12899"/>
    <cellStyle name="Normal 2 6 7" xfId="6155"/>
    <cellStyle name="Normal 2 6 8" xfId="11694"/>
    <cellStyle name="Normal 2 6 9" xfId="17836"/>
    <cellStyle name="Normal 20" xfId="4168"/>
    <cellStyle name="Normal 3" xfId="8"/>
    <cellStyle name="Normal 3 10" xfId="135"/>
    <cellStyle name="Normal 3 11" xfId="136"/>
    <cellStyle name="Normal 3 12" xfId="137"/>
    <cellStyle name="Normal 3 13" xfId="138"/>
    <cellStyle name="Normal 3 14" xfId="17767"/>
    <cellStyle name="Normal 3 15" xfId="17768"/>
    <cellStyle name="Normal 3 16" xfId="17769"/>
    <cellStyle name="Normal 3 17" xfId="17770"/>
    <cellStyle name="Normal 3 18" xfId="17771"/>
    <cellStyle name="Normal 3 19" xfId="17772"/>
    <cellStyle name="Normal 3 2" xfId="139"/>
    <cellStyle name="Normal 3 2 2" xfId="140"/>
    <cellStyle name="Normal 3 2 3" xfId="423"/>
    <cellStyle name="Normal 3 2 4" xfId="431"/>
    <cellStyle name="Normal 3 2 5" xfId="437"/>
    <cellStyle name="Normal 3 2 6" xfId="429"/>
    <cellStyle name="Normal 3 2 7" xfId="428"/>
    <cellStyle name="Normal 3 2 8" xfId="442"/>
    <cellStyle name="Normal 3 2 8 2" xfId="451"/>
    <cellStyle name="Normal 3 2 8 2 2" xfId="3826"/>
    <cellStyle name="Normal 3 2 8 2 2 2" xfId="9368"/>
    <cellStyle name="Normal 3 2 8 2 2 3" xfId="14907"/>
    <cellStyle name="Normal 3 2 8 2 3" xfId="4863"/>
    <cellStyle name="Normal 3 2 8 2 3 2" xfId="10402"/>
    <cellStyle name="Normal 3 2 8 2 3 3" xfId="15941"/>
    <cellStyle name="Normal 3 2 8 2 4" xfId="5798"/>
    <cellStyle name="Normal 3 2 8 2 4 2" xfId="11337"/>
    <cellStyle name="Normal 3 2 8 2 4 3" xfId="16876"/>
    <cellStyle name="Normal 3 2 8 2 5" xfId="2500"/>
    <cellStyle name="Normal 3 2 8 2 5 2" xfId="8046"/>
    <cellStyle name="Normal 3 2 8 2 5 3" xfId="13585"/>
    <cellStyle name="Normal 3 2 8 2 6" xfId="6841"/>
    <cellStyle name="Normal 3 2 8 2 7" xfId="12380"/>
    <cellStyle name="Normal 3 2 8 3" xfId="3100"/>
    <cellStyle name="Normal 3 2 8 3 2" xfId="8643"/>
    <cellStyle name="Normal 3 2 8 3 3" xfId="14182"/>
    <cellStyle name="Normal 3 2 8 4" xfId="4143"/>
    <cellStyle name="Normal 3 2 8 4 2" xfId="9684"/>
    <cellStyle name="Normal 3 2 8 4 3" xfId="15223"/>
    <cellStyle name="Normal 3 2 8 5" xfId="5113"/>
    <cellStyle name="Normal 3 2 8 5 2" xfId="10652"/>
    <cellStyle name="Normal 3 2 8 5 3" xfId="16191"/>
    <cellStyle name="Normal 3 2 8 6" xfId="1815"/>
    <cellStyle name="Normal 3 2 8 6 2" xfId="7361"/>
    <cellStyle name="Normal 3 2 8 6 3" xfId="12900"/>
    <cellStyle name="Normal 3 2 8 7" xfId="6156"/>
    <cellStyle name="Normal 3 2 8 8" xfId="11695"/>
    <cellStyle name="Normal 3 2 9" xfId="246"/>
    <cellStyle name="Normal 3 20" xfId="17773"/>
    <cellStyle name="Normal 3 21" xfId="17774"/>
    <cellStyle name="Normal 3 22" xfId="17775"/>
    <cellStyle name="Normal 3 23" xfId="17800"/>
    <cellStyle name="Normal 3 24" xfId="17801"/>
    <cellStyle name="Normal 3 25" xfId="17802"/>
    <cellStyle name="Normal 3 26" xfId="17803"/>
    <cellStyle name="Normal 3 3" xfId="141"/>
    <cellStyle name="Normal 3 4" xfId="142"/>
    <cellStyle name="Normal 3 5" xfId="143"/>
    <cellStyle name="Normal 3 6" xfId="144"/>
    <cellStyle name="Normal 3 7" xfId="145"/>
    <cellStyle name="Normal 3 8" xfId="146"/>
    <cellStyle name="Normal 3 9" xfId="147"/>
    <cellStyle name="Normal 4" xfId="148"/>
    <cellStyle name="Normal 4 2" xfId="149"/>
    <cellStyle name="Normal 4 2 2" xfId="1467"/>
    <cellStyle name="Normal 4 2 2 2" xfId="3999"/>
    <cellStyle name="Normal 4 2 2 2 2" xfId="9541"/>
    <cellStyle name="Normal 4 2 2 2 3" xfId="15080"/>
    <cellStyle name="Normal 4 2 2 3" xfId="5036"/>
    <cellStyle name="Normal 4 2 2 3 2" xfId="10575"/>
    <cellStyle name="Normal 4 2 2 3 3" xfId="16114"/>
    <cellStyle name="Normal 4 2 2 4" xfId="5970"/>
    <cellStyle name="Normal 4 2 2 4 2" xfId="11509"/>
    <cellStyle name="Normal 4 2 2 4 3" xfId="17048"/>
    <cellStyle name="Normal 4 2 2 5" xfId="2672"/>
    <cellStyle name="Normal 4 2 2 5 2" xfId="8218"/>
    <cellStyle name="Normal 4 2 2 5 3" xfId="13757"/>
    <cellStyle name="Normal 4 2 2 6" xfId="7013"/>
    <cellStyle name="Normal 4 2 2 7" xfId="12552"/>
    <cellStyle name="Normal 4 2 3" xfId="3299"/>
    <cellStyle name="Normal 4 2 3 2" xfId="8841"/>
    <cellStyle name="Normal 4 2 3 3" xfId="14380"/>
    <cellStyle name="Normal 4 2 4" xfId="4338"/>
    <cellStyle name="Normal 4 2 4 2" xfId="9877"/>
    <cellStyle name="Normal 4 2 4 3" xfId="15416"/>
    <cellStyle name="Normal 4 2 5" xfId="5285"/>
    <cellStyle name="Normal 4 2 5 2" xfId="10824"/>
    <cellStyle name="Normal 4 2 5 3" xfId="16363"/>
    <cellStyle name="Normal 4 2 6" xfId="1987"/>
    <cellStyle name="Normal 4 2 6 2" xfId="7533"/>
    <cellStyle name="Normal 4 2 6 3" xfId="13072"/>
    <cellStyle name="Normal 4 2 7" xfId="6328"/>
    <cellStyle name="Normal 4 2 8" xfId="11867"/>
    <cellStyle name="Normal 4 2 9" xfId="434"/>
    <cellStyle name="Normal 4 3" xfId="150"/>
    <cellStyle name="Normal 5" xfId="151"/>
    <cellStyle name="Normal 5 10" xfId="272"/>
    <cellStyle name="Normal 5 10 10" xfId="1652"/>
    <cellStyle name="Normal 5 10 10 2" xfId="7198"/>
    <cellStyle name="Normal 5 10 10 3" xfId="12737"/>
    <cellStyle name="Normal 5 10 11" xfId="5993"/>
    <cellStyle name="Normal 5 10 11 2" xfId="17071"/>
    <cellStyle name="Normal 5 10 12" xfId="637"/>
    <cellStyle name="Normal 5 10 12 2" xfId="17233"/>
    <cellStyle name="Normal 5 10 13" xfId="11532"/>
    <cellStyle name="Normal 5 10 14" xfId="17400"/>
    <cellStyle name="Normal 5 10 15" xfId="17565"/>
    <cellStyle name="Normal 5 10 17" xfId="17711"/>
    <cellStyle name="Normal 5 10 2" xfId="274"/>
    <cellStyle name="Normal 5 10 2 10" xfId="11677"/>
    <cellStyle name="Normal 5 10 2 2" xfId="473"/>
    <cellStyle name="Normal 5 10 2 2 2" xfId="1314"/>
    <cellStyle name="Normal 5 10 2 2 2 2" xfId="3846"/>
    <cellStyle name="Normal 5 10 2 2 2 2 2" xfId="9388"/>
    <cellStyle name="Normal 5 10 2 2 2 2 3" xfId="14927"/>
    <cellStyle name="Normal 5 10 2 2 2 3" xfId="4883"/>
    <cellStyle name="Normal 5 10 2 2 2 3 2" xfId="10422"/>
    <cellStyle name="Normal 5 10 2 2 2 3 3" xfId="15961"/>
    <cellStyle name="Normal 5 10 2 2 2 4" xfId="5817"/>
    <cellStyle name="Normal 5 10 2 2 2 4 2" xfId="11356"/>
    <cellStyle name="Normal 5 10 2 2 2 4 3" xfId="16895"/>
    <cellStyle name="Normal 5 10 2 2 2 5" xfId="2519"/>
    <cellStyle name="Normal 5 10 2 2 2 5 2" xfId="8065"/>
    <cellStyle name="Normal 5 10 2 2 2 5 3" xfId="13604"/>
    <cellStyle name="Normal 5 10 2 2 2 6" xfId="6860"/>
    <cellStyle name="Normal 5 10 2 2 2 7" xfId="12399"/>
    <cellStyle name="Normal 5 10 2 2 3" xfId="3132"/>
    <cellStyle name="Normal 5 10 2 2 3 2" xfId="8674"/>
    <cellStyle name="Normal 5 10 2 2 3 3" xfId="14213"/>
    <cellStyle name="Normal 5 10 2 2 4" xfId="4171"/>
    <cellStyle name="Normal 5 10 2 2 4 2" xfId="9710"/>
    <cellStyle name="Normal 5 10 2 2 4 3" xfId="15249"/>
    <cellStyle name="Normal 5 10 2 2 5" xfId="5132"/>
    <cellStyle name="Normal 5 10 2 2 5 2" xfId="10671"/>
    <cellStyle name="Normal 5 10 2 2 5 3" xfId="16210"/>
    <cellStyle name="Normal 5 10 2 2 6" xfId="1834"/>
    <cellStyle name="Normal 5 10 2 2 6 2" xfId="7380"/>
    <cellStyle name="Normal 5 10 2 2 6 3" xfId="12919"/>
    <cellStyle name="Normal 5 10 2 2 7" xfId="6175"/>
    <cellStyle name="Normal 5 10 2 2 8" xfId="11714"/>
    <cellStyle name="Normal 5 10 2 3" xfId="1290"/>
    <cellStyle name="Normal 5 10 2 3 2" xfId="3820"/>
    <cellStyle name="Normal 5 10 2 3 2 2" xfId="9362"/>
    <cellStyle name="Normal 5 10 2 3 2 3" xfId="14901"/>
    <cellStyle name="Normal 5 10 2 3 3" xfId="4857"/>
    <cellStyle name="Normal 5 10 2 3 3 2" xfId="10396"/>
    <cellStyle name="Normal 5 10 2 3 3 3" xfId="15935"/>
    <cellStyle name="Normal 5 10 2 3 4" xfId="5792"/>
    <cellStyle name="Normal 5 10 2 3 4 2" xfId="11331"/>
    <cellStyle name="Normal 5 10 2 3 4 3" xfId="16870"/>
    <cellStyle name="Normal 5 10 2 3 5" xfId="2494"/>
    <cellStyle name="Normal 5 10 2 3 5 2" xfId="8040"/>
    <cellStyle name="Normal 5 10 2 3 5 3" xfId="13579"/>
    <cellStyle name="Normal 5 10 2 3 6" xfId="6835"/>
    <cellStyle name="Normal 5 10 2 3 7" xfId="12374"/>
    <cellStyle name="Normal 5 10 2 4" xfId="1113"/>
    <cellStyle name="Normal 5 10 2 4 2" xfId="3643"/>
    <cellStyle name="Normal 5 10 2 4 2 2" xfId="9185"/>
    <cellStyle name="Normal 5 10 2 4 2 3" xfId="14724"/>
    <cellStyle name="Normal 5 10 2 4 3" xfId="4680"/>
    <cellStyle name="Normal 5 10 2 4 3 2" xfId="10219"/>
    <cellStyle name="Normal 5 10 2 4 3 3" xfId="15758"/>
    <cellStyle name="Normal 5 10 2 4 4" xfId="5615"/>
    <cellStyle name="Normal 5 10 2 4 4 2" xfId="11154"/>
    <cellStyle name="Normal 5 10 2 4 4 3" xfId="16693"/>
    <cellStyle name="Normal 5 10 2 4 5" xfId="2317"/>
    <cellStyle name="Normal 5 10 2 4 5 2" xfId="7863"/>
    <cellStyle name="Normal 5 10 2 4 5 3" xfId="13402"/>
    <cellStyle name="Normal 5 10 2 4 6" xfId="6658"/>
    <cellStyle name="Normal 5 10 2 4 7" xfId="12197"/>
    <cellStyle name="Normal 5 10 2 5" xfId="3015"/>
    <cellStyle name="Normal 5 10 2 5 2" xfId="8559"/>
    <cellStyle name="Normal 5 10 2 5 3" xfId="14098"/>
    <cellStyle name="Normal 5 10 2 6" xfId="4060"/>
    <cellStyle name="Normal 5 10 2 6 2" xfId="9602"/>
    <cellStyle name="Normal 5 10 2 6 3" xfId="15141"/>
    <cellStyle name="Normal 5 10 2 7" xfId="5095"/>
    <cellStyle name="Normal 5 10 2 7 2" xfId="10634"/>
    <cellStyle name="Normal 5 10 2 7 3" xfId="16173"/>
    <cellStyle name="Normal 5 10 2 8" xfId="1797"/>
    <cellStyle name="Normal 5 10 2 8 2" xfId="7343"/>
    <cellStyle name="Normal 5 10 2 8 3" xfId="12882"/>
    <cellStyle name="Normal 5 10 2 9" xfId="6150"/>
    <cellStyle name="Normal 5 10 3" xfId="472"/>
    <cellStyle name="Normal 5 10 3 2" xfId="1313"/>
    <cellStyle name="Normal 5 10 3 2 2" xfId="3845"/>
    <cellStyle name="Normal 5 10 3 2 2 2" xfId="9387"/>
    <cellStyle name="Normal 5 10 3 2 2 3" xfId="14926"/>
    <cellStyle name="Normal 5 10 3 2 3" xfId="4882"/>
    <cellStyle name="Normal 5 10 3 2 3 2" xfId="10421"/>
    <cellStyle name="Normal 5 10 3 2 3 3" xfId="15960"/>
    <cellStyle name="Normal 5 10 3 2 4" xfId="5816"/>
    <cellStyle name="Normal 5 10 3 2 4 2" xfId="11355"/>
    <cellStyle name="Normal 5 10 3 2 4 3" xfId="16894"/>
    <cellStyle name="Normal 5 10 3 2 5" xfId="2518"/>
    <cellStyle name="Normal 5 10 3 2 5 2" xfId="8064"/>
    <cellStyle name="Normal 5 10 3 2 5 3" xfId="13603"/>
    <cellStyle name="Normal 5 10 3 2 6" xfId="6859"/>
    <cellStyle name="Normal 5 10 3 2 7" xfId="12398"/>
    <cellStyle name="Normal 5 10 3 3" xfId="968"/>
    <cellStyle name="Normal 5 10 3 3 2" xfId="3498"/>
    <cellStyle name="Normal 5 10 3 3 2 2" xfId="9040"/>
    <cellStyle name="Normal 5 10 3 3 2 3" xfId="14579"/>
    <cellStyle name="Normal 5 10 3 3 3" xfId="4535"/>
    <cellStyle name="Normal 5 10 3 3 3 2" xfId="10074"/>
    <cellStyle name="Normal 5 10 3 3 3 3" xfId="15613"/>
    <cellStyle name="Normal 5 10 3 3 4" xfId="5470"/>
    <cellStyle name="Normal 5 10 3 3 4 2" xfId="11009"/>
    <cellStyle name="Normal 5 10 3 3 4 3" xfId="16548"/>
    <cellStyle name="Normal 5 10 3 3 5" xfId="2172"/>
    <cellStyle name="Normal 5 10 3 3 5 2" xfId="7718"/>
    <cellStyle name="Normal 5 10 3 3 5 3" xfId="13257"/>
    <cellStyle name="Normal 5 10 3 3 6" xfId="6513"/>
    <cellStyle name="Normal 5 10 3 3 7" xfId="12052"/>
    <cellStyle name="Normal 5 10 3 4" xfId="3131"/>
    <cellStyle name="Normal 5 10 3 4 2" xfId="8673"/>
    <cellStyle name="Normal 5 10 3 4 3" xfId="14212"/>
    <cellStyle name="Normal 5 10 3 5" xfId="4170"/>
    <cellStyle name="Normal 5 10 3 5 2" xfId="9709"/>
    <cellStyle name="Normal 5 10 3 5 3" xfId="15248"/>
    <cellStyle name="Normal 5 10 3 6" xfId="5131"/>
    <cellStyle name="Normal 5 10 3 6 2" xfId="10670"/>
    <cellStyle name="Normal 5 10 3 6 3" xfId="16209"/>
    <cellStyle name="Normal 5 10 3 7" xfId="1833"/>
    <cellStyle name="Normal 5 10 3 7 2" xfId="7379"/>
    <cellStyle name="Normal 5 10 3 7 3" xfId="12918"/>
    <cellStyle name="Normal 5 10 3 8" xfId="6174"/>
    <cellStyle name="Normal 5 10 3 9" xfId="11713"/>
    <cellStyle name="Normal 5 10 4" xfId="1145"/>
    <cellStyle name="Normal 5 10 4 2" xfId="3675"/>
    <cellStyle name="Normal 5 10 4 2 2" xfId="9217"/>
    <cellStyle name="Normal 5 10 4 2 3" xfId="14756"/>
    <cellStyle name="Normal 5 10 4 3" xfId="4712"/>
    <cellStyle name="Normal 5 10 4 3 2" xfId="10251"/>
    <cellStyle name="Normal 5 10 4 3 3" xfId="15790"/>
    <cellStyle name="Normal 5 10 4 4" xfId="5647"/>
    <cellStyle name="Normal 5 10 4 4 2" xfId="11186"/>
    <cellStyle name="Normal 5 10 4 4 3" xfId="16725"/>
    <cellStyle name="Normal 5 10 4 5" xfId="2349"/>
    <cellStyle name="Normal 5 10 4 5 2" xfId="7895"/>
    <cellStyle name="Normal 5 10 4 5 3" xfId="13434"/>
    <cellStyle name="Normal 5 10 4 6" xfId="6690"/>
    <cellStyle name="Normal 5 10 4 7" xfId="12229"/>
    <cellStyle name="Normal 5 10 5" xfId="789"/>
    <cellStyle name="Normal 5 10 5 2" xfId="3319"/>
    <cellStyle name="Normal 5 10 5 2 2" xfId="8861"/>
    <cellStyle name="Normal 5 10 5 2 3" xfId="14400"/>
    <cellStyle name="Normal 5 10 5 3" xfId="4356"/>
    <cellStyle name="Normal 5 10 5 3 2" xfId="9895"/>
    <cellStyle name="Normal 5 10 5 3 3" xfId="15434"/>
    <cellStyle name="Normal 5 10 5 4" xfId="5291"/>
    <cellStyle name="Normal 5 10 5 4 2" xfId="10830"/>
    <cellStyle name="Normal 5 10 5 4 3" xfId="16369"/>
    <cellStyle name="Normal 5 10 5 5" xfId="1993"/>
    <cellStyle name="Normal 5 10 5 5 2" xfId="7539"/>
    <cellStyle name="Normal 5 10 5 5 3" xfId="13078"/>
    <cellStyle name="Normal 5 10 5 6" xfId="6334"/>
    <cellStyle name="Normal 5 10 5 7" xfId="11873"/>
    <cellStyle name="Normal 5 10 6" xfId="1490"/>
    <cellStyle name="Normal 5 10 6 2" xfId="2695"/>
    <cellStyle name="Normal 5 10 6 2 2" xfId="8241"/>
    <cellStyle name="Normal 5 10 6 2 3" xfId="13780"/>
    <cellStyle name="Normal 5 10 6 3" xfId="7036"/>
    <cellStyle name="Normal 5 10 6 4" xfId="12575"/>
    <cellStyle name="Normal 5 10 7" xfId="2868"/>
    <cellStyle name="Normal 5 10 7 2" xfId="8412"/>
    <cellStyle name="Normal 5 10 7 3" xfId="13951"/>
    <cellStyle name="Normal 5 10 8" xfId="2843"/>
    <cellStyle name="Normal 5 10 8 2" xfId="8389"/>
    <cellStyle name="Normal 5 10 8 3" xfId="13928"/>
    <cellStyle name="Normal 5 10 9" xfId="3128"/>
    <cellStyle name="Normal 5 10 9 2" xfId="8670"/>
    <cellStyle name="Normal 5 10 9 3" xfId="14209"/>
    <cellStyle name="Normal 5 11" xfId="424"/>
    <cellStyle name="Normal 5 11 2" xfId="1461"/>
    <cellStyle name="Normal 5 11 2 2" xfId="3993"/>
    <cellStyle name="Normal 5 11 2 2 2" xfId="9535"/>
    <cellStyle name="Normal 5 11 2 2 3" xfId="15074"/>
    <cellStyle name="Normal 5 11 2 3" xfId="5030"/>
    <cellStyle name="Normal 5 11 2 3 2" xfId="10569"/>
    <cellStyle name="Normal 5 11 2 3 3" xfId="16108"/>
    <cellStyle name="Normal 5 11 2 4" xfId="5964"/>
    <cellStyle name="Normal 5 11 2 4 2" xfId="11503"/>
    <cellStyle name="Normal 5 11 2 4 3" xfId="17042"/>
    <cellStyle name="Normal 5 11 2 5" xfId="2666"/>
    <cellStyle name="Normal 5 11 2 5 2" xfId="8212"/>
    <cellStyle name="Normal 5 11 2 5 3" xfId="13751"/>
    <cellStyle name="Normal 5 11 2 6" xfId="7007"/>
    <cellStyle name="Normal 5 11 2 7" xfId="12546"/>
    <cellStyle name="Normal 5 11 3" xfId="950"/>
    <cellStyle name="Normal 5 11 3 2" xfId="3480"/>
    <cellStyle name="Normal 5 11 3 2 2" xfId="9022"/>
    <cellStyle name="Normal 5 11 3 2 3" xfId="14561"/>
    <cellStyle name="Normal 5 11 3 3" xfId="4517"/>
    <cellStyle name="Normal 5 11 3 3 2" xfId="10056"/>
    <cellStyle name="Normal 5 11 3 3 3" xfId="15595"/>
    <cellStyle name="Normal 5 11 3 4" xfId="5452"/>
    <cellStyle name="Normal 5 11 3 4 2" xfId="10991"/>
    <cellStyle name="Normal 5 11 3 4 3" xfId="16530"/>
    <cellStyle name="Normal 5 11 3 5" xfId="2154"/>
    <cellStyle name="Normal 5 11 3 5 2" xfId="7700"/>
    <cellStyle name="Normal 5 11 3 5 3" xfId="13239"/>
    <cellStyle name="Normal 5 11 3 6" xfId="6495"/>
    <cellStyle name="Normal 5 11 3 7" xfId="12034"/>
    <cellStyle name="Normal 5 11 4" xfId="3282"/>
    <cellStyle name="Normal 5 11 4 2" xfId="8824"/>
    <cellStyle name="Normal 5 11 4 3" xfId="14363"/>
    <cellStyle name="Normal 5 11 5" xfId="4321"/>
    <cellStyle name="Normal 5 11 5 2" xfId="9860"/>
    <cellStyle name="Normal 5 11 5 3" xfId="15399"/>
    <cellStyle name="Normal 5 11 6" xfId="5279"/>
    <cellStyle name="Normal 5 11 6 2" xfId="10818"/>
    <cellStyle name="Normal 5 11 6 3" xfId="16357"/>
    <cellStyle name="Normal 5 11 7" xfId="1981"/>
    <cellStyle name="Normal 5 11 7 2" xfId="7527"/>
    <cellStyle name="Normal 5 11 7 3" xfId="13066"/>
    <cellStyle name="Normal 5 11 8" xfId="6322"/>
    <cellStyle name="Normal 5 11 9" xfId="11861"/>
    <cellStyle name="Normal 5 12" xfId="426"/>
    <cellStyle name="Normal 5 12 2" xfId="1463"/>
    <cellStyle name="Normal 5 12 2 2" xfId="3995"/>
    <cellStyle name="Normal 5 12 2 2 2" xfId="9537"/>
    <cellStyle name="Normal 5 12 2 2 3" xfId="15076"/>
    <cellStyle name="Normal 5 12 2 3" xfId="5032"/>
    <cellStyle name="Normal 5 12 2 3 2" xfId="10571"/>
    <cellStyle name="Normal 5 12 2 3 3" xfId="16110"/>
    <cellStyle name="Normal 5 12 2 4" xfId="5966"/>
    <cellStyle name="Normal 5 12 2 4 2" xfId="11505"/>
    <cellStyle name="Normal 5 12 2 4 3" xfId="17044"/>
    <cellStyle name="Normal 5 12 2 5" xfId="2668"/>
    <cellStyle name="Normal 5 12 2 5 2" xfId="8214"/>
    <cellStyle name="Normal 5 12 2 5 3" xfId="13753"/>
    <cellStyle name="Normal 5 12 2 6" xfId="7009"/>
    <cellStyle name="Normal 5 12 2 7" xfId="12548"/>
    <cellStyle name="Normal 5 12 3" xfId="3284"/>
    <cellStyle name="Normal 5 12 3 2" xfId="8826"/>
    <cellStyle name="Normal 5 12 3 3" xfId="14365"/>
    <cellStyle name="Normal 5 12 4" xfId="4323"/>
    <cellStyle name="Normal 5 12 4 2" xfId="9862"/>
    <cellStyle name="Normal 5 12 4 3" xfId="15401"/>
    <cellStyle name="Normal 5 12 5" xfId="5281"/>
    <cellStyle name="Normal 5 12 5 2" xfId="10820"/>
    <cellStyle name="Normal 5 12 5 3" xfId="16359"/>
    <cellStyle name="Normal 5 12 6" xfId="1983"/>
    <cellStyle name="Normal 5 12 6 2" xfId="7529"/>
    <cellStyle name="Normal 5 12 6 3" xfId="13068"/>
    <cellStyle name="Normal 5 12 7" xfId="6324"/>
    <cellStyle name="Normal 5 12 8" xfId="11863"/>
    <cellStyle name="Normal 5 13" xfId="420"/>
    <cellStyle name="Normal 5 13 10" xfId="17709"/>
    <cellStyle name="Normal 5 13 2" xfId="1459"/>
    <cellStyle name="Normal 5 13 2 2" xfId="3991"/>
    <cellStyle name="Normal 5 13 2 2 2" xfId="9533"/>
    <cellStyle name="Normal 5 13 2 2 3" xfId="15072"/>
    <cellStyle name="Normal 5 13 2 3" xfId="5028"/>
    <cellStyle name="Normal 5 13 2 3 2" xfId="10567"/>
    <cellStyle name="Normal 5 13 2 3 3" xfId="16106"/>
    <cellStyle name="Normal 5 13 2 4" xfId="5962"/>
    <cellStyle name="Normal 5 13 2 4 2" xfId="11501"/>
    <cellStyle name="Normal 5 13 2 4 3" xfId="17040"/>
    <cellStyle name="Normal 5 13 2 5" xfId="2664"/>
    <cellStyle name="Normal 5 13 2 5 2" xfId="8210"/>
    <cellStyle name="Normal 5 13 2 5 3" xfId="13749"/>
    <cellStyle name="Normal 5 13 2 6" xfId="7005"/>
    <cellStyle name="Normal 5 13 2 7" xfId="12544"/>
    <cellStyle name="Normal 5 13 3" xfId="3278"/>
    <cellStyle name="Normal 5 13 3 2" xfId="8820"/>
    <cellStyle name="Normal 5 13 3 3" xfId="14359"/>
    <cellStyle name="Normal 5 13 4" xfId="4317"/>
    <cellStyle name="Normal 5 13 4 2" xfId="9856"/>
    <cellStyle name="Normal 5 13 4 3" xfId="15395"/>
    <cellStyle name="Normal 5 13 5" xfId="5277"/>
    <cellStyle name="Normal 5 13 5 2" xfId="10816"/>
    <cellStyle name="Normal 5 13 5 3" xfId="16355"/>
    <cellStyle name="Normal 5 13 6" xfId="1979"/>
    <cellStyle name="Normal 5 13 6 2" xfId="7525"/>
    <cellStyle name="Normal 5 13 6 3" xfId="13064"/>
    <cellStyle name="Normal 5 13 7" xfId="6320"/>
    <cellStyle name="Normal 5 13 8" xfId="11859"/>
    <cellStyle name="Normal 5 13 9" xfId="17545"/>
    <cellStyle name="Normal 5 14" xfId="439"/>
    <cellStyle name="Normal 5 14 2" xfId="1471"/>
    <cellStyle name="Normal 5 14 2 2" xfId="4003"/>
    <cellStyle name="Normal 5 14 2 2 2" xfId="9545"/>
    <cellStyle name="Normal 5 14 2 2 3" xfId="15084"/>
    <cellStyle name="Normal 5 14 2 3" xfId="5040"/>
    <cellStyle name="Normal 5 14 2 3 2" xfId="10579"/>
    <cellStyle name="Normal 5 14 2 3 3" xfId="16118"/>
    <cellStyle name="Normal 5 14 2 4" xfId="5974"/>
    <cellStyle name="Normal 5 14 2 4 2" xfId="11513"/>
    <cellStyle name="Normal 5 14 2 4 3" xfId="17052"/>
    <cellStyle name="Normal 5 14 2 5" xfId="2676"/>
    <cellStyle name="Normal 5 14 2 5 2" xfId="8222"/>
    <cellStyle name="Normal 5 14 2 5 3" xfId="13761"/>
    <cellStyle name="Normal 5 14 2 6" xfId="7017"/>
    <cellStyle name="Normal 5 14 2 7" xfId="12556"/>
    <cellStyle name="Normal 5 14 3" xfId="3313"/>
    <cellStyle name="Normal 5 14 3 2" xfId="8855"/>
    <cellStyle name="Normal 5 14 3 3" xfId="14394"/>
    <cellStyle name="Normal 5 14 4" xfId="4350"/>
    <cellStyle name="Normal 5 14 4 2" xfId="9889"/>
    <cellStyle name="Normal 5 14 4 3" xfId="15428"/>
    <cellStyle name="Normal 5 14 5" xfId="5289"/>
    <cellStyle name="Normal 5 14 5 2" xfId="10828"/>
    <cellStyle name="Normal 5 14 5 3" xfId="16367"/>
    <cellStyle name="Normal 5 14 6" xfId="1991"/>
    <cellStyle name="Normal 5 14 6 2" xfId="7537"/>
    <cellStyle name="Normal 5 14 6 3" xfId="13076"/>
    <cellStyle name="Normal 5 14 7" xfId="6332"/>
    <cellStyle name="Normal 5 14 8" xfId="11871"/>
    <cellStyle name="Normal 5 15" xfId="435"/>
    <cellStyle name="Normal 5 15 2" xfId="1469"/>
    <cellStyle name="Normal 5 15 2 2" xfId="4001"/>
    <cellStyle name="Normal 5 15 2 2 2" xfId="9543"/>
    <cellStyle name="Normal 5 15 2 2 3" xfId="15082"/>
    <cellStyle name="Normal 5 15 2 3" xfId="5038"/>
    <cellStyle name="Normal 5 15 2 3 2" xfId="10577"/>
    <cellStyle name="Normal 5 15 2 3 3" xfId="16116"/>
    <cellStyle name="Normal 5 15 2 4" xfId="5972"/>
    <cellStyle name="Normal 5 15 2 4 2" xfId="11511"/>
    <cellStyle name="Normal 5 15 2 4 3" xfId="17050"/>
    <cellStyle name="Normal 5 15 2 5" xfId="2674"/>
    <cellStyle name="Normal 5 15 2 5 2" xfId="8220"/>
    <cellStyle name="Normal 5 15 2 5 3" xfId="13759"/>
    <cellStyle name="Normal 5 15 2 6" xfId="7015"/>
    <cellStyle name="Normal 5 15 2 7" xfId="12554"/>
    <cellStyle name="Normal 5 15 3" xfId="3309"/>
    <cellStyle name="Normal 5 15 3 2" xfId="8851"/>
    <cellStyle name="Normal 5 15 3 3" xfId="14390"/>
    <cellStyle name="Normal 5 15 4" xfId="4346"/>
    <cellStyle name="Normal 5 15 4 2" xfId="9885"/>
    <cellStyle name="Normal 5 15 4 3" xfId="15424"/>
    <cellStyle name="Normal 5 15 5" xfId="5287"/>
    <cellStyle name="Normal 5 15 5 2" xfId="10826"/>
    <cellStyle name="Normal 5 15 5 3" xfId="16365"/>
    <cellStyle name="Normal 5 15 6" xfId="1989"/>
    <cellStyle name="Normal 5 15 6 2" xfId="7535"/>
    <cellStyle name="Normal 5 15 6 3" xfId="13074"/>
    <cellStyle name="Normal 5 15 7" xfId="6330"/>
    <cellStyle name="Normal 5 15 8" xfId="11869"/>
    <cellStyle name="Normal 5 16" xfId="436"/>
    <cellStyle name="Normal 5 16 2" xfId="1470"/>
    <cellStyle name="Normal 5 16 2 2" xfId="4002"/>
    <cellStyle name="Normal 5 16 2 2 2" xfId="9544"/>
    <cellStyle name="Normal 5 16 2 2 3" xfId="15083"/>
    <cellStyle name="Normal 5 16 2 3" xfId="5039"/>
    <cellStyle name="Normal 5 16 2 3 2" xfId="10578"/>
    <cellStyle name="Normal 5 16 2 3 3" xfId="16117"/>
    <cellStyle name="Normal 5 16 2 4" xfId="5973"/>
    <cellStyle name="Normal 5 16 2 4 2" xfId="11512"/>
    <cellStyle name="Normal 5 16 2 4 3" xfId="17051"/>
    <cellStyle name="Normal 5 16 2 5" xfId="2675"/>
    <cellStyle name="Normal 5 16 2 5 2" xfId="8221"/>
    <cellStyle name="Normal 5 16 2 5 3" xfId="13760"/>
    <cellStyle name="Normal 5 16 2 6" xfId="7016"/>
    <cellStyle name="Normal 5 16 2 7" xfId="12555"/>
    <cellStyle name="Normal 5 16 3" xfId="3310"/>
    <cellStyle name="Normal 5 16 3 2" xfId="8852"/>
    <cellStyle name="Normal 5 16 3 3" xfId="14391"/>
    <cellStyle name="Normal 5 16 4" xfId="4347"/>
    <cellStyle name="Normal 5 16 4 2" xfId="9886"/>
    <cellStyle name="Normal 5 16 4 3" xfId="15425"/>
    <cellStyle name="Normal 5 16 5" xfId="5288"/>
    <cellStyle name="Normal 5 16 5 2" xfId="10827"/>
    <cellStyle name="Normal 5 16 5 3" xfId="16366"/>
    <cellStyle name="Normal 5 16 6" xfId="1990"/>
    <cellStyle name="Normal 5 16 6 2" xfId="7536"/>
    <cellStyle name="Normal 5 16 6 3" xfId="13075"/>
    <cellStyle name="Normal 5 16 7" xfId="6331"/>
    <cellStyle name="Normal 5 16 8" xfId="11870"/>
    <cellStyle name="Normal 5 17" xfId="441"/>
    <cellStyle name="Normal 5 17 2" xfId="452"/>
    <cellStyle name="Normal 5 18" xfId="1127"/>
    <cellStyle name="Normal 5 18 2" xfId="3657"/>
    <cellStyle name="Normal 5 18 2 2" xfId="9199"/>
    <cellStyle name="Normal 5 18 2 3" xfId="14738"/>
    <cellStyle name="Normal 5 18 3" xfId="4694"/>
    <cellStyle name="Normal 5 18 3 2" xfId="10233"/>
    <cellStyle name="Normal 5 18 3 3" xfId="15772"/>
    <cellStyle name="Normal 5 18 4" xfId="5629"/>
    <cellStyle name="Normal 5 18 4 2" xfId="11168"/>
    <cellStyle name="Normal 5 18 4 3" xfId="16707"/>
    <cellStyle name="Normal 5 18 5" xfId="2331"/>
    <cellStyle name="Normal 5 18 5 2" xfId="7877"/>
    <cellStyle name="Normal 5 18 5 3" xfId="13416"/>
    <cellStyle name="Normal 5 18 6" xfId="6672"/>
    <cellStyle name="Normal 5 18 7" xfId="12211"/>
    <cellStyle name="Normal 5 19" xfId="788"/>
    <cellStyle name="Normal 5 19 2" xfId="3318"/>
    <cellStyle name="Normal 5 19 2 2" xfId="8860"/>
    <cellStyle name="Normal 5 19 2 3" xfId="14399"/>
    <cellStyle name="Normal 5 19 3" xfId="4355"/>
    <cellStyle name="Normal 5 19 3 2" xfId="9894"/>
    <cellStyle name="Normal 5 19 3 3" xfId="15433"/>
    <cellStyle name="Normal 5 19 4" xfId="5290"/>
    <cellStyle name="Normal 5 19 4 2" xfId="10829"/>
    <cellStyle name="Normal 5 19 4 3" xfId="16368"/>
    <cellStyle name="Normal 5 19 5" xfId="1992"/>
    <cellStyle name="Normal 5 19 5 2" xfId="7538"/>
    <cellStyle name="Normal 5 19 5 3" xfId="13077"/>
    <cellStyle name="Normal 5 19 6" xfId="6333"/>
    <cellStyle name="Normal 5 19 7" xfId="11872"/>
    <cellStyle name="Normal 5 2" xfId="152"/>
    <cellStyle name="Normal 5 2 10" xfId="275"/>
    <cellStyle name="Normal 5 2 10 10" xfId="11676"/>
    <cellStyle name="Normal 5 2 10 2" xfId="474"/>
    <cellStyle name="Normal 5 2 10 2 2" xfId="1315"/>
    <cellStyle name="Normal 5 2 10 2 2 2" xfId="3847"/>
    <cellStyle name="Normal 5 2 10 2 2 2 2" xfId="9389"/>
    <cellStyle name="Normal 5 2 10 2 2 2 3" xfId="14928"/>
    <cellStyle name="Normal 5 2 10 2 2 3" xfId="4884"/>
    <cellStyle name="Normal 5 2 10 2 2 3 2" xfId="10423"/>
    <cellStyle name="Normal 5 2 10 2 2 3 3" xfId="15962"/>
    <cellStyle name="Normal 5 2 10 2 2 4" xfId="5818"/>
    <cellStyle name="Normal 5 2 10 2 2 4 2" xfId="11357"/>
    <cellStyle name="Normal 5 2 10 2 2 4 3" xfId="16896"/>
    <cellStyle name="Normal 5 2 10 2 2 5" xfId="2520"/>
    <cellStyle name="Normal 5 2 10 2 2 5 2" xfId="8066"/>
    <cellStyle name="Normal 5 2 10 2 2 5 3" xfId="13605"/>
    <cellStyle name="Normal 5 2 10 2 2 6" xfId="6861"/>
    <cellStyle name="Normal 5 2 10 2 2 7" xfId="12400"/>
    <cellStyle name="Normal 5 2 10 2 3" xfId="3133"/>
    <cellStyle name="Normal 5 2 10 2 3 2" xfId="8675"/>
    <cellStyle name="Normal 5 2 10 2 3 3" xfId="14214"/>
    <cellStyle name="Normal 5 2 10 2 4" xfId="4172"/>
    <cellStyle name="Normal 5 2 10 2 4 2" xfId="9711"/>
    <cellStyle name="Normal 5 2 10 2 4 3" xfId="15250"/>
    <cellStyle name="Normal 5 2 10 2 5" xfId="5133"/>
    <cellStyle name="Normal 5 2 10 2 5 2" xfId="10672"/>
    <cellStyle name="Normal 5 2 10 2 5 3" xfId="16211"/>
    <cellStyle name="Normal 5 2 10 2 6" xfId="1835"/>
    <cellStyle name="Normal 5 2 10 2 6 2" xfId="7381"/>
    <cellStyle name="Normal 5 2 10 2 6 3" xfId="12920"/>
    <cellStyle name="Normal 5 2 10 2 7" xfId="6176"/>
    <cellStyle name="Normal 5 2 10 2 8" xfId="11715"/>
    <cellStyle name="Normal 5 2 10 3" xfId="1289"/>
    <cellStyle name="Normal 5 2 10 3 2" xfId="3819"/>
    <cellStyle name="Normal 5 2 10 3 2 2" xfId="9361"/>
    <cellStyle name="Normal 5 2 10 3 2 3" xfId="14900"/>
    <cellStyle name="Normal 5 2 10 3 3" xfId="4856"/>
    <cellStyle name="Normal 5 2 10 3 3 2" xfId="10395"/>
    <cellStyle name="Normal 5 2 10 3 3 3" xfId="15934"/>
    <cellStyle name="Normal 5 2 10 3 4" xfId="5791"/>
    <cellStyle name="Normal 5 2 10 3 4 2" xfId="11330"/>
    <cellStyle name="Normal 5 2 10 3 4 3" xfId="16869"/>
    <cellStyle name="Normal 5 2 10 3 5" xfId="2493"/>
    <cellStyle name="Normal 5 2 10 3 5 2" xfId="8039"/>
    <cellStyle name="Normal 5 2 10 3 5 3" xfId="13578"/>
    <cellStyle name="Normal 5 2 10 3 6" xfId="6834"/>
    <cellStyle name="Normal 5 2 10 3 7" xfId="12373"/>
    <cellStyle name="Normal 5 2 10 4" xfId="1112"/>
    <cellStyle name="Normal 5 2 10 4 2" xfId="3642"/>
    <cellStyle name="Normal 5 2 10 4 2 2" xfId="9184"/>
    <cellStyle name="Normal 5 2 10 4 2 3" xfId="14723"/>
    <cellStyle name="Normal 5 2 10 4 3" xfId="4679"/>
    <cellStyle name="Normal 5 2 10 4 3 2" xfId="10218"/>
    <cellStyle name="Normal 5 2 10 4 3 3" xfId="15757"/>
    <cellStyle name="Normal 5 2 10 4 4" xfId="5614"/>
    <cellStyle name="Normal 5 2 10 4 4 2" xfId="11153"/>
    <cellStyle name="Normal 5 2 10 4 4 3" xfId="16692"/>
    <cellStyle name="Normal 5 2 10 4 5" xfId="2316"/>
    <cellStyle name="Normal 5 2 10 4 5 2" xfId="7862"/>
    <cellStyle name="Normal 5 2 10 4 5 3" xfId="13401"/>
    <cellStyle name="Normal 5 2 10 4 6" xfId="6657"/>
    <cellStyle name="Normal 5 2 10 4 7" xfId="12196"/>
    <cellStyle name="Normal 5 2 10 5" xfId="3014"/>
    <cellStyle name="Normal 5 2 10 5 2" xfId="8558"/>
    <cellStyle name="Normal 5 2 10 5 3" xfId="14097"/>
    <cellStyle name="Normal 5 2 10 6" xfId="4059"/>
    <cellStyle name="Normal 5 2 10 6 2" xfId="9601"/>
    <cellStyle name="Normal 5 2 10 6 3" xfId="15140"/>
    <cellStyle name="Normal 5 2 10 7" xfId="5094"/>
    <cellStyle name="Normal 5 2 10 7 2" xfId="10633"/>
    <cellStyle name="Normal 5 2 10 7 3" xfId="16172"/>
    <cellStyle name="Normal 5 2 10 8" xfId="1796"/>
    <cellStyle name="Normal 5 2 10 8 2" xfId="7342"/>
    <cellStyle name="Normal 5 2 10 8 3" xfId="12881"/>
    <cellStyle name="Normal 5 2 10 9" xfId="6149"/>
    <cellStyle name="Normal 5 2 11" xfId="425"/>
    <cellStyle name="Normal 5 2 11 2" xfId="1462"/>
    <cellStyle name="Normal 5 2 11 2 2" xfId="3994"/>
    <cellStyle name="Normal 5 2 11 2 2 2" xfId="9536"/>
    <cellStyle name="Normal 5 2 11 2 2 3" xfId="15075"/>
    <cellStyle name="Normal 5 2 11 2 3" xfId="5031"/>
    <cellStyle name="Normal 5 2 11 2 3 2" xfId="10570"/>
    <cellStyle name="Normal 5 2 11 2 3 3" xfId="16109"/>
    <cellStyle name="Normal 5 2 11 2 4" xfId="5965"/>
    <cellStyle name="Normal 5 2 11 2 4 2" xfId="11504"/>
    <cellStyle name="Normal 5 2 11 2 4 3" xfId="17043"/>
    <cellStyle name="Normal 5 2 11 2 5" xfId="2667"/>
    <cellStyle name="Normal 5 2 11 2 5 2" xfId="8213"/>
    <cellStyle name="Normal 5 2 11 2 5 3" xfId="13752"/>
    <cellStyle name="Normal 5 2 11 2 6" xfId="7008"/>
    <cellStyle name="Normal 5 2 11 2 7" xfId="12547"/>
    <cellStyle name="Normal 5 2 11 3" xfId="952"/>
    <cellStyle name="Normal 5 2 11 3 2" xfId="3482"/>
    <cellStyle name="Normal 5 2 11 3 2 2" xfId="9024"/>
    <cellStyle name="Normal 5 2 11 3 2 3" xfId="14563"/>
    <cellStyle name="Normal 5 2 11 3 3" xfId="4519"/>
    <cellStyle name="Normal 5 2 11 3 3 2" xfId="10058"/>
    <cellStyle name="Normal 5 2 11 3 3 3" xfId="15597"/>
    <cellStyle name="Normal 5 2 11 3 4" xfId="5454"/>
    <cellStyle name="Normal 5 2 11 3 4 2" xfId="10993"/>
    <cellStyle name="Normal 5 2 11 3 4 3" xfId="16532"/>
    <cellStyle name="Normal 5 2 11 3 5" xfId="2156"/>
    <cellStyle name="Normal 5 2 11 3 5 2" xfId="7702"/>
    <cellStyle name="Normal 5 2 11 3 5 3" xfId="13241"/>
    <cellStyle name="Normal 5 2 11 3 6" xfId="6497"/>
    <cellStyle name="Normal 5 2 11 3 7" xfId="12036"/>
    <cellStyle name="Normal 5 2 11 4" xfId="3283"/>
    <cellStyle name="Normal 5 2 11 4 2" xfId="8825"/>
    <cellStyle name="Normal 5 2 11 4 3" xfId="14364"/>
    <cellStyle name="Normal 5 2 11 5" xfId="4322"/>
    <cellStyle name="Normal 5 2 11 5 2" xfId="9861"/>
    <cellStyle name="Normal 5 2 11 5 3" xfId="15400"/>
    <cellStyle name="Normal 5 2 11 6" xfId="5280"/>
    <cellStyle name="Normal 5 2 11 6 2" xfId="10819"/>
    <cellStyle name="Normal 5 2 11 6 3" xfId="16358"/>
    <cellStyle name="Normal 5 2 11 7" xfId="1982"/>
    <cellStyle name="Normal 5 2 11 7 2" xfId="7528"/>
    <cellStyle name="Normal 5 2 11 7 3" xfId="13067"/>
    <cellStyle name="Normal 5 2 11 8" xfId="6323"/>
    <cellStyle name="Normal 5 2 11 9" xfId="11862"/>
    <cellStyle name="Normal 5 2 12" xfId="432"/>
    <cellStyle name="Normal 5 2 12 2" xfId="1466"/>
    <cellStyle name="Normal 5 2 12 2 2" xfId="3998"/>
    <cellStyle name="Normal 5 2 12 2 2 2" xfId="9540"/>
    <cellStyle name="Normal 5 2 12 2 2 3" xfId="15079"/>
    <cellStyle name="Normal 5 2 12 2 3" xfId="5035"/>
    <cellStyle name="Normal 5 2 12 2 3 2" xfId="10574"/>
    <cellStyle name="Normal 5 2 12 2 3 3" xfId="16113"/>
    <cellStyle name="Normal 5 2 12 2 4" xfId="5969"/>
    <cellStyle name="Normal 5 2 12 2 4 2" xfId="11508"/>
    <cellStyle name="Normal 5 2 12 2 4 3" xfId="17047"/>
    <cellStyle name="Normal 5 2 12 2 5" xfId="2671"/>
    <cellStyle name="Normal 5 2 12 2 5 2" xfId="8217"/>
    <cellStyle name="Normal 5 2 12 2 5 3" xfId="13756"/>
    <cellStyle name="Normal 5 2 12 2 6" xfId="7012"/>
    <cellStyle name="Normal 5 2 12 2 7" xfId="12551"/>
    <cellStyle name="Normal 5 2 12 3" xfId="3293"/>
    <cellStyle name="Normal 5 2 12 3 2" xfId="8835"/>
    <cellStyle name="Normal 5 2 12 3 3" xfId="14374"/>
    <cellStyle name="Normal 5 2 12 4" xfId="4332"/>
    <cellStyle name="Normal 5 2 12 4 2" xfId="9871"/>
    <cellStyle name="Normal 5 2 12 4 3" xfId="15410"/>
    <cellStyle name="Normal 5 2 12 5" xfId="5284"/>
    <cellStyle name="Normal 5 2 12 5 2" xfId="10823"/>
    <cellStyle name="Normal 5 2 12 5 3" xfId="16362"/>
    <cellStyle name="Normal 5 2 12 6" xfId="1986"/>
    <cellStyle name="Normal 5 2 12 6 2" xfId="7532"/>
    <cellStyle name="Normal 5 2 12 6 3" xfId="13071"/>
    <cellStyle name="Normal 5 2 12 7" xfId="6327"/>
    <cellStyle name="Normal 5 2 12 8" xfId="11866"/>
    <cellStyle name="Normal 5 2 13" xfId="427"/>
    <cellStyle name="Normal 5 2 13 2" xfId="1464"/>
    <cellStyle name="Normal 5 2 13 2 2" xfId="3996"/>
    <cellStyle name="Normal 5 2 13 2 2 2" xfId="9538"/>
    <cellStyle name="Normal 5 2 13 2 2 3" xfId="15077"/>
    <cellStyle name="Normal 5 2 13 2 3" xfId="5033"/>
    <cellStyle name="Normal 5 2 13 2 3 2" xfId="10572"/>
    <cellStyle name="Normal 5 2 13 2 3 3" xfId="16111"/>
    <cellStyle name="Normal 5 2 13 2 4" xfId="5967"/>
    <cellStyle name="Normal 5 2 13 2 4 2" xfId="11506"/>
    <cellStyle name="Normal 5 2 13 2 4 3" xfId="17045"/>
    <cellStyle name="Normal 5 2 13 2 5" xfId="2669"/>
    <cellStyle name="Normal 5 2 13 2 5 2" xfId="8215"/>
    <cellStyle name="Normal 5 2 13 2 5 3" xfId="13754"/>
    <cellStyle name="Normal 5 2 13 2 6" xfId="7010"/>
    <cellStyle name="Normal 5 2 13 2 7" xfId="12549"/>
    <cellStyle name="Normal 5 2 13 3" xfId="3285"/>
    <cellStyle name="Normal 5 2 13 3 2" xfId="8827"/>
    <cellStyle name="Normal 5 2 13 3 3" xfId="14366"/>
    <cellStyle name="Normal 5 2 13 4" xfId="4324"/>
    <cellStyle name="Normal 5 2 13 4 2" xfId="9863"/>
    <cellStyle name="Normal 5 2 13 4 3" xfId="15402"/>
    <cellStyle name="Normal 5 2 13 5" xfId="5282"/>
    <cellStyle name="Normal 5 2 13 5 2" xfId="10821"/>
    <cellStyle name="Normal 5 2 13 5 3" xfId="16360"/>
    <cellStyle name="Normal 5 2 13 6" xfId="1984"/>
    <cellStyle name="Normal 5 2 13 6 2" xfId="7530"/>
    <cellStyle name="Normal 5 2 13 6 3" xfId="13069"/>
    <cellStyle name="Normal 5 2 13 7" xfId="6325"/>
    <cellStyle name="Normal 5 2 13 8" xfId="11864"/>
    <cellStyle name="Normal 5 2 14" xfId="430"/>
    <cellStyle name="Normal 5 2 14 2" xfId="1465"/>
    <cellStyle name="Normal 5 2 14 2 2" xfId="3997"/>
    <cellStyle name="Normal 5 2 14 2 2 2" xfId="9539"/>
    <cellStyle name="Normal 5 2 14 2 2 3" xfId="15078"/>
    <cellStyle name="Normal 5 2 14 2 3" xfId="5034"/>
    <cellStyle name="Normal 5 2 14 2 3 2" xfId="10573"/>
    <cellStyle name="Normal 5 2 14 2 3 3" xfId="16112"/>
    <cellStyle name="Normal 5 2 14 2 4" xfId="5968"/>
    <cellStyle name="Normal 5 2 14 2 4 2" xfId="11507"/>
    <cellStyle name="Normal 5 2 14 2 4 3" xfId="17046"/>
    <cellStyle name="Normal 5 2 14 2 5" xfId="2670"/>
    <cellStyle name="Normal 5 2 14 2 5 2" xfId="8216"/>
    <cellStyle name="Normal 5 2 14 2 5 3" xfId="13755"/>
    <cellStyle name="Normal 5 2 14 2 6" xfId="7011"/>
    <cellStyle name="Normal 5 2 14 2 7" xfId="12550"/>
    <cellStyle name="Normal 5 2 14 3" xfId="3290"/>
    <cellStyle name="Normal 5 2 14 3 2" xfId="8832"/>
    <cellStyle name="Normal 5 2 14 3 3" xfId="14371"/>
    <cellStyle name="Normal 5 2 14 4" xfId="4329"/>
    <cellStyle name="Normal 5 2 14 4 2" xfId="9868"/>
    <cellStyle name="Normal 5 2 14 4 3" xfId="15407"/>
    <cellStyle name="Normal 5 2 14 5" xfId="5283"/>
    <cellStyle name="Normal 5 2 14 5 2" xfId="10822"/>
    <cellStyle name="Normal 5 2 14 5 3" xfId="16361"/>
    <cellStyle name="Normal 5 2 14 6" xfId="1985"/>
    <cellStyle name="Normal 5 2 14 6 2" xfId="7531"/>
    <cellStyle name="Normal 5 2 14 6 3" xfId="13070"/>
    <cellStyle name="Normal 5 2 14 7" xfId="6326"/>
    <cellStyle name="Normal 5 2 14 8" xfId="11865"/>
    <cellStyle name="Normal 5 2 15" xfId="422"/>
    <cellStyle name="Normal 5 2 15 2" xfId="1460"/>
    <cellStyle name="Normal 5 2 15 2 2" xfId="3992"/>
    <cellStyle name="Normal 5 2 15 2 2 2" xfId="9534"/>
    <cellStyle name="Normal 5 2 15 2 2 3" xfId="15073"/>
    <cellStyle name="Normal 5 2 15 2 3" xfId="5029"/>
    <cellStyle name="Normal 5 2 15 2 3 2" xfId="10568"/>
    <cellStyle name="Normal 5 2 15 2 3 3" xfId="16107"/>
    <cellStyle name="Normal 5 2 15 2 4" xfId="5963"/>
    <cellStyle name="Normal 5 2 15 2 4 2" xfId="11502"/>
    <cellStyle name="Normal 5 2 15 2 4 3" xfId="17041"/>
    <cellStyle name="Normal 5 2 15 2 5" xfId="2665"/>
    <cellStyle name="Normal 5 2 15 2 5 2" xfId="8211"/>
    <cellStyle name="Normal 5 2 15 2 5 3" xfId="13750"/>
    <cellStyle name="Normal 5 2 15 2 6" xfId="7006"/>
    <cellStyle name="Normal 5 2 15 2 7" xfId="12545"/>
    <cellStyle name="Normal 5 2 15 3" xfId="3280"/>
    <cellStyle name="Normal 5 2 15 3 2" xfId="8822"/>
    <cellStyle name="Normal 5 2 15 3 3" xfId="14361"/>
    <cellStyle name="Normal 5 2 15 4" xfId="4319"/>
    <cellStyle name="Normal 5 2 15 4 2" xfId="9858"/>
    <cellStyle name="Normal 5 2 15 4 3" xfId="15397"/>
    <cellStyle name="Normal 5 2 15 5" xfId="5278"/>
    <cellStyle name="Normal 5 2 15 5 2" xfId="10817"/>
    <cellStyle name="Normal 5 2 15 5 3" xfId="16356"/>
    <cellStyle name="Normal 5 2 15 6" xfId="1980"/>
    <cellStyle name="Normal 5 2 15 6 2" xfId="7526"/>
    <cellStyle name="Normal 5 2 15 6 3" xfId="13065"/>
    <cellStyle name="Normal 5 2 15 7" xfId="6321"/>
    <cellStyle name="Normal 5 2 15 8" xfId="11860"/>
    <cellStyle name="Normal 5 2 16" xfId="443"/>
    <cellStyle name="Normal 5 2 16 2" xfId="453"/>
    <cellStyle name="Normal 5 2 17" xfId="1129"/>
    <cellStyle name="Normal 5 2 17 2" xfId="3659"/>
    <cellStyle name="Normal 5 2 17 2 2" xfId="9201"/>
    <cellStyle name="Normal 5 2 17 2 3" xfId="14740"/>
    <cellStyle name="Normal 5 2 17 3" xfId="4696"/>
    <cellStyle name="Normal 5 2 17 3 2" xfId="10235"/>
    <cellStyle name="Normal 5 2 17 3 3" xfId="15774"/>
    <cellStyle name="Normal 5 2 17 4" xfId="5631"/>
    <cellStyle name="Normal 5 2 17 4 2" xfId="11170"/>
    <cellStyle name="Normal 5 2 17 4 3" xfId="16709"/>
    <cellStyle name="Normal 5 2 17 5" xfId="2333"/>
    <cellStyle name="Normal 5 2 17 5 2" xfId="7879"/>
    <cellStyle name="Normal 5 2 17 5 3" xfId="13418"/>
    <cellStyle name="Normal 5 2 17 6" xfId="6674"/>
    <cellStyle name="Normal 5 2 17 7" xfId="12213"/>
    <cellStyle name="Normal 5 2 18" xfId="790"/>
    <cellStyle name="Normal 5 2 18 2" xfId="3320"/>
    <cellStyle name="Normal 5 2 18 2 2" xfId="8862"/>
    <cellStyle name="Normal 5 2 18 2 3" xfId="14401"/>
    <cellStyle name="Normal 5 2 18 3" xfId="4357"/>
    <cellStyle name="Normal 5 2 18 3 2" xfId="9896"/>
    <cellStyle name="Normal 5 2 18 3 3" xfId="15435"/>
    <cellStyle name="Normal 5 2 18 4" xfId="5292"/>
    <cellStyle name="Normal 5 2 18 4 2" xfId="10831"/>
    <cellStyle name="Normal 5 2 18 4 3" xfId="16370"/>
    <cellStyle name="Normal 5 2 18 5" xfId="1994"/>
    <cellStyle name="Normal 5 2 18 5 2" xfId="7540"/>
    <cellStyle name="Normal 5 2 18 5 3" xfId="13079"/>
    <cellStyle name="Normal 5 2 18 6" xfId="6335"/>
    <cellStyle name="Normal 5 2 18 7" xfId="11874"/>
    <cellStyle name="Normal 5 2 19" xfId="1474"/>
    <cellStyle name="Normal 5 2 19 2" xfId="2679"/>
    <cellStyle name="Normal 5 2 19 2 2" xfId="8225"/>
    <cellStyle name="Normal 5 2 19 2 3" xfId="13764"/>
    <cellStyle name="Normal 5 2 19 3" xfId="7020"/>
    <cellStyle name="Normal 5 2 19 4" xfId="12559"/>
    <cellStyle name="Normal 5 2 2" xfId="153"/>
    <cellStyle name="Normal 5 2 2 10" xfId="791"/>
    <cellStyle name="Normal 5 2 2 10 2" xfId="3321"/>
    <cellStyle name="Normal 5 2 2 10 2 2" xfId="8863"/>
    <cellStyle name="Normal 5 2 2 10 2 3" xfId="14402"/>
    <cellStyle name="Normal 5 2 2 10 3" xfId="4358"/>
    <cellStyle name="Normal 5 2 2 10 3 2" xfId="9897"/>
    <cellStyle name="Normal 5 2 2 10 3 3" xfId="15436"/>
    <cellStyle name="Normal 5 2 2 10 4" xfId="5293"/>
    <cellStyle name="Normal 5 2 2 10 4 2" xfId="10832"/>
    <cellStyle name="Normal 5 2 2 10 4 3" xfId="16371"/>
    <cellStyle name="Normal 5 2 2 10 5" xfId="1995"/>
    <cellStyle name="Normal 5 2 2 10 5 2" xfId="7541"/>
    <cellStyle name="Normal 5 2 2 10 5 3" xfId="13080"/>
    <cellStyle name="Normal 5 2 2 10 6" xfId="6336"/>
    <cellStyle name="Normal 5 2 2 10 7" xfId="11875"/>
    <cellStyle name="Normal 5 2 2 11" xfId="1480"/>
    <cellStyle name="Normal 5 2 2 11 2" xfId="2685"/>
    <cellStyle name="Normal 5 2 2 11 2 2" xfId="8231"/>
    <cellStyle name="Normal 5 2 2 11 2 3" xfId="13770"/>
    <cellStyle name="Normal 5 2 2 11 3" xfId="7026"/>
    <cellStyle name="Normal 5 2 2 11 4" xfId="12565"/>
    <cellStyle name="Normal 5 2 2 12" xfId="2858"/>
    <cellStyle name="Normal 5 2 2 12 2" xfId="8402"/>
    <cellStyle name="Normal 5 2 2 12 3" xfId="13941"/>
    <cellStyle name="Normal 5 2 2 13" xfId="3103"/>
    <cellStyle name="Normal 5 2 2 13 2" xfId="8646"/>
    <cellStyle name="Normal 5 2 2 13 3" xfId="14185"/>
    <cellStyle name="Normal 5 2 2 14" xfId="4146"/>
    <cellStyle name="Normal 5 2 2 14 2" xfId="9687"/>
    <cellStyle name="Normal 5 2 2 14 3" xfId="15226"/>
    <cellStyle name="Normal 5 2 2 15" xfId="1642"/>
    <cellStyle name="Normal 5 2 2 15 2" xfId="7188"/>
    <cellStyle name="Normal 5 2 2 15 3" xfId="12727"/>
    <cellStyle name="Normal 5 2 2 16" xfId="5983"/>
    <cellStyle name="Normal 5 2 2 16 2" xfId="17061"/>
    <cellStyle name="Normal 5 2 2 17" xfId="627"/>
    <cellStyle name="Normal 5 2 2 17 2" xfId="17223"/>
    <cellStyle name="Normal 5 2 2 18" xfId="11522"/>
    <cellStyle name="Normal 5 2 2 19" xfId="17390"/>
    <cellStyle name="Normal 5 2 2 2" xfId="249"/>
    <cellStyle name="Normal 5 2 2 2 10" xfId="1483"/>
    <cellStyle name="Normal 5 2 2 2 10 2" xfId="2688"/>
    <cellStyle name="Normal 5 2 2 2 10 2 2" xfId="8234"/>
    <cellStyle name="Normal 5 2 2 2 10 2 3" xfId="13773"/>
    <cellStyle name="Normal 5 2 2 2 10 3" xfId="7029"/>
    <cellStyle name="Normal 5 2 2 2 10 4" xfId="12568"/>
    <cellStyle name="Normal 5 2 2 2 11" xfId="2861"/>
    <cellStyle name="Normal 5 2 2 2 11 2" xfId="8405"/>
    <cellStyle name="Normal 5 2 2 2 11 3" xfId="13944"/>
    <cellStyle name="Normal 5 2 2 2 12" xfId="3287"/>
    <cellStyle name="Normal 5 2 2 2 12 2" xfId="8829"/>
    <cellStyle name="Normal 5 2 2 2 12 3" xfId="14368"/>
    <cellStyle name="Normal 5 2 2 2 13" xfId="4326"/>
    <cellStyle name="Normal 5 2 2 2 13 2" xfId="9865"/>
    <cellStyle name="Normal 5 2 2 2 13 3" xfId="15404"/>
    <cellStyle name="Normal 5 2 2 2 14" xfId="1645"/>
    <cellStyle name="Normal 5 2 2 2 14 2" xfId="7191"/>
    <cellStyle name="Normal 5 2 2 2 14 3" xfId="12730"/>
    <cellStyle name="Normal 5 2 2 2 15" xfId="5986"/>
    <cellStyle name="Normal 5 2 2 2 15 2" xfId="17064"/>
    <cellStyle name="Normal 5 2 2 2 16" xfId="630"/>
    <cellStyle name="Normal 5 2 2 2 16 2" xfId="17226"/>
    <cellStyle name="Normal 5 2 2 2 17" xfId="11525"/>
    <cellStyle name="Normal 5 2 2 2 18" xfId="17393"/>
    <cellStyle name="Normal 5 2 2 2 19" xfId="17558"/>
    <cellStyle name="Normal 5 2 2 2 2" xfId="276"/>
    <cellStyle name="Normal 5 2 2 2 2 10" xfId="1699"/>
    <cellStyle name="Normal 5 2 2 2 2 10 2" xfId="7245"/>
    <cellStyle name="Normal 5 2 2 2 2 10 3" xfId="12784"/>
    <cellStyle name="Normal 5 2 2 2 2 11" xfId="6040"/>
    <cellStyle name="Normal 5 2 2 2 2 11 2" xfId="17118"/>
    <cellStyle name="Normal 5 2 2 2 2 12" xfId="684"/>
    <cellStyle name="Normal 5 2 2 2 2 12 2" xfId="17280"/>
    <cellStyle name="Normal 5 2 2 2 2 13" xfId="11579"/>
    <cellStyle name="Normal 5 2 2 2 2 14" xfId="17447"/>
    <cellStyle name="Normal 5 2 2 2 2 15" xfId="17612"/>
    <cellStyle name="Normal 5 2 2 2 2 2" xfId="277"/>
    <cellStyle name="Normal 5 2 2 2 2 2 10" xfId="6130"/>
    <cellStyle name="Normal 5 2 2 2 2 2 10 2" xfId="17208"/>
    <cellStyle name="Normal 5 2 2 2 2 2 11" xfId="774"/>
    <cellStyle name="Normal 5 2 2 2 2 2 11 2" xfId="17370"/>
    <cellStyle name="Normal 5 2 2 2 2 2 12" xfId="11669"/>
    <cellStyle name="Normal 5 2 2 2 2 2 13" xfId="17537"/>
    <cellStyle name="Normal 5 2 2 2 2 2 14" xfId="17702"/>
    <cellStyle name="Normal 5 2 2 2 2 2 2" xfId="476"/>
    <cellStyle name="Normal 5 2 2 2 2 2 2 2" xfId="1317"/>
    <cellStyle name="Normal 5 2 2 2 2 2 2 2 2" xfId="3849"/>
    <cellStyle name="Normal 5 2 2 2 2 2 2 2 2 2" xfId="9391"/>
    <cellStyle name="Normal 5 2 2 2 2 2 2 2 2 3" xfId="14930"/>
    <cellStyle name="Normal 5 2 2 2 2 2 2 2 3" xfId="4886"/>
    <cellStyle name="Normal 5 2 2 2 2 2 2 2 3 2" xfId="10425"/>
    <cellStyle name="Normal 5 2 2 2 2 2 2 2 3 3" xfId="15964"/>
    <cellStyle name="Normal 5 2 2 2 2 2 2 2 4" xfId="5820"/>
    <cellStyle name="Normal 5 2 2 2 2 2 2 2 4 2" xfId="11359"/>
    <cellStyle name="Normal 5 2 2 2 2 2 2 2 4 3" xfId="16898"/>
    <cellStyle name="Normal 5 2 2 2 2 2 2 2 5" xfId="2522"/>
    <cellStyle name="Normal 5 2 2 2 2 2 2 2 5 2" xfId="8068"/>
    <cellStyle name="Normal 5 2 2 2 2 2 2 2 5 3" xfId="13607"/>
    <cellStyle name="Normal 5 2 2 2 2 2 2 2 6" xfId="6863"/>
    <cellStyle name="Normal 5 2 2 2 2 2 2 2 7" xfId="12402"/>
    <cellStyle name="Normal 5 2 2 2 2 2 2 3" xfId="1105"/>
    <cellStyle name="Normal 5 2 2 2 2 2 2 3 2" xfId="3635"/>
    <cellStyle name="Normal 5 2 2 2 2 2 2 3 2 2" xfId="9177"/>
    <cellStyle name="Normal 5 2 2 2 2 2 2 3 2 3" xfId="14716"/>
    <cellStyle name="Normal 5 2 2 2 2 2 2 3 3" xfId="4672"/>
    <cellStyle name="Normal 5 2 2 2 2 2 2 3 3 2" xfId="10211"/>
    <cellStyle name="Normal 5 2 2 2 2 2 2 3 3 3" xfId="15750"/>
    <cellStyle name="Normal 5 2 2 2 2 2 2 3 4" xfId="5607"/>
    <cellStyle name="Normal 5 2 2 2 2 2 2 3 4 2" xfId="11146"/>
    <cellStyle name="Normal 5 2 2 2 2 2 2 3 4 3" xfId="16685"/>
    <cellStyle name="Normal 5 2 2 2 2 2 2 3 5" xfId="2309"/>
    <cellStyle name="Normal 5 2 2 2 2 2 2 3 5 2" xfId="7855"/>
    <cellStyle name="Normal 5 2 2 2 2 2 2 3 5 3" xfId="13394"/>
    <cellStyle name="Normal 5 2 2 2 2 2 2 3 6" xfId="6650"/>
    <cellStyle name="Normal 5 2 2 2 2 2 2 3 7" xfId="12189"/>
    <cellStyle name="Normal 5 2 2 2 2 2 2 4" xfId="3135"/>
    <cellStyle name="Normal 5 2 2 2 2 2 2 4 2" xfId="8677"/>
    <cellStyle name="Normal 5 2 2 2 2 2 2 4 3" xfId="14216"/>
    <cellStyle name="Normal 5 2 2 2 2 2 2 5" xfId="4174"/>
    <cellStyle name="Normal 5 2 2 2 2 2 2 5 2" xfId="9713"/>
    <cellStyle name="Normal 5 2 2 2 2 2 2 5 3" xfId="15252"/>
    <cellStyle name="Normal 5 2 2 2 2 2 2 6" xfId="5135"/>
    <cellStyle name="Normal 5 2 2 2 2 2 2 6 2" xfId="10674"/>
    <cellStyle name="Normal 5 2 2 2 2 2 2 6 3" xfId="16213"/>
    <cellStyle name="Normal 5 2 2 2 2 2 2 7" xfId="1837"/>
    <cellStyle name="Normal 5 2 2 2 2 2 2 7 2" xfId="7383"/>
    <cellStyle name="Normal 5 2 2 2 2 2 2 7 3" xfId="12922"/>
    <cellStyle name="Normal 5 2 2 2 2 2 2 8" xfId="6178"/>
    <cellStyle name="Normal 5 2 2 2 2 2 2 9" xfId="11717"/>
    <cellStyle name="Normal 5 2 2 2 2 2 3" xfId="1282"/>
    <cellStyle name="Normal 5 2 2 2 2 2 3 2" xfId="3812"/>
    <cellStyle name="Normal 5 2 2 2 2 2 3 2 2" xfId="9354"/>
    <cellStyle name="Normal 5 2 2 2 2 2 3 2 3" xfId="14893"/>
    <cellStyle name="Normal 5 2 2 2 2 2 3 3" xfId="4849"/>
    <cellStyle name="Normal 5 2 2 2 2 2 3 3 2" xfId="10388"/>
    <cellStyle name="Normal 5 2 2 2 2 2 3 3 3" xfId="15927"/>
    <cellStyle name="Normal 5 2 2 2 2 2 3 4" xfId="5784"/>
    <cellStyle name="Normal 5 2 2 2 2 2 3 4 2" xfId="11323"/>
    <cellStyle name="Normal 5 2 2 2 2 2 3 4 3" xfId="16862"/>
    <cellStyle name="Normal 5 2 2 2 2 2 3 5" xfId="2486"/>
    <cellStyle name="Normal 5 2 2 2 2 2 3 5 2" xfId="8032"/>
    <cellStyle name="Normal 5 2 2 2 2 2 3 5 3" xfId="13571"/>
    <cellStyle name="Normal 5 2 2 2 2 2 3 6" xfId="6827"/>
    <cellStyle name="Normal 5 2 2 2 2 2 3 7" xfId="12366"/>
    <cellStyle name="Normal 5 2 2 2 2 2 4" xfId="794"/>
    <cellStyle name="Normal 5 2 2 2 2 2 4 2" xfId="3324"/>
    <cellStyle name="Normal 5 2 2 2 2 2 4 2 2" xfId="8866"/>
    <cellStyle name="Normal 5 2 2 2 2 2 4 2 3" xfId="14405"/>
    <cellStyle name="Normal 5 2 2 2 2 2 4 3" xfId="4361"/>
    <cellStyle name="Normal 5 2 2 2 2 2 4 3 2" xfId="9900"/>
    <cellStyle name="Normal 5 2 2 2 2 2 4 3 3" xfId="15439"/>
    <cellStyle name="Normal 5 2 2 2 2 2 4 4" xfId="5296"/>
    <cellStyle name="Normal 5 2 2 2 2 2 4 4 2" xfId="10835"/>
    <cellStyle name="Normal 5 2 2 2 2 2 4 4 3" xfId="16374"/>
    <cellStyle name="Normal 5 2 2 2 2 2 4 5" xfId="1998"/>
    <cellStyle name="Normal 5 2 2 2 2 2 4 5 2" xfId="7544"/>
    <cellStyle name="Normal 5 2 2 2 2 2 4 5 3" xfId="13083"/>
    <cellStyle name="Normal 5 2 2 2 2 2 4 6" xfId="6339"/>
    <cellStyle name="Normal 5 2 2 2 2 2 4 7" xfId="11878"/>
    <cellStyle name="Normal 5 2 2 2 2 2 5" xfId="1627"/>
    <cellStyle name="Normal 5 2 2 2 2 2 5 2" xfId="2832"/>
    <cellStyle name="Normal 5 2 2 2 2 2 5 2 2" xfId="8378"/>
    <cellStyle name="Normal 5 2 2 2 2 2 5 2 3" xfId="13917"/>
    <cellStyle name="Normal 5 2 2 2 2 2 5 3" xfId="7173"/>
    <cellStyle name="Normal 5 2 2 2 2 2 5 4" xfId="12712"/>
    <cellStyle name="Normal 5 2 2 2 2 2 6" xfId="3005"/>
    <cellStyle name="Normal 5 2 2 2 2 2 6 2" xfId="8549"/>
    <cellStyle name="Normal 5 2 2 2 2 2 6 3" xfId="14088"/>
    <cellStyle name="Normal 5 2 2 2 2 2 7" xfId="4050"/>
    <cellStyle name="Normal 5 2 2 2 2 2 7 2" xfId="9592"/>
    <cellStyle name="Normal 5 2 2 2 2 2 7 3" xfId="15131"/>
    <cellStyle name="Normal 5 2 2 2 2 2 8" xfId="5087"/>
    <cellStyle name="Normal 5 2 2 2 2 2 8 2" xfId="10626"/>
    <cellStyle name="Normal 5 2 2 2 2 2 8 3" xfId="16165"/>
    <cellStyle name="Normal 5 2 2 2 2 2 9" xfId="1789"/>
    <cellStyle name="Normal 5 2 2 2 2 2 9 2" xfId="7335"/>
    <cellStyle name="Normal 5 2 2 2 2 2 9 3" xfId="12874"/>
    <cellStyle name="Normal 5 2 2 2 2 3" xfId="475"/>
    <cellStyle name="Normal 5 2 2 2 2 3 2" xfId="1316"/>
    <cellStyle name="Normal 5 2 2 2 2 3 2 2" xfId="3848"/>
    <cellStyle name="Normal 5 2 2 2 2 3 2 2 2" xfId="9390"/>
    <cellStyle name="Normal 5 2 2 2 2 3 2 2 3" xfId="14929"/>
    <cellStyle name="Normal 5 2 2 2 2 3 2 3" xfId="4885"/>
    <cellStyle name="Normal 5 2 2 2 2 3 2 3 2" xfId="10424"/>
    <cellStyle name="Normal 5 2 2 2 2 3 2 3 3" xfId="15963"/>
    <cellStyle name="Normal 5 2 2 2 2 3 2 4" xfId="5819"/>
    <cellStyle name="Normal 5 2 2 2 2 3 2 4 2" xfId="11358"/>
    <cellStyle name="Normal 5 2 2 2 2 3 2 4 3" xfId="16897"/>
    <cellStyle name="Normal 5 2 2 2 2 3 2 5" xfId="2521"/>
    <cellStyle name="Normal 5 2 2 2 2 3 2 5 2" xfId="8067"/>
    <cellStyle name="Normal 5 2 2 2 2 3 2 5 3" xfId="13606"/>
    <cellStyle name="Normal 5 2 2 2 2 3 2 6" xfId="6862"/>
    <cellStyle name="Normal 5 2 2 2 2 3 2 7" xfId="12401"/>
    <cellStyle name="Normal 5 2 2 2 2 3 3" xfId="1015"/>
    <cellStyle name="Normal 5 2 2 2 2 3 3 2" xfId="3545"/>
    <cellStyle name="Normal 5 2 2 2 2 3 3 2 2" xfId="9087"/>
    <cellStyle name="Normal 5 2 2 2 2 3 3 2 3" xfId="14626"/>
    <cellStyle name="Normal 5 2 2 2 2 3 3 3" xfId="4582"/>
    <cellStyle name="Normal 5 2 2 2 2 3 3 3 2" xfId="10121"/>
    <cellStyle name="Normal 5 2 2 2 2 3 3 3 3" xfId="15660"/>
    <cellStyle name="Normal 5 2 2 2 2 3 3 4" xfId="5517"/>
    <cellStyle name="Normal 5 2 2 2 2 3 3 4 2" xfId="11056"/>
    <cellStyle name="Normal 5 2 2 2 2 3 3 4 3" xfId="16595"/>
    <cellStyle name="Normal 5 2 2 2 2 3 3 5" xfId="2219"/>
    <cellStyle name="Normal 5 2 2 2 2 3 3 5 2" xfId="7765"/>
    <cellStyle name="Normal 5 2 2 2 2 3 3 5 3" xfId="13304"/>
    <cellStyle name="Normal 5 2 2 2 2 3 3 6" xfId="6560"/>
    <cellStyle name="Normal 5 2 2 2 2 3 3 7" xfId="12099"/>
    <cellStyle name="Normal 5 2 2 2 2 3 4" xfId="3134"/>
    <cellStyle name="Normal 5 2 2 2 2 3 4 2" xfId="8676"/>
    <cellStyle name="Normal 5 2 2 2 2 3 4 3" xfId="14215"/>
    <cellStyle name="Normal 5 2 2 2 2 3 5" xfId="4173"/>
    <cellStyle name="Normal 5 2 2 2 2 3 5 2" xfId="9712"/>
    <cellStyle name="Normal 5 2 2 2 2 3 5 3" xfId="15251"/>
    <cellStyle name="Normal 5 2 2 2 2 3 6" xfId="5134"/>
    <cellStyle name="Normal 5 2 2 2 2 3 6 2" xfId="10673"/>
    <cellStyle name="Normal 5 2 2 2 2 3 6 3" xfId="16212"/>
    <cellStyle name="Normal 5 2 2 2 2 3 7" xfId="1836"/>
    <cellStyle name="Normal 5 2 2 2 2 3 7 2" xfId="7382"/>
    <cellStyle name="Normal 5 2 2 2 2 3 7 3" xfId="12921"/>
    <cellStyle name="Normal 5 2 2 2 2 3 8" xfId="6177"/>
    <cellStyle name="Normal 5 2 2 2 2 3 9" xfId="11716"/>
    <cellStyle name="Normal 5 2 2 2 2 4" xfId="1192"/>
    <cellStyle name="Normal 5 2 2 2 2 4 2" xfId="3722"/>
    <cellStyle name="Normal 5 2 2 2 2 4 2 2" xfId="9264"/>
    <cellStyle name="Normal 5 2 2 2 2 4 2 3" xfId="14803"/>
    <cellStyle name="Normal 5 2 2 2 2 4 3" xfId="4759"/>
    <cellStyle name="Normal 5 2 2 2 2 4 3 2" xfId="10298"/>
    <cellStyle name="Normal 5 2 2 2 2 4 3 3" xfId="15837"/>
    <cellStyle name="Normal 5 2 2 2 2 4 4" xfId="5694"/>
    <cellStyle name="Normal 5 2 2 2 2 4 4 2" xfId="11233"/>
    <cellStyle name="Normal 5 2 2 2 2 4 4 3" xfId="16772"/>
    <cellStyle name="Normal 5 2 2 2 2 4 5" xfId="2396"/>
    <cellStyle name="Normal 5 2 2 2 2 4 5 2" xfId="7942"/>
    <cellStyle name="Normal 5 2 2 2 2 4 5 3" xfId="13481"/>
    <cellStyle name="Normal 5 2 2 2 2 4 6" xfId="6737"/>
    <cellStyle name="Normal 5 2 2 2 2 4 7" xfId="12276"/>
    <cellStyle name="Normal 5 2 2 2 2 5" xfId="793"/>
    <cellStyle name="Normal 5 2 2 2 2 5 2" xfId="3323"/>
    <cellStyle name="Normal 5 2 2 2 2 5 2 2" xfId="8865"/>
    <cellStyle name="Normal 5 2 2 2 2 5 2 3" xfId="14404"/>
    <cellStyle name="Normal 5 2 2 2 2 5 3" xfId="4360"/>
    <cellStyle name="Normal 5 2 2 2 2 5 3 2" xfId="9899"/>
    <cellStyle name="Normal 5 2 2 2 2 5 3 3" xfId="15438"/>
    <cellStyle name="Normal 5 2 2 2 2 5 4" xfId="5295"/>
    <cellStyle name="Normal 5 2 2 2 2 5 4 2" xfId="10834"/>
    <cellStyle name="Normal 5 2 2 2 2 5 4 3" xfId="16373"/>
    <cellStyle name="Normal 5 2 2 2 2 5 5" xfId="1997"/>
    <cellStyle name="Normal 5 2 2 2 2 5 5 2" xfId="7543"/>
    <cellStyle name="Normal 5 2 2 2 2 5 5 3" xfId="13082"/>
    <cellStyle name="Normal 5 2 2 2 2 5 6" xfId="6338"/>
    <cellStyle name="Normal 5 2 2 2 2 5 7" xfId="11877"/>
    <cellStyle name="Normal 5 2 2 2 2 6" xfId="1537"/>
    <cellStyle name="Normal 5 2 2 2 2 6 2" xfId="2742"/>
    <cellStyle name="Normal 5 2 2 2 2 6 2 2" xfId="8288"/>
    <cellStyle name="Normal 5 2 2 2 2 6 2 3" xfId="13827"/>
    <cellStyle name="Normal 5 2 2 2 2 6 3" xfId="7083"/>
    <cellStyle name="Normal 5 2 2 2 2 6 4" xfId="12622"/>
    <cellStyle name="Normal 5 2 2 2 2 7" xfId="2915"/>
    <cellStyle name="Normal 5 2 2 2 2 7 2" xfId="8459"/>
    <cellStyle name="Normal 5 2 2 2 2 7 3" xfId="13998"/>
    <cellStyle name="Normal 5 2 2 2 2 8" xfId="3087"/>
    <cellStyle name="Normal 5 2 2 2 2 8 2" xfId="8630"/>
    <cellStyle name="Normal 5 2 2 2 2 8 3" xfId="14169"/>
    <cellStyle name="Normal 5 2 2 2 2 9" xfId="4130"/>
    <cellStyle name="Normal 5 2 2 2 2 9 2" xfId="9671"/>
    <cellStyle name="Normal 5 2 2 2 2 9 3" xfId="15210"/>
    <cellStyle name="Normal 5 2 2 2 3" xfId="278"/>
    <cellStyle name="Normal 5 2 2 2 3 10" xfId="1681"/>
    <cellStyle name="Normal 5 2 2 2 3 10 2" xfId="7227"/>
    <cellStyle name="Normal 5 2 2 2 3 10 3" xfId="12766"/>
    <cellStyle name="Normal 5 2 2 2 3 11" xfId="6022"/>
    <cellStyle name="Normal 5 2 2 2 3 11 2" xfId="17100"/>
    <cellStyle name="Normal 5 2 2 2 3 12" xfId="666"/>
    <cellStyle name="Normal 5 2 2 2 3 12 2" xfId="17262"/>
    <cellStyle name="Normal 5 2 2 2 3 13" xfId="11561"/>
    <cellStyle name="Normal 5 2 2 2 3 14" xfId="17429"/>
    <cellStyle name="Normal 5 2 2 2 3 15" xfId="17594"/>
    <cellStyle name="Normal 5 2 2 2 3 2" xfId="279"/>
    <cellStyle name="Normal 5 2 2 2 3 2 10" xfId="6112"/>
    <cellStyle name="Normal 5 2 2 2 3 2 10 2" xfId="17190"/>
    <cellStyle name="Normal 5 2 2 2 3 2 11" xfId="756"/>
    <cellStyle name="Normal 5 2 2 2 3 2 11 2" xfId="17352"/>
    <cellStyle name="Normal 5 2 2 2 3 2 12" xfId="11651"/>
    <cellStyle name="Normal 5 2 2 2 3 2 13" xfId="17519"/>
    <cellStyle name="Normal 5 2 2 2 3 2 14" xfId="17684"/>
    <cellStyle name="Normal 5 2 2 2 3 2 2" xfId="478"/>
    <cellStyle name="Normal 5 2 2 2 3 2 2 2" xfId="1319"/>
    <cellStyle name="Normal 5 2 2 2 3 2 2 2 2" xfId="3851"/>
    <cellStyle name="Normal 5 2 2 2 3 2 2 2 2 2" xfId="9393"/>
    <cellStyle name="Normal 5 2 2 2 3 2 2 2 2 3" xfId="14932"/>
    <cellStyle name="Normal 5 2 2 2 3 2 2 2 3" xfId="4888"/>
    <cellStyle name="Normal 5 2 2 2 3 2 2 2 3 2" xfId="10427"/>
    <cellStyle name="Normal 5 2 2 2 3 2 2 2 3 3" xfId="15966"/>
    <cellStyle name="Normal 5 2 2 2 3 2 2 2 4" xfId="5822"/>
    <cellStyle name="Normal 5 2 2 2 3 2 2 2 4 2" xfId="11361"/>
    <cellStyle name="Normal 5 2 2 2 3 2 2 2 4 3" xfId="16900"/>
    <cellStyle name="Normal 5 2 2 2 3 2 2 2 5" xfId="2524"/>
    <cellStyle name="Normal 5 2 2 2 3 2 2 2 5 2" xfId="8070"/>
    <cellStyle name="Normal 5 2 2 2 3 2 2 2 5 3" xfId="13609"/>
    <cellStyle name="Normal 5 2 2 2 3 2 2 2 6" xfId="6865"/>
    <cellStyle name="Normal 5 2 2 2 3 2 2 2 7" xfId="12404"/>
    <cellStyle name="Normal 5 2 2 2 3 2 2 3" xfId="1087"/>
    <cellStyle name="Normal 5 2 2 2 3 2 2 3 2" xfId="3617"/>
    <cellStyle name="Normal 5 2 2 2 3 2 2 3 2 2" xfId="9159"/>
    <cellStyle name="Normal 5 2 2 2 3 2 2 3 2 3" xfId="14698"/>
    <cellStyle name="Normal 5 2 2 2 3 2 2 3 3" xfId="4654"/>
    <cellStyle name="Normal 5 2 2 2 3 2 2 3 3 2" xfId="10193"/>
    <cellStyle name="Normal 5 2 2 2 3 2 2 3 3 3" xfId="15732"/>
    <cellStyle name="Normal 5 2 2 2 3 2 2 3 4" xfId="5589"/>
    <cellStyle name="Normal 5 2 2 2 3 2 2 3 4 2" xfId="11128"/>
    <cellStyle name="Normal 5 2 2 2 3 2 2 3 4 3" xfId="16667"/>
    <cellStyle name="Normal 5 2 2 2 3 2 2 3 5" xfId="2291"/>
    <cellStyle name="Normal 5 2 2 2 3 2 2 3 5 2" xfId="7837"/>
    <cellStyle name="Normal 5 2 2 2 3 2 2 3 5 3" xfId="13376"/>
    <cellStyle name="Normal 5 2 2 2 3 2 2 3 6" xfId="6632"/>
    <cellStyle name="Normal 5 2 2 2 3 2 2 3 7" xfId="12171"/>
    <cellStyle name="Normal 5 2 2 2 3 2 2 4" xfId="3137"/>
    <cellStyle name="Normal 5 2 2 2 3 2 2 4 2" xfId="8679"/>
    <cellStyle name="Normal 5 2 2 2 3 2 2 4 3" xfId="14218"/>
    <cellStyle name="Normal 5 2 2 2 3 2 2 5" xfId="4176"/>
    <cellStyle name="Normal 5 2 2 2 3 2 2 5 2" xfId="9715"/>
    <cellStyle name="Normal 5 2 2 2 3 2 2 5 3" xfId="15254"/>
    <cellStyle name="Normal 5 2 2 2 3 2 2 6" xfId="5137"/>
    <cellStyle name="Normal 5 2 2 2 3 2 2 6 2" xfId="10676"/>
    <cellStyle name="Normal 5 2 2 2 3 2 2 6 3" xfId="16215"/>
    <cellStyle name="Normal 5 2 2 2 3 2 2 7" xfId="1839"/>
    <cellStyle name="Normal 5 2 2 2 3 2 2 7 2" xfId="7385"/>
    <cellStyle name="Normal 5 2 2 2 3 2 2 7 3" xfId="12924"/>
    <cellStyle name="Normal 5 2 2 2 3 2 2 8" xfId="6180"/>
    <cellStyle name="Normal 5 2 2 2 3 2 2 9" xfId="11719"/>
    <cellStyle name="Normal 5 2 2 2 3 2 3" xfId="1264"/>
    <cellStyle name="Normal 5 2 2 2 3 2 3 2" xfId="3794"/>
    <cellStyle name="Normal 5 2 2 2 3 2 3 2 2" xfId="9336"/>
    <cellStyle name="Normal 5 2 2 2 3 2 3 2 3" xfId="14875"/>
    <cellStyle name="Normal 5 2 2 2 3 2 3 3" xfId="4831"/>
    <cellStyle name="Normal 5 2 2 2 3 2 3 3 2" xfId="10370"/>
    <cellStyle name="Normal 5 2 2 2 3 2 3 3 3" xfId="15909"/>
    <cellStyle name="Normal 5 2 2 2 3 2 3 4" xfId="5766"/>
    <cellStyle name="Normal 5 2 2 2 3 2 3 4 2" xfId="11305"/>
    <cellStyle name="Normal 5 2 2 2 3 2 3 4 3" xfId="16844"/>
    <cellStyle name="Normal 5 2 2 2 3 2 3 5" xfId="2468"/>
    <cellStyle name="Normal 5 2 2 2 3 2 3 5 2" xfId="8014"/>
    <cellStyle name="Normal 5 2 2 2 3 2 3 5 3" xfId="13553"/>
    <cellStyle name="Normal 5 2 2 2 3 2 3 6" xfId="6809"/>
    <cellStyle name="Normal 5 2 2 2 3 2 3 7" xfId="12348"/>
    <cellStyle name="Normal 5 2 2 2 3 2 4" xfId="796"/>
    <cellStyle name="Normal 5 2 2 2 3 2 4 2" xfId="3326"/>
    <cellStyle name="Normal 5 2 2 2 3 2 4 2 2" xfId="8868"/>
    <cellStyle name="Normal 5 2 2 2 3 2 4 2 3" xfId="14407"/>
    <cellStyle name="Normal 5 2 2 2 3 2 4 3" xfId="4363"/>
    <cellStyle name="Normal 5 2 2 2 3 2 4 3 2" xfId="9902"/>
    <cellStyle name="Normal 5 2 2 2 3 2 4 3 3" xfId="15441"/>
    <cellStyle name="Normal 5 2 2 2 3 2 4 4" xfId="5298"/>
    <cellStyle name="Normal 5 2 2 2 3 2 4 4 2" xfId="10837"/>
    <cellStyle name="Normal 5 2 2 2 3 2 4 4 3" xfId="16376"/>
    <cellStyle name="Normal 5 2 2 2 3 2 4 5" xfId="2000"/>
    <cellStyle name="Normal 5 2 2 2 3 2 4 5 2" xfId="7546"/>
    <cellStyle name="Normal 5 2 2 2 3 2 4 5 3" xfId="13085"/>
    <cellStyle name="Normal 5 2 2 2 3 2 4 6" xfId="6341"/>
    <cellStyle name="Normal 5 2 2 2 3 2 4 7" xfId="11880"/>
    <cellStyle name="Normal 5 2 2 2 3 2 5" xfId="1609"/>
    <cellStyle name="Normal 5 2 2 2 3 2 5 2" xfId="2814"/>
    <cellStyle name="Normal 5 2 2 2 3 2 5 2 2" xfId="8360"/>
    <cellStyle name="Normal 5 2 2 2 3 2 5 2 3" xfId="13899"/>
    <cellStyle name="Normal 5 2 2 2 3 2 5 3" xfId="7155"/>
    <cellStyle name="Normal 5 2 2 2 3 2 5 4" xfId="12694"/>
    <cellStyle name="Normal 5 2 2 2 3 2 6" xfId="2987"/>
    <cellStyle name="Normal 5 2 2 2 3 2 6 2" xfId="8531"/>
    <cellStyle name="Normal 5 2 2 2 3 2 6 3" xfId="14070"/>
    <cellStyle name="Normal 5 2 2 2 3 2 7" xfId="4032"/>
    <cellStyle name="Normal 5 2 2 2 3 2 7 2" xfId="9574"/>
    <cellStyle name="Normal 5 2 2 2 3 2 7 3" xfId="15113"/>
    <cellStyle name="Normal 5 2 2 2 3 2 8" xfId="5069"/>
    <cellStyle name="Normal 5 2 2 2 3 2 8 2" xfId="10608"/>
    <cellStyle name="Normal 5 2 2 2 3 2 8 3" xfId="16147"/>
    <cellStyle name="Normal 5 2 2 2 3 2 9" xfId="1771"/>
    <cellStyle name="Normal 5 2 2 2 3 2 9 2" xfId="7317"/>
    <cellStyle name="Normal 5 2 2 2 3 2 9 3" xfId="12856"/>
    <cellStyle name="Normal 5 2 2 2 3 3" xfId="477"/>
    <cellStyle name="Normal 5 2 2 2 3 3 2" xfId="1318"/>
    <cellStyle name="Normal 5 2 2 2 3 3 2 2" xfId="3850"/>
    <cellStyle name="Normal 5 2 2 2 3 3 2 2 2" xfId="9392"/>
    <cellStyle name="Normal 5 2 2 2 3 3 2 2 3" xfId="14931"/>
    <cellStyle name="Normal 5 2 2 2 3 3 2 3" xfId="4887"/>
    <cellStyle name="Normal 5 2 2 2 3 3 2 3 2" xfId="10426"/>
    <cellStyle name="Normal 5 2 2 2 3 3 2 3 3" xfId="15965"/>
    <cellStyle name="Normal 5 2 2 2 3 3 2 4" xfId="5821"/>
    <cellStyle name="Normal 5 2 2 2 3 3 2 4 2" xfId="11360"/>
    <cellStyle name="Normal 5 2 2 2 3 3 2 4 3" xfId="16899"/>
    <cellStyle name="Normal 5 2 2 2 3 3 2 5" xfId="2523"/>
    <cellStyle name="Normal 5 2 2 2 3 3 2 5 2" xfId="8069"/>
    <cellStyle name="Normal 5 2 2 2 3 3 2 5 3" xfId="13608"/>
    <cellStyle name="Normal 5 2 2 2 3 3 2 6" xfId="6864"/>
    <cellStyle name="Normal 5 2 2 2 3 3 2 7" xfId="12403"/>
    <cellStyle name="Normal 5 2 2 2 3 3 3" xfId="997"/>
    <cellStyle name="Normal 5 2 2 2 3 3 3 2" xfId="3527"/>
    <cellStyle name="Normal 5 2 2 2 3 3 3 2 2" xfId="9069"/>
    <cellStyle name="Normal 5 2 2 2 3 3 3 2 3" xfId="14608"/>
    <cellStyle name="Normal 5 2 2 2 3 3 3 3" xfId="4564"/>
    <cellStyle name="Normal 5 2 2 2 3 3 3 3 2" xfId="10103"/>
    <cellStyle name="Normal 5 2 2 2 3 3 3 3 3" xfId="15642"/>
    <cellStyle name="Normal 5 2 2 2 3 3 3 4" xfId="5499"/>
    <cellStyle name="Normal 5 2 2 2 3 3 3 4 2" xfId="11038"/>
    <cellStyle name="Normal 5 2 2 2 3 3 3 4 3" xfId="16577"/>
    <cellStyle name="Normal 5 2 2 2 3 3 3 5" xfId="2201"/>
    <cellStyle name="Normal 5 2 2 2 3 3 3 5 2" xfId="7747"/>
    <cellStyle name="Normal 5 2 2 2 3 3 3 5 3" xfId="13286"/>
    <cellStyle name="Normal 5 2 2 2 3 3 3 6" xfId="6542"/>
    <cellStyle name="Normal 5 2 2 2 3 3 3 7" xfId="12081"/>
    <cellStyle name="Normal 5 2 2 2 3 3 4" xfId="3136"/>
    <cellStyle name="Normal 5 2 2 2 3 3 4 2" xfId="8678"/>
    <cellStyle name="Normal 5 2 2 2 3 3 4 3" xfId="14217"/>
    <cellStyle name="Normal 5 2 2 2 3 3 5" xfId="4175"/>
    <cellStyle name="Normal 5 2 2 2 3 3 5 2" xfId="9714"/>
    <cellStyle name="Normal 5 2 2 2 3 3 5 3" xfId="15253"/>
    <cellStyle name="Normal 5 2 2 2 3 3 6" xfId="5136"/>
    <cellStyle name="Normal 5 2 2 2 3 3 6 2" xfId="10675"/>
    <cellStyle name="Normal 5 2 2 2 3 3 6 3" xfId="16214"/>
    <cellStyle name="Normal 5 2 2 2 3 3 7" xfId="1838"/>
    <cellStyle name="Normal 5 2 2 2 3 3 7 2" xfId="7384"/>
    <cellStyle name="Normal 5 2 2 2 3 3 7 3" xfId="12923"/>
    <cellStyle name="Normal 5 2 2 2 3 3 8" xfId="6179"/>
    <cellStyle name="Normal 5 2 2 2 3 3 9" xfId="11718"/>
    <cellStyle name="Normal 5 2 2 2 3 4" xfId="1174"/>
    <cellStyle name="Normal 5 2 2 2 3 4 2" xfId="3704"/>
    <cellStyle name="Normal 5 2 2 2 3 4 2 2" xfId="9246"/>
    <cellStyle name="Normal 5 2 2 2 3 4 2 3" xfId="14785"/>
    <cellStyle name="Normal 5 2 2 2 3 4 3" xfId="4741"/>
    <cellStyle name="Normal 5 2 2 2 3 4 3 2" xfId="10280"/>
    <cellStyle name="Normal 5 2 2 2 3 4 3 3" xfId="15819"/>
    <cellStyle name="Normal 5 2 2 2 3 4 4" xfId="5676"/>
    <cellStyle name="Normal 5 2 2 2 3 4 4 2" xfId="11215"/>
    <cellStyle name="Normal 5 2 2 2 3 4 4 3" xfId="16754"/>
    <cellStyle name="Normal 5 2 2 2 3 4 5" xfId="2378"/>
    <cellStyle name="Normal 5 2 2 2 3 4 5 2" xfId="7924"/>
    <cellStyle name="Normal 5 2 2 2 3 4 5 3" xfId="13463"/>
    <cellStyle name="Normal 5 2 2 2 3 4 6" xfId="6719"/>
    <cellStyle name="Normal 5 2 2 2 3 4 7" xfId="12258"/>
    <cellStyle name="Normal 5 2 2 2 3 5" xfId="795"/>
    <cellStyle name="Normal 5 2 2 2 3 5 2" xfId="3325"/>
    <cellStyle name="Normal 5 2 2 2 3 5 2 2" xfId="8867"/>
    <cellStyle name="Normal 5 2 2 2 3 5 2 3" xfId="14406"/>
    <cellStyle name="Normal 5 2 2 2 3 5 3" xfId="4362"/>
    <cellStyle name="Normal 5 2 2 2 3 5 3 2" xfId="9901"/>
    <cellStyle name="Normal 5 2 2 2 3 5 3 3" xfId="15440"/>
    <cellStyle name="Normal 5 2 2 2 3 5 4" xfId="5297"/>
    <cellStyle name="Normal 5 2 2 2 3 5 4 2" xfId="10836"/>
    <cellStyle name="Normal 5 2 2 2 3 5 4 3" xfId="16375"/>
    <cellStyle name="Normal 5 2 2 2 3 5 5" xfId="1999"/>
    <cellStyle name="Normal 5 2 2 2 3 5 5 2" xfId="7545"/>
    <cellStyle name="Normal 5 2 2 2 3 5 5 3" xfId="13084"/>
    <cellStyle name="Normal 5 2 2 2 3 5 6" xfId="6340"/>
    <cellStyle name="Normal 5 2 2 2 3 5 7" xfId="11879"/>
    <cellStyle name="Normal 5 2 2 2 3 6" xfId="1519"/>
    <cellStyle name="Normal 5 2 2 2 3 6 2" xfId="2724"/>
    <cellStyle name="Normal 5 2 2 2 3 6 2 2" xfId="8270"/>
    <cellStyle name="Normal 5 2 2 2 3 6 2 3" xfId="13809"/>
    <cellStyle name="Normal 5 2 2 2 3 6 3" xfId="7065"/>
    <cellStyle name="Normal 5 2 2 2 3 6 4" xfId="12604"/>
    <cellStyle name="Normal 5 2 2 2 3 7" xfId="2897"/>
    <cellStyle name="Normal 5 2 2 2 3 7 2" xfId="8441"/>
    <cellStyle name="Normal 5 2 2 2 3 7 3" xfId="13980"/>
    <cellStyle name="Normal 5 2 2 2 3 8" xfId="3094"/>
    <cellStyle name="Normal 5 2 2 2 3 8 2" xfId="8637"/>
    <cellStyle name="Normal 5 2 2 2 3 8 3" xfId="14176"/>
    <cellStyle name="Normal 5 2 2 2 3 9" xfId="4137"/>
    <cellStyle name="Normal 5 2 2 2 3 9 2" xfId="9678"/>
    <cellStyle name="Normal 5 2 2 2 3 9 3" xfId="15217"/>
    <cellStyle name="Normal 5 2 2 2 4" xfId="280"/>
    <cellStyle name="Normal 5 2 2 2 4 10" xfId="1717"/>
    <cellStyle name="Normal 5 2 2 2 4 10 2" xfId="7263"/>
    <cellStyle name="Normal 5 2 2 2 4 10 3" xfId="12802"/>
    <cellStyle name="Normal 5 2 2 2 4 11" xfId="6058"/>
    <cellStyle name="Normal 5 2 2 2 4 11 2" xfId="17136"/>
    <cellStyle name="Normal 5 2 2 2 4 12" xfId="702"/>
    <cellStyle name="Normal 5 2 2 2 4 12 2" xfId="17298"/>
    <cellStyle name="Normal 5 2 2 2 4 13" xfId="11597"/>
    <cellStyle name="Normal 5 2 2 2 4 14" xfId="17465"/>
    <cellStyle name="Normal 5 2 2 2 4 15" xfId="17630"/>
    <cellStyle name="Normal 5 2 2 2 4 2" xfId="281"/>
    <cellStyle name="Normal 5 2 2 2 4 2 10" xfId="6094"/>
    <cellStyle name="Normal 5 2 2 2 4 2 10 2" xfId="17172"/>
    <cellStyle name="Normal 5 2 2 2 4 2 11" xfId="738"/>
    <cellStyle name="Normal 5 2 2 2 4 2 11 2" xfId="17334"/>
    <cellStyle name="Normal 5 2 2 2 4 2 12" xfId="11633"/>
    <cellStyle name="Normal 5 2 2 2 4 2 13" xfId="17501"/>
    <cellStyle name="Normal 5 2 2 2 4 2 14" xfId="17666"/>
    <cellStyle name="Normal 5 2 2 2 4 2 2" xfId="480"/>
    <cellStyle name="Normal 5 2 2 2 4 2 2 2" xfId="1321"/>
    <cellStyle name="Normal 5 2 2 2 4 2 2 2 2" xfId="3853"/>
    <cellStyle name="Normal 5 2 2 2 4 2 2 2 2 2" xfId="9395"/>
    <cellStyle name="Normal 5 2 2 2 4 2 2 2 2 3" xfId="14934"/>
    <cellStyle name="Normal 5 2 2 2 4 2 2 2 3" xfId="4890"/>
    <cellStyle name="Normal 5 2 2 2 4 2 2 2 3 2" xfId="10429"/>
    <cellStyle name="Normal 5 2 2 2 4 2 2 2 3 3" xfId="15968"/>
    <cellStyle name="Normal 5 2 2 2 4 2 2 2 4" xfId="5824"/>
    <cellStyle name="Normal 5 2 2 2 4 2 2 2 4 2" xfId="11363"/>
    <cellStyle name="Normal 5 2 2 2 4 2 2 2 4 3" xfId="16902"/>
    <cellStyle name="Normal 5 2 2 2 4 2 2 2 5" xfId="2526"/>
    <cellStyle name="Normal 5 2 2 2 4 2 2 2 5 2" xfId="8072"/>
    <cellStyle name="Normal 5 2 2 2 4 2 2 2 5 3" xfId="13611"/>
    <cellStyle name="Normal 5 2 2 2 4 2 2 2 6" xfId="6867"/>
    <cellStyle name="Normal 5 2 2 2 4 2 2 2 7" xfId="12406"/>
    <cellStyle name="Normal 5 2 2 2 4 2 2 3" xfId="1069"/>
    <cellStyle name="Normal 5 2 2 2 4 2 2 3 2" xfId="3599"/>
    <cellStyle name="Normal 5 2 2 2 4 2 2 3 2 2" xfId="9141"/>
    <cellStyle name="Normal 5 2 2 2 4 2 2 3 2 3" xfId="14680"/>
    <cellStyle name="Normal 5 2 2 2 4 2 2 3 3" xfId="4636"/>
    <cellStyle name="Normal 5 2 2 2 4 2 2 3 3 2" xfId="10175"/>
    <cellStyle name="Normal 5 2 2 2 4 2 2 3 3 3" xfId="15714"/>
    <cellStyle name="Normal 5 2 2 2 4 2 2 3 4" xfId="5571"/>
    <cellStyle name="Normal 5 2 2 2 4 2 2 3 4 2" xfId="11110"/>
    <cellStyle name="Normal 5 2 2 2 4 2 2 3 4 3" xfId="16649"/>
    <cellStyle name="Normal 5 2 2 2 4 2 2 3 5" xfId="2273"/>
    <cellStyle name="Normal 5 2 2 2 4 2 2 3 5 2" xfId="7819"/>
    <cellStyle name="Normal 5 2 2 2 4 2 2 3 5 3" xfId="13358"/>
    <cellStyle name="Normal 5 2 2 2 4 2 2 3 6" xfId="6614"/>
    <cellStyle name="Normal 5 2 2 2 4 2 2 3 7" xfId="12153"/>
    <cellStyle name="Normal 5 2 2 2 4 2 2 4" xfId="3139"/>
    <cellStyle name="Normal 5 2 2 2 4 2 2 4 2" xfId="8681"/>
    <cellStyle name="Normal 5 2 2 2 4 2 2 4 3" xfId="14220"/>
    <cellStyle name="Normal 5 2 2 2 4 2 2 5" xfId="4178"/>
    <cellStyle name="Normal 5 2 2 2 4 2 2 5 2" xfId="9717"/>
    <cellStyle name="Normal 5 2 2 2 4 2 2 5 3" xfId="15256"/>
    <cellStyle name="Normal 5 2 2 2 4 2 2 6" xfId="5139"/>
    <cellStyle name="Normal 5 2 2 2 4 2 2 6 2" xfId="10678"/>
    <cellStyle name="Normal 5 2 2 2 4 2 2 6 3" xfId="16217"/>
    <cellStyle name="Normal 5 2 2 2 4 2 2 7" xfId="1841"/>
    <cellStyle name="Normal 5 2 2 2 4 2 2 7 2" xfId="7387"/>
    <cellStyle name="Normal 5 2 2 2 4 2 2 7 3" xfId="12926"/>
    <cellStyle name="Normal 5 2 2 2 4 2 2 8" xfId="6182"/>
    <cellStyle name="Normal 5 2 2 2 4 2 2 9" xfId="11721"/>
    <cellStyle name="Normal 5 2 2 2 4 2 3" xfId="1246"/>
    <cellStyle name="Normal 5 2 2 2 4 2 3 2" xfId="3776"/>
    <cellStyle name="Normal 5 2 2 2 4 2 3 2 2" xfId="9318"/>
    <cellStyle name="Normal 5 2 2 2 4 2 3 2 3" xfId="14857"/>
    <cellStyle name="Normal 5 2 2 2 4 2 3 3" xfId="4813"/>
    <cellStyle name="Normal 5 2 2 2 4 2 3 3 2" xfId="10352"/>
    <cellStyle name="Normal 5 2 2 2 4 2 3 3 3" xfId="15891"/>
    <cellStyle name="Normal 5 2 2 2 4 2 3 4" xfId="5748"/>
    <cellStyle name="Normal 5 2 2 2 4 2 3 4 2" xfId="11287"/>
    <cellStyle name="Normal 5 2 2 2 4 2 3 4 3" xfId="16826"/>
    <cellStyle name="Normal 5 2 2 2 4 2 3 5" xfId="2450"/>
    <cellStyle name="Normal 5 2 2 2 4 2 3 5 2" xfId="7996"/>
    <cellStyle name="Normal 5 2 2 2 4 2 3 5 3" xfId="13535"/>
    <cellStyle name="Normal 5 2 2 2 4 2 3 6" xfId="6791"/>
    <cellStyle name="Normal 5 2 2 2 4 2 3 7" xfId="12330"/>
    <cellStyle name="Normal 5 2 2 2 4 2 4" xfId="798"/>
    <cellStyle name="Normal 5 2 2 2 4 2 4 2" xfId="3328"/>
    <cellStyle name="Normal 5 2 2 2 4 2 4 2 2" xfId="8870"/>
    <cellStyle name="Normal 5 2 2 2 4 2 4 2 3" xfId="14409"/>
    <cellStyle name="Normal 5 2 2 2 4 2 4 3" xfId="4365"/>
    <cellStyle name="Normal 5 2 2 2 4 2 4 3 2" xfId="9904"/>
    <cellStyle name="Normal 5 2 2 2 4 2 4 3 3" xfId="15443"/>
    <cellStyle name="Normal 5 2 2 2 4 2 4 4" xfId="5300"/>
    <cellStyle name="Normal 5 2 2 2 4 2 4 4 2" xfId="10839"/>
    <cellStyle name="Normal 5 2 2 2 4 2 4 4 3" xfId="16378"/>
    <cellStyle name="Normal 5 2 2 2 4 2 4 5" xfId="2002"/>
    <cellStyle name="Normal 5 2 2 2 4 2 4 5 2" xfId="7548"/>
    <cellStyle name="Normal 5 2 2 2 4 2 4 5 3" xfId="13087"/>
    <cellStyle name="Normal 5 2 2 2 4 2 4 6" xfId="6343"/>
    <cellStyle name="Normal 5 2 2 2 4 2 4 7" xfId="11882"/>
    <cellStyle name="Normal 5 2 2 2 4 2 5" xfId="1591"/>
    <cellStyle name="Normal 5 2 2 2 4 2 5 2" xfId="2796"/>
    <cellStyle name="Normal 5 2 2 2 4 2 5 2 2" xfId="8342"/>
    <cellStyle name="Normal 5 2 2 2 4 2 5 2 3" xfId="13881"/>
    <cellStyle name="Normal 5 2 2 2 4 2 5 3" xfId="7137"/>
    <cellStyle name="Normal 5 2 2 2 4 2 5 4" xfId="12676"/>
    <cellStyle name="Normal 5 2 2 2 4 2 6" xfId="2969"/>
    <cellStyle name="Normal 5 2 2 2 4 2 6 2" xfId="8513"/>
    <cellStyle name="Normal 5 2 2 2 4 2 6 3" xfId="14052"/>
    <cellStyle name="Normal 5 2 2 2 4 2 7" xfId="4014"/>
    <cellStyle name="Normal 5 2 2 2 4 2 7 2" xfId="9556"/>
    <cellStyle name="Normal 5 2 2 2 4 2 7 3" xfId="15095"/>
    <cellStyle name="Normal 5 2 2 2 4 2 8" xfId="5051"/>
    <cellStyle name="Normal 5 2 2 2 4 2 8 2" xfId="10590"/>
    <cellStyle name="Normal 5 2 2 2 4 2 8 3" xfId="16129"/>
    <cellStyle name="Normal 5 2 2 2 4 2 9" xfId="1753"/>
    <cellStyle name="Normal 5 2 2 2 4 2 9 2" xfId="7299"/>
    <cellStyle name="Normal 5 2 2 2 4 2 9 3" xfId="12838"/>
    <cellStyle name="Normal 5 2 2 2 4 3" xfId="479"/>
    <cellStyle name="Normal 5 2 2 2 4 3 2" xfId="1320"/>
    <cellStyle name="Normal 5 2 2 2 4 3 2 2" xfId="3852"/>
    <cellStyle name="Normal 5 2 2 2 4 3 2 2 2" xfId="9394"/>
    <cellStyle name="Normal 5 2 2 2 4 3 2 2 3" xfId="14933"/>
    <cellStyle name="Normal 5 2 2 2 4 3 2 3" xfId="4889"/>
    <cellStyle name="Normal 5 2 2 2 4 3 2 3 2" xfId="10428"/>
    <cellStyle name="Normal 5 2 2 2 4 3 2 3 3" xfId="15967"/>
    <cellStyle name="Normal 5 2 2 2 4 3 2 4" xfId="5823"/>
    <cellStyle name="Normal 5 2 2 2 4 3 2 4 2" xfId="11362"/>
    <cellStyle name="Normal 5 2 2 2 4 3 2 4 3" xfId="16901"/>
    <cellStyle name="Normal 5 2 2 2 4 3 2 5" xfId="2525"/>
    <cellStyle name="Normal 5 2 2 2 4 3 2 5 2" xfId="8071"/>
    <cellStyle name="Normal 5 2 2 2 4 3 2 5 3" xfId="13610"/>
    <cellStyle name="Normal 5 2 2 2 4 3 2 6" xfId="6866"/>
    <cellStyle name="Normal 5 2 2 2 4 3 2 7" xfId="12405"/>
    <cellStyle name="Normal 5 2 2 2 4 3 3" xfId="1033"/>
    <cellStyle name="Normal 5 2 2 2 4 3 3 2" xfId="3563"/>
    <cellStyle name="Normal 5 2 2 2 4 3 3 2 2" xfId="9105"/>
    <cellStyle name="Normal 5 2 2 2 4 3 3 2 3" xfId="14644"/>
    <cellStyle name="Normal 5 2 2 2 4 3 3 3" xfId="4600"/>
    <cellStyle name="Normal 5 2 2 2 4 3 3 3 2" xfId="10139"/>
    <cellStyle name="Normal 5 2 2 2 4 3 3 3 3" xfId="15678"/>
    <cellStyle name="Normal 5 2 2 2 4 3 3 4" xfId="5535"/>
    <cellStyle name="Normal 5 2 2 2 4 3 3 4 2" xfId="11074"/>
    <cellStyle name="Normal 5 2 2 2 4 3 3 4 3" xfId="16613"/>
    <cellStyle name="Normal 5 2 2 2 4 3 3 5" xfId="2237"/>
    <cellStyle name="Normal 5 2 2 2 4 3 3 5 2" xfId="7783"/>
    <cellStyle name="Normal 5 2 2 2 4 3 3 5 3" xfId="13322"/>
    <cellStyle name="Normal 5 2 2 2 4 3 3 6" xfId="6578"/>
    <cellStyle name="Normal 5 2 2 2 4 3 3 7" xfId="12117"/>
    <cellStyle name="Normal 5 2 2 2 4 3 4" xfId="3138"/>
    <cellStyle name="Normal 5 2 2 2 4 3 4 2" xfId="8680"/>
    <cellStyle name="Normal 5 2 2 2 4 3 4 3" xfId="14219"/>
    <cellStyle name="Normal 5 2 2 2 4 3 5" xfId="4177"/>
    <cellStyle name="Normal 5 2 2 2 4 3 5 2" xfId="9716"/>
    <cellStyle name="Normal 5 2 2 2 4 3 5 3" xfId="15255"/>
    <cellStyle name="Normal 5 2 2 2 4 3 6" xfId="5138"/>
    <cellStyle name="Normal 5 2 2 2 4 3 6 2" xfId="10677"/>
    <cellStyle name="Normal 5 2 2 2 4 3 6 3" xfId="16216"/>
    <cellStyle name="Normal 5 2 2 2 4 3 7" xfId="1840"/>
    <cellStyle name="Normal 5 2 2 2 4 3 7 2" xfId="7386"/>
    <cellStyle name="Normal 5 2 2 2 4 3 7 3" xfId="12925"/>
    <cellStyle name="Normal 5 2 2 2 4 3 8" xfId="6181"/>
    <cellStyle name="Normal 5 2 2 2 4 3 9" xfId="11720"/>
    <cellStyle name="Normal 5 2 2 2 4 4" xfId="1210"/>
    <cellStyle name="Normal 5 2 2 2 4 4 2" xfId="3740"/>
    <cellStyle name="Normal 5 2 2 2 4 4 2 2" xfId="9282"/>
    <cellStyle name="Normal 5 2 2 2 4 4 2 3" xfId="14821"/>
    <cellStyle name="Normal 5 2 2 2 4 4 3" xfId="4777"/>
    <cellStyle name="Normal 5 2 2 2 4 4 3 2" xfId="10316"/>
    <cellStyle name="Normal 5 2 2 2 4 4 3 3" xfId="15855"/>
    <cellStyle name="Normal 5 2 2 2 4 4 4" xfId="5712"/>
    <cellStyle name="Normal 5 2 2 2 4 4 4 2" xfId="11251"/>
    <cellStyle name="Normal 5 2 2 2 4 4 4 3" xfId="16790"/>
    <cellStyle name="Normal 5 2 2 2 4 4 5" xfId="2414"/>
    <cellStyle name="Normal 5 2 2 2 4 4 5 2" xfId="7960"/>
    <cellStyle name="Normal 5 2 2 2 4 4 5 3" xfId="13499"/>
    <cellStyle name="Normal 5 2 2 2 4 4 6" xfId="6755"/>
    <cellStyle name="Normal 5 2 2 2 4 4 7" xfId="12294"/>
    <cellStyle name="Normal 5 2 2 2 4 5" xfId="797"/>
    <cellStyle name="Normal 5 2 2 2 4 5 2" xfId="3327"/>
    <cellStyle name="Normal 5 2 2 2 4 5 2 2" xfId="8869"/>
    <cellStyle name="Normal 5 2 2 2 4 5 2 3" xfId="14408"/>
    <cellStyle name="Normal 5 2 2 2 4 5 3" xfId="4364"/>
    <cellStyle name="Normal 5 2 2 2 4 5 3 2" xfId="9903"/>
    <cellStyle name="Normal 5 2 2 2 4 5 3 3" xfId="15442"/>
    <cellStyle name="Normal 5 2 2 2 4 5 4" xfId="5299"/>
    <cellStyle name="Normal 5 2 2 2 4 5 4 2" xfId="10838"/>
    <cellStyle name="Normal 5 2 2 2 4 5 4 3" xfId="16377"/>
    <cellStyle name="Normal 5 2 2 2 4 5 5" xfId="2001"/>
    <cellStyle name="Normal 5 2 2 2 4 5 5 2" xfId="7547"/>
    <cellStyle name="Normal 5 2 2 2 4 5 5 3" xfId="13086"/>
    <cellStyle name="Normal 5 2 2 2 4 5 6" xfId="6342"/>
    <cellStyle name="Normal 5 2 2 2 4 5 7" xfId="11881"/>
    <cellStyle name="Normal 5 2 2 2 4 6" xfId="1555"/>
    <cellStyle name="Normal 5 2 2 2 4 6 2" xfId="2760"/>
    <cellStyle name="Normal 5 2 2 2 4 6 2 2" xfId="8306"/>
    <cellStyle name="Normal 5 2 2 2 4 6 2 3" xfId="13845"/>
    <cellStyle name="Normal 5 2 2 2 4 6 3" xfId="7101"/>
    <cellStyle name="Normal 5 2 2 2 4 6 4" xfId="12640"/>
    <cellStyle name="Normal 5 2 2 2 4 7" xfId="2933"/>
    <cellStyle name="Normal 5 2 2 2 4 7 2" xfId="8477"/>
    <cellStyle name="Normal 5 2 2 2 4 7 3" xfId="14016"/>
    <cellStyle name="Normal 5 2 2 2 4 8" xfId="3078"/>
    <cellStyle name="Normal 5 2 2 2 4 8 2" xfId="8621"/>
    <cellStyle name="Normal 5 2 2 2 4 8 3" xfId="14160"/>
    <cellStyle name="Normal 5 2 2 2 4 9" xfId="4121"/>
    <cellStyle name="Normal 5 2 2 2 4 9 2" xfId="9662"/>
    <cellStyle name="Normal 5 2 2 2 4 9 3" xfId="15201"/>
    <cellStyle name="Normal 5 2 2 2 5" xfId="282"/>
    <cellStyle name="Normal 5 2 2 2 5 10" xfId="6076"/>
    <cellStyle name="Normal 5 2 2 2 5 10 2" xfId="17154"/>
    <cellStyle name="Normal 5 2 2 2 5 11" xfId="720"/>
    <cellStyle name="Normal 5 2 2 2 5 11 2" xfId="17316"/>
    <cellStyle name="Normal 5 2 2 2 5 12" xfId="11615"/>
    <cellStyle name="Normal 5 2 2 2 5 13" xfId="17483"/>
    <cellStyle name="Normal 5 2 2 2 5 14" xfId="17648"/>
    <cellStyle name="Normal 5 2 2 2 5 2" xfId="481"/>
    <cellStyle name="Normal 5 2 2 2 5 2 2" xfId="1322"/>
    <cellStyle name="Normal 5 2 2 2 5 2 2 2" xfId="3854"/>
    <cellStyle name="Normal 5 2 2 2 5 2 2 2 2" xfId="9396"/>
    <cellStyle name="Normal 5 2 2 2 5 2 2 2 3" xfId="14935"/>
    <cellStyle name="Normal 5 2 2 2 5 2 2 3" xfId="4891"/>
    <cellStyle name="Normal 5 2 2 2 5 2 2 3 2" xfId="10430"/>
    <cellStyle name="Normal 5 2 2 2 5 2 2 3 3" xfId="15969"/>
    <cellStyle name="Normal 5 2 2 2 5 2 2 4" xfId="5825"/>
    <cellStyle name="Normal 5 2 2 2 5 2 2 4 2" xfId="11364"/>
    <cellStyle name="Normal 5 2 2 2 5 2 2 4 3" xfId="16903"/>
    <cellStyle name="Normal 5 2 2 2 5 2 2 5" xfId="2527"/>
    <cellStyle name="Normal 5 2 2 2 5 2 2 5 2" xfId="8073"/>
    <cellStyle name="Normal 5 2 2 2 5 2 2 5 3" xfId="13612"/>
    <cellStyle name="Normal 5 2 2 2 5 2 2 6" xfId="6868"/>
    <cellStyle name="Normal 5 2 2 2 5 2 2 7" xfId="12407"/>
    <cellStyle name="Normal 5 2 2 2 5 2 3" xfId="1051"/>
    <cellStyle name="Normal 5 2 2 2 5 2 3 2" xfId="3581"/>
    <cellStyle name="Normal 5 2 2 2 5 2 3 2 2" xfId="9123"/>
    <cellStyle name="Normal 5 2 2 2 5 2 3 2 3" xfId="14662"/>
    <cellStyle name="Normal 5 2 2 2 5 2 3 3" xfId="4618"/>
    <cellStyle name="Normal 5 2 2 2 5 2 3 3 2" xfId="10157"/>
    <cellStyle name="Normal 5 2 2 2 5 2 3 3 3" xfId="15696"/>
    <cellStyle name="Normal 5 2 2 2 5 2 3 4" xfId="5553"/>
    <cellStyle name="Normal 5 2 2 2 5 2 3 4 2" xfId="11092"/>
    <cellStyle name="Normal 5 2 2 2 5 2 3 4 3" xfId="16631"/>
    <cellStyle name="Normal 5 2 2 2 5 2 3 5" xfId="2255"/>
    <cellStyle name="Normal 5 2 2 2 5 2 3 5 2" xfId="7801"/>
    <cellStyle name="Normal 5 2 2 2 5 2 3 5 3" xfId="13340"/>
    <cellStyle name="Normal 5 2 2 2 5 2 3 6" xfId="6596"/>
    <cellStyle name="Normal 5 2 2 2 5 2 3 7" xfId="12135"/>
    <cellStyle name="Normal 5 2 2 2 5 2 4" xfId="3140"/>
    <cellStyle name="Normal 5 2 2 2 5 2 4 2" xfId="8682"/>
    <cellStyle name="Normal 5 2 2 2 5 2 4 3" xfId="14221"/>
    <cellStyle name="Normal 5 2 2 2 5 2 5" xfId="4179"/>
    <cellStyle name="Normal 5 2 2 2 5 2 5 2" xfId="9718"/>
    <cellStyle name="Normal 5 2 2 2 5 2 5 3" xfId="15257"/>
    <cellStyle name="Normal 5 2 2 2 5 2 6" xfId="5140"/>
    <cellStyle name="Normal 5 2 2 2 5 2 6 2" xfId="10679"/>
    <cellStyle name="Normal 5 2 2 2 5 2 6 3" xfId="16218"/>
    <cellStyle name="Normal 5 2 2 2 5 2 7" xfId="1842"/>
    <cellStyle name="Normal 5 2 2 2 5 2 7 2" xfId="7388"/>
    <cellStyle name="Normal 5 2 2 2 5 2 7 3" xfId="12927"/>
    <cellStyle name="Normal 5 2 2 2 5 2 8" xfId="6183"/>
    <cellStyle name="Normal 5 2 2 2 5 2 9" xfId="11722"/>
    <cellStyle name="Normal 5 2 2 2 5 3" xfId="1228"/>
    <cellStyle name="Normal 5 2 2 2 5 3 2" xfId="3758"/>
    <cellStyle name="Normal 5 2 2 2 5 3 2 2" xfId="9300"/>
    <cellStyle name="Normal 5 2 2 2 5 3 2 3" xfId="14839"/>
    <cellStyle name="Normal 5 2 2 2 5 3 3" xfId="4795"/>
    <cellStyle name="Normal 5 2 2 2 5 3 3 2" xfId="10334"/>
    <cellStyle name="Normal 5 2 2 2 5 3 3 3" xfId="15873"/>
    <cellStyle name="Normal 5 2 2 2 5 3 4" xfId="5730"/>
    <cellStyle name="Normal 5 2 2 2 5 3 4 2" xfId="11269"/>
    <cellStyle name="Normal 5 2 2 2 5 3 4 3" xfId="16808"/>
    <cellStyle name="Normal 5 2 2 2 5 3 5" xfId="2432"/>
    <cellStyle name="Normal 5 2 2 2 5 3 5 2" xfId="7978"/>
    <cellStyle name="Normal 5 2 2 2 5 3 5 3" xfId="13517"/>
    <cellStyle name="Normal 5 2 2 2 5 3 6" xfId="6773"/>
    <cellStyle name="Normal 5 2 2 2 5 3 7" xfId="12312"/>
    <cellStyle name="Normal 5 2 2 2 5 4" xfId="799"/>
    <cellStyle name="Normal 5 2 2 2 5 4 2" xfId="3329"/>
    <cellStyle name="Normal 5 2 2 2 5 4 2 2" xfId="8871"/>
    <cellStyle name="Normal 5 2 2 2 5 4 2 3" xfId="14410"/>
    <cellStyle name="Normal 5 2 2 2 5 4 3" xfId="4366"/>
    <cellStyle name="Normal 5 2 2 2 5 4 3 2" xfId="9905"/>
    <cellStyle name="Normal 5 2 2 2 5 4 3 3" xfId="15444"/>
    <cellStyle name="Normal 5 2 2 2 5 4 4" xfId="5301"/>
    <cellStyle name="Normal 5 2 2 2 5 4 4 2" xfId="10840"/>
    <cellStyle name="Normal 5 2 2 2 5 4 4 3" xfId="16379"/>
    <cellStyle name="Normal 5 2 2 2 5 4 5" xfId="2003"/>
    <cellStyle name="Normal 5 2 2 2 5 4 5 2" xfId="7549"/>
    <cellStyle name="Normal 5 2 2 2 5 4 5 3" xfId="13088"/>
    <cellStyle name="Normal 5 2 2 2 5 4 6" xfId="6344"/>
    <cellStyle name="Normal 5 2 2 2 5 4 7" xfId="11883"/>
    <cellStyle name="Normal 5 2 2 2 5 5" xfId="1573"/>
    <cellStyle name="Normal 5 2 2 2 5 5 2" xfId="2778"/>
    <cellStyle name="Normal 5 2 2 2 5 5 2 2" xfId="8324"/>
    <cellStyle name="Normal 5 2 2 2 5 5 2 3" xfId="13863"/>
    <cellStyle name="Normal 5 2 2 2 5 5 3" xfId="7119"/>
    <cellStyle name="Normal 5 2 2 2 5 5 4" xfId="12658"/>
    <cellStyle name="Normal 5 2 2 2 5 6" xfId="2951"/>
    <cellStyle name="Normal 5 2 2 2 5 6 2" xfId="8495"/>
    <cellStyle name="Normal 5 2 2 2 5 6 3" xfId="14034"/>
    <cellStyle name="Normal 5 2 2 2 5 7" xfId="3067"/>
    <cellStyle name="Normal 5 2 2 2 5 7 2" xfId="8610"/>
    <cellStyle name="Normal 5 2 2 2 5 7 3" xfId="14149"/>
    <cellStyle name="Normal 5 2 2 2 5 8" xfId="4110"/>
    <cellStyle name="Normal 5 2 2 2 5 8 2" xfId="9651"/>
    <cellStyle name="Normal 5 2 2 2 5 8 3" xfId="15190"/>
    <cellStyle name="Normal 5 2 2 2 5 9" xfId="1735"/>
    <cellStyle name="Normal 5 2 2 2 5 9 2" xfId="7281"/>
    <cellStyle name="Normal 5 2 2 2 5 9 3" xfId="12820"/>
    <cellStyle name="Normal 5 2 2 2 6" xfId="283"/>
    <cellStyle name="Normal 5 2 2 2 6 10" xfId="6004"/>
    <cellStyle name="Normal 5 2 2 2 6 10 2" xfId="17082"/>
    <cellStyle name="Normal 5 2 2 2 6 11" xfId="648"/>
    <cellStyle name="Normal 5 2 2 2 6 11 2" xfId="17244"/>
    <cellStyle name="Normal 5 2 2 2 6 12" xfId="11543"/>
    <cellStyle name="Normal 5 2 2 2 6 13" xfId="17411"/>
    <cellStyle name="Normal 5 2 2 2 6 14" xfId="17576"/>
    <cellStyle name="Normal 5 2 2 2 6 2" xfId="482"/>
    <cellStyle name="Normal 5 2 2 2 6 2 2" xfId="1323"/>
    <cellStyle name="Normal 5 2 2 2 6 2 2 2" xfId="3855"/>
    <cellStyle name="Normal 5 2 2 2 6 2 2 2 2" xfId="9397"/>
    <cellStyle name="Normal 5 2 2 2 6 2 2 2 3" xfId="14936"/>
    <cellStyle name="Normal 5 2 2 2 6 2 2 3" xfId="4892"/>
    <cellStyle name="Normal 5 2 2 2 6 2 2 3 2" xfId="10431"/>
    <cellStyle name="Normal 5 2 2 2 6 2 2 3 3" xfId="15970"/>
    <cellStyle name="Normal 5 2 2 2 6 2 2 4" xfId="5826"/>
    <cellStyle name="Normal 5 2 2 2 6 2 2 4 2" xfId="11365"/>
    <cellStyle name="Normal 5 2 2 2 6 2 2 4 3" xfId="16904"/>
    <cellStyle name="Normal 5 2 2 2 6 2 2 5" xfId="2528"/>
    <cellStyle name="Normal 5 2 2 2 6 2 2 5 2" xfId="8074"/>
    <cellStyle name="Normal 5 2 2 2 6 2 2 5 3" xfId="13613"/>
    <cellStyle name="Normal 5 2 2 2 6 2 2 6" xfId="6869"/>
    <cellStyle name="Normal 5 2 2 2 6 2 2 7" xfId="12408"/>
    <cellStyle name="Normal 5 2 2 2 6 2 3" xfId="979"/>
    <cellStyle name="Normal 5 2 2 2 6 2 3 2" xfId="3509"/>
    <cellStyle name="Normal 5 2 2 2 6 2 3 2 2" xfId="9051"/>
    <cellStyle name="Normal 5 2 2 2 6 2 3 2 3" xfId="14590"/>
    <cellStyle name="Normal 5 2 2 2 6 2 3 3" xfId="4546"/>
    <cellStyle name="Normal 5 2 2 2 6 2 3 3 2" xfId="10085"/>
    <cellStyle name="Normal 5 2 2 2 6 2 3 3 3" xfId="15624"/>
    <cellStyle name="Normal 5 2 2 2 6 2 3 4" xfId="5481"/>
    <cellStyle name="Normal 5 2 2 2 6 2 3 4 2" xfId="11020"/>
    <cellStyle name="Normal 5 2 2 2 6 2 3 4 3" xfId="16559"/>
    <cellStyle name="Normal 5 2 2 2 6 2 3 5" xfId="2183"/>
    <cellStyle name="Normal 5 2 2 2 6 2 3 5 2" xfId="7729"/>
    <cellStyle name="Normal 5 2 2 2 6 2 3 5 3" xfId="13268"/>
    <cellStyle name="Normal 5 2 2 2 6 2 3 6" xfId="6524"/>
    <cellStyle name="Normal 5 2 2 2 6 2 3 7" xfId="12063"/>
    <cellStyle name="Normal 5 2 2 2 6 2 4" xfId="3141"/>
    <cellStyle name="Normal 5 2 2 2 6 2 4 2" xfId="8683"/>
    <cellStyle name="Normal 5 2 2 2 6 2 4 3" xfId="14222"/>
    <cellStyle name="Normal 5 2 2 2 6 2 5" xfId="4180"/>
    <cellStyle name="Normal 5 2 2 2 6 2 5 2" xfId="9719"/>
    <cellStyle name="Normal 5 2 2 2 6 2 5 3" xfId="15258"/>
    <cellStyle name="Normal 5 2 2 2 6 2 6" xfId="5141"/>
    <cellStyle name="Normal 5 2 2 2 6 2 6 2" xfId="10680"/>
    <cellStyle name="Normal 5 2 2 2 6 2 6 3" xfId="16219"/>
    <cellStyle name="Normal 5 2 2 2 6 2 7" xfId="1843"/>
    <cellStyle name="Normal 5 2 2 2 6 2 7 2" xfId="7389"/>
    <cellStyle name="Normal 5 2 2 2 6 2 7 3" xfId="12928"/>
    <cellStyle name="Normal 5 2 2 2 6 2 8" xfId="6184"/>
    <cellStyle name="Normal 5 2 2 2 6 2 9" xfId="11723"/>
    <cellStyle name="Normal 5 2 2 2 6 3" xfId="1156"/>
    <cellStyle name="Normal 5 2 2 2 6 3 2" xfId="3686"/>
    <cellStyle name="Normal 5 2 2 2 6 3 2 2" xfId="9228"/>
    <cellStyle name="Normal 5 2 2 2 6 3 2 3" xfId="14767"/>
    <cellStyle name="Normal 5 2 2 2 6 3 3" xfId="4723"/>
    <cellStyle name="Normal 5 2 2 2 6 3 3 2" xfId="10262"/>
    <cellStyle name="Normal 5 2 2 2 6 3 3 3" xfId="15801"/>
    <cellStyle name="Normal 5 2 2 2 6 3 4" xfId="5658"/>
    <cellStyle name="Normal 5 2 2 2 6 3 4 2" xfId="11197"/>
    <cellStyle name="Normal 5 2 2 2 6 3 4 3" xfId="16736"/>
    <cellStyle name="Normal 5 2 2 2 6 3 5" xfId="2360"/>
    <cellStyle name="Normal 5 2 2 2 6 3 5 2" xfId="7906"/>
    <cellStyle name="Normal 5 2 2 2 6 3 5 3" xfId="13445"/>
    <cellStyle name="Normal 5 2 2 2 6 3 6" xfId="6701"/>
    <cellStyle name="Normal 5 2 2 2 6 3 7" xfId="12240"/>
    <cellStyle name="Normal 5 2 2 2 6 4" xfId="800"/>
    <cellStyle name="Normal 5 2 2 2 6 4 2" xfId="3330"/>
    <cellStyle name="Normal 5 2 2 2 6 4 2 2" xfId="8872"/>
    <cellStyle name="Normal 5 2 2 2 6 4 2 3" xfId="14411"/>
    <cellStyle name="Normal 5 2 2 2 6 4 3" xfId="4367"/>
    <cellStyle name="Normal 5 2 2 2 6 4 3 2" xfId="9906"/>
    <cellStyle name="Normal 5 2 2 2 6 4 3 3" xfId="15445"/>
    <cellStyle name="Normal 5 2 2 2 6 4 4" xfId="5302"/>
    <cellStyle name="Normal 5 2 2 2 6 4 4 2" xfId="10841"/>
    <cellStyle name="Normal 5 2 2 2 6 4 4 3" xfId="16380"/>
    <cellStyle name="Normal 5 2 2 2 6 4 5" xfId="2004"/>
    <cellStyle name="Normal 5 2 2 2 6 4 5 2" xfId="7550"/>
    <cellStyle name="Normal 5 2 2 2 6 4 5 3" xfId="13089"/>
    <cellStyle name="Normal 5 2 2 2 6 4 6" xfId="6345"/>
    <cellStyle name="Normal 5 2 2 2 6 4 7" xfId="11884"/>
    <cellStyle name="Normal 5 2 2 2 6 5" xfId="1501"/>
    <cellStyle name="Normal 5 2 2 2 6 5 2" xfId="2706"/>
    <cellStyle name="Normal 5 2 2 2 6 5 2 2" xfId="8252"/>
    <cellStyle name="Normal 5 2 2 2 6 5 2 3" xfId="13791"/>
    <cellStyle name="Normal 5 2 2 2 6 5 3" xfId="7047"/>
    <cellStyle name="Normal 5 2 2 2 6 5 4" xfId="12586"/>
    <cellStyle name="Normal 5 2 2 2 6 6" xfId="2879"/>
    <cellStyle name="Normal 5 2 2 2 6 6 2" xfId="8423"/>
    <cellStyle name="Normal 5 2 2 2 6 6 3" xfId="13962"/>
    <cellStyle name="Normal 5 2 2 2 6 7" xfId="3279"/>
    <cellStyle name="Normal 5 2 2 2 6 7 2" xfId="8821"/>
    <cellStyle name="Normal 5 2 2 2 6 7 3" xfId="14360"/>
    <cellStyle name="Normal 5 2 2 2 6 8" xfId="4318"/>
    <cellStyle name="Normal 5 2 2 2 6 8 2" xfId="9857"/>
    <cellStyle name="Normal 5 2 2 2 6 8 3" xfId="15396"/>
    <cellStyle name="Normal 5 2 2 2 6 9" xfId="1663"/>
    <cellStyle name="Normal 5 2 2 2 6 9 2" xfId="7209"/>
    <cellStyle name="Normal 5 2 2 2 6 9 3" xfId="12748"/>
    <cellStyle name="Normal 5 2 2 2 7" xfId="454"/>
    <cellStyle name="Normal 5 2 2 2 7 2" xfId="1296"/>
    <cellStyle name="Normal 5 2 2 2 7 2 2" xfId="3827"/>
    <cellStyle name="Normal 5 2 2 2 7 2 2 2" xfId="9369"/>
    <cellStyle name="Normal 5 2 2 2 7 2 2 3" xfId="14908"/>
    <cellStyle name="Normal 5 2 2 2 7 2 3" xfId="4864"/>
    <cellStyle name="Normal 5 2 2 2 7 2 3 2" xfId="10403"/>
    <cellStyle name="Normal 5 2 2 2 7 2 3 3" xfId="15942"/>
    <cellStyle name="Normal 5 2 2 2 7 2 4" xfId="5799"/>
    <cellStyle name="Normal 5 2 2 2 7 2 4 2" xfId="11338"/>
    <cellStyle name="Normal 5 2 2 2 7 2 4 3" xfId="16877"/>
    <cellStyle name="Normal 5 2 2 2 7 2 5" xfId="2501"/>
    <cellStyle name="Normal 5 2 2 2 7 2 5 2" xfId="8047"/>
    <cellStyle name="Normal 5 2 2 2 7 2 5 3" xfId="13586"/>
    <cellStyle name="Normal 5 2 2 2 7 2 6" xfId="6842"/>
    <cellStyle name="Normal 5 2 2 2 7 2 7" xfId="12381"/>
    <cellStyle name="Normal 5 2 2 2 7 3" xfId="961"/>
    <cellStyle name="Normal 5 2 2 2 7 3 2" xfId="3491"/>
    <cellStyle name="Normal 5 2 2 2 7 3 2 2" xfId="9033"/>
    <cellStyle name="Normal 5 2 2 2 7 3 2 3" xfId="14572"/>
    <cellStyle name="Normal 5 2 2 2 7 3 3" xfId="4528"/>
    <cellStyle name="Normal 5 2 2 2 7 3 3 2" xfId="10067"/>
    <cellStyle name="Normal 5 2 2 2 7 3 3 3" xfId="15606"/>
    <cellStyle name="Normal 5 2 2 2 7 3 4" xfId="5463"/>
    <cellStyle name="Normal 5 2 2 2 7 3 4 2" xfId="11002"/>
    <cellStyle name="Normal 5 2 2 2 7 3 4 3" xfId="16541"/>
    <cellStyle name="Normal 5 2 2 2 7 3 5" xfId="2165"/>
    <cellStyle name="Normal 5 2 2 2 7 3 5 2" xfId="7711"/>
    <cellStyle name="Normal 5 2 2 2 7 3 5 3" xfId="13250"/>
    <cellStyle name="Normal 5 2 2 2 7 3 6" xfId="6506"/>
    <cellStyle name="Normal 5 2 2 2 7 3 7" xfId="12045"/>
    <cellStyle name="Normal 5 2 2 2 7 4" xfId="3104"/>
    <cellStyle name="Normal 5 2 2 2 7 4 2" xfId="8647"/>
    <cellStyle name="Normal 5 2 2 2 7 4 3" xfId="14186"/>
    <cellStyle name="Normal 5 2 2 2 7 5" xfId="4147"/>
    <cellStyle name="Normal 5 2 2 2 7 5 2" xfId="9688"/>
    <cellStyle name="Normal 5 2 2 2 7 5 3" xfId="15227"/>
    <cellStyle name="Normal 5 2 2 2 7 6" xfId="5114"/>
    <cellStyle name="Normal 5 2 2 2 7 6 2" xfId="10653"/>
    <cellStyle name="Normal 5 2 2 2 7 6 3" xfId="16192"/>
    <cellStyle name="Normal 5 2 2 2 7 7" xfId="1816"/>
    <cellStyle name="Normal 5 2 2 2 7 7 2" xfId="7362"/>
    <cellStyle name="Normal 5 2 2 2 7 7 3" xfId="12901"/>
    <cellStyle name="Normal 5 2 2 2 7 8" xfId="6157"/>
    <cellStyle name="Normal 5 2 2 2 7 9" xfId="11696"/>
    <cellStyle name="Normal 5 2 2 2 8" xfId="1138"/>
    <cellStyle name="Normal 5 2 2 2 8 2" xfId="3668"/>
    <cellStyle name="Normal 5 2 2 2 8 2 2" xfId="9210"/>
    <cellStyle name="Normal 5 2 2 2 8 2 3" xfId="14749"/>
    <cellStyle name="Normal 5 2 2 2 8 3" xfId="4705"/>
    <cellStyle name="Normal 5 2 2 2 8 3 2" xfId="10244"/>
    <cellStyle name="Normal 5 2 2 2 8 3 3" xfId="15783"/>
    <cellStyle name="Normal 5 2 2 2 8 4" xfId="5640"/>
    <cellStyle name="Normal 5 2 2 2 8 4 2" xfId="11179"/>
    <cellStyle name="Normal 5 2 2 2 8 4 3" xfId="16718"/>
    <cellStyle name="Normal 5 2 2 2 8 5" xfId="2342"/>
    <cellStyle name="Normal 5 2 2 2 8 5 2" xfId="7888"/>
    <cellStyle name="Normal 5 2 2 2 8 5 3" xfId="13427"/>
    <cellStyle name="Normal 5 2 2 2 8 6" xfId="6683"/>
    <cellStyle name="Normal 5 2 2 2 8 7" xfId="12222"/>
    <cellStyle name="Normal 5 2 2 2 9" xfId="792"/>
    <cellStyle name="Normal 5 2 2 2 9 2" xfId="3322"/>
    <cellStyle name="Normal 5 2 2 2 9 2 2" xfId="8864"/>
    <cellStyle name="Normal 5 2 2 2 9 2 3" xfId="14403"/>
    <cellStyle name="Normal 5 2 2 2 9 3" xfId="4359"/>
    <cellStyle name="Normal 5 2 2 2 9 3 2" xfId="9898"/>
    <cellStyle name="Normal 5 2 2 2 9 3 3" xfId="15437"/>
    <cellStyle name="Normal 5 2 2 2 9 4" xfId="5294"/>
    <cellStyle name="Normal 5 2 2 2 9 4 2" xfId="10833"/>
    <cellStyle name="Normal 5 2 2 2 9 4 3" xfId="16372"/>
    <cellStyle name="Normal 5 2 2 2 9 5" xfId="1996"/>
    <cellStyle name="Normal 5 2 2 2 9 5 2" xfId="7542"/>
    <cellStyle name="Normal 5 2 2 2 9 5 3" xfId="13081"/>
    <cellStyle name="Normal 5 2 2 2 9 6" xfId="6337"/>
    <cellStyle name="Normal 5 2 2 2 9 7" xfId="11876"/>
    <cellStyle name="Normal 5 2 2 20" xfId="17555"/>
    <cellStyle name="Normal 5 2 2 3" xfId="284"/>
    <cellStyle name="Normal 5 2 2 3 10" xfId="1696"/>
    <cellStyle name="Normal 5 2 2 3 10 2" xfId="7242"/>
    <cellStyle name="Normal 5 2 2 3 10 3" xfId="12781"/>
    <cellStyle name="Normal 5 2 2 3 11" xfId="6037"/>
    <cellStyle name="Normal 5 2 2 3 11 2" xfId="17115"/>
    <cellStyle name="Normal 5 2 2 3 12" xfId="681"/>
    <cellStyle name="Normal 5 2 2 3 12 2" xfId="17277"/>
    <cellStyle name="Normal 5 2 2 3 13" xfId="11576"/>
    <cellStyle name="Normal 5 2 2 3 14" xfId="17444"/>
    <cellStyle name="Normal 5 2 2 3 15" xfId="17609"/>
    <cellStyle name="Normal 5 2 2 3 2" xfId="285"/>
    <cellStyle name="Normal 5 2 2 3 2 10" xfId="6127"/>
    <cellStyle name="Normal 5 2 2 3 2 10 2" xfId="17205"/>
    <cellStyle name="Normal 5 2 2 3 2 11" xfId="771"/>
    <cellStyle name="Normal 5 2 2 3 2 11 2" xfId="17367"/>
    <cellStyle name="Normal 5 2 2 3 2 12" xfId="11666"/>
    <cellStyle name="Normal 5 2 2 3 2 13" xfId="17534"/>
    <cellStyle name="Normal 5 2 2 3 2 14" xfId="17699"/>
    <cellStyle name="Normal 5 2 2 3 2 2" xfId="484"/>
    <cellStyle name="Normal 5 2 2 3 2 2 2" xfId="1325"/>
    <cellStyle name="Normal 5 2 2 3 2 2 2 2" xfId="3857"/>
    <cellStyle name="Normal 5 2 2 3 2 2 2 2 2" xfId="9399"/>
    <cellStyle name="Normal 5 2 2 3 2 2 2 2 3" xfId="14938"/>
    <cellStyle name="Normal 5 2 2 3 2 2 2 3" xfId="4894"/>
    <cellStyle name="Normal 5 2 2 3 2 2 2 3 2" xfId="10433"/>
    <cellStyle name="Normal 5 2 2 3 2 2 2 3 3" xfId="15972"/>
    <cellStyle name="Normal 5 2 2 3 2 2 2 4" xfId="5828"/>
    <cellStyle name="Normal 5 2 2 3 2 2 2 4 2" xfId="11367"/>
    <cellStyle name="Normal 5 2 2 3 2 2 2 4 3" xfId="16906"/>
    <cellStyle name="Normal 5 2 2 3 2 2 2 5" xfId="2530"/>
    <cellStyle name="Normal 5 2 2 3 2 2 2 5 2" xfId="8076"/>
    <cellStyle name="Normal 5 2 2 3 2 2 2 5 3" xfId="13615"/>
    <cellStyle name="Normal 5 2 2 3 2 2 2 6" xfId="6871"/>
    <cellStyle name="Normal 5 2 2 3 2 2 2 7" xfId="12410"/>
    <cellStyle name="Normal 5 2 2 3 2 2 3" xfId="1102"/>
    <cellStyle name="Normal 5 2 2 3 2 2 3 2" xfId="3632"/>
    <cellStyle name="Normal 5 2 2 3 2 2 3 2 2" xfId="9174"/>
    <cellStyle name="Normal 5 2 2 3 2 2 3 2 3" xfId="14713"/>
    <cellStyle name="Normal 5 2 2 3 2 2 3 3" xfId="4669"/>
    <cellStyle name="Normal 5 2 2 3 2 2 3 3 2" xfId="10208"/>
    <cellStyle name="Normal 5 2 2 3 2 2 3 3 3" xfId="15747"/>
    <cellStyle name="Normal 5 2 2 3 2 2 3 4" xfId="5604"/>
    <cellStyle name="Normal 5 2 2 3 2 2 3 4 2" xfId="11143"/>
    <cellStyle name="Normal 5 2 2 3 2 2 3 4 3" xfId="16682"/>
    <cellStyle name="Normal 5 2 2 3 2 2 3 5" xfId="2306"/>
    <cellStyle name="Normal 5 2 2 3 2 2 3 5 2" xfId="7852"/>
    <cellStyle name="Normal 5 2 2 3 2 2 3 5 3" xfId="13391"/>
    <cellStyle name="Normal 5 2 2 3 2 2 3 6" xfId="6647"/>
    <cellStyle name="Normal 5 2 2 3 2 2 3 7" xfId="12186"/>
    <cellStyle name="Normal 5 2 2 3 2 2 4" xfId="3143"/>
    <cellStyle name="Normal 5 2 2 3 2 2 4 2" xfId="8685"/>
    <cellStyle name="Normal 5 2 2 3 2 2 4 3" xfId="14224"/>
    <cellStyle name="Normal 5 2 2 3 2 2 5" xfId="4182"/>
    <cellStyle name="Normal 5 2 2 3 2 2 5 2" xfId="9721"/>
    <cellStyle name="Normal 5 2 2 3 2 2 5 3" xfId="15260"/>
    <cellStyle name="Normal 5 2 2 3 2 2 6" xfId="5143"/>
    <cellStyle name="Normal 5 2 2 3 2 2 6 2" xfId="10682"/>
    <cellStyle name="Normal 5 2 2 3 2 2 6 3" xfId="16221"/>
    <cellStyle name="Normal 5 2 2 3 2 2 7" xfId="1845"/>
    <cellStyle name="Normal 5 2 2 3 2 2 7 2" xfId="7391"/>
    <cellStyle name="Normal 5 2 2 3 2 2 7 3" xfId="12930"/>
    <cellStyle name="Normal 5 2 2 3 2 2 8" xfId="6186"/>
    <cellStyle name="Normal 5 2 2 3 2 2 9" xfId="11725"/>
    <cellStyle name="Normal 5 2 2 3 2 3" xfId="1279"/>
    <cellStyle name="Normal 5 2 2 3 2 3 2" xfId="3809"/>
    <cellStyle name="Normal 5 2 2 3 2 3 2 2" xfId="9351"/>
    <cellStyle name="Normal 5 2 2 3 2 3 2 3" xfId="14890"/>
    <cellStyle name="Normal 5 2 2 3 2 3 3" xfId="4846"/>
    <cellStyle name="Normal 5 2 2 3 2 3 3 2" xfId="10385"/>
    <cellStyle name="Normal 5 2 2 3 2 3 3 3" xfId="15924"/>
    <cellStyle name="Normal 5 2 2 3 2 3 4" xfId="5781"/>
    <cellStyle name="Normal 5 2 2 3 2 3 4 2" xfId="11320"/>
    <cellStyle name="Normal 5 2 2 3 2 3 4 3" xfId="16859"/>
    <cellStyle name="Normal 5 2 2 3 2 3 5" xfId="2483"/>
    <cellStyle name="Normal 5 2 2 3 2 3 5 2" xfId="8029"/>
    <cellStyle name="Normal 5 2 2 3 2 3 5 3" xfId="13568"/>
    <cellStyle name="Normal 5 2 2 3 2 3 6" xfId="6824"/>
    <cellStyle name="Normal 5 2 2 3 2 3 7" xfId="12363"/>
    <cellStyle name="Normal 5 2 2 3 2 4" xfId="802"/>
    <cellStyle name="Normal 5 2 2 3 2 4 2" xfId="3332"/>
    <cellStyle name="Normal 5 2 2 3 2 4 2 2" xfId="8874"/>
    <cellStyle name="Normal 5 2 2 3 2 4 2 3" xfId="14413"/>
    <cellStyle name="Normal 5 2 2 3 2 4 3" xfId="4369"/>
    <cellStyle name="Normal 5 2 2 3 2 4 3 2" xfId="9908"/>
    <cellStyle name="Normal 5 2 2 3 2 4 3 3" xfId="15447"/>
    <cellStyle name="Normal 5 2 2 3 2 4 4" xfId="5304"/>
    <cellStyle name="Normal 5 2 2 3 2 4 4 2" xfId="10843"/>
    <cellStyle name="Normal 5 2 2 3 2 4 4 3" xfId="16382"/>
    <cellStyle name="Normal 5 2 2 3 2 4 5" xfId="2006"/>
    <cellStyle name="Normal 5 2 2 3 2 4 5 2" xfId="7552"/>
    <cellStyle name="Normal 5 2 2 3 2 4 5 3" xfId="13091"/>
    <cellStyle name="Normal 5 2 2 3 2 4 6" xfId="6347"/>
    <cellStyle name="Normal 5 2 2 3 2 4 7" xfId="11886"/>
    <cellStyle name="Normal 5 2 2 3 2 5" xfId="1624"/>
    <cellStyle name="Normal 5 2 2 3 2 5 2" xfId="2829"/>
    <cellStyle name="Normal 5 2 2 3 2 5 2 2" xfId="8375"/>
    <cellStyle name="Normal 5 2 2 3 2 5 2 3" xfId="13914"/>
    <cellStyle name="Normal 5 2 2 3 2 5 3" xfId="7170"/>
    <cellStyle name="Normal 5 2 2 3 2 5 4" xfId="12709"/>
    <cellStyle name="Normal 5 2 2 3 2 6" xfId="3002"/>
    <cellStyle name="Normal 5 2 2 3 2 6 2" xfId="8546"/>
    <cellStyle name="Normal 5 2 2 3 2 6 3" xfId="14085"/>
    <cellStyle name="Normal 5 2 2 3 2 7" xfId="4047"/>
    <cellStyle name="Normal 5 2 2 3 2 7 2" xfId="9589"/>
    <cellStyle name="Normal 5 2 2 3 2 7 3" xfId="15128"/>
    <cellStyle name="Normal 5 2 2 3 2 8" xfId="5084"/>
    <cellStyle name="Normal 5 2 2 3 2 8 2" xfId="10623"/>
    <cellStyle name="Normal 5 2 2 3 2 8 3" xfId="16162"/>
    <cellStyle name="Normal 5 2 2 3 2 9" xfId="1786"/>
    <cellStyle name="Normal 5 2 2 3 2 9 2" xfId="7332"/>
    <cellStyle name="Normal 5 2 2 3 2 9 3" xfId="12871"/>
    <cellStyle name="Normal 5 2 2 3 3" xfId="483"/>
    <cellStyle name="Normal 5 2 2 3 3 2" xfId="1324"/>
    <cellStyle name="Normal 5 2 2 3 3 2 2" xfId="3856"/>
    <cellStyle name="Normal 5 2 2 3 3 2 2 2" xfId="9398"/>
    <cellStyle name="Normal 5 2 2 3 3 2 2 3" xfId="14937"/>
    <cellStyle name="Normal 5 2 2 3 3 2 3" xfId="4893"/>
    <cellStyle name="Normal 5 2 2 3 3 2 3 2" xfId="10432"/>
    <cellStyle name="Normal 5 2 2 3 3 2 3 3" xfId="15971"/>
    <cellStyle name="Normal 5 2 2 3 3 2 4" xfId="5827"/>
    <cellStyle name="Normal 5 2 2 3 3 2 4 2" xfId="11366"/>
    <cellStyle name="Normal 5 2 2 3 3 2 4 3" xfId="16905"/>
    <cellStyle name="Normal 5 2 2 3 3 2 5" xfId="2529"/>
    <cellStyle name="Normal 5 2 2 3 3 2 5 2" xfId="8075"/>
    <cellStyle name="Normal 5 2 2 3 3 2 5 3" xfId="13614"/>
    <cellStyle name="Normal 5 2 2 3 3 2 6" xfId="6870"/>
    <cellStyle name="Normal 5 2 2 3 3 2 7" xfId="12409"/>
    <cellStyle name="Normal 5 2 2 3 3 3" xfId="1012"/>
    <cellStyle name="Normal 5 2 2 3 3 3 2" xfId="3542"/>
    <cellStyle name="Normal 5 2 2 3 3 3 2 2" xfId="9084"/>
    <cellStyle name="Normal 5 2 2 3 3 3 2 3" xfId="14623"/>
    <cellStyle name="Normal 5 2 2 3 3 3 3" xfId="4579"/>
    <cellStyle name="Normal 5 2 2 3 3 3 3 2" xfId="10118"/>
    <cellStyle name="Normal 5 2 2 3 3 3 3 3" xfId="15657"/>
    <cellStyle name="Normal 5 2 2 3 3 3 4" xfId="5514"/>
    <cellStyle name="Normal 5 2 2 3 3 3 4 2" xfId="11053"/>
    <cellStyle name="Normal 5 2 2 3 3 3 4 3" xfId="16592"/>
    <cellStyle name="Normal 5 2 2 3 3 3 5" xfId="2216"/>
    <cellStyle name="Normal 5 2 2 3 3 3 5 2" xfId="7762"/>
    <cellStyle name="Normal 5 2 2 3 3 3 5 3" xfId="13301"/>
    <cellStyle name="Normal 5 2 2 3 3 3 6" xfId="6557"/>
    <cellStyle name="Normal 5 2 2 3 3 3 7" xfId="12096"/>
    <cellStyle name="Normal 5 2 2 3 3 4" xfId="3142"/>
    <cellStyle name="Normal 5 2 2 3 3 4 2" xfId="8684"/>
    <cellStyle name="Normal 5 2 2 3 3 4 3" xfId="14223"/>
    <cellStyle name="Normal 5 2 2 3 3 5" xfId="4181"/>
    <cellStyle name="Normal 5 2 2 3 3 5 2" xfId="9720"/>
    <cellStyle name="Normal 5 2 2 3 3 5 3" xfId="15259"/>
    <cellStyle name="Normal 5 2 2 3 3 6" xfId="5142"/>
    <cellStyle name="Normal 5 2 2 3 3 6 2" xfId="10681"/>
    <cellStyle name="Normal 5 2 2 3 3 6 3" xfId="16220"/>
    <cellStyle name="Normal 5 2 2 3 3 7" xfId="1844"/>
    <cellStyle name="Normal 5 2 2 3 3 7 2" xfId="7390"/>
    <cellStyle name="Normal 5 2 2 3 3 7 3" xfId="12929"/>
    <cellStyle name="Normal 5 2 2 3 3 8" xfId="6185"/>
    <cellStyle name="Normal 5 2 2 3 3 9" xfId="11724"/>
    <cellStyle name="Normal 5 2 2 3 4" xfId="1189"/>
    <cellStyle name="Normal 5 2 2 3 4 2" xfId="3719"/>
    <cellStyle name="Normal 5 2 2 3 4 2 2" xfId="9261"/>
    <cellStyle name="Normal 5 2 2 3 4 2 3" xfId="14800"/>
    <cellStyle name="Normal 5 2 2 3 4 3" xfId="4756"/>
    <cellStyle name="Normal 5 2 2 3 4 3 2" xfId="10295"/>
    <cellStyle name="Normal 5 2 2 3 4 3 3" xfId="15834"/>
    <cellStyle name="Normal 5 2 2 3 4 4" xfId="5691"/>
    <cellStyle name="Normal 5 2 2 3 4 4 2" xfId="11230"/>
    <cellStyle name="Normal 5 2 2 3 4 4 3" xfId="16769"/>
    <cellStyle name="Normal 5 2 2 3 4 5" xfId="2393"/>
    <cellStyle name="Normal 5 2 2 3 4 5 2" xfId="7939"/>
    <cellStyle name="Normal 5 2 2 3 4 5 3" xfId="13478"/>
    <cellStyle name="Normal 5 2 2 3 4 6" xfId="6734"/>
    <cellStyle name="Normal 5 2 2 3 4 7" xfId="12273"/>
    <cellStyle name="Normal 5 2 2 3 5" xfId="801"/>
    <cellStyle name="Normal 5 2 2 3 5 2" xfId="3331"/>
    <cellStyle name="Normal 5 2 2 3 5 2 2" xfId="8873"/>
    <cellStyle name="Normal 5 2 2 3 5 2 3" xfId="14412"/>
    <cellStyle name="Normal 5 2 2 3 5 3" xfId="4368"/>
    <cellStyle name="Normal 5 2 2 3 5 3 2" xfId="9907"/>
    <cellStyle name="Normal 5 2 2 3 5 3 3" xfId="15446"/>
    <cellStyle name="Normal 5 2 2 3 5 4" xfId="5303"/>
    <cellStyle name="Normal 5 2 2 3 5 4 2" xfId="10842"/>
    <cellStyle name="Normal 5 2 2 3 5 4 3" xfId="16381"/>
    <cellStyle name="Normal 5 2 2 3 5 5" xfId="2005"/>
    <cellStyle name="Normal 5 2 2 3 5 5 2" xfId="7551"/>
    <cellStyle name="Normal 5 2 2 3 5 5 3" xfId="13090"/>
    <cellStyle name="Normal 5 2 2 3 5 6" xfId="6346"/>
    <cellStyle name="Normal 5 2 2 3 5 7" xfId="11885"/>
    <cellStyle name="Normal 5 2 2 3 6" xfId="1534"/>
    <cellStyle name="Normal 5 2 2 3 6 2" xfId="2739"/>
    <cellStyle name="Normal 5 2 2 3 6 2 2" xfId="8285"/>
    <cellStyle name="Normal 5 2 2 3 6 2 3" xfId="13824"/>
    <cellStyle name="Normal 5 2 2 3 6 3" xfId="7080"/>
    <cellStyle name="Normal 5 2 2 3 6 4" xfId="12619"/>
    <cellStyle name="Normal 5 2 2 3 7" xfId="2912"/>
    <cellStyle name="Normal 5 2 2 3 7 2" xfId="8456"/>
    <cellStyle name="Normal 5 2 2 3 7 3" xfId="13995"/>
    <cellStyle name="Normal 5 2 2 3 8" xfId="3018"/>
    <cellStyle name="Normal 5 2 2 3 8 2" xfId="8562"/>
    <cellStyle name="Normal 5 2 2 3 8 3" xfId="14101"/>
    <cellStyle name="Normal 5 2 2 3 9" xfId="4062"/>
    <cellStyle name="Normal 5 2 2 3 9 2" xfId="9604"/>
    <cellStyle name="Normal 5 2 2 3 9 3" xfId="15143"/>
    <cellStyle name="Normal 5 2 2 4" xfId="286"/>
    <cellStyle name="Normal 5 2 2 4 10" xfId="1678"/>
    <cellStyle name="Normal 5 2 2 4 10 2" xfId="7224"/>
    <cellStyle name="Normal 5 2 2 4 10 3" xfId="12763"/>
    <cellStyle name="Normal 5 2 2 4 11" xfId="6019"/>
    <cellStyle name="Normal 5 2 2 4 11 2" xfId="17097"/>
    <cellStyle name="Normal 5 2 2 4 12" xfId="663"/>
    <cellStyle name="Normal 5 2 2 4 12 2" xfId="17259"/>
    <cellStyle name="Normal 5 2 2 4 13" xfId="11558"/>
    <cellStyle name="Normal 5 2 2 4 14" xfId="17426"/>
    <cellStyle name="Normal 5 2 2 4 15" xfId="17591"/>
    <cellStyle name="Normal 5 2 2 4 2" xfId="287"/>
    <cellStyle name="Normal 5 2 2 4 2 10" xfId="6109"/>
    <cellStyle name="Normal 5 2 2 4 2 10 2" xfId="17187"/>
    <cellStyle name="Normal 5 2 2 4 2 11" xfId="753"/>
    <cellStyle name="Normal 5 2 2 4 2 11 2" xfId="17349"/>
    <cellStyle name="Normal 5 2 2 4 2 12" xfId="11648"/>
    <cellStyle name="Normal 5 2 2 4 2 13" xfId="17516"/>
    <cellStyle name="Normal 5 2 2 4 2 14" xfId="17681"/>
    <cellStyle name="Normal 5 2 2 4 2 2" xfId="486"/>
    <cellStyle name="Normal 5 2 2 4 2 2 2" xfId="1327"/>
    <cellStyle name="Normal 5 2 2 4 2 2 2 2" xfId="3859"/>
    <cellStyle name="Normal 5 2 2 4 2 2 2 2 2" xfId="9401"/>
    <cellStyle name="Normal 5 2 2 4 2 2 2 2 3" xfId="14940"/>
    <cellStyle name="Normal 5 2 2 4 2 2 2 3" xfId="4896"/>
    <cellStyle name="Normal 5 2 2 4 2 2 2 3 2" xfId="10435"/>
    <cellStyle name="Normal 5 2 2 4 2 2 2 3 3" xfId="15974"/>
    <cellStyle name="Normal 5 2 2 4 2 2 2 4" xfId="5830"/>
    <cellStyle name="Normal 5 2 2 4 2 2 2 4 2" xfId="11369"/>
    <cellStyle name="Normal 5 2 2 4 2 2 2 4 3" xfId="16908"/>
    <cellStyle name="Normal 5 2 2 4 2 2 2 5" xfId="2532"/>
    <cellStyle name="Normal 5 2 2 4 2 2 2 5 2" xfId="8078"/>
    <cellStyle name="Normal 5 2 2 4 2 2 2 5 3" xfId="13617"/>
    <cellStyle name="Normal 5 2 2 4 2 2 2 6" xfId="6873"/>
    <cellStyle name="Normal 5 2 2 4 2 2 2 7" xfId="12412"/>
    <cellStyle name="Normal 5 2 2 4 2 2 3" xfId="1084"/>
    <cellStyle name="Normal 5 2 2 4 2 2 3 2" xfId="3614"/>
    <cellStyle name="Normal 5 2 2 4 2 2 3 2 2" xfId="9156"/>
    <cellStyle name="Normal 5 2 2 4 2 2 3 2 3" xfId="14695"/>
    <cellStyle name="Normal 5 2 2 4 2 2 3 3" xfId="4651"/>
    <cellStyle name="Normal 5 2 2 4 2 2 3 3 2" xfId="10190"/>
    <cellStyle name="Normal 5 2 2 4 2 2 3 3 3" xfId="15729"/>
    <cellStyle name="Normal 5 2 2 4 2 2 3 4" xfId="5586"/>
    <cellStyle name="Normal 5 2 2 4 2 2 3 4 2" xfId="11125"/>
    <cellStyle name="Normal 5 2 2 4 2 2 3 4 3" xfId="16664"/>
    <cellStyle name="Normal 5 2 2 4 2 2 3 5" xfId="2288"/>
    <cellStyle name="Normal 5 2 2 4 2 2 3 5 2" xfId="7834"/>
    <cellStyle name="Normal 5 2 2 4 2 2 3 5 3" xfId="13373"/>
    <cellStyle name="Normal 5 2 2 4 2 2 3 6" xfId="6629"/>
    <cellStyle name="Normal 5 2 2 4 2 2 3 7" xfId="12168"/>
    <cellStyle name="Normal 5 2 2 4 2 2 4" xfId="3145"/>
    <cellStyle name="Normal 5 2 2 4 2 2 4 2" xfId="8687"/>
    <cellStyle name="Normal 5 2 2 4 2 2 4 3" xfId="14226"/>
    <cellStyle name="Normal 5 2 2 4 2 2 5" xfId="4184"/>
    <cellStyle name="Normal 5 2 2 4 2 2 5 2" xfId="9723"/>
    <cellStyle name="Normal 5 2 2 4 2 2 5 3" xfId="15262"/>
    <cellStyle name="Normal 5 2 2 4 2 2 6" xfId="5145"/>
    <cellStyle name="Normal 5 2 2 4 2 2 6 2" xfId="10684"/>
    <cellStyle name="Normal 5 2 2 4 2 2 6 3" xfId="16223"/>
    <cellStyle name="Normal 5 2 2 4 2 2 7" xfId="1847"/>
    <cellStyle name="Normal 5 2 2 4 2 2 7 2" xfId="7393"/>
    <cellStyle name="Normal 5 2 2 4 2 2 7 3" xfId="12932"/>
    <cellStyle name="Normal 5 2 2 4 2 2 8" xfId="6188"/>
    <cellStyle name="Normal 5 2 2 4 2 2 9" xfId="11727"/>
    <cellStyle name="Normal 5 2 2 4 2 3" xfId="1261"/>
    <cellStyle name="Normal 5 2 2 4 2 3 2" xfId="3791"/>
    <cellStyle name="Normal 5 2 2 4 2 3 2 2" xfId="9333"/>
    <cellStyle name="Normal 5 2 2 4 2 3 2 3" xfId="14872"/>
    <cellStyle name="Normal 5 2 2 4 2 3 3" xfId="4828"/>
    <cellStyle name="Normal 5 2 2 4 2 3 3 2" xfId="10367"/>
    <cellStyle name="Normal 5 2 2 4 2 3 3 3" xfId="15906"/>
    <cellStyle name="Normal 5 2 2 4 2 3 4" xfId="5763"/>
    <cellStyle name="Normal 5 2 2 4 2 3 4 2" xfId="11302"/>
    <cellStyle name="Normal 5 2 2 4 2 3 4 3" xfId="16841"/>
    <cellStyle name="Normal 5 2 2 4 2 3 5" xfId="2465"/>
    <cellStyle name="Normal 5 2 2 4 2 3 5 2" xfId="8011"/>
    <cellStyle name="Normal 5 2 2 4 2 3 5 3" xfId="13550"/>
    <cellStyle name="Normal 5 2 2 4 2 3 6" xfId="6806"/>
    <cellStyle name="Normal 5 2 2 4 2 3 7" xfId="12345"/>
    <cellStyle name="Normal 5 2 2 4 2 4" xfId="804"/>
    <cellStyle name="Normal 5 2 2 4 2 4 2" xfId="3334"/>
    <cellStyle name="Normal 5 2 2 4 2 4 2 2" xfId="8876"/>
    <cellStyle name="Normal 5 2 2 4 2 4 2 3" xfId="14415"/>
    <cellStyle name="Normal 5 2 2 4 2 4 3" xfId="4371"/>
    <cellStyle name="Normal 5 2 2 4 2 4 3 2" xfId="9910"/>
    <cellStyle name="Normal 5 2 2 4 2 4 3 3" xfId="15449"/>
    <cellStyle name="Normal 5 2 2 4 2 4 4" xfId="5306"/>
    <cellStyle name="Normal 5 2 2 4 2 4 4 2" xfId="10845"/>
    <cellStyle name="Normal 5 2 2 4 2 4 4 3" xfId="16384"/>
    <cellStyle name="Normal 5 2 2 4 2 4 5" xfId="2008"/>
    <cellStyle name="Normal 5 2 2 4 2 4 5 2" xfId="7554"/>
    <cellStyle name="Normal 5 2 2 4 2 4 5 3" xfId="13093"/>
    <cellStyle name="Normal 5 2 2 4 2 4 6" xfId="6349"/>
    <cellStyle name="Normal 5 2 2 4 2 4 7" xfId="11888"/>
    <cellStyle name="Normal 5 2 2 4 2 5" xfId="1606"/>
    <cellStyle name="Normal 5 2 2 4 2 5 2" xfId="2811"/>
    <cellStyle name="Normal 5 2 2 4 2 5 2 2" xfId="8357"/>
    <cellStyle name="Normal 5 2 2 4 2 5 2 3" xfId="13896"/>
    <cellStyle name="Normal 5 2 2 4 2 5 3" xfId="7152"/>
    <cellStyle name="Normal 5 2 2 4 2 5 4" xfId="12691"/>
    <cellStyle name="Normal 5 2 2 4 2 6" xfId="2984"/>
    <cellStyle name="Normal 5 2 2 4 2 6 2" xfId="8528"/>
    <cellStyle name="Normal 5 2 2 4 2 6 3" xfId="14067"/>
    <cellStyle name="Normal 5 2 2 4 2 7" xfId="4029"/>
    <cellStyle name="Normal 5 2 2 4 2 7 2" xfId="9571"/>
    <cellStyle name="Normal 5 2 2 4 2 7 3" xfId="15110"/>
    <cellStyle name="Normal 5 2 2 4 2 8" xfId="5066"/>
    <cellStyle name="Normal 5 2 2 4 2 8 2" xfId="10605"/>
    <cellStyle name="Normal 5 2 2 4 2 8 3" xfId="16144"/>
    <cellStyle name="Normal 5 2 2 4 2 9" xfId="1768"/>
    <cellStyle name="Normal 5 2 2 4 2 9 2" xfId="7314"/>
    <cellStyle name="Normal 5 2 2 4 2 9 3" xfId="12853"/>
    <cellStyle name="Normal 5 2 2 4 3" xfId="485"/>
    <cellStyle name="Normal 5 2 2 4 3 2" xfId="1326"/>
    <cellStyle name="Normal 5 2 2 4 3 2 2" xfId="3858"/>
    <cellStyle name="Normal 5 2 2 4 3 2 2 2" xfId="9400"/>
    <cellStyle name="Normal 5 2 2 4 3 2 2 3" xfId="14939"/>
    <cellStyle name="Normal 5 2 2 4 3 2 3" xfId="4895"/>
    <cellStyle name="Normal 5 2 2 4 3 2 3 2" xfId="10434"/>
    <cellStyle name="Normal 5 2 2 4 3 2 3 3" xfId="15973"/>
    <cellStyle name="Normal 5 2 2 4 3 2 4" xfId="5829"/>
    <cellStyle name="Normal 5 2 2 4 3 2 4 2" xfId="11368"/>
    <cellStyle name="Normal 5 2 2 4 3 2 4 3" xfId="16907"/>
    <cellStyle name="Normal 5 2 2 4 3 2 5" xfId="2531"/>
    <cellStyle name="Normal 5 2 2 4 3 2 5 2" xfId="8077"/>
    <cellStyle name="Normal 5 2 2 4 3 2 5 3" xfId="13616"/>
    <cellStyle name="Normal 5 2 2 4 3 2 6" xfId="6872"/>
    <cellStyle name="Normal 5 2 2 4 3 2 7" xfId="12411"/>
    <cellStyle name="Normal 5 2 2 4 3 3" xfId="994"/>
    <cellStyle name="Normal 5 2 2 4 3 3 2" xfId="3524"/>
    <cellStyle name="Normal 5 2 2 4 3 3 2 2" xfId="9066"/>
    <cellStyle name="Normal 5 2 2 4 3 3 2 3" xfId="14605"/>
    <cellStyle name="Normal 5 2 2 4 3 3 3" xfId="4561"/>
    <cellStyle name="Normal 5 2 2 4 3 3 3 2" xfId="10100"/>
    <cellStyle name="Normal 5 2 2 4 3 3 3 3" xfId="15639"/>
    <cellStyle name="Normal 5 2 2 4 3 3 4" xfId="5496"/>
    <cellStyle name="Normal 5 2 2 4 3 3 4 2" xfId="11035"/>
    <cellStyle name="Normal 5 2 2 4 3 3 4 3" xfId="16574"/>
    <cellStyle name="Normal 5 2 2 4 3 3 5" xfId="2198"/>
    <cellStyle name="Normal 5 2 2 4 3 3 5 2" xfId="7744"/>
    <cellStyle name="Normal 5 2 2 4 3 3 5 3" xfId="13283"/>
    <cellStyle name="Normal 5 2 2 4 3 3 6" xfId="6539"/>
    <cellStyle name="Normal 5 2 2 4 3 3 7" xfId="12078"/>
    <cellStyle name="Normal 5 2 2 4 3 4" xfId="3144"/>
    <cellStyle name="Normal 5 2 2 4 3 4 2" xfId="8686"/>
    <cellStyle name="Normal 5 2 2 4 3 4 3" xfId="14225"/>
    <cellStyle name="Normal 5 2 2 4 3 5" xfId="4183"/>
    <cellStyle name="Normal 5 2 2 4 3 5 2" xfId="9722"/>
    <cellStyle name="Normal 5 2 2 4 3 5 3" xfId="15261"/>
    <cellStyle name="Normal 5 2 2 4 3 6" xfId="5144"/>
    <cellStyle name="Normal 5 2 2 4 3 6 2" xfId="10683"/>
    <cellStyle name="Normal 5 2 2 4 3 6 3" xfId="16222"/>
    <cellStyle name="Normal 5 2 2 4 3 7" xfId="1846"/>
    <cellStyle name="Normal 5 2 2 4 3 7 2" xfId="7392"/>
    <cellStyle name="Normal 5 2 2 4 3 7 3" xfId="12931"/>
    <cellStyle name="Normal 5 2 2 4 3 8" xfId="6187"/>
    <cellStyle name="Normal 5 2 2 4 3 9" xfId="11726"/>
    <cellStyle name="Normal 5 2 2 4 4" xfId="1171"/>
    <cellStyle name="Normal 5 2 2 4 4 2" xfId="3701"/>
    <cellStyle name="Normal 5 2 2 4 4 2 2" xfId="9243"/>
    <cellStyle name="Normal 5 2 2 4 4 2 3" xfId="14782"/>
    <cellStyle name="Normal 5 2 2 4 4 3" xfId="4738"/>
    <cellStyle name="Normal 5 2 2 4 4 3 2" xfId="10277"/>
    <cellStyle name="Normal 5 2 2 4 4 3 3" xfId="15816"/>
    <cellStyle name="Normal 5 2 2 4 4 4" xfId="5673"/>
    <cellStyle name="Normal 5 2 2 4 4 4 2" xfId="11212"/>
    <cellStyle name="Normal 5 2 2 4 4 4 3" xfId="16751"/>
    <cellStyle name="Normal 5 2 2 4 4 5" xfId="2375"/>
    <cellStyle name="Normal 5 2 2 4 4 5 2" xfId="7921"/>
    <cellStyle name="Normal 5 2 2 4 4 5 3" xfId="13460"/>
    <cellStyle name="Normal 5 2 2 4 4 6" xfId="6716"/>
    <cellStyle name="Normal 5 2 2 4 4 7" xfId="12255"/>
    <cellStyle name="Normal 5 2 2 4 5" xfId="803"/>
    <cellStyle name="Normal 5 2 2 4 5 2" xfId="3333"/>
    <cellStyle name="Normal 5 2 2 4 5 2 2" xfId="8875"/>
    <cellStyle name="Normal 5 2 2 4 5 2 3" xfId="14414"/>
    <cellStyle name="Normal 5 2 2 4 5 3" xfId="4370"/>
    <cellStyle name="Normal 5 2 2 4 5 3 2" xfId="9909"/>
    <cellStyle name="Normal 5 2 2 4 5 3 3" xfId="15448"/>
    <cellStyle name="Normal 5 2 2 4 5 4" xfId="5305"/>
    <cellStyle name="Normal 5 2 2 4 5 4 2" xfId="10844"/>
    <cellStyle name="Normal 5 2 2 4 5 4 3" xfId="16383"/>
    <cellStyle name="Normal 5 2 2 4 5 5" xfId="2007"/>
    <cellStyle name="Normal 5 2 2 4 5 5 2" xfId="7553"/>
    <cellStyle name="Normal 5 2 2 4 5 5 3" xfId="13092"/>
    <cellStyle name="Normal 5 2 2 4 5 6" xfId="6348"/>
    <cellStyle name="Normal 5 2 2 4 5 7" xfId="11887"/>
    <cellStyle name="Normal 5 2 2 4 6" xfId="1516"/>
    <cellStyle name="Normal 5 2 2 4 6 2" xfId="2721"/>
    <cellStyle name="Normal 5 2 2 4 6 2 2" xfId="8267"/>
    <cellStyle name="Normal 5 2 2 4 6 2 3" xfId="13806"/>
    <cellStyle name="Normal 5 2 2 4 6 3" xfId="7062"/>
    <cellStyle name="Normal 5 2 2 4 6 4" xfId="12601"/>
    <cellStyle name="Normal 5 2 2 4 7" xfId="2894"/>
    <cellStyle name="Normal 5 2 2 4 7 2" xfId="8438"/>
    <cellStyle name="Normal 5 2 2 4 7 3" xfId="13977"/>
    <cellStyle name="Normal 5 2 2 4 8" xfId="3307"/>
    <cellStyle name="Normal 5 2 2 4 8 2" xfId="8849"/>
    <cellStyle name="Normal 5 2 2 4 8 3" xfId="14388"/>
    <cellStyle name="Normal 5 2 2 4 9" xfId="4344"/>
    <cellStyle name="Normal 5 2 2 4 9 2" xfId="9883"/>
    <cellStyle name="Normal 5 2 2 4 9 3" xfId="15422"/>
    <cellStyle name="Normal 5 2 2 5" xfId="288"/>
    <cellStyle name="Normal 5 2 2 5 10" xfId="1714"/>
    <cellStyle name="Normal 5 2 2 5 10 2" xfId="7260"/>
    <cellStyle name="Normal 5 2 2 5 10 3" xfId="12799"/>
    <cellStyle name="Normal 5 2 2 5 11" xfId="6055"/>
    <cellStyle name="Normal 5 2 2 5 11 2" xfId="17133"/>
    <cellStyle name="Normal 5 2 2 5 12" xfId="699"/>
    <cellStyle name="Normal 5 2 2 5 12 2" xfId="17295"/>
    <cellStyle name="Normal 5 2 2 5 13" xfId="11594"/>
    <cellStyle name="Normal 5 2 2 5 14" xfId="17462"/>
    <cellStyle name="Normal 5 2 2 5 15" xfId="17627"/>
    <cellStyle name="Normal 5 2 2 5 2" xfId="289"/>
    <cellStyle name="Normal 5 2 2 5 2 10" xfId="6091"/>
    <cellStyle name="Normal 5 2 2 5 2 10 2" xfId="17169"/>
    <cellStyle name="Normal 5 2 2 5 2 11" xfId="735"/>
    <cellStyle name="Normal 5 2 2 5 2 11 2" xfId="17331"/>
    <cellStyle name="Normal 5 2 2 5 2 12" xfId="11630"/>
    <cellStyle name="Normal 5 2 2 5 2 13" xfId="17498"/>
    <cellStyle name="Normal 5 2 2 5 2 14" xfId="17663"/>
    <cellStyle name="Normal 5 2 2 5 2 2" xfId="488"/>
    <cellStyle name="Normal 5 2 2 5 2 2 2" xfId="1329"/>
    <cellStyle name="Normal 5 2 2 5 2 2 2 2" xfId="3861"/>
    <cellStyle name="Normal 5 2 2 5 2 2 2 2 2" xfId="9403"/>
    <cellStyle name="Normal 5 2 2 5 2 2 2 2 3" xfId="14942"/>
    <cellStyle name="Normal 5 2 2 5 2 2 2 3" xfId="4898"/>
    <cellStyle name="Normal 5 2 2 5 2 2 2 3 2" xfId="10437"/>
    <cellStyle name="Normal 5 2 2 5 2 2 2 3 3" xfId="15976"/>
    <cellStyle name="Normal 5 2 2 5 2 2 2 4" xfId="5832"/>
    <cellStyle name="Normal 5 2 2 5 2 2 2 4 2" xfId="11371"/>
    <cellStyle name="Normal 5 2 2 5 2 2 2 4 3" xfId="16910"/>
    <cellStyle name="Normal 5 2 2 5 2 2 2 5" xfId="2534"/>
    <cellStyle name="Normal 5 2 2 5 2 2 2 5 2" xfId="8080"/>
    <cellStyle name="Normal 5 2 2 5 2 2 2 5 3" xfId="13619"/>
    <cellStyle name="Normal 5 2 2 5 2 2 2 6" xfId="6875"/>
    <cellStyle name="Normal 5 2 2 5 2 2 2 7" xfId="12414"/>
    <cellStyle name="Normal 5 2 2 5 2 2 3" xfId="1066"/>
    <cellStyle name="Normal 5 2 2 5 2 2 3 2" xfId="3596"/>
    <cellStyle name="Normal 5 2 2 5 2 2 3 2 2" xfId="9138"/>
    <cellStyle name="Normal 5 2 2 5 2 2 3 2 3" xfId="14677"/>
    <cellStyle name="Normal 5 2 2 5 2 2 3 3" xfId="4633"/>
    <cellStyle name="Normal 5 2 2 5 2 2 3 3 2" xfId="10172"/>
    <cellStyle name="Normal 5 2 2 5 2 2 3 3 3" xfId="15711"/>
    <cellStyle name="Normal 5 2 2 5 2 2 3 4" xfId="5568"/>
    <cellStyle name="Normal 5 2 2 5 2 2 3 4 2" xfId="11107"/>
    <cellStyle name="Normal 5 2 2 5 2 2 3 4 3" xfId="16646"/>
    <cellStyle name="Normal 5 2 2 5 2 2 3 5" xfId="2270"/>
    <cellStyle name="Normal 5 2 2 5 2 2 3 5 2" xfId="7816"/>
    <cellStyle name="Normal 5 2 2 5 2 2 3 5 3" xfId="13355"/>
    <cellStyle name="Normal 5 2 2 5 2 2 3 6" xfId="6611"/>
    <cellStyle name="Normal 5 2 2 5 2 2 3 7" xfId="12150"/>
    <cellStyle name="Normal 5 2 2 5 2 2 4" xfId="3147"/>
    <cellStyle name="Normal 5 2 2 5 2 2 4 2" xfId="8689"/>
    <cellStyle name="Normal 5 2 2 5 2 2 4 3" xfId="14228"/>
    <cellStyle name="Normal 5 2 2 5 2 2 5" xfId="4186"/>
    <cellStyle name="Normal 5 2 2 5 2 2 5 2" xfId="9725"/>
    <cellStyle name="Normal 5 2 2 5 2 2 5 3" xfId="15264"/>
    <cellStyle name="Normal 5 2 2 5 2 2 6" xfId="5147"/>
    <cellStyle name="Normal 5 2 2 5 2 2 6 2" xfId="10686"/>
    <cellStyle name="Normal 5 2 2 5 2 2 6 3" xfId="16225"/>
    <cellStyle name="Normal 5 2 2 5 2 2 7" xfId="1849"/>
    <cellStyle name="Normal 5 2 2 5 2 2 7 2" xfId="7395"/>
    <cellStyle name="Normal 5 2 2 5 2 2 7 3" xfId="12934"/>
    <cellStyle name="Normal 5 2 2 5 2 2 8" xfId="6190"/>
    <cellStyle name="Normal 5 2 2 5 2 2 9" xfId="11729"/>
    <cellStyle name="Normal 5 2 2 5 2 3" xfId="1243"/>
    <cellStyle name="Normal 5 2 2 5 2 3 2" xfId="3773"/>
    <cellStyle name="Normal 5 2 2 5 2 3 2 2" xfId="9315"/>
    <cellStyle name="Normal 5 2 2 5 2 3 2 3" xfId="14854"/>
    <cellStyle name="Normal 5 2 2 5 2 3 3" xfId="4810"/>
    <cellStyle name="Normal 5 2 2 5 2 3 3 2" xfId="10349"/>
    <cellStyle name="Normal 5 2 2 5 2 3 3 3" xfId="15888"/>
    <cellStyle name="Normal 5 2 2 5 2 3 4" xfId="5745"/>
    <cellStyle name="Normal 5 2 2 5 2 3 4 2" xfId="11284"/>
    <cellStyle name="Normal 5 2 2 5 2 3 4 3" xfId="16823"/>
    <cellStyle name="Normal 5 2 2 5 2 3 5" xfId="2447"/>
    <cellStyle name="Normal 5 2 2 5 2 3 5 2" xfId="7993"/>
    <cellStyle name="Normal 5 2 2 5 2 3 5 3" xfId="13532"/>
    <cellStyle name="Normal 5 2 2 5 2 3 6" xfId="6788"/>
    <cellStyle name="Normal 5 2 2 5 2 3 7" xfId="12327"/>
    <cellStyle name="Normal 5 2 2 5 2 4" xfId="806"/>
    <cellStyle name="Normal 5 2 2 5 2 4 2" xfId="3336"/>
    <cellStyle name="Normal 5 2 2 5 2 4 2 2" xfId="8878"/>
    <cellStyle name="Normal 5 2 2 5 2 4 2 3" xfId="14417"/>
    <cellStyle name="Normal 5 2 2 5 2 4 3" xfId="4373"/>
    <cellStyle name="Normal 5 2 2 5 2 4 3 2" xfId="9912"/>
    <cellStyle name="Normal 5 2 2 5 2 4 3 3" xfId="15451"/>
    <cellStyle name="Normal 5 2 2 5 2 4 4" xfId="5308"/>
    <cellStyle name="Normal 5 2 2 5 2 4 4 2" xfId="10847"/>
    <cellStyle name="Normal 5 2 2 5 2 4 4 3" xfId="16386"/>
    <cellStyle name="Normal 5 2 2 5 2 4 5" xfId="2010"/>
    <cellStyle name="Normal 5 2 2 5 2 4 5 2" xfId="7556"/>
    <cellStyle name="Normal 5 2 2 5 2 4 5 3" xfId="13095"/>
    <cellStyle name="Normal 5 2 2 5 2 4 6" xfId="6351"/>
    <cellStyle name="Normal 5 2 2 5 2 4 7" xfId="11890"/>
    <cellStyle name="Normal 5 2 2 5 2 5" xfId="1588"/>
    <cellStyle name="Normal 5 2 2 5 2 5 2" xfId="2793"/>
    <cellStyle name="Normal 5 2 2 5 2 5 2 2" xfId="8339"/>
    <cellStyle name="Normal 5 2 2 5 2 5 2 3" xfId="13878"/>
    <cellStyle name="Normal 5 2 2 5 2 5 3" xfId="7134"/>
    <cellStyle name="Normal 5 2 2 5 2 5 4" xfId="12673"/>
    <cellStyle name="Normal 5 2 2 5 2 6" xfId="2966"/>
    <cellStyle name="Normal 5 2 2 5 2 6 2" xfId="8510"/>
    <cellStyle name="Normal 5 2 2 5 2 6 3" xfId="14049"/>
    <cellStyle name="Normal 5 2 2 5 2 7" xfId="4011"/>
    <cellStyle name="Normal 5 2 2 5 2 7 2" xfId="9553"/>
    <cellStyle name="Normal 5 2 2 5 2 7 3" xfId="15092"/>
    <cellStyle name="Normal 5 2 2 5 2 8" xfId="5048"/>
    <cellStyle name="Normal 5 2 2 5 2 8 2" xfId="10587"/>
    <cellStyle name="Normal 5 2 2 5 2 8 3" xfId="16126"/>
    <cellStyle name="Normal 5 2 2 5 2 9" xfId="1750"/>
    <cellStyle name="Normal 5 2 2 5 2 9 2" xfId="7296"/>
    <cellStyle name="Normal 5 2 2 5 2 9 3" xfId="12835"/>
    <cellStyle name="Normal 5 2 2 5 3" xfId="487"/>
    <cellStyle name="Normal 5 2 2 5 3 2" xfId="1328"/>
    <cellStyle name="Normal 5 2 2 5 3 2 2" xfId="3860"/>
    <cellStyle name="Normal 5 2 2 5 3 2 2 2" xfId="9402"/>
    <cellStyle name="Normal 5 2 2 5 3 2 2 3" xfId="14941"/>
    <cellStyle name="Normal 5 2 2 5 3 2 3" xfId="4897"/>
    <cellStyle name="Normal 5 2 2 5 3 2 3 2" xfId="10436"/>
    <cellStyle name="Normal 5 2 2 5 3 2 3 3" xfId="15975"/>
    <cellStyle name="Normal 5 2 2 5 3 2 4" xfId="5831"/>
    <cellStyle name="Normal 5 2 2 5 3 2 4 2" xfId="11370"/>
    <cellStyle name="Normal 5 2 2 5 3 2 4 3" xfId="16909"/>
    <cellStyle name="Normal 5 2 2 5 3 2 5" xfId="2533"/>
    <cellStyle name="Normal 5 2 2 5 3 2 5 2" xfId="8079"/>
    <cellStyle name="Normal 5 2 2 5 3 2 5 3" xfId="13618"/>
    <cellStyle name="Normal 5 2 2 5 3 2 6" xfId="6874"/>
    <cellStyle name="Normal 5 2 2 5 3 2 7" xfId="12413"/>
    <cellStyle name="Normal 5 2 2 5 3 3" xfId="1030"/>
    <cellStyle name="Normal 5 2 2 5 3 3 2" xfId="3560"/>
    <cellStyle name="Normal 5 2 2 5 3 3 2 2" xfId="9102"/>
    <cellStyle name="Normal 5 2 2 5 3 3 2 3" xfId="14641"/>
    <cellStyle name="Normal 5 2 2 5 3 3 3" xfId="4597"/>
    <cellStyle name="Normal 5 2 2 5 3 3 3 2" xfId="10136"/>
    <cellStyle name="Normal 5 2 2 5 3 3 3 3" xfId="15675"/>
    <cellStyle name="Normal 5 2 2 5 3 3 4" xfId="5532"/>
    <cellStyle name="Normal 5 2 2 5 3 3 4 2" xfId="11071"/>
    <cellStyle name="Normal 5 2 2 5 3 3 4 3" xfId="16610"/>
    <cellStyle name="Normal 5 2 2 5 3 3 5" xfId="2234"/>
    <cellStyle name="Normal 5 2 2 5 3 3 5 2" xfId="7780"/>
    <cellStyle name="Normal 5 2 2 5 3 3 5 3" xfId="13319"/>
    <cellStyle name="Normal 5 2 2 5 3 3 6" xfId="6575"/>
    <cellStyle name="Normal 5 2 2 5 3 3 7" xfId="12114"/>
    <cellStyle name="Normal 5 2 2 5 3 4" xfId="3146"/>
    <cellStyle name="Normal 5 2 2 5 3 4 2" xfId="8688"/>
    <cellStyle name="Normal 5 2 2 5 3 4 3" xfId="14227"/>
    <cellStyle name="Normal 5 2 2 5 3 5" xfId="4185"/>
    <cellStyle name="Normal 5 2 2 5 3 5 2" xfId="9724"/>
    <cellStyle name="Normal 5 2 2 5 3 5 3" xfId="15263"/>
    <cellStyle name="Normal 5 2 2 5 3 6" xfId="5146"/>
    <cellStyle name="Normal 5 2 2 5 3 6 2" xfId="10685"/>
    <cellStyle name="Normal 5 2 2 5 3 6 3" xfId="16224"/>
    <cellStyle name="Normal 5 2 2 5 3 7" xfId="1848"/>
    <cellStyle name="Normal 5 2 2 5 3 7 2" xfId="7394"/>
    <cellStyle name="Normal 5 2 2 5 3 7 3" xfId="12933"/>
    <cellStyle name="Normal 5 2 2 5 3 8" xfId="6189"/>
    <cellStyle name="Normal 5 2 2 5 3 9" xfId="11728"/>
    <cellStyle name="Normal 5 2 2 5 4" xfId="1207"/>
    <cellStyle name="Normal 5 2 2 5 4 2" xfId="3737"/>
    <cellStyle name="Normal 5 2 2 5 4 2 2" xfId="9279"/>
    <cellStyle name="Normal 5 2 2 5 4 2 3" xfId="14818"/>
    <cellStyle name="Normal 5 2 2 5 4 3" xfId="4774"/>
    <cellStyle name="Normal 5 2 2 5 4 3 2" xfId="10313"/>
    <cellStyle name="Normal 5 2 2 5 4 3 3" xfId="15852"/>
    <cellStyle name="Normal 5 2 2 5 4 4" xfId="5709"/>
    <cellStyle name="Normal 5 2 2 5 4 4 2" xfId="11248"/>
    <cellStyle name="Normal 5 2 2 5 4 4 3" xfId="16787"/>
    <cellStyle name="Normal 5 2 2 5 4 5" xfId="2411"/>
    <cellStyle name="Normal 5 2 2 5 4 5 2" xfId="7957"/>
    <cellStyle name="Normal 5 2 2 5 4 5 3" xfId="13496"/>
    <cellStyle name="Normal 5 2 2 5 4 6" xfId="6752"/>
    <cellStyle name="Normal 5 2 2 5 4 7" xfId="12291"/>
    <cellStyle name="Normal 5 2 2 5 5" xfId="805"/>
    <cellStyle name="Normal 5 2 2 5 5 2" xfId="3335"/>
    <cellStyle name="Normal 5 2 2 5 5 2 2" xfId="8877"/>
    <cellStyle name="Normal 5 2 2 5 5 2 3" xfId="14416"/>
    <cellStyle name="Normal 5 2 2 5 5 3" xfId="4372"/>
    <cellStyle name="Normal 5 2 2 5 5 3 2" xfId="9911"/>
    <cellStyle name="Normal 5 2 2 5 5 3 3" xfId="15450"/>
    <cellStyle name="Normal 5 2 2 5 5 4" xfId="5307"/>
    <cellStyle name="Normal 5 2 2 5 5 4 2" xfId="10846"/>
    <cellStyle name="Normal 5 2 2 5 5 4 3" xfId="16385"/>
    <cellStyle name="Normal 5 2 2 5 5 5" xfId="2009"/>
    <cellStyle name="Normal 5 2 2 5 5 5 2" xfId="7555"/>
    <cellStyle name="Normal 5 2 2 5 5 5 3" xfId="13094"/>
    <cellStyle name="Normal 5 2 2 5 5 6" xfId="6350"/>
    <cellStyle name="Normal 5 2 2 5 5 7" xfId="11889"/>
    <cellStyle name="Normal 5 2 2 5 6" xfId="1552"/>
    <cellStyle name="Normal 5 2 2 5 6 2" xfId="2757"/>
    <cellStyle name="Normal 5 2 2 5 6 2 2" xfId="8303"/>
    <cellStyle name="Normal 5 2 2 5 6 2 3" xfId="13842"/>
    <cellStyle name="Normal 5 2 2 5 6 3" xfId="7098"/>
    <cellStyle name="Normal 5 2 2 5 6 4" xfId="12637"/>
    <cellStyle name="Normal 5 2 2 5 7" xfId="2930"/>
    <cellStyle name="Normal 5 2 2 5 7 2" xfId="8474"/>
    <cellStyle name="Normal 5 2 2 5 7 3" xfId="14013"/>
    <cellStyle name="Normal 5 2 2 5 8" xfId="3041"/>
    <cellStyle name="Normal 5 2 2 5 8 2" xfId="8584"/>
    <cellStyle name="Normal 5 2 2 5 8 3" xfId="14123"/>
    <cellStyle name="Normal 5 2 2 5 9" xfId="4084"/>
    <cellStyle name="Normal 5 2 2 5 9 2" xfId="9625"/>
    <cellStyle name="Normal 5 2 2 5 9 3" xfId="15164"/>
    <cellStyle name="Normal 5 2 2 6" xfId="290"/>
    <cellStyle name="Normal 5 2 2 6 10" xfId="6073"/>
    <cellStyle name="Normal 5 2 2 6 10 2" xfId="17151"/>
    <cellStyle name="Normal 5 2 2 6 11" xfId="717"/>
    <cellStyle name="Normal 5 2 2 6 11 2" xfId="17313"/>
    <cellStyle name="Normal 5 2 2 6 12" xfId="11612"/>
    <cellStyle name="Normal 5 2 2 6 13" xfId="17480"/>
    <cellStyle name="Normal 5 2 2 6 14" xfId="17645"/>
    <cellStyle name="Normal 5 2 2 6 2" xfId="489"/>
    <cellStyle name="Normal 5 2 2 6 2 2" xfId="1330"/>
    <cellStyle name="Normal 5 2 2 6 2 2 2" xfId="3862"/>
    <cellStyle name="Normal 5 2 2 6 2 2 2 2" xfId="9404"/>
    <cellStyle name="Normal 5 2 2 6 2 2 2 3" xfId="14943"/>
    <cellStyle name="Normal 5 2 2 6 2 2 3" xfId="4899"/>
    <cellStyle name="Normal 5 2 2 6 2 2 3 2" xfId="10438"/>
    <cellStyle name="Normal 5 2 2 6 2 2 3 3" xfId="15977"/>
    <cellStyle name="Normal 5 2 2 6 2 2 4" xfId="5833"/>
    <cellStyle name="Normal 5 2 2 6 2 2 4 2" xfId="11372"/>
    <cellStyle name="Normal 5 2 2 6 2 2 4 3" xfId="16911"/>
    <cellStyle name="Normal 5 2 2 6 2 2 5" xfId="2535"/>
    <cellStyle name="Normal 5 2 2 6 2 2 5 2" xfId="8081"/>
    <cellStyle name="Normal 5 2 2 6 2 2 5 3" xfId="13620"/>
    <cellStyle name="Normal 5 2 2 6 2 2 6" xfId="6876"/>
    <cellStyle name="Normal 5 2 2 6 2 2 7" xfId="12415"/>
    <cellStyle name="Normal 5 2 2 6 2 3" xfId="1048"/>
    <cellStyle name="Normal 5 2 2 6 2 3 2" xfId="3578"/>
    <cellStyle name="Normal 5 2 2 6 2 3 2 2" xfId="9120"/>
    <cellStyle name="Normal 5 2 2 6 2 3 2 3" xfId="14659"/>
    <cellStyle name="Normal 5 2 2 6 2 3 3" xfId="4615"/>
    <cellStyle name="Normal 5 2 2 6 2 3 3 2" xfId="10154"/>
    <cellStyle name="Normal 5 2 2 6 2 3 3 3" xfId="15693"/>
    <cellStyle name="Normal 5 2 2 6 2 3 4" xfId="5550"/>
    <cellStyle name="Normal 5 2 2 6 2 3 4 2" xfId="11089"/>
    <cellStyle name="Normal 5 2 2 6 2 3 4 3" xfId="16628"/>
    <cellStyle name="Normal 5 2 2 6 2 3 5" xfId="2252"/>
    <cellStyle name="Normal 5 2 2 6 2 3 5 2" xfId="7798"/>
    <cellStyle name="Normal 5 2 2 6 2 3 5 3" xfId="13337"/>
    <cellStyle name="Normal 5 2 2 6 2 3 6" xfId="6593"/>
    <cellStyle name="Normal 5 2 2 6 2 3 7" xfId="12132"/>
    <cellStyle name="Normal 5 2 2 6 2 4" xfId="3148"/>
    <cellStyle name="Normal 5 2 2 6 2 4 2" xfId="8690"/>
    <cellStyle name="Normal 5 2 2 6 2 4 3" xfId="14229"/>
    <cellStyle name="Normal 5 2 2 6 2 5" xfId="4187"/>
    <cellStyle name="Normal 5 2 2 6 2 5 2" xfId="9726"/>
    <cellStyle name="Normal 5 2 2 6 2 5 3" xfId="15265"/>
    <cellStyle name="Normal 5 2 2 6 2 6" xfId="5148"/>
    <cellStyle name="Normal 5 2 2 6 2 6 2" xfId="10687"/>
    <cellStyle name="Normal 5 2 2 6 2 6 3" xfId="16226"/>
    <cellStyle name="Normal 5 2 2 6 2 7" xfId="1850"/>
    <cellStyle name="Normal 5 2 2 6 2 7 2" xfId="7396"/>
    <cellStyle name="Normal 5 2 2 6 2 7 3" xfId="12935"/>
    <cellStyle name="Normal 5 2 2 6 2 8" xfId="6191"/>
    <cellStyle name="Normal 5 2 2 6 2 9" xfId="11730"/>
    <cellStyle name="Normal 5 2 2 6 3" xfId="1225"/>
    <cellStyle name="Normal 5 2 2 6 3 2" xfId="3755"/>
    <cellStyle name="Normal 5 2 2 6 3 2 2" xfId="9297"/>
    <cellStyle name="Normal 5 2 2 6 3 2 3" xfId="14836"/>
    <cellStyle name="Normal 5 2 2 6 3 3" xfId="4792"/>
    <cellStyle name="Normal 5 2 2 6 3 3 2" xfId="10331"/>
    <cellStyle name="Normal 5 2 2 6 3 3 3" xfId="15870"/>
    <cellStyle name="Normal 5 2 2 6 3 4" xfId="5727"/>
    <cellStyle name="Normal 5 2 2 6 3 4 2" xfId="11266"/>
    <cellStyle name="Normal 5 2 2 6 3 4 3" xfId="16805"/>
    <cellStyle name="Normal 5 2 2 6 3 5" xfId="2429"/>
    <cellStyle name="Normal 5 2 2 6 3 5 2" xfId="7975"/>
    <cellStyle name="Normal 5 2 2 6 3 5 3" xfId="13514"/>
    <cellStyle name="Normal 5 2 2 6 3 6" xfId="6770"/>
    <cellStyle name="Normal 5 2 2 6 3 7" xfId="12309"/>
    <cellStyle name="Normal 5 2 2 6 4" xfId="807"/>
    <cellStyle name="Normal 5 2 2 6 4 2" xfId="3337"/>
    <cellStyle name="Normal 5 2 2 6 4 2 2" xfId="8879"/>
    <cellStyle name="Normal 5 2 2 6 4 2 3" xfId="14418"/>
    <cellStyle name="Normal 5 2 2 6 4 3" xfId="4374"/>
    <cellStyle name="Normal 5 2 2 6 4 3 2" xfId="9913"/>
    <cellStyle name="Normal 5 2 2 6 4 3 3" xfId="15452"/>
    <cellStyle name="Normal 5 2 2 6 4 4" xfId="5309"/>
    <cellStyle name="Normal 5 2 2 6 4 4 2" xfId="10848"/>
    <cellStyle name="Normal 5 2 2 6 4 4 3" xfId="16387"/>
    <cellStyle name="Normal 5 2 2 6 4 5" xfId="2011"/>
    <cellStyle name="Normal 5 2 2 6 4 5 2" xfId="7557"/>
    <cellStyle name="Normal 5 2 2 6 4 5 3" xfId="13096"/>
    <cellStyle name="Normal 5 2 2 6 4 6" xfId="6352"/>
    <cellStyle name="Normal 5 2 2 6 4 7" xfId="11891"/>
    <cellStyle name="Normal 5 2 2 6 5" xfId="1570"/>
    <cellStyle name="Normal 5 2 2 6 5 2" xfId="2775"/>
    <cellStyle name="Normal 5 2 2 6 5 2 2" xfId="8321"/>
    <cellStyle name="Normal 5 2 2 6 5 2 3" xfId="13860"/>
    <cellStyle name="Normal 5 2 2 6 5 3" xfId="7116"/>
    <cellStyle name="Normal 5 2 2 6 5 4" xfId="12655"/>
    <cellStyle name="Normal 5 2 2 6 6" xfId="2948"/>
    <cellStyle name="Normal 5 2 2 6 6 2" xfId="8492"/>
    <cellStyle name="Normal 5 2 2 6 6 3" xfId="14031"/>
    <cellStyle name="Normal 5 2 2 6 7" xfId="3070"/>
    <cellStyle name="Normal 5 2 2 6 7 2" xfId="8613"/>
    <cellStyle name="Normal 5 2 2 6 7 3" xfId="14152"/>
    <cellStyle name="Normal 5 2 2 6 8" xfId="4113"/>
    <cellStyle name="Normal 5 2 2 6 8 2" xfId="9654"/>
    <cellStyle name="Normal 5 2 2 6 8 3" xfId="15193"/>
    <cellStyle name="Normal 5 2 2 6 9" xfId="1732"/>
    <cellStyle name="Normal 5 2 2 6 9 2" xfId="7278"/>
    <cellStyle name="Normal 5 2 2 6 9 3" xfId="12817"/>
    <cellStyle name="Normal 5 2 2 7" xfId="291"/>
    <cellStyle name="Normal 5 2 2 7 10" xfId="6001"/>
    <cellStyle name="Normal 5 2 2 7 10 2" xfId="17079"/>
    <cellStyle name="Normal 5 2 2 7 11" xfId="645"/>
    <cellStyle name="Normal 5 2 2 7 11 2" xfId="17241"/>
    <cellStyle name="Normal 5 2 2 7 12" xfId="11540"/>
    <cellStyle name="Normal 5 2 2 7 13" xfId="17408"/>
    <cellStyle name="Normal 5 2 2 7 14" xfId="17573"/>
    <cellStyle name="Normal 5 2 2 7 2" xfId="490"/>
    <cellStyle name="Normal 5 2 2 7 2 2" xfId="1331"/>
    <cellStyle name="Normal 5 2 2 7 2 2 2" xfId="3863"/>
    <cellStyle name="Normal 5 2 2 7 2 2 2 2" xfId="9405"/>
    <cellStyle name="Normal 5 2 2 7 2 2 2 3" xfId="14944"/>
    <cellStyle name="Normal 5 2 2 7 2 2 3" xfId="4900"/>
    <cellStyle name="Normal 5 2 2 7 2 2 3 2" xfId="10439"/>
    <cellStyle name="Normal 5 2 2 7 2 2 3 3" xfId="15978"/>
    <cellStyle name="Normal 5 2 2 7 2 2 4" xfId="5834"/>
    <cellStyle name="Normal 5 2 2 7 2 2 4 2" xfId="11373"/>
    <cellStyle name="Normal 5 2 2 7 2 2 4 3" xfId="16912"/>
    <cellStyle name="Normal 5 2 2 7 2 2 5" xfId="2536"/>
    <cellStyle name="Normal 5 2 2 7 2 2 5 2" xfId="8082"/>
    <cellStyle name="Normal 5 2 2 7 2 2 5 3" xfId="13621"/>
    <cellStyle name="Normal 5 2 2 7 2 2 6" xfId="6877"/>
    <cellStyle name="Normal 5 2 2 7 2 2 7" xfId="12416"/>
    <cellStyle name="Normal 5 2 2 7 2 3" xfId="976"/>
    <cellStyle name="Normal 5 2 2 7 2 3 2" xfId="3506"/>
    <cellStyle name="Normal 5 2 2 7 2 3 2 2" xfId="9048"/>
    <cellStyle name="Normal 5 2 2 7 2 3 2 3" xfId="14587"/>
    <cellStyle name="Normal 5 2 2 7 2 3 3" xfId="4543"/>
    <cellStyle name="Normal 5 2 2 7 2 3 3 2" xfId="10082"/>
    <cellStyle name="Normal 5 2 2 7 2 3 3 3" xfId="15621"/>
    <cellStyle name="Normal 5 2 2 7 2 3 4" xfId="5478"/>
    <cellStyle name="Normal 5 2 2 7 2 3 4 2" xfId="11017"/>
    <cellStyle name="Normal 5 2 2 7 2 3 4 3" xfId="16556"/>
    <cellStyle name="Normal 5 2 2 7 2 3 5" xfId="2180"/>
    <cellStyle name="Normal 5 2 2 7 2 3 5 2" xfId="7726"/>
    <cellStyle name="Normal 5 2 2 7 2 3 5 3" xfId="13265"/>
    <cellStyle name="Normal 5 2 2 7 2 3 6" xfId="6521"/>
    <cellStyle name="Normal 5 2 2 7 2 3 7" xfId="12060"/>
    <cellStyle name="Normal 5 2 2 7 2 4" xfId="3149"/>
    <cellStyle name="Normal 5 2 2 7 2 4 2" xfId="8691"/>
    <cellStyle name="Normal 5 2 2 7 2 4 3" xfId="14230"/>
    <cellStyle name="Normal 5 2 2 7 2 5" xfId="4188"/>
    <cellStyle name="Normal 5 2 2 7 2 5 2" xfId="9727"/>
    <cellStyle name="Normal 5 2 2 7 2 5 3" xfId="15266"/>
    <cellStyle name="Normal 5 2 2 7 2 6" xfId="5149"/>
    <cellStyle name="Normal 5 2 2 7 2 6 2" xfId="10688"/>
    <cellStyle name="Normal 5 2 2 7 2 6 3" xfId="16227"/>
    <cellStyle name="Normal 5 2 2 7 2 7" xfId="1851"/>
    <cellStyle name="Normal 5 2 2 7 2 7 2" xfId="7397"/>
    <cellStyle name="Normal 5 2 2 7 2 7 3" xfId="12936"/>
    <cellStyle name="Normal 5 2 2 7 2 8" xfId="6192"/>
    <cellStyle name="Normal 5 2 2 7 2 9" xfId="11731"/>
    <cellStyle name="Normal 5 2 2 7 3" xfId="1153"/>
    <cellStyle name="Normal 5 2 2 7 3 2" xfId="3683"/>
    <cellStyle name="Normal 5 2 2 7 3 2 2" xfId="9225"/>
    <cellStyle name="Normal 5 2 2 7 3 2 3" xfId="14764"/>
    <cellStyle name="Normal 5 2 2 7 3 3" xfId="4720"/>
    <cellStyle name="Normal 5 2 2 7 3 3 2" xfId="10259"/>
    <cellStyle name="Normal 5 2 2 7 3 3 3" xfId="15798"/>
    <cellStyle name="Normal 5 2 2 7 3 4" xfId="5655"/>
    <cellStyle name="Normal 5 2 2 7 3 4 2" xfId="11194"/>
    <cellStyle name="Normal 5 2 2 7 3 4 3" xfId="16733"/>
    <cellStyle name="Normal 5 2 2 7 3 5" xfId="2357"/>
    <cellStyle name="Normal 5 2 2 7 3 5 2" xfId="7903"/>
    <cellStyle name="Normal 5 2 2 7 3 5 3" xfId="13442"/>
    <cellStyle name="Normal 5 2 2 7 3 6" xfId="6698"/>
    <cellStyle name="Normal 5 2 2 7 3 7" xfId="12237"/>
    <cellStyle name="Normal 5 2 2 7 4" xfId="808"/>
    <cellStyle name="Normal 5 2 2 7 4 2" xfId="3338"/>
    <cellStyle name="Normal 5 2 2 7 4 2 2" xfId="8880"/>
    <cellStyle name="Normal 5 2 2 7 4 2 3" xfId="14419"/>
    <cellStyle name="Normal 5 2 2 7 4 3" xfId="4375"/>
    <cellStyle name="Normal 5 2 2 7 4 3 2" xfId="9914"/>
    <cellStyle name="Normal 5 2 2 7 4 3 3" xfId="15453"/>
    <cellStyle name="Normal 5 2 2 7 4 4" xfId="5310"/>
    <cellStyle name="Normal 5 2 2 7 4 4 2" xfId="10849"/>
    <cellStyle name="Normal 5 2 2 7 4 4 3" xfId="16388"/>
    <cellStyle name="Normal 5 2 2 7 4 5" xfId="2012"/>
    <cellStyle name="Normal 5 2 2 7 4 5 2" xfId="7558"/>
    <cellStyle name="Normal 5 2 2 7 4 5 3" xfId="13097"/>
    <cellStyle name="Normal 5 2 2 7 4 6" xfId="6353"/>
    <cellStyle name="Normal 5 2 2 7 4 7" xfId="11892"/>
    <cellStyle name="Normal 5 2 2 7 5" xfId="1498"/>
    <cellStyle name="Normal 5 2 2 7 5 2" xfId="2703"/>
    <cellStyle name="Normal 5 2 2 7 5 2 2" xfId="8249"/>
    <cellStyle name="Normal 5 2 2 7 5 2 3" xfId="13788"/>
    <cellStyle name="Normal 5 2 2 7 5 3" xfId="7044"/>
    <cellStyle name="Normal 5 2 2 7 5 4" xfId="12583"/>
    <cellStyle name="Normal 5 2 2 7 6" xfId="2876"/>
    <cellStyle name="Normal 5 2 2 7 6 2" xfId="8420"/>
    <cellStyle name="Normal 5 2 2 7 6 3" xfId="13959"/>
    <cellStyle name="Normal 5 2 2 7 7" xfId="3312"/>
    <cellStyle name="Normal 5 2 2 7 7 2" xfId="8854"/>
    <cellStyle name="Normal 5 2 2 7 7 3" xfId="14393"/>
    <cellStyle name="Normal 5 2 2 7 8" xfId="4349"/>
    <cellStyle name="Normal 5 2 2 7 8 2" xfId="9888"/>
    <cellStyle name="Normal 5 2 2 7 8 3" xfId="15427"/>
    <cellStyle name="Normal 5 2 2 7 9" xfId="1660"/>
    <cellStyle name="Normal 5 2 2 7 9 2" xfId="7206"/>
    <cellStyle name="Normal 5 2 2 7 9 3" xfId="12745"/>
    <cellStyle name="Normal 5 2 2 8" xfId="447"/>
    <cellStyle name="Normal 5 2 2 8 2" xfId="1294"/>
    <cellStyle name="Normal 5 2 2 8 2 2" xfId="3824"/>
    <cellStyle name="Normal 5 2 2 8 2 2 2" xfId="9366"/>
    <cellStyle name="Normal 5 2 2 8 2 2 3" xfId="14905"/>
    <cellStyle name="Normal 5 2 2 8 2 3" xfId="4861"/>
    <cellStyle name="Normal 5 2 2 8 2 3 2" xfId="10400"/>
    <cellStyle name="Normal 5 2 2 8 2 3 3" xfId="15939"/>
    <cellStyle name="Normal 5 2 2 8 2 4" xfId="5796"/>
    <cellStyle name="Normal 5 2 2 8 2 4 2" xfId="11335"/>
    <cellStyle name="Normal 5 2 2 8 2 4 3" xfId="16874"/>
    <cellStyle name="Normal 5 2 2 8 2 5" xfId="2498"/>
    <cellStyle name="Normal 5 2 2 8 2 5 2" xfId="8044"/>
    <cellStyle name="Normal 5 2 2 8 2 5 3" xfId="13583"/>
    <cellStyle name="Normal 5 2 2 8 2 6" xfId="6839"/>
    <cellStyle name="Normal 5 2 2 8 2 7" xfId="12378"/>
    <cellStyle name="Normal 5 2 2 8 3" xfId="958"/>
    <cellStyle name="Normal 5 2 2 8 3 2" xfId="3488"/>
    <cellStyle name="Normal 5 2 2 8 3 2 2" xfId="9030"/>
    <cellStyle name="Normal 5 2 2 8 3 2 3" xfId="14569"/>
    <cellStyle name="Normal 5 2 2 8 3 3" xfId="4525"/>
    <cellStyle name="Normal 5 2 2 8 3 3 2" xfId="10064"/>
    <cellStyle name="Normal 5 2 2 8 3 3 3" xfId="15603"/>
    <cellStyle name="Normal 5 2 2 8 3 4" xfId="5460"/>
    <cellStyle name="Normal 5 2 2 8 3 4 2" xfId="10999"/>
    <cellStyle name="Normal 5 2 2 8 3 4 3" xfId="16538"/>
    <cellStyle name="Normal 5 2 2 8 3 5" xfId="2162"/>
    <cellStyle name="Normal 5 2 2 8 3 5 2" xfId="7708"/>
    <cellStyle name="Normal 5 2 2 8 3 5 3" xfId="13247"/>
    <cellStyle name="Normal 5 2 2 8 3 6" xfId="6503"/>
    <cellStyle name="Normal 5 2 2 8 3 7" xfId="12042"/>
    <cellStyle name="Normal 5 2 2 8 4" xfId="3059"/>
    <cellStyle name="Normal 5 2 2 8 4 2" xfId="8602"/>
    <cellStyle name="Normal 5 2 2 8 4 3" xfId="14141"/>
    <cellStyle name="Normal 5 2 2 8 5" xfId="4102"/>
    <cellStyle name="Normal 5 2 2 8 5 2" xfId="9643"/>
    <cellStyle name="Normal 5 2 2 8 5 3" xfId="15182"/>
    <cellStyle name="Normal 5 2 2 8 6" xfId="5111"/>
    <cellStyle name="Normal 5 2 2 8 6 2" xfId="10650"/>
    <cellStyle name="Normal 5 2 2 8 6 3" xfId="16189"/>
    <cellStyle name="Normal 5 2 2 8 7" xfId="1813"/>
    <cellStyle name="Normal 5 2 2 8 7 2" xfId="7359"/>
    <cellStyle name="Normal 5 2 2 8 7 3" xfId="12898"/>
    <cellStyle name="Normal 5 2 2 8 8" xfId="6154"/>
    <cellStyle name="Normal 5 2 2 8 9" xfId="11693"/>
    <cellStyle name="Normal 5 2 2 9" xfId="1135"/>
    <cellStyle name="Normal 5 2 2 9 2" xfId="3665"/>
    <cellStyle name="Normal 5 2 2 9 2 2" xfId="9207"/>
    <cellStyle name="Normal 5 2 2 9 2 3" xfId="14746"/>
    <cellStyle name="Normal 5 2 2 9 3" xfId="4702"/>
    <cellStyle name="Normal 5 2 2 9 3 2" xfId="10241"/>
    <cellStyle name="Normal 5 2 2 9 3 3" xfId="15780"/>
    <cellStyle name="Normal 5 2 2 9 4" xfId="5637"/>
    <cellStyle name="Normal 5 2 2 9 4 2" xfId="11176"/>
    <cellStyle name="Normal 5 2 2 9 4 3" xfId="16715"/>
    <cellStyle name="Normal 5 2 2 9 5" xfId="2339"/>
    <cellStyle name="Normal 5 2 2 9 5 2" xfId="7885"/>
    <cellStyle name="Normal 5 2 2 9 5 3" xfId="13424"/>
    <cellStyle name="Normal 5 2 2 9 6" xfId="6680"/>
    <cellStyle name="Normal 5 2 2 9 7" xfId="12219"/>
    <cellStyle name="Normal 5 2 20" xfId="2851"/>
    <cellStyle name="Normal 5 2 20 2" xfId="8395"/>
    <cellStyle name="Normal 5 2 20 3" xfId="13934"/>
    <cellStyle name="Normal 5 2 21" xfId="3121"/>
    <cellStyle name="Normal 5 2 21 2" xfId="8664"/>
    <cellStyle name="Normal 5 2 21 3" xfId="14203"/>
    <cellStyle name="Normal 5 2 22" xfId="4163"/>
    <cellStyle name="Normal 5 2 22 2" xfId="9704"/>
    <cellStyle name="Normal 5 2 22 3" xfId="15243"/>
    <cellStyle name="Normal 5 2 23" xfId="1636"/>
    <cellStyle name="Normal 5 2 23 2" xfId="7182"/>
    <cellStyle name="Normal 5 2 23 3" xfId="12721"/>
    <cellStyle name="Normal 5 2 24" xfId="5977"/>
    <cellStyle name="Normal 5 2 24 2" xfId="17055"/>
    <cellStyle name="Normal 5 2 25" xfId="621"/>
    <cellStyle name="Normal 5 2 25 2" xfId="17217"/>
    <cellStyle name="Normal 5 2 26" xfId="11516"/>
    <cellStyle name="Normal 5 2 27" xfId="17384"/>
    <cellStyle name="Normal 5 2 28" xfId="17549"/>
    <cellStyle name="Normal 5 2 29" xfId="248"/>
    <cellStyle name="Normal 5 2 3" xfId="250"/>
    <cellStyle name="Normal 5 2 3 10" xfId="809"/>
    <cellStyle name="Normal 5 2 3 10 2" xfId="3339"/>
    <cellStyle name="Normal 5 2 3 10 2 2" xfId="8881"/>
    <cellStyle name="Normal 5 2 3 10 2 3" xfId="14420"/>
    <cellStyle name="Normal 5 2 3 10 3" xfId="4376"/>
    <cellStyle name="Normal 5 2 3 10 3 2" xfId="9915"/>
    <cellStyle name="Normal 5 2 3 10 3 3" xfId="15454"/>
    <cellStyle name="Normal 5 2 3 10 4" xfId="5311"/>
    <cellStyle name="Normal 5 2 3 10 4 2" xfId="10850"/>
    <cellStyle name="Normal 5 2 3 10 4 3" xfId="16389"/>
    <cellStyle name="Normal 5 2 3 10 5" xfId="2013"/>
    <cellStyle name="Normal 5 2 3 10 5 2" xfId="7559"/>
    <cellStyle name="Normal 5 2 3 10 5 3" xfId="13098"/>
    <cellStyle name="Normal 5 2 3 10 6" xfId="6354"/>
    <cellStyle name="Normal 5 2 3 10 7" xfId="11893"/>
    <cellStyle name="Normal 5 2 3 11" xfId="1476"/>
    <cellStyle name="Normal 5 2 3 11 2" xfId="2681"/>
    <cellStyle name="Normal 5 2 3 11 2 2" xfId="8227"/>
    <cellStyle name="Normal 5 2 3 11 2 3" xfId="13766"/>
    <cellStyle name="Normal 5 2 3 11 3" xfId="7022"/>
    <cellStyle name="Normal 5 2 3 11 4" xfId="12561"/>
    <cellStyle name="Normal 5 2 3 12" xfId="2854"/>
    <cellStyle name="Normal 5 2 3 12 2" xfId="8398"/>
    <cellStyle name="Normal 5 2 3 12 3" xfId="13937"/>
    <cellStyle name="Normal 5 2 3 13" xfId="3841"/>
    <cellStyle name="Normal 5 2 3 13 2" xfId="9383"/>
    <cellStyle name="Normal 5 2 3 13 3" xfId="14922"/>
    <cellStyle name="Normal 5 2 3 14" xfId="4878"/>
    <cellStyle name="Normal 5 2 3 14 2" xfId="10417"/>
    <cellStyle name="Normal 5 2 3 14 3" xfId="15956"/>
    <cellStyle name="Normal 5 2 3 15" xfId="1638"/>
    <cellStyle name="Normal 5 2 3 15 2" xfId="7184"/>
    <cellStyle name="Normal 5 2 3 15 3" xfId="12723"/>
    <cellStyle name="Normal 5 2 3 16" xfId="5979"/>
    <cellStyle name="Normal 5 2 3 16 2" xfId="17057"/>
    <cellStyle name="Normal 5 2 3 17" xfId="623"/>
    <cellStyle name="Normal 5 2 3 17 2" xfId="17219"/>
    <cellStyle name="Normal 5 2 3 18" xfId="11518"/>
    <cellStyle name="Normal 5 2 3 19" xfId="17386"/>
    <cellStyle name="Normal 5 2 3 2" xfId="251"/>
    <cellStyle name="Normal 5 2 3 2 10" xfId="1484"/>
    <cellStyle name="Normal 5 2 3 2 10 2" xfId="2689"/>
    <cellStyle name="Normal 5 2 3 2 10 2 2" xfId="8235"/>
    <cellStyle name="Normal 5 2 3 2 10 2 3" xfId="13774"/>
    <cellStyle name="Normal 5 2 3 2 10 3" xfId="7030"/>
    <cellStyle name="Normal 5 2 3 2 10 4" xfId="12569"/>
    <cellStyle name="Normal 5 2 3 2 11" xfId="2862"/>
    <cellStyle name="Normal 5 2 3 2 11 2" xfId="8406"/>
    <cellStyle name="Normal 5 2 3 2 11 3" xfId="13945"/>
    <cellStyle name="Normal 5 2 3 2 12" xfId="3288"/>
    <cellStyle name="Normal 5 2 3 2 12 2" xfId="8830"/>
    <cellStyle name="Normal 5 2 3 2 12 3" xfId="14369"/>
    <cellStyle name="Normal 5 2 3 2 13" xfId="4327"/>
    <cellStyle name="Normal 5 2 3 2 13 2" xfId="9866"/>
    <cellStyle name="Normal 5 2 3 2 13 3" xfId="15405"/>
    <cellStyle name="Normal 5 2 3 2 14" xfId="1646"/>
    <cellStyle name="Normal 5 2 3 2 14 2" xfId="7192"/>
    <cellStyle name="Normal 5 2 3 2 14 3" xfId="12731"/>
    <cellStyle name="Normal 5 2 3 2 15" xfId="5987"/>
    <cellStyle name="Normal 5 2 3 2 15 2" xfId="17065"/>
    <cellStyle name="Normal 5 2 3 2 16" xfId="631"/>
    <cellStyle name="Normal 5 2 3 2 16 2" xfId="17227"/>
    <cellStyle name="Normal 5 2 3 2 17" xfId="11526"/>
    <cellStyle name="Normal 5 2 3 2 18" xfId="17394"/>
    <cellStyle name="Normal 5 2 3 2 19" xfId="17559"/>
    <cellStyle name="Normal 5 2 3 2 2" xfId="292"/>
    <cellStyle name="Normal 5 2 3 2 2 10" xfId="1700"/>
    <cellStyle name="Normal 5 2 3 2 2 10 2" xfId="7246"/>
    <cellStyle name="Normal 5 2 3 2 2 10 3" xfId="12785"/>
    <cellStyle name="Normal 5 2 3 2 2 11" xfId="6041"/>
    <cellStyle name="Normal 5 2 3 2 2 11 2" xfId="17119"/>
    <cellStyle name="Normal 5 2 3 2 2 12" xfId="685"/>
    <cellStyle name="Normal 5 2 3 2 2 12 2" xfId="17281"/>
    <cellStyle name="Normal 5 2 3 2 2 13" xfId="11580"/>
    <cellStyle name="Normal 5 2 3 2 2 14" xfId="17448"/>
    <cellStyle name="Normal 5 2 3 2 2 15" xfId="17613"/>
    <cellStyle name="Normal 5 2 3 2 2 2" xfId="293"/>
    <cellStyle name="Normal 5 2 3 2 2 2 10" xfId="6131"/>
    <cellStyle name="Normal 5 2 3 2 2 2 10 2" xfId="17209"/>
    <cellStyle name="Normal 5 2 3 2 2 2 11" xfId="775"/>
    <cellStyle name="Normal 5 2 3 2 2 2 11 2" xfId="17371"/>
    <cellStyle name="Normal 5 2 3 2 2 2 12" xfId="11670"/>
    <cellStyle name="Normal 5 2 3 2 2 2 13" xfId="17538"/>
    <cellStyle name="Normal 5 2 3 2 2 2 14" xfId="17703"/>
    <cellStyle name="Normal 5 2 3 2 2 2 2" xfId="492"/>
    <cellStyle name="Normal 5 2 3 2 2 2 2 2" xfId="1333"/>
    <cellStyle name="Normal 5 2 3 2 2 2 2 2 2" xfId="3865"/>
    <cellStyle name="Normal 5 2 3 2 2 2 2 2 2 2" xfId="9407"/>
    <cellStyle name="Normal 5 2 3 2 2 2 2 2 2 3" xfId="14946"/>
    <cellStyle name="Normal 5 2 3 2 2 2 2 2 3" xfId="4902"/>
    <cellStyle name="Normal 5 2 3 2 2 2 2 2 3 2" xfId="10441"/>
    <cellStyle name="Normal 5 2 3 2 2 2 2 2 3 3" xfId="15980"/>
    <cellStyle name="Normal 5 2 3 2 2 2 2 2 4" xfId="5836"/>
    <cellStyle name="Normal 5 2 3 2 2 2 2 2 4 2" xfId="11375"/>
    <cellStyle name="Normal 5 2 3 2 2 2 2 2 4 3" xfId="16914"/>
    <cellStyle name="Normal 5 2 3 2 2 2 2 2 5" xfId="2538"/>
    <cellStyle name="Normal 5 2 3 2 2 2 2 2 5 2" xfId="8084"/>
    <cellStyle name="Normal 5 2 3 2 2 2 2 2 5 3" xfId="13623"/>
    <cellStyle name="Normal 5 2 3 2 2 2 2 2 6" xfId="6879"/>
    <cellStyle name="Normal 5 2 3 2 2 2 2 2 7" xfId="12418"/>
    <cellStyle name="Normal 5 2 3 2 2 2 2 3" xfId="1106"/>
    <cellStyle name="Normal 5 2 3 2 2 2 2 3 2" xfId="3636"/>
    <cellStyle name="Normal 5 2 3 2 2 2 2 3 2 2" xfId="9178"/>
    <cellStyle name="Normal 5 2 3 2 2 2 2 3 2 3" xfId="14717"/>
    <cellStyle name="Normal 5 2 3 2 2 2 2 3 3" xfId="4673"/>
    <cellStyle name="Normal 5 2 3 2 2 2 2 3 3 2" xfId="10212"/>
    <cellStyle name="Normal 5 2 3 2 2 2 2 3 3 3" xfId="15751"/>
    <cellStyle name="Normal 5 2 3 2 2 2 2 3 4" xfId="5608"/>
    <cellStyle name="Normal 5 2 3 2 2 2 2 3 4 2" xfId="11147"/>
    <cellStyle name="Normal 5 2 3 2 2 2 2 3 4 3" xfId="16686"/>
    <cellStyle name="Normal 5 2 3 2 2 2 2 3 5" xfId="2310"/>
    <cellStyle name="Normal 5 2 3 2 2 2 2 3 5 2" xfId="7856"/>
    <cellStyle name="Normal 5 2 3 2 2 2 2 3 5 3" xfId="13395"/>
    <cellStyle name="Normal 5 2 3 2 2 2 2 3 6" xfId="6651"/>
    <cellStyle name="Normal 5 2 3 2 2 2 2 3 7" xfId="12190"/>
    <cellStyle name="Normal 5 2 3 2 2 2 2 4" xfId="3151"/>
    <cellStyle name="Normal 5 2 3 2 2 2 2 4 2" xfId="8693"/>
    <cellStyle name="Normal 5 2 3 2 2 2 2 4 3" xfId="14232"/>
    <cellStyle name="Normal 5 2 3 2 2 2 2 5" xfId="4190"/>
    <cellStyle name="Normal 5 2 3 2 2 2 2 5 2" xfId="9729"/>
    <cellStyle name="Normal 5 2 3 2 2 2 2 5 3" xfId="15268"/>
    <cellStyle name="Normal 5 2 3 2 2 2 2 6" xfId="5151"/>
    <cellStyle name="Normal 5 2 3 2 2 2 2 6 2" xfId="10690"/>
    <cellStyle name="Normal 5 2 3 2 2 2 2 6 3" xfId="16229"/>
    <cellStyle name="Normal 5 2 3 2 2 2 2 7" xfId="1853"/>
    <cellStyle name="Normal 5 2 3 2 2 2 2 7 2" xfId="7399"/>
    <cellStyle name="Normal 5 2 3 2 2 2 2 7 3" xfId="12938"/>
    <cellStyle name="Normal 5 2 3 2 2 2 2 8" xfId="6194"/>
    <cellStyle name="Normal 5 2 3 2 2 2 2 9" xfId="11733"/>
    <cellStyle name="Normal 5 2 3 2 2 2 3" xfId="1283"/>
    <cellStyle name="Normal 5 2 3 2 2 2 3 2" xfId="3813"/>
    <cellStyle name="Normal 5 2 3 2 2 2 3 2 2" xfId="9355"/>
    <cellStyle name="Normal 5 2 3 2 2 2 3 2 3" xfId="14894"/>
    <cellStyle name="Normal 5 2 3 2 2 2 3 3" xfId="4850"/>
    <cellStyle name="Normal 5 2 3 2 2 2 3 3 2" xfId="10389"/>
    <cellStyle name="Normal 5 2 3 2 2 2 3 3 3" xfId="15928"/>
    <cellStyle name="Normal 5 2 3 2 2 2 3 4" xfId="5785"/>
    <cellStyle name="Normal 5 2 3 2 2 2 3 4 2" xfId="11324"/>
    <cellStyle name="Normal 5 2 3 2 2 2 3 4 3" xfId="16863"/>
    <cellStyle name="Normal 5 2 3 2 2 2 3 5" xfId="2487"/>
    <cellStyle name="Normal 5 2 3 2 2 2 3 5 2" xfId="8033"/>
    <cellStyle name="Normal 5 2 3 2 2 2 3 5 3" xfId="13572"/>
    <cellStyle name="Normal 5 2 3 2 2 2 3 6" xfId="6828"/>
    <cellStyle name="Normal 5 2 3 2 2 2 3 7" xfId="12367"/>
    <cellStyle name="Normal 5 2 3 2 2 2 4" xfId="812"/>
    <cellStyle name="Normal 5 2 3 2 2 2 4 2" xfId="3342"/>
    <cellStyle name="Normal 5 2 3 2 2 2 4 2 2" xfId="8884"/>
    <cellStyle name="Normal 5 2 3 2 2 2 4 2 3" xfId="14423"/>
    <cellStyle name="Normal 5 2 3 2 2 2 4 3" xfId="4379"/>
    <cellStyle name="Normal 5 2 3 2 2 2 4 3 2" xfId="9918"/>
    <cellStyle name="Normal 5 2 3 2 2 2 4 3 3" xfId="15457"/>
    <cellStyle name="Normal 5 2 3 2 2 2 4 4" xfId="5314"/>
    <cellStyle name="Normal 5 2 3 2 2 2 4 4 2" xfId="10853"/>
    <cellStyle name="Normal 5 2 3 2 2 2 4 4 3" xfId="16392"/>
    <cellStyle name="Normal 5 2 3 2 2 2 4 5" xfId="2016"/>
    <cellStyle name="Normal 5 2 3 2 2 2 4 5 2" xfId="7562"/>
    <cellStyle name="Normal 5 2 3 2 2 2 4 5 3" xfId="13101"/>
    <cellStyle name="Normal 5 2 3 2 2 2 4 6" xfId="6357"/>
    <cellStyle name="Normal 5 2 3 2 2 2 4 7" xfId="11896"/>
    <cellStyle name="Normal 5 2 3 2 2 2 5" xfId="1628"/>
    <cellStyle name="Normal 5 2 3 2 2 2 5 2" xfId="2833"/>
    <cellStyle name="Normal 5 2 3 2 2 2 5 2 2" xfId="8379"/>
    <cellStyle name="Normal 5 2 3 2 2 2 5 2 3" xfId="13918"/>
    <cellStyle name="Normal 5 2 3 2 2 2 5 3" xfId="7174"/>
    <cellStyle name="Normal 5 2 3 2 2 2 5 4" xfId="12713"/>
    <cellStyle name="Normal 5 2 3 2 2 2 6" xfId="3006"/>
    <cellStyle name="Normal 5 2 3 2 2 2 6 2" xfId="8550"/>
    <cellStyle name="Normal 5 2 3 2 2 2 6 3" xfId="14089"/>
    <cellStyle name="Normal 5 2 3 2 2 2 7" xfId="4051"/>
    <cellStyle name="Normal 5 2 3 2 2 2 7 2" xfId="9593"/>
    <cellStyle name="Normal 5 2 3 2 2 2 7 3" xfId="15132"/>
    <cellStyle name="Normal 5 2 3 2 2 2 8" xfId="5088"/>
    <cellStyle name="Normal 5 2 3 2 2 2 8 2" xfId="10627"/>
    <cellStyle name="Normal 5 2 3 2 2 2 8 3" xfId="16166"/>
    <cellStyle name="Normal 5 2 3 2 2 2 9" xfId="1790"/>
    <cellStyle name="Normal 5 2 3 2 2 2 9 2" xfId="7336"/>
    <cellStyle name="Normal 5 2 3 2 2 2 9 3" xfId="12875"/>
    <cellStyle name="Normal 5 2 3 2 2 3" xfId="491"/>
    <cellStyle name="Normal 5 2 3 2 2 3 2" xfId="1332"/>
    <cellStyle name="Normal 5 2 3 2 2 3 2 2" xfId="3864"/>
    <cellStyle name="Normal 5 2 3 2 2 3 2 2 2" xfId="9406"/>
    <cellStyle name="Normal 5 2 3 2 2 3 2 2 3" xfId="14945"/>
    <cellStyle name="Normal 5 2 3 2 2 3 2 3" xfId="4901"/>
    <cellStyle name="Normal 5 2 3 2 2 3 2 3 2" xfId="10440"/>
    <cellStyle name="Normal 5 2 3 2 2 3 2 3 3" xfId="15979"/>
    <cellStyle name="Normal 5 2 3 2 2 3 2 4" xfId="5835"/>
    <cellStyle name="Normal 5 2 3 2 2 3 2 4 2" xfId="11374"/>
    <cellStyle name="Normal 5 2 3 2 2 3 2 4 3" xfId="16913"/>
    <cellStyle name="Normal 5 2 3 2 2 3 2 5" xfId="2537"/>
    <cellStyle name="Normal 5 2 3 2 2 3 2 5 2" xfId="8083"/>
    <cellStyle name="Normal 5 2 3 2 2 3 2 5 3" xfId="13622"/>
    <cellStyle name="Normal 5 2 3 2 2 3 2 6" xfId="6878"/>
    <cellStyle name="Normal 5 2 3 2 2 3 2 7" xfId="12417"/>
    <cellStyle name="Normal 5 2 3 2 2 3 3" xfId="1016"/>
    <cellStyle name="Normal 5 2 3 2 2 3 3 2" xfId="3546"/>
    <cellStyle name="Normal 5 2 3 2 2 3 3 2 2" xfId="9088"/>
    <cellStyle name="Normal 5 2 3 2 2 3 3 2 3" xfId="14627"/>
    <cellStyle name="Normal 5 2 3 2 2 3 3 3" xfId="4583"/>
    <cellStyle name="Normal 5 2 3 2 2 3 3 3 2" xfId="10122"/>
    <cellStyle name="Normal 5 2 3 2 2 3 3 3 3" xfId="15661"/>
    <cellStyle name="Normal 5 2 3 2 2 3 3 4" xfId="5518"/>
    <cellStyle name="Normal 5 2 3 2 2 3 3 4 2" xfId="11057"/>
    <cellStyle name="Normal 5 2 3 2 2 3 3 4 3" xfId="16596"/>
    <cellStyle name="Normal 5 2 3 2 2 3 3 5" xfId="2220"/>
    <cellStyle name="Normal 5 2 3 2 2 3 3 5 2" xfId="7766"/>
    <cellStyle name="Normal 5 2 3 2 2 3 3 5 3" xfId="13305"/>
    <cellStyle name="Normal 5 2 3 2 2 3 3 6" xfId="6561"/>
    <cellStyle name="Normal 5 2 3 2 2 3 3 7" xfId="12100"/>
    <cellStyle name="Normal 5 2 3 2 2 3 4" xfId="3150"/>
    <cellStyle name="Normal 5 2 3 2 2 3 4 2" xfId="8692"/>
    <cellStyle name="Normal 5 2 3 2 2 3 4 3" xfId="14231"/>
    <cellStyle name="Normal 5 2 3 2 2 3 5" xfId="4189"/>
    <cellStyle name="Normal 5 2 3 2 2 3 5 2" xfId="9728"/>
    <cellStyle name="Normal 5 2 3 2 2 3 5 3" xfId="15267"/>
    <cellStyle name="Normal 5 2 3 2 2 3 6" xfId="5150"/>
    <cellStyle name="Normal 5 2 3 2 2 3 6 2" xfId="10689"/>
    <cellStyle name="Normal 5 2 3 2 2 3 6 3" xfId="16228"/>
    <cellStyle name="Normal 5 2 3 2 2 3 7" xfId="1852"/>
    <cellStyle name="Normal 5 2 3 2 2 3 7 2" xfId="7398"/>
    <cellStyle name="Normal 5 2 3 2 2 3 7 3" xfId="12937"/>
    <cellStyle name="Normal 5 2 3 2 2 3 8" xfId="6193"/>
    <cellStyle name="Normal 5 2 3 2 2 3 9" xfId="11732"/>
    <cellStyle name="Normal 5 2 3 2 2 4" xfId="1193"/>
    <cellStyle name="Normal 5 2 3 2 2 4 2" xfId="3723"/>
    <cellStyle name="Normal 5 2 3 2 2 4 2 2" xfId="9265"/>
    <cellStyle name="Normal 5 2 3 2 2 4 2 3" xfId="14804"/>
    <cellStyle name="Normal 5 2 3 2 2 4 3" xfId="4760"/>
    <cellStyle name="Normal 5 2 3 2 2 4 3 2" xfId="10299"/>
    <cellStyle name="Normal 5 2 3 2 2 4 3 3" xfId="15838"/>
    <cellStyle name="Normal 5 2 3 2 2 4 4" xfId="5695"/>
    <cellStyle name="Normal 5 2 3 2 2 4 4 2" xfId="11234"/>
    <cellStyle name="Normal 5 2 3 2 2 4 4 3" xfId="16773"/>
    <cellStyle name="Normal 5 2 3 2 2 4 5" xfId="2397"/>
    <cellStyle name="Normal 5 2 3 2 2 4 5 2" xfId="7943"/>
    <cellStyle name="Normal 5 2 3 2 2 4 5 3" xfId="13482"/>
    <cellStyle name="Normal 5 2 3 2 2 4 6" xfId="6738"/>
    <cellStyle name="Normal 5 2 3 2 2 4 7" xfId="12277"/>
    <cellStyle name="Normal 5 2 3 2 2 5" xfId="811"/>
    <cellStyle name="Normal 5 2 3 2 2 5 2" xfId="3341"/>
    <cellStyle name="Normal 5 2 3 2 2 5 2 2" xfId="8883"/>
    <cellStyle name="Normal 5 2 3 2 2 5 2 3" xfId="14422"/>
    <cellStyle name="Normal 5 2 3 2 2 5 3" xfId="4378"/>
    <cellStyle name="Normal 5 2 3 2 2 5 3 2" xfId="9917"/>
    <cellStyle name="Normal 5 2 3 2 2 5 3 3" xfId="15456"/>
    <cellStyle name="Normal 5 2 3 2 2 5 4" xfId="5313"/>
    <cellStyle name="Normal 5 2 3 2 2 5 4 2" xfId="10852"/>
    <cellStyle name="Normal 5 2 3 2 2 5 4 3" xfId="16391"/>
    <cellStyle name="Normal 5 2 3 2 2 5 5" xfId="2015"/>
    <cellStyle name="Normal 5 2 3 2 2 5 5 2" xfId="7561"/>
    <cellStyle name="Normal 5 2 3 2 2 5 5 3" xfId="13100"/>
    <cellStyle name="Normal 5 2 3 2 2 5 6" xfId="6356"/>
    <cellStyle name="Normal 5 2 3 2 2 5 7" xfId="11895"/>
    <cellStyle name="Normal 5 2 3 2 2 6" xfId="1538"/>
    <cellStyle name="Normal 5 2 3 2 2 6 2" xfId="2743"/>
    <cellStyle name="Normal 5 2 3 2 2 6 2 2" xfId="8289"/>
    <cellStyle name="Normal 5 2 3 2 2 6 2 3" xfId="13828"/>
    <cellStyle name="Normal 5 2 3 2 2 6 3" xfId="7084"/>
    <cellStyle name="Normal 5 2 3 2 2 6 4" xfId="12623"/>
    <cellStyle name="Normal 5 2 3 2 2 7" xfId="2916"/>
    <cellStyle name="Normal 5 2 3 2 2 7 2" xfId="8460"/>
    <cellStyle name="Normal 5 2 3 2 2 7 3" xfId="13999"/>
    <cellStyle name="Normal 5 2 3 2 2 8" xfId="3031"/>
    <cellStyle name="Normal 5 2 3 2 2 8 2" xfId="8574"/>
    <cellStyle name="Normal 5 2 3 2 2 8 3" xfId="14113"/>
    <cellStyle name="Normal 5 2 3 2 2 9" xfId="4074"/>
    <cellStyle name="Normal 5 2 3 2 2 9 2" xfId="9615"/>
    <cellStyle name="Normal 5 2 3 2 2 9 3" xfId="15154"/>
    <cellStyle name="Normal 5 2 3 2 3" xfId="294"/>
    <cellStyle name="Normal 5 2 3 2 3 10" xfId="1682"/>
    <cellStyle name="Normal 5 2 3 2 3 10 2" xfId="7228"/>
    <cellStyle name="Normal 5 2 3 2 3 10 3" xfId="12767"/>
    <cellStyle name="Normal 5 2 3 2 3 11" xfId="6023"/>
    <cellStyle name="Normal 5 2 3 2 3 11 2" xfId="17101"/>
    <cellStyle name="Normal 5 2 3 2 3 12" xfId="667"/>
    <cellStyle name="Normal 5 2 3 2 3 12 2" xfId="17263"/>
    <cellStyle name="Normal 5 2 3 2 3 13" xfId="11562"/>
    <cellStyle name="Normal 5 2 3 2 3 14" xfId="17430"/>
    <cellStyle name="Normal 5 2 3 2 3 15" xfId="17595"/>
    <cellStyle name="Normal 5 2 3 2 3 2" xfId="295"/>
    <cellStyle name="Normal 5 2 3 2 3 2 10" xfId="6113"/>
    <cellStyle name="Normal 5 2 3 2 3 2 10 2" xfId="17191"/>
    <cellStyle name="Normal 5 2 3 2 3 2 11" xfId="757"/>
    <cellStyle name="Normal 5 2 3 2 3 2 11 2" xfId="17353"/>
    <cellStyle name="Normal 5 2 3 2 3 2 12" xfId="11652"/>
    <cellStyle name="Normal 5 2 3 2 3 2 13" xfId="17520"/>
    <cellStyle name="Normal 5 2 3 2 3 2 14" xfId="17685"/>
    <cellStyle name="Normal 5 2 3 2 3 2 2" xfId="494"/>
    <cellStyle name="Normal 5 2 3 2 3 2 2 2" xfId="1335"/>
    <cellStyle name="Normal 5 2 3 2 3 2 2 2 2" xfId="3867"/>
    <cellStyle name="Normal 5 2 3 2 3 2 2 2 2 2" xfId="9409"/>
    <cellStyle name="Normal 5 2 3 2 3 2 2 2 2 3" xfId="14948"/>
    <cellStyle name="Normal 5 2 3 2 3 2 2 2 3" xfId="4904"/>
    <cellStyle name="Normal 5 2 3 2 3 2 2 2 3 2" xfId="10443"/>
    <cellStyle name="Normal 5 2 3 2 3 2 2 2 3 3" xfId="15982"/>
    <cellStyle name="Normal 5 2 3 2 3 2 2 2 4" xfId="5838"/>
    <cellStyle name="Normal 5 2 3 2 3 2 2 2 4 2" xfId="11377"/>
    <cellStyle name="Normal 5 2 3 2 3 2 2 2 4 3" xfId="16916"/>
    <cellStyle name="Normal 5 2 3 2 3 2 2 2 5" xfId="2540"/>
    <cellStyle name="Normal 5 2 3 2 3 2 2 2 5 2" xfId="8086"/>
    <cellStyle name="Normal 5 2 3 2 3 2 2 2 5 3" xfId="13625"/>
    <cellStyle name="Normal 5 2 3 2 3 2 2 2 6" xfId="6881"/>
    <cellStyle name="Normal 5 2 3 2 3 2 2 2 7" xfId="12420"/>
    <cellStyle name="Normal 5 2 3 2 3 2 2 3" xfId="1088"/>
    <cellStyle name="Normal 5 2 3 2 3 2 2 3 2" xfId="3618"/>
    <cellStyle name="Normal 5 2 3 2 3 2 2 3 2 2" xfId="9160"/>
    <cellStyle name="Normal 5 2 3 2 3 2 2 3 2 3" xfId="14699"/>
    <cellStyle name="Normal 5 2 3 2 3 2 2 3 3" xfId="4655"/>
    <cellStyle name="Normal 5 2 3 2 3 2 2 3 3 2" xfId="10194"/>
    <cellStyle name="Normal 5 2 3 2 3 2 2 3 3 3" xfId="15733"/>
    <cellStyle name="Normal 5 2 3 2 3 2 2 3 4" xfId="5590"/>
    <cellStyle name="Normal 5 2 3 2 3 2 2 3 4 2" xfId="11129"/>
    <cellStyle name="Normal 5 2 3 2 3 2 2 3 4 3" xfId="16668"/>
    <cellStyle name="Normal 5 2 3 2 3 2 2 3 5" xfId="2292"/>
    <cellStyle name="Normal 5 2 3 2 3 2 2 3 5 2" xfId="7838"/>
    <cellStyle name="Normal 5 2 3 2 3 2 2 3 5 3" xfId="13377"/>
    <cellStyle name="Normal 5 2 3 2 3 2 2 3 6" xfId="6633"/>
    <cellStyle name="Normal 5 2 3 2 3 2 2 3 7" xfId="12172"/>
    <cellStyle name="Normal 5 2 3 2 3 2 2 4" xfId="3153"/>
    <cellStyle name="Normal 5 2 3 2 3 2 2 4 2" xfId="8695"/>
    <cellStyle name="Normal 5 2 3 2 3 2 2 4 3" xfId="14234"/>
    <cellStyle name="Normal 5 2 3 2 3 2 2 5" xfId="4192"/>
    <cellStyle name="Normal 5 2 3 2 3 2 2 5 2" xfId="9731"/>
    <cellStyle name="Normal 5 2 3 2 3 2 2 5 3" xfId="15270"/>
    <cellStyle name="Normal 5 2 3 2 3 2 2 6" xfId="5153"/>
    <cellStyle name="Normal 5 2 3 2 3 2 2 6 2" xfId="10692"/>
    <cellStyle name="Normal 5 2 3 2 3 2 2 6 3" xfId="16231"/>
    <cellStyle name="Normal 5 2 3 2 3 2 2 7" xfId="1855"/>
    <cellStyle name="Normal 5 2 3 2 3 2 2 7 2" xfId="7401"/>
    <cellStyle name="Normal 5 2 3 2 3 2 2 7 3" xfId="12940"/>
    <cellStyle name="Normal 5 2 3 2 3 2 2 8" xfId="6196"/>
    <cellStyle name="Normal 5 2 3 2 3 2 2 9" xfId="11735"/>
    <cellStyle name="Normal 5 2 3 2 3 2 3" xfId="1265"/>
    <cellStyle name="Normal 5 2 3 2 3 2 3 2" xfId="3795"/>
    <cellStyle name="Normal 5 2 3 2 3 2 3 2 2" xfId="9337"/>
    <cellStyle name="Normal 5 2 3 2 3 2 3 2 3" xfId="14876"/>
    <cellStyle name="Normal 5 2 3 2 3 2 3 3" xfId="4832"/>
    <cellStyle name="Normal 5 2 3 2 3 2 3 3 2" xfId="10371"/>
    <cellStyle name="Normal 5 2 3 2 3 2 3 3 3" xfId="15910"/>
    <cellStyle name="Normal 5 2 3 2 3 2 3 4" xfId="5767"/>
    <cellStyle name="Normal 5 2 3 2 3 2 3 4 2" xfId="11306"/>
    <cellStyle name="Normal 5 2 3 2 3 2 3 4 3" xfId="16845"/>
    <cellStyle name="Normal 5 2 3 2 3 2 3 5" xfId="2469"/>
    <cellStyle name="Normal 5 2 3 2 3 2 3 5 2" xfId="8015"/>
    <cellStyle name="Normal 5 2 3 2 3 2 3 5 3" xfId="13554"/>
    <cellStyle name="Normal 5 2 3 2 3 2 3 6" xfId="6810"/>
    <cellStyle name="Normal 5 2 3 2 3 2 3 7" xfId="12349"/>
    <cellStyle name="Normal 5 2 3 2 3 2 4" xfId="814"/>
    <cellStyle name="Normal 5 2 3 2 3 2 4 2" xfId="3344"/>
    <cellStyle name="Normal 5 2 3 2 3 2 4 2 2" xfId="8886"/>
    <cellStyle name="Normal 5 2 3 2 3 2 4 2 3" xfId="14425"/>
    <cellStyle name="Normal 5 2 3 2 3 2 4 3" xfId="4381"/>
    <cellStyle name="Normal 5 2 3 2 3 2 4 3 2" xfId="9920"/>
    <cellStyle name="Normal 5 2 3 2 3 2 4 3 3" xfId="15459"/>
    <cellStyle name="Normal 5 2 3 2 3 2 4 4" xfId="5316"/>
    <cellStyle name="Normal 5 2 3 2 3 2 4 4 2" xfId="10855"/>
    <cellStyle name="Normal 5 2 3 2 3 2 4 4 3" xfId="16394"/>
    <cellStyle name="Normal 5 2 3 2 3 2 4 5" xfId="2018"/>
    <cellStyle name="Normal 5 2 3 2 3 2 4 5 2" xfId="7564"/>
    <cellStyle name="Normal 5 2 3 2 3 2 4 5 3" xfId="13103"/>
    <cellStyle name="Normal 5 2 3 2 3 2 4 6" xfId="6359"/>
    <cellStyle name="Normal 5 2 3 2 3 2 4 7" xfId="11898"/>
    <cellStyle name="Normal 5 2 3 2 3 2 5" xfId="1610"/>
    <cellStyle name="Normal 5 2 3 2 3 2 5 2" xfId="2815"/>
    <cellStyle name="Normal 5 2 3 2 3 2 5 2 2" xfId="8361"/>
    <cellStyle name="Normal 5 2 3 2 3 2 5 2 3" xfId="13900"/>
    <cellStyle name="Normal 5 2 3 2 3 2 5 3" xfId="7156"/>
    <cellStyle name="Normal 5 2 3 2 3 2 5 4" xfId="12695"/>
    <cellStyle name="Normal 5 2 3 2 3 2 6" xfId="2988"/>
    <cellStyle name="Normal 5 2 3 2 3 2 6 2" xfId="8532"/>
    <cellStyle name="Normal 5 2 3 2 3 2 6 3" xfId="14071"/>
    <cellStyle name="Normal 5 2 3 2 3 2 7" xfId="4033"/>
    <cellStyle name="Normal 5 2 3 2 3 2 7 2" xfId="9575"/>
    <cellStyle name="Normal 5 2 3 2 3 2 7 3" xfId="15114"/>
    <cellStyle name="Normal 5 2 3 2 3 2 8" xfId="5070"/>
    <cellStyle name="Normal 5 2 3 2 3 2 8 2" xfId="10609"/>
    <cellStyle name="Normal 5 2 3 2 3 2 8 3" xfId="16148"/>
    <cellStyle name="Normal 5 2 3 2 3 2 9" xfId="1772"/>
    <cellStyle name="Normal 5 2 3 2 3 2 9 2" xfId="7318"/>
    <cellStyle name="Normal 5 2 3 2 3 2 9 3" xfId="12857"/>
    <cellStyle name="Normal 5 2 3 2 3 3" xfId="493"/>
    <cellStyle name="Normal 5 2 3 2 3 3 2" xfId="1334"/>
    <cellStyle name="Normal 5 2 3 2 3 3 2 2" xfId="3866"/>
    <cellStyle name="Normal 5 2 3 2 3 3 2 2 2" xfId="9408"/>
    <cellStyle name="Normal 5 2 3 2 3 3 2 2 3" xfId="14947"/>
    <cellStyle name="Normal 5 2 3 2 3 3 2 3" xfId="4903"/>
    <cellStyle name="Normal 5 2 3 2 3 3 2 3 2" xfId="10442"/>
    <cellStyle name="Normal 5 2 3 2 3 3 2 3 3" xfId="15981"/>
    <cellStyle name="Normal 5 2 3 2 3 3 2 4" xfId="5837"/>
    <cellStyle name="Normal 5 2 3 2 3 3 2 4 2" xfId="11376"/>
    <cellStyle name="Normal 5 2 3 2 3 3 2 4 3" xfId="16915"/>
    <cellStyle name="Normal 5 2 3 2 3 3 2 5" xfId="2539"/>
    <cellStyle name="Normal 5 2 3 2 3 3 2 5 2" xfId="8085"/>
    <cellStyle name="Normal 5 2 3 2 3 3 2 5 3" xfId="13624"/>
    <cellStyle name="Normal 5 2 3 2 3 3 2 6" xfId="6880"/>
    <cellStyle name="Normal 5 2 3 2 3 3 2 7" xfId="12419"/>
    <cellStyle name="Normal 5 2 3 2 3 3 3" xfId="998"/>
    <cellStyle name="Normal 5 2 3 2 3 3 3 2" xfId="3528"/>
    <cellStyle name="Normal 5 2 3 2 3 3 3 2 2" xfId="9070"/>
    <cellStyle name="Normal 5 2 3 2 3 3 3 2 3" xfId="14609"/>
    <cellStyle name="Normal 5 2 3 2 3 3 3 3" xfId="4565"/>
    <cellStyle name="Normal 5 2 3 2 3 3 3 3 2" xfId="10104"/>
    <cellStyle name="Normal 5 2 3 2 3 3 3 3 3" xfId="15643"/>
    <cellStyle name="Normal 5 2 3 2 3 3 3 4" xfId="5500"/>
    <cellStyle name="Normal 5 2 3 2 3 3 3 4 2" xfId="11039"/>
    <cellStyle name="Normal 5 2 3 2 3 3 3 4 3" xfId="16578"/>
    <cellStyle name="Normal 5 2 3 2 3 3 3 5" xfId="2202"/>
    <cellStyle name="Normal 5 2 3 2 3 3 3 5 2" xfId="7748"/>
    <cellStyle name="Normal 5 2 3 2 3 3 3 5 3" xfId="13287"/>
    <cellStyle name="Normal 5 2 3 2 3 3 3 6" xfId="6543"/>
    <cellStyle name="Normal 5 2 3 2 3 3 3 7" xfId="12082"/>
    <cellStyle name="Normal 5 2 3 2 3 3 4" xfId="3152"/>
    <cellStyle name="Normal 5 2 3 2 3 3 4 2" xfId="8694"/>
    <cellStyle name="Normal 5 2 3 2 3 3 4 3" xfId="14233"/>
    <cellStyle name="Normal 5 2 3 2 3 3 5" xfId="4191"/>
    <cellStyle name="Normal 5 2 3 2 3 3 5 2" xfId="9730"/>
    <cellStyle name="Normal 5 2 3 2 3 3 5 3" xfId="15269"/>
    <cellStyle name="Normal 5 2 3 2 3 3 6" xfId="5152"/>
    <cellStyle name="Normal 5 2 3 2 3 3 6 2" xfId="10691"/>
    <cellStyle name="Normal 5 2 3 2 3 3 6 3" xfId="16230"/>
    <cellStyle name="Normal 5 2 3 2 3 3 7" xfId="1854"/>
    <cellStyle name="Normal 5 2 3 2 3 3 7 2" xfId="7400"/>
    <cellStyle name="Normal 5 2 3 2 3 3 7 3" xfId="12939"/>
    <cellStyle name="Normal 5 2 3 2 3 3 8" xfId="6195"/>
    <cellStyle name="Normal 5 2 3 2 3 3 9" xfId="11734"/>
    <cellStyle name="Normal 5 2 3 2 3 4" xfId="1175"/>
    <cellStyle name="Normal 5 2 3 2 3 4 2" xfId="3705"/>
    <cellStyle name="Normal 5 2 3 2 3 4 2 2" xfId="9247"/>
    <cellStyle name="Normal 5 2 3 2 3 4 2 3" xfId="14786"/>
    <cellStyle name="Normal 5 2 3 2 3 4 3" xfId="4742"/>
    <cellStyle name="Normal 5 2 3 2 3 4 3 2" xfId="10281"/>
    <cellStyle name="Normal 5 2 3 2 3 4 3 3" xfId="15820"/>
    <cellStyle name="Normal 5 2 3 2 3 4 4" xfId="5677"/>
    <cellStyle name="Normal 5 2 3 2 3 4 4 2" xfId="11216"/>
    <cellStyle name="Normal 5 2 3 2 3 4 4 3" xfId="16755"/>
    <cellStyle name="Normal 5 2 3 2 3 4 5" xfId="2379"/>
    <cellStyle name="Normal 5 2 3 2 3 4 5 2" xfId="7925"/>
    <cellStyle name="Normal 5 2 3 2 3 4 5 3" xfId="13464"/>
    <cellStyle name="Normal 5 2 3 2 3 4 6" xfId="6720"/>
    <cellStyle name="Normal 5 2 3 2 3 4 7" xfId="12259"/>
    <cellStyle name="Normal 5 2 3 2 3 5" xfId="813"/>
    <cellStyle name="Normal 5 2 3 2 3 5 2" xfId="3343"/>
    <cellStyle name="Normal 5 2 3 2 3 5 2 2" xfId="8885"/>
    <cellStyle name="Normal 5 2 3 2 3 5 2 3" xfId="14424"/>
    <cellStyle name="Normal 5 2 3 2 3 5 3" xfId="4380"/>
    <cellStyle name="Normal 5 2 3 2 3 5 3 2" xfId="9919"/>
    <cellStyle name="Normal 5 2 3 2 3 5 3 3" xfId="15458"/>
    <cellStyle name="Normal 5 2 3 2 3 5 4" xfId="5315"/>
    <cellStyle name="Normal 5 2 3 2 3 5 4 2" xfId="10854"/>
    <cellStyle name="Normal 5 2 3 2 3 5 4 3" xfId="16393"/>
    <cellStyle name="Normal 5 2 3 2 3 5 5" xfId="2017"/>
    <cellStyle name="Normal 5 2 3 2 3 5 5 2" xfId="7563"/>
    <cellStyle name="Normal 5 2 3 2 3 5 5 3" xfId="13102"/>
    <cellStyle name="Normal 5 2 3 2 3 5 6" xfId="6358"/>
    <cellStyle name="Normal 5 2 3 2 3 5 7" xfId="11897"/>
    <cellStyle name="Normal 5 2 3 2 3 6" xfId="1520"/>
    <cellStyle name="Normal 5 2 3 2 3 6 2" xfId="2725"/>
    <cellStyle name="Normal 5 2 3 2 3 6 2 2" xfId="8271"/>
    <cellStyle name="Normal 5 2 3 2 3 6 2 3" xfId="13810"/>
    <cellStyle name="Normal 5 2 3 2 3 6 3" xfId="7066"/>
    <cellStyle name="Normal 5 2 3 2 3 6 4" xfId="12605"/>
    <cellStyle name="Normal 5 2 3 2 3 7" xfId="2898"/>
    <cellStyle name="Normal 5 2 3 2 3 7 2" xfId="8442"/>
    <cellStyle name="Normal 5 2 3 2 3 7 3" xfId="13981"/>
    <cellStyle name="Normal 5 2 3 2 3 8" xfId="3025"/>
    <cellStyle name="Normal 5 2 3 2 3 8 2" xfId="8569"/>
    <cellStyle name="Normal 5 2 3 2 3 8 3" xfId="14108"/>
    <cellStyle name="Normal 5 2 3 2 3 9" xfId="4069"/>
    <cellStyle name="Normal 5 2 3 2 3 9 2" xfId="9611"/>
    <cellStyle name="Normal 5 2 3 2 3 9 3" xfId="15150"/>
    <cellStyle name="Normal 5 2 3 2 4" xfId="296"/>
    <cellStyle name="Normal 5 2 3 2 4 10" xfId="1718"/>
    <cellStyle name="Normal 5 2 3 2 4 10 2" xfId="7264"/>
    <cellStyle name="Normal 5 2 3 2 4 10 3" xfId="12803"/>
    <cellStyle name="Normal 5 2 3 2 4 11" xfId="6059"/>
    <cellStyle name="Normal 5 2 3 2 4 11 2" xfId="17137"/>
    <cellStyle name="Normal 5 2 3 2 4 12" xfId="703"/>
    <cellStyle name="Normal 5 2 3 2 4 12 2" xfId="17299"/>
    <cellStyle name="Normal 5 2 3 2 4 13" xfId="11598"/>
    <cellStyle name="Normal 5 2 3 2 4 14" xfId="17466"/>
    <cellStyle name="Normal 5 2 3 2 4 15" xfId="17631"/>
    <cellStyle name="Normal 5 2 3 2 4 2" xfId="297"/>
    <cellStyle name="Normal 5 2 3 2 4 2 10" xfId="6095"/>
    <cellStyle name="Normal 5 2 3 2 4 2 10 2" xfId="17173"/>
    <cellStyle name="Normal 5 2 3 2 4 2 11" xfId="739"/>
    <cellStyle name="Normal 5 2 3 2 4 2 11 2" xfId="17335"/>
    <cellStyle name="Normal 5 2 3 2 4 2 12" xfId="11634"/>
    <cellStyle name="Normal 5 2 3 2 4 2 13" xfId="17502"/>
    <cellStyle name="Normal 5 2 3 2 4 2 14" xfId="17667"/>
    <cellStyle name="Normal 5 2 3 2 4 2 2" xfId="496"/>
    <cellStyle name="Normal 5 2 3 2 4 2 2 2" xfId="1337"/>
    <cellStyle name="Normal 5 2 3 2 4 2 2 2 2" xfId="3869"/>
    <cellStyle name="Normal 5 2 3 2 4 2 2 2 2 2" xfId="9411"/>
    <cellStyle name="Normal 5 2 3 2 4 2 2 2 2 3" xfId="14950"/>
    <cellStyle name="Normal 5 2 3 2 4 2 2 2 3" xfId="4906"/>
    <cellStyle name="Normal 5 2 3 2 4 2 2 2 3 2" xfId="10445"/>
    <cellStyle name="Normal 5 2 3 2 4 2 2 2 3 3" xfId="15984"/>
    <cellStyle name="Normal 5 2 3 2 4 2 2 2 4" xfId="5840"/>
    <cellStyle name="Normal 5 2 3 2 4 2 2 2 4 2" xfId="11379"/>
    <cellStyle name="Normal 5 2 3 2 4 2 2 2 4 3" xfId="16918"/>
    <cellStyle name="Normal 5 2 3 2 4 2 2 2 5" xfId="2542"/>
    <cellStyle name="Normal 5 2 3 2 4 2 2 2 5 2" xfId="8088"/>
    <cellStyle name="Normal 5 2 3 2 4 2 2 2 5 3" xfId="13627"/>
    <cellStyle name="Normal 5 2 3 2 4 2 2 2 6" xfId="6883"/>
    <cellStyle name="Normal 5 2 3 2 4 2 2 2 7" xfId="12422"/>
    <cellStyle name="Normal 5 2 3 2 4 2 2 3" xfId="1070"/>
    <cellStyle name="Normal 5 2 3 2 4 2 2 3 2" xfId="3600"/>
    <cellStyle name="Normal 5 2 3 2 4 2 2 3 2 2" xfId="9142"/>
    <cellStyle name="Normal 5 2 3 2 4 2 2 3 2 3" xfId="14681"/>
    <cellStyle name="Normal 5 2 3 2 4 2 2 3 3" xfId="4637"/>
    <cellStyle name="Normal 5 2 3 2 4 2 2 3 3 2" xfId="10176"/>
    <cellStyle name="Normal 5 2 3 2 4 2 2 3 3 3" xfId="15715"/>
    <cellStyle name="Normal 5 2 3 2 4 2 2 3 4" xfId="5572"/>
    <cellStyle name="Normal 5 2 3 2 4 2 2 3 4 2" xfId="11111"/>
    <cellStyle name="Normal 5 2 3 2 4 2 2 3 4 3" xfId="16650"/>
    <cellStyle name="Normal 5 2 3 2 4 2 2 3 5" xfId="2274"/>
    <cellStyle name="Normal 5 2 3 2 4 2 2 3 5 2" xfId="7820"/>
    <cellStyle name="Normal 5 2 3 2 4 2 2 3 5 3" xfId="13359"/>
    <cellStyle name="Normal 5 2 3 2 4 2 2 3 6" xfId="6615"/>
    <cellStyle name="Normal 5 2 3 2 4 2 2 3 7" xfId="12154"/>
    <cellStyle name="Normal 5 2 3 2 4 2 2 4" xfId="3155"/>
    <cellStyle name="Normal 5 2 3 2 4 2 2 4 2" xfId="8697"/>
    <cellStyle name="Normal 5 2 3 2 4 2 2 4 3" xfId="14236"/>
    <cellStyle name="Normal 5 2 3 2 4 2 2 5" xfId="4194"/>
    <cellStyle name="Normal 5 2 3 2 4 2 2 5 2" xfId="9733"/>
    <cellStyle name="Normal 5 2 3 2 4 2 2 5 3" xfId="15272"/>
    <cellStyle name="Normal 5 2 3 2 4 2 2 6" xfId="5155"/>
    <cellStyle name="Normal 5 2 3 2 4 2 2 6 2" xfId="10694"/>
    <cellStyle name="Normal 5 2 3 2 4 2 2 6 3" xfId="16233"/>
    <cellStyle name="Normal 5 2 3 2 4 2 2 7" xfId="1857"/>
    <cellStyle name="Normal 5 2 3 2 4 2 2 7 2" xfId="7403"/>
    <cellStyle name="Normal 5 2 3 2 4 2 2 7 3" xfId="12942"/>
    <cellStyle name="Normal 5 2 3 2 4 2 2 8" xfId="6198"/>
    <cellStyle name="Normal 5 2 3 2 4 2 2 9" xfId="11737"/>
    <cellStyle name="Normal 5 2 3 2 4 2 3" xfId="1247"/>
    <cellStyle name="Normal 5 2 3 2 4 2 3 2" xfId="3777"/>
    <cellStyle name="Normal 5 2 3 2 4 2 3 2 2" xfId="9319"/>
    <cellStyle name="Normal 5 2 3 2 4 2 3 2 3" xfId="14858"/>
    <cellStyle name="Normal 5 2 3 2 4 2 3 3" xfId="4814"/>
    <cellStyle name="Normal 5 2 3 2 4 2 3 3 2" xfId="10353"/>
    <cellStyle name="Normal 5 2 3 2 4 2 3 3 3" xfId="15892"/>
    <cellStyle name="Normal 5 2 3 2 4 2 3 4" xfId="5749"/>
    <cellStyle name="Normal 5 2 3 2 4 2 3 4 2" xfId="11288"/>
    <cellStyle name="Normal 5 2 3 2 4 2 3 4 3" xfId="16827"/>
    <cellStyle name="Normal 5 2 3 2 4 2 3 5" xfId="2451"/>
    <cellStyle name="Normal 5 2 3 2 4 2 3 5 2" xfId="7997"/>
    <cellStyle name="Normal 5 2 3 2 4 2 3 5 3" xfId="13536"/>
    <cellStyle name="Normal 5 2 3 2 4 2 3 6" xfId="6792"/>
    <cellStyle name="Normal 5 2 3 2 4 2 3 7" xfId="12331"/>
    <cellStyle name="Normal 5 2 3 2 4 2 4" xfId="816"/>
    <cellStyle name="Normal 5 2 3 2 4 2 4 2" xfId="3346"/>
    <cellStyle name="Normal 5 2 3 2 4 2 4 2 2" xfId="8888"/>
    <cellStyle name="Normal 5 2 3 2 4 2 4 2 3" xfId="14427"/>
    <cellStyle name="Normal 5 2 3 2 4 2 4 3" xfId="4383"/>
    <cellStyle name="Normal 5 2 3 2 4 2 4 3 2" xfId="9922"/>
    <cellStyle name="Normal 5 2 3 2 4 2 4 3 3" xfId="15461"/>
    <cellStyle name="Normal 5 2 3 2 4 2 4 4" xfId="5318"/>
    <cellStyle name="Normal 5 2 3 2 4 2 4 4 2" xfId="10857"/>
    <cellStyle name="Normal 5 2 3 2 4 2 4 4 3" xfId="16396"/>
    <cellStyle name="Normal 5 2 3 2 4 2 4 5" xfId="2020"/>
    <cellStyle name="Normal 5 2 3 2 4 2 4 5 2" xfId="7566"/>
    <cellStyle name="Normal 5 2 3 2 4 2 4 5 3" xfId="13105"/>
    <cellStyle name="Normal 5 2 3 2 4 2 4 6" xfId="6361"/>
    <cellStyle name="Normal 5 2 3 2 4 2 4 7" xfId="11900"/>
    <cellStyle name="Normal 5 2 3 2 4 2 5" xfId="1592"/>
    <cellStyle name="Normal 5 2 3 2 4 2 5 2" xfId="2797"/>
    <cellStyle name="Normal 5 2 3 2 4 2 5 2 2" xfId="8343"/>
    <cellStyle name="Normal 5 2 3 2 4 2 5 2 3" xfId="13882"/>
    <cellStyle name="Normal 5 2 3 2 4 2 5 3" xfId="7138"/>
    <cellStyle name="Normal 5 2 3 2 4 2 5 4" xfId="12677"/>
    <cellStyle name="Normal 5 2 3 2 4 2 6" xfId="2970"/>
    <cellStyle name="Normal 5 2 3 2 4 2 6 2" xfId="8514"/>
    <cellStyle name="Normal 5 2 3 2 4 2 6 3" xfId="14053"/>
    <cellStyle name="Normal 5 2 3 2 4 2 7" xfId="4015"/>
    <cellStyle name="Normal 5 2 3 2 4 2 7 2" xfId="9557"/>
    <cellStyle name="Normal 5 2 3 2 4 2 7 3" xfId="15096"/>
    <cellStyle name="Normal 5 2 3 2 4 2 8" xfId="5052"/>
    <cellStyle name="Normal 5 2 3 2 4 2 8 2" xfId="10591"/>
    <cellStyle name="Normal 5 2 3 2 4 2 8 3" xfId="16130"/>
    <cellStyle name="Normal 5 2 3 2 4 2 9" xfId="1754"/>
    <cellStyle name="Normal 5 2 3 2 4 2 9 2" xfId="7300"/>
    <cellStyle name="Normal 5 2 3 2 4 2 9 3" xfId="12839"/>
    <cellStyle name="Normal 5 2 3 2 4 3" xfId="495"/>
    <cellStyle name="Normal 5 2 3 2 4 3 2" xfId="1336"/>
    <cellStyle name="Normal 5 2 3 2 4 3 2 2" xfId="3868"/>
    <cellStyle name="Normal 5 2 3 2 4 3 2 2 2" xfId="9410"/>
    <cellStyle name="Normal 5 2 3 2 4 3 2 2 3" xfId="14949"/>
    <cellStyle name="Normal 5 2 3 2 4 3 2 3" xfId="4905"/>
    <cellStyle name="Normal 5 2 3 2 4 3 2 3 2" xfId="10444"/>
    <cellStyle name="Normal 5 2 3 2 4 3 2 3 3" xfId="15983"/>
    <cellStyle name="Normal 5 2 3 2 4 3 2 4" xfId="5839"/>
    <cellStyle name="Normal 5 2 3 2 4 3 2 4 2" xfId="11378"/>
    <cellStyle name="Normal 5 2 3 2 4 3 2 4 3" xfId="16917"/>
    <cellStyle name="Normal 5 2 3 2 4 3 2 5" xfId="2541"/>
    <cellStyle name="Normal 5 2 3 2 4 3 2 5 2" xfId="8087"/>
    <cellStyle name="Normal 5 2 3 2 4 3 2 5 3" xfId="13626"/>
    <cellStyle name="Normal 5 2 3 2 4 3 2 6" xfId="6882"/>
    <cellStyle name="Normal 5 2 3 2 4 3 2 7" xfId="12421"/>
    <cellStyle name="Normal 5 2 3 2 4 3 3" xfId="1034"/>
    <cellStyle name="Normal 5 2 3 2 4 3 3 2" xfId="3564"/>
    <cellStyle name="Normal 5 2 3 2 4 3 3 2 2" xfId="9106"/>
    <cellStyle name="Normal 5 2 3 2 4 3 3 2 3" xfId="14645"/>
    <cellStyle name="Normal 5 2 3 2 4 3 3 3" xfId="4601"/>
    <cellStyle name="Normal 5 2 3 2 4 3 3 3 2" xfId="10140"/>
    <cellStyle name="Normal 5 2 3 2 4 3 3 3 3" xfId="15679"/>
    <cellStyle name="Normal 5 2 3 2 4 3 3 4" xfId="5536"/>
    <cellStyle name="Normal 5 2 3 2 4 3 3 4 2" xfId="11075"/>
    <cellStyle name="Normal 5 2 3 2 4 3 3 4 3" xfId="16614"/>
    <cellStyle name="Normal 5 2 3 2 4 3 3 5" xfId="2238"/>
    <cellStyle name="Normal 5 2 3 2 4 3 3 5 2" xfId="7784"/>
    <cellStyle name="Normal 5 2 3 2 4 3 3 5 3" xfId="13323"/>
    <cellStyle name="Normal 5 2 3 2 4 3 3 6" xfId="6579"/>
    <cellStyle name="Normal 5 2 3 2 4 3 3 7" xfId="12118"/>
    <cellStyle name="Normal 5 2 3 2 4 3 4" xfId="3154"/>
    <cellStyle name="Normal 5 2 3 2 4 3 4 2" xfId="8696"/>
    <cellStyle name="Normal 5 2 3 2 4 3 4 3" xfId="14235"/>
    <cellStyle name="Normal 5 2 3 2 4 3 5" xfId="4193"/>
    <cellStyle name="Normal 5 2 3 2 4 3 5 2" xfId="9732"/>
    <cellStyle name="Normal 5 2 3 2 4 3 5 3" xfId="15271"/>
    <cellStyle name="Normal 5 2 3 2 4 3 6" xfId="5154"/>
    <cellStyle name="Normal 5 2 3 2 4 3 6 2" xfId="10693"/>
    <cellStyle name="Normal 5 2 3 2 4 3 6 3" xfId="16232"/>
    <cellStyle name="Normal 5 2 3 2 4 3 7" xfId="1856"/>
    <cellStyle name="Normal 5 2 3 2 4 3 7 2" xfId="7402"/>
    <cellStyle name="Normal 5 2 3 2 4 3 7 3" xfId="12941"/>
    <cellStyle name="Normal 5 2 3 2 4 3 8" xfId="6197"/>
    <cellStyle name="Normal 5 2 3 2 4 3 9" xfId="11736"/>
    <cellStyle name="Normal 5 2 3 2 4 4" xfId="1211"/>
    <cellStyle name="Normal 5 2 3 2 4 4 2" xfId="3741"/>
    <cellStyle name="Normal 5 2 3 2 4 4 2 2" xfId="9283"/>
    <cellStyle name="Normal 5 2 3 2 4 4 2 3" xfId="14822"/>
    <cellStyle name="Normal 5 2 3 2 4 4 3" xfId="4778"/>
    <cellStyle name="Normal 5 2 3 2 4 4 3 2" xfId="10317"/>
    <cellStyle name="Normal 5 2 3 2 4 4 3 3" xfId="15856"/>
    <cellStyle name="Normal 5 2 3 2 4 4 4" xfId="5713"/>
    <cellStyle name="Normal 5 2 3 2 4 4 4 2" xfId="11252"/>
    <cellStyle name="Normal 5 2 3 2 4 4 4 3" xfId="16791"/>
    <cellStyle name="Normal 5 2 3 2 4 4 5" xfId="2415"/>
    <cellStyle name="Normal 5 2 3 2 4 4 5 2" xfId="7961"/>
    <cellStyle name="Normal 5 2 3 2 4 4 5 3" xfId="13500"/>
    <cellStyle name="Normal 5 2 3 2 4 4 6" xfId="6756"/>
    <cellStyle name="Normal 5 2 3 2 4 4 7" xfId="12295"/>
    <cellStyle name="Normal 5 2 3 2 4 5" xfId="815"/>
    <cellStyle name="Normal 5 2 3 2 4 5 2" xfId="3345"/>
    <cellStyle name="Normal 5 2 3 2 4 5 2 2" xfId="8887"/>
    <cellStyle name="Normal 5 2 3 2 4 5 2 3" xfId="14426"/>
    <cellStyle name="Normal 5 2 3 2 4 5 3" xfId="4382"/>
    <cellStyle name="Normal 5 2 3 2 4 5 3 2" xfId="9921"/>
    <cellStyle name="Normal 5 2 3 2 4 5 3 3" xfId="15460"/>
    <cellStyle name="Normal 5 2 3 2 4 5 4" xfId="5317"/>
    <cellStyle name="Normal 5 2 3 2 4 5 4 2" xfId="10856"/>
    <cellStyle name="Normal 5 2 3 2 4 5 4 3" xfId="16395"/>
    <cellStyle name="Normal 5 2 3 2 4 5 5" xfId="2019"/>
    <cellStyle name="Normal 5 2 3 2 4 5 5 2" xfId="7565"/>
    <cellStyle name="Normal 5 2 3 2 4 5 5 3" xfId="13104"/>
    <cellStyle name="Normal 5 2 3 2 4 5 6" xfId="6360"/>
    <cellStyle name="Normal 5 2 3 2 4 5 7" xfId="11899"/>
    <cellStyle name="Normal 5 2 3 2 4 6" xfId="1556"/>
    <cellStyle name="Normal 5 2 3 2 4 6 2" xfId="2761"/>
    <cellStyle name="Normal 5 2 3 2 4 6 2 2" xfId="8307"/>
    <cellStyle name="Normal 5 2 3 2 4 6 2 3" xfId="13846"/>
    <cellStyle name="Normal 5 2 3 2 4 6 3" xfId="7102"/>
    <cellStyle name="Normal 5 2 3 2 4 6 4" xfId="12641"/>
    <cellStyle name="Normal 5 2 3 2 4 7" xfId="2934"/>
    <cellStyle name="Normal 5 2 3 2 4 7 2" xfId="8478"/>
    <cellStyle name="Normal 5 2 3 2 4 7 3" xfId="14017"/>
    <cellStyle name="Normal 5 2 3 2 4 8" xfId="3033"/>
    <cellStyle name="Normal 5 2 3 2 4 8 2" xfId="8576"/>
    <cellStyle name="Normal 5 2 3 2 4 8 3" xfId="14115"/>
    <cellStyle name="Normal 5 2 3 2 4 9" xfId="4076"/>
    <cellStyle name="Normal 5 2 3 2 4 9 2" xfId="9617"/>
    <cellStyle name="Normal 5 2 3 2 4 9 3" xfId="15156"/>
    <cellStyle name="Normal 5 2 3 2 5" xfId="298"/>
    <cellStyle name="Normal 5 2 3 2 5 10" xfId="6077"/>
    <cellStyle name="Normal 5 2 3 2 5 10 2" xfId="17155"/>
    <cellStyle name="Normal 5 2 3 2 5 11" xfId="721"/>
    <cellStyle name="Normal 5 2 3 2 5 11 2" xfId="17317"/>
    <cellStyle name="Normal 5 2 3 2 5 12" xfId="11616"/>
    <cellStyle name="Normal 5 2 3 2 5 13" xfId="17484"/>
    <cellStyle name="Normal 5 2 3 2 5 14" xfId="17649"/>
    <cellStyle name="Normal 5 2 3 2 5 2" xfId="497"/>
    <cellStyle name="Normal 5 2 3 2 5 2 2" xfId="1338"/>
    <cellStyle name="Normal 5 2 3 2 5 2 2 2" xfId="3870"/>
    <cellStyle name="Normal 5 2 3 2 5 2 2 2 2" xfId="9412"/>
    <cellStyle name="Normal 5 2 3 2 5 2 2 2 3" xfId="14951"/>
    <cellStyle name="Normal 5 2 3 2 5 2 2 3" xfId="4907"/>
    <cellStyle name="Normal 5 2 3 2 5 2 2 3 2" xfId="10446"/>
    <cellStyle name="Normal 5 2 3 2 5 2 2 3 3" xfId="15985"/>
    <cellStyle name="Normal 5 2 3 2 5 2 2 4" xfId="5841"/>
    <cellStyle name="Normal 5 2 3 2 5 2 2 4 2" xfId="11380"/>
    <cellStyle name="Normal 5 2 3 2 5 2 2 4 3" xfId="16919"/>
    <cellStyle name="Normal 5 2 3 2 5 2 2 5" xfId="2543"/>
    <cellStyle name="Normal 5 2 3 2 5 2 2 5 2" xfId="8089"/>
    <cellStyle name="Normal 5 2 3 2 5 2 2 5 3" xfId="13628"/>
    <cellStyle name="Normal 5 2 3 2 5 2 2 6" xfId="6884"/>
    <cellStyle name="Normal 5 2 3 2 5 2 2 7" xfId="12423"/>
    <cellStyle name="Normal 5 2 3 2 5 2 3" xfId="1052"/>
    <cellStyle name="Normal 5 2 3 2 5 2 3 2" xfId="3582"/>
    <cellStyle name="Normal 5 2 3 2 5 2 3 2 2" xfId="9124"/>
    <cellStyle name="Normal 5 2 3 2 5 2 3 2 3" xfId="14663"/>
    <cellStyle name="Normal 5 2 3 2 5 2 3 3" xfId="4619"/>
    <cellStyle name="Normal 5 2 3 2 5 2 3 3 2" xfId="10158"/>
    <cellStyle name="Normal 5 2 3 2 5 2 3 3 3" xfId="15697"/>
    <cellStyle name="Normal 5 2 3 2 5 2 3 4" xfId="5554"/>
    <cellStyle name="Normal 5 2 3 2 5 2 3 4 2" xfId="11093"/>
    <cellStyle name="Normal 5 2 3 2 5 2 3 4 3" xfId="16632"/>
    <cellStyle name="Normal 5 2 3 2 5 2 3 5" xfId="2256"/>
    <cellStyle name="Normal 5 2 3 2 5 2 3 5 2" xfId="7802"/>
    <cellStyle name="Normal 5 2 3 2 5 2 3 5 3" xfId="13341"/>
    <cellStyle name="Normal 5 2 3 2 5 2 3 6" xfId="6597"/>
    <cellStyle name="Normal 5 2 3 2 5 2 3 7" xfId="12136"/>
    <cellStyle name="Normal 5 2 3 2 5 2 4" xfId="3156"/>
    <cellStyle name="Normal 5 2 3 2 5 2 4 2" xfId="8698"/>
    <cellStyle name="Normal 5 2 3 2 5 2 4 3" xfId="14237"/>
    <cellStyle name="Normal 5 2 3 2 5 2 5" xfId="4195"/>
    <cellStyle name="Normal 5 2 3 2 5 2 5 2" xfId="9734"/>
    <cellStyle name="Normal 5 2 3 2 5 2 5 3" xfId="15273"/>
    <cellStyle name="Normal 5 2 3 2 5 2 6" xfId="5156"/>
    <cellStyle name="Normal 5 2 3 2 5 2 6 2" xfId="10695"/>
    <cellStyle name="Normal 5 2 3 2 5 2 6 3" xfId="16234"/>
    <cellStyle name="Normal 5 2 3 2 5 2 7" xfId="1858"/>
    <cellStyle name="Normal 5 2 3 2 5 2 7 2" xfId="7404"/>
    <cellStyle name="Normal 5 2 3 2 5 2 7 3" xfId="12943"/>
    <cellStyle name="Normal 5 2 3 2 5 2 8" xfId="6199"/>
    <cellStyle name="Normal 5 2 3 2 5 2 9" xfId="11738"/>
    <cellStyle name="Normal 5 2 3 2 5 3" xfId="1229"/>
    <cellStyle name="Normal 5 2 3 2 5 3 2" xfId="3759"/>
    <cellStyle name="Normal 5 2 3 2 5 3 2 2" xfId="9301"/>
    <cellStyle name="Normal 5 2 3 2 5 3 2 3" xfId="14840"/>
    <cellStyle name="Normal 5 2 3 2 5 3 3" xfId="4796"/>
    <cellStyle name="Normal 5 2 3 2 5 3 3 2" xfId="10335"/>
    <cellStyle name="Normal 5 2 3 2 5 3 3 3" xfId="15874"/>
    <cellStyle name="Normal 5 2 3 2 5 3 4" xfId="5731"/>
    <cellStyle name="Normal 5 2 3 2 5 3 4 2" xfId="11270"/>
    <cellStyle name="Normal 5 2 3 2 5 3 4 3" xfId="16809"/>
    <cellStyle name="Normal 5 2 3 2 5 3 5" xfId="2433"/>
    <cellStyle name="Normal 5 2 3 2 5 3 5 2" xfId="7979"/>
    <cellStyle name="Normal 5 2 3 2 5 3 5 3" xfId="13518"/>
    <cellStyle name="Normal 5 2 3 2 5 3 6" xfId="6774"/>
    <cellStyle name="Normal 5 2 3 2 5 3 7" xfId="12313"/>
    <cellStyle name="Normal 5 2 3 2 5 4" xfId="817"/>
    <cellStyle name="Normal 5 2 3 2 5 4 2" xfId="3347"/>
    <cellStyle name="Normal 5 2 3 2 5 4 2 2" xfId="8889"/>
    <cellStyle name="Normal 5 2 3 2 5 4 2 3" xfId="14428"/>
    <cellStyle name="Normal 5 2 3 2 5 4 3" xfId="4384"/>
    <cellStyle name="Normal 5 2 3 2 5 4 3 2" xfId="9923"/>
    <cellStyle name="Normal 5 2 3 2 5 4 3 3" xfId="15462"/>
    <cellStyle name="Normal 5 2 3 2 5 4 4" xfId="5319"/>
    <cellStyle name="Normal 5 2 3 2 5 4 4 2" xfId="10858"/>
    <cellStyle name="Normal 5 2 3 2 5 4 4 3" xfId="16397"/>
    <cellStyle name="Normal 5 2 3 2 5 4 5" xfId="2021"/>
    <cellStyle name="Normal 5 2 3 2 5 4 5 2" xfId="7567"/>
    <cellStyle name="Normal 5 2 3 2 5 4 5 3" xfId="13106"/>
    <cellStyle name="Normal 5 2 3 2 5 4 6" xfId="6362"/>
    <cellStyle name="Normal 5 2 3 2 5 4 7" xfId="11901"/>
    <cellStyle name="Normal 5 2 3 2 5 5" xfId="1574"/>
    <cellStyle name="Normal 5 2 3 2 5 5 2" xfId="2779"/>
    <cellStyle name="Normal 5 2 3 2 5 5 2 2" xfId="8325"/>
    <cellStyle name="Normal 5 2 3 2 5 5 2 3" xfId="13864"/>
    <cellStyle name="Normal 5 2 3 2 5 5 3" xfId="7120"/>
    <cellStyle name="Normal 5 2 3 2 5 5 4" xfId="12659"/>
    <cellStyle name="Normal 5 2 3 2 5 6" xfId="2952"/>
    <cellStyle name="Normal 5 2 3 2 5 6 2" xfId="8496"/>
    <cellStyle name="Normal 5 2 3 2 5 6 3" xfId="14035"/>
    <cellStyle name="Normal 5 2 3 2 5 7" xfId="3066"/>
    <cellStyle name="Normal 5 2 3 2 5 7 2" xfId="8609"/>
    <cellStyle name="Normal 5 2 3 2 5 7 3" xfId="14148"/>
    <cellStyle name="Normal 5 2 3 2 5 8" xfId="4109"/>
    <cellStyle name="Normal 5 2 3 2 5 8 2" xfId="9650"/>
    <cellStyle name="Normal 5 2 3 2 5 8 3" xfId="15189"/>
    <cellStyle name="Normal 5 2 3 2 5 9" xfId="1736"/>
    <cellStyle name="Normal 5 2 3 2 5 9 2" xfId="7282"/>
    <cellStyle name="Normal 5 2 3 2 5 9 3" xfId="12821"/>
    <cellStyle name="Normal 5 2 3 2 6" xfId="299"/>
    <cellStyle name="Normal 5 2 3 2 6 10" xfId="6005"/>
    <cellStyle name="Normal 5 2 3 2 6 10 2" xfId="17083"/>
    <cellStyle name="Normal 5 2 3 2 6 11" xfId="649"/>
    <cellStyle name="Normal 5 2 3 2 6 11 2" xfId="17245"/>
    <cellStyle name="Normal 5 2 3 2 6 12" xfId="11544"/>
    <cellStyle name="Normal 5 2 3 2 6 13" xfId="17412"/>
    <cellStyle name="Normal 5 2 3 2 6 14" xfId="17577"/>
    <cellStyle name="Normal 5 2 3 2 6 2" xfId="498"/>
    <cellStyle name="Normal 5 2 3 2 6 2 2" xfId="1339"/>
    <cellStyle name="Normal 5 2 3 2 6 2 2 2" xfId="3871"/>
    <cellStyle name="Normal 5 2 3 2 6 2 2 2 2" xfId="9413"/>
    <cellStyle name="Normal 5 2 3 2 6 2 2 2 3" xfId="14952"/>
    <cellStyle name="Normal 5 2 3 2 6 2 2 3" xfId="4908"/>
    <cellStyle name="Normal 5 2 3 2 6 2 2 3 2" xfId="10447"/>
    <cellStyle name="Normal 5 2 3 2 6 2 2 3 3" xfId="15986"/>
    <cellStyle name="Normal 5 2 3 2 6 2 2 4" xfId="5842"/>
    <cellStyle name="Normal 5 2 3 2 6 2 2 4 2" xfId="11381"/>
    <cellStyle name="Normal 5 2 3 2 6 2 2 4 3" xfId="16920"/>
    <cellStyle name="Normal 5 2 3 2 6 2 2 5" xfId="2544"/>
    <cellStyle name="Normal 5 2 3 2 6 2 2 5 2" xfId="8090"/>
    <cellStyle name="Normal 5 2 3 2 6 2 2 5 3" xfId="13629"/>
    <cellStyle name="Normal 5 2 3 2 6 2 2 6" xfId="6885"/>
    <cellStyle name="Normal 5 2 3 2 6 2 2 7" xfId="12424"/>
    <cellStyle name="Normal 5 2 3 2 6 2 3" xfId="980"/>
    <cellStyle name="Normal 5 2 3 2 6 2 3 2" xfId="3510"/>
    <cellStyle name="Normal 5 2 3 2 6 2 3 2 2" xfId="9052"/>
    <cellStyle name="Normal 5 2 3 2 6 2 3 2 3" xfId="14591"/>
    <cellStyle name="Normal 5 2 3 2 6 2 3 3" xfId="4547"/>
    <cellStyle name="Normal 5 2 3 2 6 2 3 3 2" xfId="10086"/>
    <cellStyle name="Normal 5 2 3 2 6 2 3 3 3" xfId="15625"/>
    <cellStyle name="Normal 5 2 3 2 6 2 3 4" xfId="5482"/>
    <cellStyle name="Normal 5 2 3 2 6 2 3 4 2" xfId="11021"/>
    <cellStyle name="Normal 5 2 3 2 6 2 3 4 3" xfId="16560"/>
    <cellStyle name="Normal 5 2 3 2 6 2 3 5" xfId="2184"/>
    <cellStyle name="Normal 5 2 3 2 6 2 3 5 2" xfId="7730"/>
    <cellStyle name="Normal 5 2 3 2 6 2 3 5 3" xfId="13269"/>
    <cellStyle name="Normal 5 2 3 2 6 2 3 6" xfId="6525"/>
    <cellStyle name="Normal 5 2 3 2 6 2 3 7" xfId="12064"/>
    <cellStyle name="Normal 5 2 3 2 6 2 4" xfId="3157"/>
    <cellStyle name="Normal 5 2 3 2 6 2 4 2" xfId="8699"/>
    <cellStyle name="Normal 5 2 3 2 6 2 4 3" xfId="14238"/>
    <cellStyle name="Normal 5 2 3 2 6 2 5" xfId="4196"/>
    <cellStyle name="Normal 5 2 3 2 6 2 5 2" xfId="9735"/>
    <cellStyle name="Normal 5 2 3 2 6 2 5 3" xfId="15274"/>
    <cellStyle name="Normal 5 2 3 2 6 2 6" xfId="5157"/>
    <cellStyle name="Normal 5 2 3 2 6 2 6 2" xfId="10696"/>
    <cellStyle name="Normal 5 2 3 2 6 2 6 3" xfId="16235"/>
    <cellStyle name="Normal 5 2 3 2 6 2 7" xfId="1859"/>
    <cellStyle name="Normal 5 2 3 2 6 2 7 2" xfId="7405"/>
    <cellStyle name="Normal 5 2 3 2 6 2 7 3" xfId="12944"/>
    <cellStyle name="Normal 5 2 3 2 6 2 8" xfId="6200"/>
    <cellStyle name="Normal 5 2 3 2 6 2 9" xfId="11739"/>
    <cellStyle name="Normal 5 2 3 2 6 3" xfId="1157"/>
    <cellStyle name="Normal 5 2 3 2 6 3 2" xfId="3687"/>
    <cellStyle name="Normal 5 2 3 2 6 3 2 2" xfId="9229"/>
    <cellStyle name="Normal 5 2 3 2 6 3 2 3" xfId="14768"/>
    <cellStyle name="Normal 5 2 3 2 6 3 3" xfId="4724"/>
    <cellStyle name="Normal 5 2 3 2 6 3 3 2" xfId="10263"/>
    <cellStyle name="Normal 5 2 3 2 6 3 3 3" xfId="15802"/>
    <cellStyle name="Normal 5 2 3 2 6 3 4" xfId="5659"/>
    <cellStyle name="Normal 5 2 3 2 6 3 4 2" xfId="11198"/>
    <cellStyle name="Normal 5 2 3 2 6 3 4 3" xfId="16737"/>
    <cellStyle name="Normal 5 2 3 2 6 3 5" xfId="2361"/>
    <cellStyle name="Normal 5 2 3 2 6 3 5 2" xfId="7907"/>
    <cellStyle name="Normal 5 2 3 2 6 3 5 3" xfId="13446"/>
    <cellStyle name="Normal 5 2 3 2 6 3 6" xfId="6702"/>
    <cellStyle name="Normal 5 2 3 2 6 3 7" xfId="12241"/>
    <cellStyle name="Normal 5 2 3 2 6 4" xfId="818"/>
    <cellStyle name="Normal 5 2 3 2 6 4 2" xfId="3348"/>
    <cellStyle name="Normal 5 2 3 2 6 4 2 2" xfId="8890"/>
    <cellStyle name="Normal 5 2 3 2 6 4 2 3" xfId="14429"/>
    <cellStyle name="Normal 5 2 3 2 6 4 3" xfId="4385"/>
    <cellStyle name="Normal 5 2 3 2 6 4 3 2" xfId="9924"/>
    <cellStyle name="Normal 5 2 3 2 6 4 3 3" xfId="15463"/>
    <cellStyle name="Normal 5 2 3 2 6 4 4" xfId="5320"/>
    <cellStyle name="Normal 5 2 3 2 6 4 4 2" xfId="10859"/>
    <cellStyle name="Normal 5 2 3 2 6 4 4 3" xfId="16398"/>
    <cellStyle name="Normal 5 2 3 2 6 4 5" xfId="2022"/>
    <cellStyle name="Normal 5 2 3 2 6 4 5 2" xfId="7568"/>
    <cellStyle name="Normal 5 2 3 2 6 4 5 3" xfId="13107"/>
    <cellStyle name="Normal 5 2 3 2 6 4 6" xfId="6363"/>
    <cellStyle name="Normal 5 2 3 2 6 4 7" xfId="11902"/>
    <cellStyle name="Normal 5 2 3 2 6 5" xfId="1502"/>
    <cellStyle name="Normal 5 2 3 2 6 5 2" xfId="2707"/>
    <cellStyle name="Normal 5 2 3 2 6 5 2 2" xfId="8253"/>
    <cellStyle name="Normal 5 2 3 2 6 5 2 3" xfId="13792"/>
    <cellStyle name="Normal 5 2 3 2 6 5 3" xfId="7048"/>
    <cellStyle name="Normal 5 2 3 2 6 5 4" xfId="12587"/>
    <cellStyle name="Normal 5 2 3 2 6 6" xfId="2880"/>
    <cellStyle name="Normal 5 2 3 2 6 6 2" xfId="8424"/>
    <cellStyle name="Normal 5 2 3 2 6 6 3" xfId="13963"/>
    <cellStyle name="Normal 5 2 3 2 6 7" xfId="3013"/>
    <cellStyle name="Normal 5 2 3 2 6 7 2" xfId="8557"/>
    <cellStyle name="Normal 5 2 3 2 6 7 3" xfId="14096"/>
    <cellStyle name="Normal 5 2 3 2 6 8" xfId="4058"/>
    <cellStyle name="Normal 5 2 3 2 6 8 2" xfId="9600"/>
    <cellStyle name="Normal 5 2 3 2 6 8 3" xfId="15139"/>
    <cellStyle name="Normal 5 2 3 2 6 9" xfId="1664"/>
    <cellStyle name="Normal 5 2 3 2 6 9 2" xfId="7210"/>
    <cellStyle name="Normal 5 2 3 2 6 9 3" xfId="12749"/>
    <cellStyle name="Normal 5 2 3 2 7" xfId="456"/>
    <cellStyle name="Normal 5 2 3 2 7 2" xfId="1298"/>
    <cellStyle name="Normal 5 2 3 2 7 2 2" xfId="3829"/>
    <cellStyle name="Normal 5 2 3 2 7 2 2 2" xfId="9371"/>
    <cellStyle name="Normal 5 2 3 2 7 2 2 3" xfId="14910"/>
    <cellStyle name="Normal 5 2 3 2 7 2 3" xfId="4866"/>
    <cellStyle name="Normal 5 2 3 2 7 2 3 2" xfId="10405"/>
    <cellStyle name="Normal 5 2 3 2 7 2 3 3" xfId="15944"/>
    <cellStyle name="Normal 5 2 3 2 7 2 4" xfId="5801"/>
    <cellStyle name="Normal 5 2 3 2 7 2 4 2" xfId="11340"/>
    <cellStyle name="Normal 5 2 3 2 7 2 4 3" xfId="16879"/>
    <cellStyle name="Normal 5 2 3 2 7 2 5" xfId="2503"/>
    <cellStyle name="Normal 5 2 3 2 7 2 5 2" xfId="8049"/>
    <cellStyle name="Normal 5 2 3 2 7 2 5 3" xfId="13588"/>
    <cellStyle name="Normal 5 2 3 2 7 2 6" xfId="6844"/>
    <cellStyle name="Normal 5 2 3 2 7 2 7" xfId="12383"/>
    <cellStyle name="Normal 5 2 3 2 7 3" xfId="962"/>
    <cellStyle name="Normal 5 2 3 2 7 3 2" xfId="3492"/>
    <cellStyle name="Normal 5 2 3 2 7 3 2 2" xfId="9034"/>
    <cellStyle name="Normal 5 2 3 2 7 3 2 3" xfId="14573"/>
    <cellStyle name="Normal 5 2 3 2 7 3 3" xfId="4529"/>
    <cellStyle name="Normal 5 2 3 2 7 3 3 2" xfId="10068"/>
    <cellStyle name="Normal 5 2 3 2 7 3 3 3" xfId="15607"/>
    <cellStyle name="Normal 5 2 3 2 7 3 4" xfId="5464"/>
    <cellStyle name="Normal 5 2 3 2 7 3 4 2" xfId="11003"/>
    <cellStyle name="Normal 5 2 3 2 7 3 4 3" xfId="16542"/>
    <cellStyle name="Normal 5 2 3 2 7 3 5" xfId="2166"/>
    <cellStyle name="Normal 5 2 3 2 7 3 5 2" xfId="7712"/>
    <cellStyle name="Normal 5 2 3 2 7 3 5 3" xfId="13251"/>
    <cellStyle name="Normal 5 2 3 2 7 3 6" xfId="6507"/>
    <cellStyle name="Normal 5 2 3 2 7 3 7" xfId="12046"/>
    <cellStyle name="Normal 5 2 3 2 7 4" xfId="3106"/>
    <cellStyle name="Normal 5 2 3 2 7 4 2" xfId="8649"/>
    <cellStyle name="Normal 5 2 3 2 7 4 3" xfId="14188"/>
    <cellStyle name="Normal 5 2 3 2 7 5" xfId="4149"/>
    <cellStyle name="Normal 5 2 3 2 7 5 2" xfId="9690"/>
    <cellStyle name="Normal 5 2 3 2 7 5 3" xfId="15229"/>
    <cellStyle name="Normal 5 2 3 2 7 6" xfId="5116"/>
    <cellStyle name="Normal 5 2 3 2 7 6 2" xfId="10655"/>
    <cellStyle name="Normal 5 2 3 2 7 6 3" xfId="16194"/>
    <cellStyle name="Normal 5 2 3 2 7 7" xfId="1818"/>
    <cellStyle name="Normal 5 2 3 2 7 7 2" xfId="7364"/>
    <cellStyle name="Normal 5 2 3 2 7 7 3" xfId="12903"/>
    <cellStyle name="Normal 5 2 3 2 7 8" xfId="6159"/>
    <cellStyle name="Normal 5 2 3 2 7 9" xfId="11698"/>
    <cellStyle name="Normal 5 2 3 2 8" xfId="1139"/>
    <cellStyle name="Normal 5 2 3 2 8 2" xfId="3669"/>
    <cellStyle name="Normal 5 2 3 2 8 2 2" xfId="9211"/>
    <cellStyle name="Normal 5 2 3 2 8 2 3" xfId="14750"/>
    <cellStyle name="Normal 5 2 3 2 8 3" xfId="4706"/>
    <cellStyle name="Normal 5 2 3 2 8 3 2" xfId="10245"/>
    <cellStyle name="Normal 5 2 3 2 8 3 3" xfId="15784"/>
    <cellStyle name="Normal 5 2 3 2 8 4" xfId="5641"/>
    <cellStyle name="Normal 5 2 3 2 8 4 2" xfId="11180"/>
    <cellStyle name="Normal 5 2 3 2 8 4 3" xfId="16719"/>
    <cellStyle name="Normal 5 2 3 2 8 5" xfId="2343"/>
    <cellStyle name="Normal 5 2 3 2 8 5 2" xfId="7889"/>
    <cellStyle name="Normal 5 2 3 2 8 5 3" xfId="13428"/>
    <cellStyle name="Normal 5 2 3 2 8 6" xfId="6684"/>
    <cellStyle name="Normal 5 2 3 2 8 7" xfId="12223"/>
    <cellStyle name="Normal 5 2 3 2 9" xfId="810"/>
    <cellStyle name="Normal 5 2 3 2 9 2" xfId="3340"/>
    <cellStyle name="Normal 5 2 3 2 9 2 2" xfId="8882"/>
    <cellStyle name="Normal 5 2 3 2 9 2 3" xfId="14421"/>
    <cellStyle name="Normal 5 2 3 2 9 3" xfId="4377"/>
    <cellStyle name="Normal 5 2 3 2 9 3 2" xfId="9916"/>
    <cellStyle name="Normal 5 2 3 2 9 3 3" xfId="15455"/>
    <cellStyle name="Normal 5 2 3 2 9 4" xfId="5312"/>
    <cellStyle name="Normal 5 2 3 2 9 4 2" xfId="10851"/>
    <cellStyle name="Normal 5 2 3 2 9 4 3" xfId="16390"/>
    <cellStyle name="Normal 5 2 3 2 9 5" xfId="2014"/>
    <cellStyle name="Normal 5 2 3 2 9 5 2" xfId="7560"/>
    <cellStyle name="Normal 5 2 3 2 9 5 3" xfId="13099"/>
    <cellStyle name="Normal 5 2 3 2 9 6" xfId="6355"/>
    <cellStyle name="Normal 5 2 3 2 9 7" xfId="11894"/>
    <cellStyle name="Normal 5 2 3 20" xfId="17551"/>
    <cellStyle name="Normal 5 2 3 3" xfId="300"/>
    <cellStyle name="Normal 5 2 3 3 10" xfId="1692"/>
    <cellStyle name="Normal 5 2 3 3 10 2" xfId="7238"/>
    <cellStyle name="Normal 5 2 3 3 10 3" xfId="12777"/>
    <cellStyle name="Normal 5 2 3 3 11" xfId="6033"/>
    <cellStyle name="Normal 5 2 3 3 11 2" xfId="17111"/>
    <cellStyle name="Normal 5 2 3 3 12" xfId="677"/>
    <cellStyle name="Normal 5 2 3 3 12 2" xfId="17273"/>
    <cellStyle name="Normal 5 2 3 3 13" xfId="11572"/>
    <cellStyle name="Normal 5 2 3 3 14" xfId="17440"/>
    <cellStyle name="Normal 5 2 3 3 15" xfId="17605"/>
    <cellStyle name="Normal 5 2 3 3 2" xfId="301"/>
    <cellStyle name="Normal 5 2 3 3 2 10" xfId="6123"/>
    <cellStyle name="Normal 5 2 3 3 2 10 2" xfId="17201"/>
    <cellStyle name="Normal 5 2 3 3 2 11" xfId="767"/>
    <cellStyle name="Normal 5 2 3 3 2 11 2" xfId="17363"/>
    <cellStyle name="Normal 5 2 3 3 2 12" xfId="11662"/>
    <cellStyle name="Normal 5 2 3 3 2 13" xfId="17530"/>
    <cellStyle name="Normal 5 2 3 3 2 14" xfId="17695"/>
    <cellStyle name="Normal 5 2 3 3 2 2" xfId="500"/>
    <cellStyle name="Normal 5 2 3 3 2 2 2" xfId="1341"/>
    <cellStyle name="Normal 5 2 3 3 2 2 2 2" xfId="3873"/>
    <cellStyle name="Normal 5 2 3 3 2 2 2 2 2" xfId="9415"/>
    <cellStyle name="Normal 5 2 3 3 2 2 2 2 3" xfId="14954"/>
    <cellStyle name="Normal 5 2 3 3 2 2 2 3" xfId="4910"/>
    <cellStyle name="Normal 5 2 3 3 2 2 2 3 2" xfId="10449"/>
    <cellStyle name="Normal 5 2 3 3 2 2 2 3 3" xfId="15988"/>
    <cellStyle name="Normal 5 2 3 3 2 2 2 4" xfId="5844"/>
    <cellStyle name="Normal 5 2 3 3 2 2 2 4 2" xfId="11383"/>
    <cellStyle name="Normal 5 2 3 3 2 2 2 4 3" xfId="16922"/>
    <cellStyle name="Normal 5 2 3 3 2 2 2 5" xfId="2546"/>
    <cellStyle name="Normal 5 2 3 3 2 2 2 5 2" xfId="8092"/>
    <cellStyle name="Normal 5 2 3 3 2 2 2 5 3" xfId="13631"/>
    <cellStyle name="Normal 5 2 3 3 2 2 2 6" xfId="6887"/>
    <cellStyle name="Normal 5 2 3 3 2 2 2 7" xfId="12426"/>
    <cellStyle name="Normal 5 2 3 3 2 2 3" xfId="1098"/>
    <cellStyle name="Normal 5 2 3 3 2 2 3 2" xfId="3628"/>
    <cellStyle name="Normal 5 2 3 3 2 2 3 2 2" xfId="9170"/>
    <cellStyle name="Normal 5 2 3 3 2 2 3 2 3" xfId="14709"/>
    <cellStyle name="Normal 5 2 3 3 2 2 3 3" xfId="4665"/>
    <cellStyle name="Normal 5 2 3 3 2 2 3 3 2" xfId="10204"/>
    <cellStyle name="Normal 5 2 3 3 2 2 3 3 3" xfId="15743"/>
    <cellStyle name="Normal 5 2 3 3 2 2 3 4" xfId="5600"/>
    <cellStyle name="Normal 5 2 3 3 2 2 3 4 2" xfId="11139"/>
    <cellStyle name="Normal 5 2 3 3 2 2 3 4 3" xfId="16678"/>
    <cellStyle name="Normal 5 2 3 3 2 2 3 5" xfId="2302"/>
    <cellStyle name="Normal 5 2 3 3 2 2 3 5 2" xfId="7848"/>
    <cellStyle name="Normal 5 2 3 3 2 2 3 5 3" xfId="13387"/>
    <cellStyle name="Normal 5 2 3 3 2 2 3 6" xfId="6643"/>
    <cellStyle name="Normal 5 2 3 3 2 2 3 7" xfId="12182"/>
    <cellStyle name="Normal 5 2 3 3 2 2 4" xfId="3159"/>
    <cellStyle name="Normal 5 2 3 3 2 2 4 2" xfId="8701"/>
    <cellStyle name="Normal 5 2 3 3 2 2 4 3" xfId="14240"/>
    <cellStyle name="Normal 5 2 3 3 2 2 5" xfId="4198"/>
    <cellStyle name="Normal 5 2 3 3 2 2 5 2" xfId="9737"/>
    <cellStyle name="Normal 5 2 3 3 2 2 5 3" xfId="15276"/>
    <cellStyle name="Normal 5 2 3 3 2 2 6" xfId="5159"/>
    <cellStyle name="Normal 5 2 3 3 2 2 6 2" xfId="10698"/>
    <cellStyle name="Normal 5 2 3 3 2 2 6 3" xfId="16237"/>
    <cellStyle name="Normal 5 2 3 3 2 2 7" xfId="1861"/>
    <cellStyle name="Normal 5 2 3 3 2 2 7 2" xfId="7407"/>
    <cellStyle name="Normal 5 2 3 3 2 2 7 3" xfId="12946"/>
    <cellStyle name="Normal 5 2 3 3 2 2 8" xfId="6202"/>
    <cellStyle name="Normal 5 2 3 3 2 2 9" xfId="11741"/>
    <cellStyle name="Normal 5 2 3 3 2 3" xfId="1275"/>
    <cellStyle name="Normal 5 2 3 3 2 3 2" xfId="3805"/>
    <cellStyle name="Normal 5 2 3 3 2 3 2 2" xfId="9347"/>
    <cellStyle name="Normal 5 2 3 3 2 3 2 3" xfId="14886"/>
    <cellStyle name="Normal 5 2 3 3 2 3 3" xfId="4842"/>
    <cellStyle name="Normal 5 2 3 3 2 3 3 2" xfId="10381"/>
    <cellStyle name="Normal 5 2 3 3 2 3 3 3" xfId="15920"/>
    <cellStyle name="Normal 5 2 3 3 2 3 4" xfId="5777"/>
    <cellStyle name="Normal 5 2 3 3 2 3 4 2" xfId="11316"/>
    <cellStyle name="Normal 5 2 3 3 2 3 4 3" xfId="16855"/>
    <cellStyle name="Normal 5 2 3 3 2 3 5" xfId="2479"/>
    <cellStyle name="Normal 5 2 3 3 2 3 5 2" xfId="8025"/>
    <cellStyle name="Normal 5 2 3 3 2 3 5 3" xfId="13564"/>
    <cellStyle name="Normal 5 2 3 3 2 3 6" xfId="6820"/>
    <cellStyle name="Normal 5 2 3 3 2 3 7" xfId="12359"/>
    <cellStyle name="Normal 5 2 3 3 2 4" xfId="820"/>
    <cellStyle name="Normal 5 2 3 3 2 4 2" xfId="3350"/>
    <cellStyle name="Normal 5 2 3 3 2 4 2 2" xfId="8892"/>
    <cellStyle name="Normal 5 2 3 3 2 4 2 3" xfId="14431"/>
    <cellStyle name="Normal 5 2 3 3 2 4 3" xfId="4387"/>
    <cellStyle name="Normal 5 2 3 3 2 4 3 2" xfId="9926"/>
    <cellStyle name="Normal 5 2 3 3 2 4 3 3" xfId="15465"/>
    <cellStyle name="Normal 5 2 3 3 2 4 4" xfId="5322"/>
    <cellStyle name="Normal 5 2 3 3 2 4 4 2" xfId="10861"/>
    <cellStyle name="Normal 5 2 3 3 2 4 4 3" xfId="16400"/>
    <cellStyle name="Normal 5 2 3 3 2 4 5" xfId="2024"/>
    <cellStyle name="Normal 5 2 3 3 2 4 5 2" xfId="7570"/>
    <cellStyle name="Normal 5 2 3 3 2 4 5 3" xfId="13109"/>
    <cellStyle name="Normal 5 2 3 3 2 4 6" xfId="6365"/>
    <cellStyle name="Normal 5 2 3 3 2 4 7" xfId="11904"/>
    <cellStyle name="Normal 5 2 3 3 2 5" xfId="1620"/>
    <cellStyle name="Normal 5 2 3 3 2 5 2" xfId="2825"/>
    <cellStyle name="Normal 5 2 3 3 2 5 2 2" xfId="8371"/>
    <cellStyle name="Normal 5 2 3 3 2 5 2 3" xfId="13910"/>
    <cellStyle name="Normal 5 2 3 3 2 5 3" xfId="7166"/>
    <cellStyle name="Normal 5 2 3 3 2 5 4" xfId="12705"/>
    <cellStyle name="Normal 5 2 3 3 2 6" xfId="2998"/>
    <cellStyle name="Normal 5 2 3 3 2 6 2" xfId="8542"/>
    <cellStyle name="Normal 5 2 3 3 2 6 3" xfId="14081"/>
    <cellStyle name="Normal 5 2 3 3 2 7" xfId="4043"/>
    <cellStyle name="Normal 5 2 3 3 2 7 2" xfId="9585"/>
    <cellStyle name="Normal 5 2 3 3 2 7 3" xfId="15124"/>
    <cellStyle name="Normal 5 2 3 3 2 8" xfId="5080"/>
    <cellStyle name="Normal 5 2 3 3 2 8 2" xfId="10619"/>
    <cellStyle name="Normal 5 2 3 3 2 8 3" xfId="16158"/>
    <cellStyle name="Normal 5 2 3 3 2 9" xfId="1782"/>
    <cellStyle name="Normal 5 2 3 3 2 9 2" xfId="7328"/>
    <cellStyle name="Normal 5 2 3 3 2 9 3" xfId="12867"/>
    <cellStyle name="Normal 5 2 3 3 3" xfId="499"/>
    <cellStyle name="Normal 5 2 3 3 3 2" xfId="1340"/>
    <cellStyle name="Normal 5 2 3 3 3 2 2" xfId="3872"/>
    <cellStyle name="Normal 5 2 3 3 3 2 2 2" xfId="9414"/>
    <cellStyle name="Normal 5 2 3 3 3 2 2 3" xfId="14953"/>
    <cellStyle name="Normal 5 2 3 3 3 2 3" xfId="4909"/>
    <cellStyle name="Normal 5 2 3 3 3 2 3 2" xfId="10448"/>
    <cellStyle name="Normal 5 2 3 3 3 2 3 3" xfId="15987"/>
    <cellStyle name="Normal 5 2 3 3 3 2 4" xfId="5843"/>
    <cellStyle name="Normal 5 2 3 3 3 2 4 2" xfId="11382"/>
    <cellStyle name="Normal 5 2 3 3 3 2 4 3" xfId="16921"/>
    <cellStyle name="Normal 5 2 3 3 3 2 5" xfId="2545"/>
    <cellStyle name="Normal 5 2 3 3 3 2 5 2" xfId="8091"/>
    <cellStyle name="Normal 5 2 3 3 3 2 5 3" xfId="13630"/>
    <cellStyle name="Normal 5 2 3 3 3 2 6" xfId="6886"/>
    <cellStyle name="Normal 5 2 3 3 3 2 7" xfId="12425"/>
    <cellStyle name="Normal 5 2 3 3 3 3" xfId="1008"/>
    <cellStyle name="Normal 5 2 3 3 3 3 2" xfId="3538"/>
    <cellStyle name="Normal 5 2 3 3 3 3 2 2" xfId="9080"/>
    <cellStyle name="Normal 5 2 3 3 3 3 2 3" xfId="14619"/>
    <cellStyle name="Normal 5 2 3 3 3 3 3" xfId="4575"/>
    <cellStyle name="Normal 5 2 3 3 3 3 3 2" xfId="10114"/>
    <cellStyle name="Normal 5 2 3 3 3 3 3 3" xfId="15653"/>
    <cellStyle name="Normal 5 2 3 3 3 3 4" xfId="5510"/>
    <cellStyle name="Normal 5 2 3 3 3 3 4 2" xfId="11049"/>
    <cellStyle name="Normal 5 2 3 3 3 3 4 3" xfId="16588"/>
    <cellStyle name="Normal 5 2 3 3 3 3 5" xfId="2212"/>
    <cellStyle name="Normal 5 2 3 3 3 3 5 2" xfId="7758"/>
    <cellStyle name="Normal 5 2 3 3 3 3 5 3" xfId="13297"/>
    <cellStyle name="Normal 5 2 3 3 3 3 6" xfId="6553"/>
    <cellStyle name="Normal 5 2 3 3 3 3 7" xfId="12092"/>
    <cellStyle name="Normal 5 2 3 3 3 4" xfId="3158"/>
    <cellStyle name="Normal 5 2 3 3 3 4 2" xfId="8700"/>
    <cellStyle name="Normal 5 2 3 3 3 4 3" xfId="14239"/>
    <cellStyle name="Normal 5 2 3 3 3 5" xfId="4197"/>
    <cellStyle name="Normal 5 2 3 3 3 5 2" xfId="9736"/>
    <cellStyle name="Normal 5 2 3 3 3 5 3" xfId="15275"/>
    <cellStyle name="Normal 5 2 3 3 3 6" xfId="5158"/>
    <cellStyle name="Normal 5 2 3 3 3 6 2" xfId="10697"/>
    <cellStyle name="Normal 5 2 3 3 3 6 3" xfId="16236"/>
    <cellStyle name="Normal 5 2 3 3 3 7" xfId="1860"/>
    <cellStyle name="Normal 5 2 3 3 3 7 2" xfId="7406"/>
    <cellStyle name="Normal 5 2 3 3 3 7 3" xfId="12945"/>
    <cellStyle name="Normal 5 2 3 3 3 8" xfId="6201"/>
    <cellStyle name="Normal 5 2 3 3 3 9" xfId="11740"/>
    <cellStyle name="Normal 5 2 3 3 4" xfId="1185"/>
    <cellStyle name="Normal 5 2 3 3 4 2" xfId="3715"/>
    <cellStyle name="Normal 5 2 3 3 4 2 2" xfId="9257"/>
    <cellStyle name="Normal 5 2 3 3 4 2 3" xfId="14796"/>
    <cellStyle name="Normal 5 2 3 3 4 3" xfId="4752"/>
    <cellStyle name="Normal 5 2 3 3 4 3 2" xfId="10291"/>
    <cellStyle name="Normal 5 2 3 3 4 3 3" xfId="15830"/>
    <cellStyle name="Normal 5 2 3 3 4 4" xfId="5687"/>
    <cellStyle name="Normal 5 2 3 3 4 4 2" xfId="11226"/>
    <cellStyle name="Normal 5 2 3 3 4 4 3" xfId="16765"/>
    <cellStyle name="Normal 5 2 3 3 4 5" xfId="2389"/>
    <cellStyle name="Normal 5 2 3 3 4 5 2" xfId="7935"/>
    <cellStyle name="Normal 5 2 3 3 4 5 3" xfId="13474"/>
    <cellStyle name="Normal 5 2 3 3 4 6" xfId="6730"/>
    <cellStyle name="Normal 5 2 3 3 4 7" xfId="12269"/>
    <cellStyle name="Normal 5 2 3 3 5" xfId="819"/>
    <cellStyle name="Normal 5 2 3 3 5 2" xfId="3349"/>
    <cellStyle name="Normal 5 2 3 3 5 2 2" xfId="8891"/>
    <cellStyle name="Normal 5 2 3 3 5 2 3" xfId="14430"/>
    <cellStyle name="Normal 5 2 3 3 5 3" xfId="4386"/>
    <cellStyle name="Normal 5 2 3 3 5 3 2" xfId="9925"/>
    <cellStyle name="Normal 5 2 3 3 5 3 3" xfId="15464"/>
    <cellStyle name="Normal 5 2 3 3 5 4" xfId="5321"/>
    <cellStyle name="Normal 5 2 3 3 5 4 2" xfId="10860"/>
    <cellStyle name="Normal 5 2 3 3 5 4 3" xfId="16399"/>
    <cellStyle name="Normal 5 2 3 3 5 5" xfId="2023"/>
    <cellStyle name="Normal 5 2 3 3 5 5 2" xfId="7569"/>
    <cellStyle name="Normal 5 2 3 3 5 5 3" xfId="13108"/>
    <cellStyle name="Normal 5 2 3 3 5 6" xfId="6364"/>
    <cellStyle name="Normal 5 2 3 3 5 7" xfId="11903"/>
    <cellStyle name="Normal 5 2 3 3 6" xfId="1530"/>
    <cellStyle name="Normal 5 2 3 3 6 2" xfId="2735"/>
    <cellStyle name="Normal 5 2 3 3 6 2 2" xfId="8281"/>
    <cellStyle name="Normal 5 2 3 3 6 2 3" xfId="13820"/>
    <cellStyle name="Normal 5 2 3 3 6 3" xfId="7076"/>
    <cellStyle name="Normal 5 2 3 3 6 4" xfId="12615"/>
    <cellStyle name="Normal 5 2 3 3 7" xfId="2908"/>
    <cellStyle name="Normal 5 2 3 3 7 2" xfId="8452"/>
    <cellStyle name="Normal 5 2 3 3 7 3" xfId="13991"/>
    <cellStyle name="Normal 5 2 3 3 8" xfId="3020"/>
    <cellStyle name="Normal 5 2 3 3 8 2" xfId="8564"/>
    <cellStyle name="Normal 5 2 3 3 8 3" xfId="14103"/>
    <cellStyle name="Normal 5 2 3 3 9" xfId="4064"/>
    <cellStyle name="Normal 5 2 3 3 9 2" xfId="9606"/>
    <cellStyle name="Normal 5 2 3 3 9 3" xfId="15145"/>
    <cellStyle name="Normal 5 2 3 4" xfId="302"/>
    <cellStyle name="Normal 5 2 3 4 10" xfId="1674"/>
    <cellStyle name="Normal 5 2 3 4 10 2" xfId="7220"/>
    <cellStyle name="Normal 5 2 3 4 10 3" xfId="12759"/>
    <cellStyle name="Normal 5 2 3 4 11" xfId="6015"/>
    <cellStyle name="Normal 5 2 3 4 11 2" xfId="17093"/>
    <cellStyle name="Normal 5 2 3 4 12" xfId="659"/>
    <cellStyle name="Normal 5 2 3 4 12 2" xfId="17255"/>
    <cellStyle name="Normal 5 2 3 4 13" xfId="11554"/>
    <cellStyle name="Normal 5 2 3 4 14" xfId="17422"/>
    <cellStyle name="Normal 5 2 3 4 15" xfId="17587"/>
    <cellStyle name="Normal 5 2 3 4 2" xfId="303"/>
    <cellStyle name="Normal 5 2 3 4 2 10" xfId="6105"/>
    <cellStyle name="Normal 5 2 3 4 2 10 2" xfId="17183"/>
    <cellStyle name="Normal 5 2 3 4 2 11" xfId="749"/>
    <cellStyle name="Normal 5 2 3 4 2 11 2" xfId="17345"/>
    <cellStyle name="Normal 5 2 3 4 2 12" xfId="11644"/>
    <cellStyle name="Normal 5 2 3 4 2 13" xfId="17512"/>
    <cellStyle name="Normal 5 2 3 4 2 14" xfId="17677"/>
    <cellStyle name="Normal 5 2 3 4 2 2" xfId="502"/>
    <cellStyle name="Normal 5 2 3 4 2 2 2" xfId="1343"/>
    <cellStyle name="Normal 5 2 3 4 2 2 2 2" xfId="3875"/>
    <cellStyle name="Normal 5 2 3 4 2 2 2 2 2" xfId="9417"/>
    <cellStyle name="Normal 5 2 3 4 2 2 2 2 3" xfId="14956"/>
    <cellStyle name="Normal 5 2 3 4 2 2 2 3" xfId="4912"/>
    <cellStyle name="Normal 5 2 3 4 2 2 2 3 2" xfId="10451"/>
    <cellStyle name="Normal 5 2 3 4 2 2 2 3 3" xfId="15990"/>
    <cellStyle name="Normal 5 2 3 4 2 2 2 4" xfId="5846"/>
    <cellStyle name="Normal 5 2 3 4 2 2 2 4 2" xfId="11385"/>
    <cellStyle name="Normal 5 2 3 4 2 2 2 4 3" xfId="16924"/>
    <cellStyle name="Normal 5 2 3 4 2 2 2 5" xfId="2548"/>
    <cellStyle name="Normal 5 2 3 4 2 2 2 5 2" xfId="8094"/>
    <cellStyle name="Normal 5 2 3 4 2 2 2 5 3" xfId="13633"/>
    <cellStyle name="Normal 5 2 3 4 2 2 2 6" xfId="6889"/>
    <cellStyle name="Normal 5 2 3 4 2 2 2 7" xfId="12428"/>
    <cellStyle name="Normal 5 2 3 4 2 2 3" xfId="1080"/>
    <cellStyle name="Normal 5 2 3 4 2 2 3 2" xfId="3610"/>
    <cellStyle name="Normal 5 2 3 4 2 2 3 2 2" xfId="9152"/>
    <cellStyle name="Normal 5 2 3 4 2 2 3 2 3" xfId="14691"/>
    <cellStyle name="Normal 5 2 3 4 2 2 3 3" xfId="4647"/>
    <cellStyle name="Normal 5 2 3 4 2 2 3 3 2" xfId="10186"/>
    <cellStyle name="Normal 5 2 3 4 2 2 3 3 3" xfId="15725"/>
    <cellStyle name="Normal 5 2 3 4 2 2 3 4" xfId="5582"/>
    <cellStyle name="Normal 5 2 3 4 2 2 3 4 2" xfId="11121"/>
    <cellStyle name="Normal 5 2 3 4 2 2 3 4 3" xfId="16660"/>
    <cellStyle name="Normal 5 2 3 4 2 2 3 5" xfId="2284"/>
    <cellStyle name="Normal 5 2 3 4 2 2 3 5 2" xfId="7830"/>
    <cellStyle name="Normal 5 2 3 4 2 2 3 5 3" xfId="13369"/>
    <cellStyle name="Normal 5 2 3 4 2 2 3 6" xfId="6625"/>
    <cellStyle name="Normal 5 2 3 4 2 2 3 7" xfId="12164"/>
    <cellStyle name="Normal 5 2 3 4 2 2 4" xfId="3161"/>
    <cellStyle name="Normal 5 2 3 4 2 2 4 2" xfId="8703"/>
    <cellStyle name="Normal 5 2 3 4 2 2 4 3" xfId="14242"/>
    <cellStyle name="Normal 5 2 3 4 2 2 5" xfId="4200"/>
    <cellStyle name="Normal 5 2 3 4 2 2 5 2" xfId="9739"/>
    <cellStyle name="Normal 5 2 3 4 2 2 5 3" xfId="15278"/>
    <cellStyle name="Normal 5 2 3 4 2 2 6" xfId="5161"/>
    <cellStyle name="Normal 5 2 3 4 2 2 6 2" xfId="10700"/>
    <cellStyle name="Normal 5 2 3 4 2 2 6 3" xfId="16239"/>
    <cellStyle name="Normal 5 2 3 4 2 2 7" xfId="1863"/>
    <cellStyle name="Normal 5 2 3 4 2 2 7 2" xfId="7409"/>
    <cellStyle name="Normal 5 2 3 4 2 2 7 3" xfId="12948"/>
    <cellStyle name="Normal 5 2 3 4 2 2 8" xfId="6204"/>
    <cellStyle name="Normal 5 2 3 4 2 2 9" xfId="11743"/>
    <cellStyle name="Normal 5 2 3 4 2 3" xfId="1257"/>
    <cellStyle name="Normal 5 2 3 4 2 3 2" xfId="3787"/>
    <cellStyle name="Normal 5 2 3 4 2 3 2 2" xfId="9329"/>
    <cellStyle name="Normal 5 2 3 4 2 3 2 3" xfId="14868"/>
    <cellStyle name="Normal 5 2 3 4 2 3 3" xfId="4824"/>
    <cellStyle name="Normal 5 2 3 4 2 3 3 2" xfId="10363"/>
    <cellStyle name="Normal 5 2 3 4 2 3 3 3" xfId="15902"/>
    <cellStyle name="Normal 5 2 3 4 2 3 4" xfId="5759"/>
    <cellStyle name="Normal 5 2 3 4 2 3 4 2" xfId="11298"/>
    <cellStyle name="Normal 5 2 3 4 2 3 4 3" xfId="16837"/>
    <cellStyle name="Normal 5 2 3 4 2 3 5" xfId="2461"/>
    <cellStyle name="Normal 5 2 3 4 2 3 5 2" xfId="8007"/>
    <cellStyle name="Normal 5 2 3 4 2 3 5 3" xfId="13546"/>
    <cellStyle name="Normal 5 2 3 4 2 3 6" xfId="6802"/>
    <cellStyle name="Normal 5 2 3 4 2 3 7" xfId="12341"/>
    <cellStyle name="Normal 5 2 3 4 2 4" xfId="822"/>
    <cellStyle name="Normal 5 2 3 4 2 4 2" xfId="3352"/>
    <cellStyle name="Normal 5 2 3 4 2 4 2 2" xfId="8894"/>
    <cellStyle name="Normal 5 2 3 4 2 4 2 3" xfId="14433"/>
    <cellStyle name="Normal 5 2 3 4 2 4 3" xfId="4389"/>
    <cellStyle name="Normal 5 2 3 4 2 4 3 2" xfId="9928"/>
    <cellStyle name="Normal 5 2 3 4 2 4 3 3" xfId="15467"/>
    <cellStyle name="Normal 5 2 3 4 2 4 4" xfId="5324"/>
    <cellStyle name="Normal 5 2 3 4 2 4 4 2" xfId="10863"/>
    <cellStyle name="Normal 5 2 3 4 2 4 4 3" xfId="16402"/>
    <cellStyle name="Normal 5 2 3 4 2 4 5" xfId="2026"/>
    <cellStyle name="Normal 5 2 3 4 2 4 5 2" xfId="7572"/>
    <cellStyle name="Normal 5 2 3 4 2 4 5 3" xfId="13111"/>
    <cellStyle name="Normal 5 2 3 4 2 4 6" xfId="6367"/>
    <cellStyle name="Normal 5 2 3 4 2 4 7" xfId="11906"/>
    <cellStyle name="Normal 5 2 3 4 2 5" xfId="1602"/>
    <cellStyle name="Normal 5 2 3 4 2 5 2" xfId="2807"/>
    <cellStyle name="Normal 5 2 3 4 2 5 2 2" xfId="8353"/>
    <cellStyle name="Normal 5 2 3 4 2 5 2 3" xfId="13892"/>
    <cellStyle name="Normal 5 2 3 4 2 5 3" xfId="7148"/>
    <cellStyle name="Normal 5 2 3 4 2 5 4" xfId="12687"/>
    <cellStyle name="Normal 5 2 3 4 2 6" xfId="2980"/>
    <cellStyle name="Normal 5 2 3 4 2 6 2" xfId="8524"/>
    <cellStyle name="Normal 5 2 3 4 2 6 3" xfId="14063"/>
    <cellStyle name="Normal 5 2 3 4 2 7" xfId="4025"/>
    <cellStyle name="Normal 5 2 3 4 2 7 2" xfId="9567"/>
    <cellStyle name="Normal 5 2 3 4 2 7 3" xfId="15106"/>
    <cellStyle name="Normal 5 2 3 4 2 8" xfId="5062"/>
    <cellStyle name="Normal 5 2 3 4 2 8 2" xfId="10601"/>
    <cellStyle name="Normal 5 2 3 4 2 8 3" xfId="16140"/>
    <cellStyle name="Normal 5 2 3 4 2 9" xfId="1764"/>
    <cellStyle name="Normal 5 2 3 4 2 9 2" xfId="7310"/>
    <cellStyle name="Normal 5 2 3 4 2 9 3" xfId="12849"/>
    <cellStyle name="Normal 5 2 3 4 3" xfId="501"/>
    <cellStyle name="Normal 5 2 3 4 3 2" xfId="1342"/>
    <cellStyle name="Normal 5 2 3 4 3 2 2" xfId="3874"/>
    <cellStyle name="Normal 5 2 3 4 3 2 2 2" xfId="9416"/>
    <cellStyle name="Normal 5 2 3 4 3 2 2 3" xfId="14955"/>
    <cellStyle name="Normal 5 2 3 4 3 2 3" xfId="4911"/>
    <cellStyle name="Normal 5 2 3 4 3 2 3 2" xfId="10450"/>
    <cellStyle name="Normal 5 2 3 4 3 2 3 3" xfId="15989"/>
    <cellStyle name="Normal 5 2 3 4 3 2 4" xfId="5845"/>
    <cellStyle name="Normal 5 2 3 4 3 2 4 2" xfId="11384"/>
    <cellStyle name="Normal 5 2 3 4 3 2 4 3" xfId="16923"/>
    <cellStyle name="Normal 5 2 3 4 3 2 5" xfId="2547"/>
    <cellStyle name="Normal 5 2 3 4 3 2 5 2" xfId="8093"/>
    <cellStyle name="Normal 5 2 3 4 3 2 5 3" xfId="13632"/>
    <cellStyle name="Normal 5 2 3 4 3 2 6" xfId="6888"/>
    <cellStyle name="Normal 5 2 3 4 3 2 7" xfId="12427"/>
    <cellStyle name="Normal 5 2 3 4 3 3" xfId="990"/>
    <cellStyle name="Normal 5 2 3 4 3 3 2" xfId="3520"/>
    <cellStyle name="Normal 5 2 3 4 3 3 2 2" xfId="9062"/>
    <cellStyle name="Normal 5 2 3 4 3 3 2 3" xfId="14601"/>
    <cellStyle name="Normal 5 2 3 4 3 3 3" xfId="4557"/>
    <cellStyle name="Normal 5 2 3 4 3 3 3 2" xfId="10096"/>
    <cellStyle name="Normal 5 2 3 4 3 3 3 3" xfId="15635"/>
    <cellStyle name="Normal 5 2 3 4 3 3 4" xfId="5492"/>
    <cellStyle name="Normal 5 2 3 4 3 3 4 2" xfId="11031"/>
    <cellStyle name="Normal 5 2 3 4 3 3 4 3" xfId="16570"/>
    <cellStyle name="Normal 5 2 3 4 3 3 5" xfId="2194"/>
    <cellStyle name="Normal 5 2 3 4 3 3 5 2" xfId="7740"/>
    <cellStyle name="Normal 5 2 3 4 3 3 5 3" xfId="13279"/>
    <cellStyle name="Normal 5 2 3 4 3 3 6" xfId="6535"/>
    <cellStyle name="Normal 5 2 3 4 3 3 7" xfId="12074"/>
    <cellStyle name="Normal 5 2 3 4 3 4" xfId="3160"/>
    <cellStyle name="Normal 5 2 3 4 3 4 2" xfId="8702"/>
    <cellStyle name="Normal 5 2 3 4 3 4 3" xfId="14241"/>
    <cellStyle name="Normal 5 2 3 4 3 5" xfId="4199"/>
    <cellStyle name="Normal 5 2 3 4 3 5 2" xfId="9738"/>
    <cellStyle name="Normal 5 2 3 4 3 5 3" xfId="15277"/>
    <cellStyle name="Normal 5 2 3 4 3 6" xfId="5160"/>
    <cellStyle name="Normal 5 2 3 4 3 6 2" xfId="10699"/>
    <cellStyle name="Normal 5 2 3 4 3 6 3" xfId="16238"/>
    <cellStyle name="Normal 5 2 3 4 3 7" xfId="1862"/>
    <cellStyle name="Normal 5 2 3 4 3 7 2" xfId="7408"/>
    <cellStyle name="Normal 5 2 3 4 3 7 3" xfId="12947"/>
    <cellStyle name="Normal 5 2 3 4 3 8" xfId="6203"/>
    <cellStyle name="Normal 5 2 3 4 3 9" xfId="11742"/>
    <cellStyle name="Normal 5 2 3 4 4" xfId="1167"/>
    <cellStyle name="Normal 5 2 3 4 4 2" xfId="3697"/>
    <cellStyle name="Normal 5 2 3 4 4 2 2" xfId="9239"/>
    <cellStyle name="Normal 5 2 3 4 4 2 3" xfId="14778"/>
    <cellStyle name="Normal 5 2 3 4 4 3" xfId="4734"/>
    <cellStyle name="Normal 5 2 3 4 4 3 2" xfId="10273"/>
    <cellStyle name="Normal 5 2 3 4 4 3 3" xfId="15812"/>
    <cellStyle name="Normal 5 2 3 4 4 4" xfId="5669"/>
    <cellStyle name="Normal 5 2 3 4 4 4 2" xfId="11208"/>
    <cellStyle name="Normal 5 2 3 4 4 4 3" xfId="16747"/>
    <cellStyle name="Normal 5 2 3 4 4 5" xfId="2371"/>
    <cellStyle name="Normal 5 2 3 4 4 5 2" xfId="7917"/>
    <cellStyle name="Normal 5 2 3 4 4 5 3" xfId="13456"/>
    <cellStyle name="Normal 5 2 3 4 4 6" xfId="6712"/>
    <cellStyle name="Normal 5 2 3 4 4 7" xfId="12251"/>
    <cellStyle name="Normal 5 2 3 4 5" xfId="821"/>
    <cellStyle name="Normal 5 2 3 4 5 2" xfId="3351"/>
    <cellStyle name="Normal 5 2 3 4 5 2 2" xfId="8893"/>
    <cellStyle name="Normal 5 2 3 4 5 2 3" xfId="14432"/>
    <cellStyle name="Normal 5 2 3 4 5 3" xfId="4388"/>
    <cellStyle name="Normal 5 2 3 4 5 3 2" xfId="9927"/>
    <cellStyle name="Normal 5 2 3 4 5 3 3" xfId="15466"/>
    <cellStyle name="Normal 5 2 3 4 5 4" xfId="5323"/>
    <cellStyle name="Normal 5 2 3 4 5 4 2" xfId="10862"/>
    <cellStyle name="Normal 5 2 3 4 5 4 3" xfId="16401"/>
    <cellStyle name="Normal 5 2 3 4 5 5" xfId="2025"/>
    <cellStyle name="Normal 5 2 3 4 5 5 2" xfId="7571"/>
    <cellStyle name="Normal 5 2 3 4 5 5 3" xfId="13110"/>
    <cellStyle name="Normal 5 2 3 4 5 6" xfId="6366"/>
    <cellStyle name="Normal 5 2 3 4 5 7" xfId="11905"/>
    <cellStyle name="Normal 5 2 3 4 6" xfId="1512"/>
    <cellStyle name="Normal 5 2 3 4 6 2" xfId="2717"/>
    <cellStyle name="Normal 5 2 3 4 6 2 2" xfId="8263"/>
    <cellStyle name="Normal 5 2 3 4 6 2 3" xfId="13802"/>
    <cellStyle name="Normal 5 2 3 4 6 3" xfId="7058"/>
    <cellStyle name="Normal 5 2 3 4 6 4" xfId="12597"/>
    <cellStyle name="Normal 5 2 3 4 7" xfId="2890"/>
    <cellStyle name="Normal 5 2 3 4 7 2" xfId="8434"/>
    <cellStyle name="Normal 5 2 3 4 7 3" xfId="13973"/>
    <cellStyle name="Normal 5 2 3 4 8" xfId="3295"/>
    <cellStyle name="Normal 5 2 3 4 8 2" xfId="8837"/>
    <cellStyle name="Normal 5 2 3 4 8 3" xfId="14376"/>
    <cellStyle name="Normal 5 2 3 4 9" xfId="4334"/>
    <cellStyle name="Normal 5 2 3 4 9 2" xfId="9873"/>
    <cellStyle name="Normal 5 2 3 4 9 3" xfId="15412"/>
    <cellStyle name="Normal 5 2 3 5" xfId="304"/>
    <cellStyle name="Normal 5 2 3 5 10" xfId="1710"/>
    <cellStyle name="Normal 5 2 3 5 10 2" xfId="7256"/>
    <cellStyle name="Normal 5 2 3 5 10 3" xfId="12795"/>
    <cellStyle name="Normal 5 2 3 5 11" xfId="6051"/>
    <cellStyle name="Normal 5 2 3 5 11 2" xfId="17129"/>
    <cellStyle name="Normal 5 2 3 5 12" xfId="695"/>
    <cellStyle name="Normal 5 2 3 5 12 2" xfId="17291"/>
    <cellStyle name="Normal 5 2 3 5 13" xfId="11590"/>
    <cellStyle name="Normal 5 2 3 5 14" xfId="17458"/>
    <cellStyle name="Normal 5 2 3 5 15" xfId="17623"/>
    <cellStyle name="Normal 5 2 3 5 2" xfId="305"/>
    <cellStyle name="Normal 5 2 3 5 2 10" xfId="6087"/>
    <cellStyle name="Normal 5 2 3 5 2 10 2" xfId="17165"/>
    <cellStyle name="Normal 5 2 3 5 2 11" xfId="731"/>
    <cellStyle name="Normal 5 2 3 5 2 11 2" xfId="17327"/>
    <cellStyle name="Normal 5 2 3 5 2 12" xfId="11626"/>
    <cellStyle name="Normal 5 2 3 5 2 13" xfId="17494"/>
    <cellStyle name="Normal 5 2 3 5 2 14" xfId="17659"/>
    <cellStyle name="Normal 5 2 3 5 2 2" xfId="504"/>
    <cellStyle name="Normal 5 2 3 5 2 2 2" xfId="1345"/>
    <cellStyle name="Normal 5 2 3 5 2 2 2 2" xfId="3877"/>
    <cellStyle name="Normal 5 2 3 5 2 2 2 2 2" xfId="9419"/>
    <cellStyle name="Normal 5 2 3 5 2 2 2 2 3" xfId="14958"/>
    <cellStyle name="Normal 5 2 3 5 2 2 2 3" xfId="4914"/>
    <cellStyle name="Normal 5 2 3 5 2 2 2 3 2" xfId="10453"/>
    <cellStyle name="Normal 5 2 3 5 2 2 2 3 3" xfId="15992"/>
    <cellStyle name="Normal 5 2 3 5 2 2 2 4" xfId="5848"/>
    <cellStyle name="Normal 5 2 3 5 2 2 2 4 2" xfId="11387"/>
    <cellStyle name="Normal 5 2 3 5 2 2 2 4 3" xfId="16926"/>
    <cellStyle name="Normal 5 2 3 5 2 2 2 5" xfId="2550"/>
    <cellStyle name="Normal 5 2 3 5 2 2 2 5 2" xfId="8096"/>
    <cellStyle name="Normal 5 2 3 5 2 2 2 5 3" xfId="13635"/>
    <cellStyle name="Normal 5 2 3 5 2 2 2 6" xfId="6891"/>
    <cellStyle name="Normal 5 2 3 5 2 2 2 7" xfId="12430"/>
    <cellStyle name="Normal 5 2 3 5 2 2 3" xfId="1062"/>
    <cellStyle name="Normal 5 2 3 5 2 2 3 2" xfId="3592"/>
    <cellStyle name="Normal 5 2 3 5 2 2 3 2 2" xfId="9134"/>
    <cellStyle name="Normal 5 2 3 5 2 2 3 2 3" xfId="14673"/>
    <cellStyle name="Normal 5 2 3 5 2 2 3 3" xfId="4629"/>
    <cellStyle name="Normal 5 2 3 5 2 2 3 3 2" xfId="10168"/>
    <cellStyle name="Normal 5 2 3 5 2 2 3 3 3" xfId="15707"/>
    <cellStyle name="Normal 5 2 3 5 2 2 3 4" xfId="5564"/>
    <cellStyle name="Normal 5 2 3 5 2 2 3 4 2" xfId="11103"/>
    <cellStyle name="Normal 5 2 3 5 2 2 3 4 3" xfId="16642"/>
    <cellStyle name="Normal 5 2 3 5 2 2 3 5" xfId="2266"/>
    <cellStyle name="Normal 5 2 3 5 2 2 3 5 2" xfId="7812"/>
    <cellStyle name="Normal 5 2 3 5 2 2 3 5 3" xfId="13351"/>
    <cellStyle name="Normal 5 2 3 5 2 2 3 6" xfId="6607"/>
    <cellStyle name="Normal 5 2 3 5 2 2 3 7" xfId="12146"/>
    <cellStyle name="Normal 5 2 3 5 2 2 4" xfId="3163"/>
    <cellStyle name="Normal 5 2 3 5 2 2 4 2" xfId="8705"/>
    <cellStyle name="Normal 5 2 3 5 2 2 4 3" xfId="14244"/>
    <cellStyle name="Normal 5 2 3 5 2 2 5" xfId="4202"/>
    <cellStyle name="Normal 5 2 3 5 2 2 5 2" xfId="9741"/>
    <cellStyle name="Normal 5 2 3 5 2 2 5 3" xfId="15280"/>
    <cellStyle name="Normal 5 2 3 5 2 2 6" xfId="5163"/>
    <cellStyle name="Normal 5 2 3 5 2 2 6 2" xfId="10702"/>
    <cellStyle name="Normal 5 2 3 5 2 2 6 3" xfId="16241"/>
    <cellStyle name="Normal 5 2 3 5 2 2 7" xfId="1865"/>
    <cellStyle name="Normal 5 2 3 5 2 2 7 2" xfId="7411"/>
    <cellStyle name="Normal 5 2 3 5 2 2 7 3" xfId="12950"/>
    <cellStyle name="Normal 5 2 3 5 2 2 8" xfId="6206"/>
    <cellStyle name="Normal 5 2 3 5 2 2 9" xfId="11745"/>
    <cellStyle name="Normal 5 2 3 5 2 3" xfId="1239"/>
    <cellStyle name="Normal 5 2 3 5 2 3 2" xfId="3769"/>
    <cellStyle name="Normal 5 2 3 5 2 3 2 2" xfId="9311"/>
    <cellStyle name="Normal 5 2 3 5 2 3 2 3" xfId="14850"/>
    <cellStyle name="Normal 5 2 3 5 2 3 3" xfId="4806"/>
    <cellStyle name="Normal 5 2 3 5 2 3 3 2" xfId="10345"/>
    <cellStyle name="Normal 5 2 3 5 2 3 3 3" xfId="15884"/>
    <cellStyle name="Normal 5 2 3 5 2 3 4" xfId="5741"/>
    <cellStyle name="Normal 5 2 3 5 2 3 4 2" xfId="11280"/>
    <cellStyle name="Normal 5 2 3 5 2 3 4 3" xfId="16819"/>
    <cellStyle name="Normal 5 2 3 5 2 3 5" xfId="2443"/>
    <cellStyle name="Normal 5 2 3 5 2 3 5 2" xfId="7989"/>
    <cellStyle name="Normal 5 2 3 5 2 3 5 3" xfId="13528"/>
    <cellStyle name="Normal 5 2 3 5 2 3 6" xfId="6784"/>
    <cellStyle name="Normal 5 2 3 5 2 3 7" xfId="12323"/>
    <cellStyle name="Normal 5 2 3 5 2 4" xfId="824"/>
    <cellStyle name="Normal 5 2 3 5 2 4 2" xfId="3354"/>
    <cellStyle name="Normal 5 2 3 5 2 4 2 2" xfId="8896"/>
    <cellStyle name="Normal 5 2 3 5 2 4 2 3" xfId="14435"/>
    <cellStyle name="Normal 5 2 3 5 2 4 3" xfId="4391"/>
    <cellStyle name="Normal 5 2 3 5 2 4 3 2" xfId="9930"/>
    <cellStyle name="Normal 5 2 3 5 2 4 3 3" xfId="15469"/>
    <cellStyle name="Normal 5 2 3 5 2 4 4" xfId="5326"/>
    <cellStyle name="Normal 5 2 3 5 2 4 4 2" xfId="10865"/>
    <cellStyle name="Normal 5 2 3 5 2 4 4 3" xfId="16404"/>
    <cellStyle name="Normal 5 2 3 5 2 4 5" xfId="2028"/>
    <cellStyle name="Normal 5 2 3 5 2 4 5 2" xfId="7574"/>
    <cellStyle name="Normal 5 2 3 5 2 4 5 3" xfId="13113"/>
    <cellStyle name="Normal 5 2 3 5 2 4 6" xfId="6369"/>
    <cellStyle name="Normal 5 2 3 5 2 4 7" xfId="11908"/>
    <cellStyle name="Normal 5 2 3 5 2 5" xfId="1584"/>
    <cellStyle name="Normal 5 2 3 5 2 5 2" xfId="2789"/>
    <cellStyle name="Normal 5 2 3 5 2 5 2 2" xfId="8335"/>
    <cellStyle name="Normal 5 2 3 5 2 5 2 3" xfId="13874"/>
    <cellStyle name="Normal 5 2 3 5 2 5 3" xfId="7130"/>
    <cellStyle name="Normal 5 2 3 5 2 5 4" xfId="12669"/>
    <cellStyle name="Normal 5 2 3 5 2 6" xfId="2962"/>
    <cellStyle name="Normal 5 2 3 5 2 6 2" xfId="8506"/>
    <cellStyle name="Normal 5 2 3 5 2 6 3" xfId="14045"/>
    <cellStyle name="Normal 5 2 3 5 2 7" xfId="4007"/>
    <cellStyle name="Normal 5 2 3 5 2 7 2" xfId="9549"/>
    <cellStyle name="Normal 5 2 3 5 2 7 3" xfId="15088"/>
    <cellStyle name="Normal 5 2 3 5 2 8" xfId="5044"/>
    <cellStyle name="Normal 5 2 3 5 2 8 2" xfId="10583"/>
    <cellStyle name="Normal 5 2 3 5 2 8 3" xfId="16122"/>
    <cellStyle name="Normal 5 2 3 5 2 9" xfId="1746"/>
    <cellStyle name="Normal 5 2 3 5 2 9 2" xfId="7292"/>
    <cellStyle name="Normal 5 2 3 5 2 9 3" xfId="12831"/>
    <cellStyle name="Normal 5 2 3 5 3" xfId="503"/>
    <cellStyle name="Normal 5 2 3 5 3 2" xfId="1344"/>
    <cellStyle name="Normal 5 2 3 5 3 2 2" xfId="3876"/>
    <cellStyle name="Normal 5 2 3 5 3 2 2 2" xfId="9418"/>
    <cellStyle name="Normal 5 2 3 5 3 2 2 3" xfId="14957"/>
    <cellStyle name="Normal 5 2 3 5 3 2 3" xfId="4913"/>
    <cellStyle name="Normal 5 2 3 5 3 2 3 2" xfId="10452"/>
    <cellStyle name="Normal 5 2 3 5 3 2 3 3" xfId="15991"/>
    <cellStyle name="Normal 5 2 3 5 3 2 4" xfId="5847"/>
    <cellStyle name="Normal 5 2 3 5 3 2 4 2" xfId="11386"/>
    <cellStyle name="Normal 5 2 3 5 3 2 4 3" xfId="16925"/>
    <cellStyle name="Normal 5 2 3 5 3 2 5" xfId="2549"/>
    <cellStyle name="Normal 5 2 3 5 3 2 5 2" xfId="8095"/>
    <cellStyle name="Normal 5 2 3 5 3 2 5 3" xfId="13634"/>
    <cellStyle name="Normal 5 2 3 5 3 2 6" xfId="6890"/>
    <cellStyle name="Normal 5 2 3 5 3 2 7" xfId="12429"/>
    <cellStyle name="Normal 5 2 3 5 3 3" xfId="1026"/>
    <cellStyle name="Normal 5 2 3 5 3 3 2" xfId="3556"/>
    <cellStyle name="Normal 5 2 3 5 3 3 2 2" xfId="9098"/>
    <cellStyle name="Normal 5 2 3 5 3 3 2 3" xfId="14637"/>
    <cellStyle name="Normal 5 2 3 5 3 3 3" xfId="4593"/>
    <cellStyle name="Normal 5 2 3 5 3 3 3 2" xfId="10132"/>
    <cellStyle name="Normal 5 2 3 5 3 3 3 3" xfId="15671"/>
    <cellStyle name="Normal 5 2 3 5 3 3 4" xfId="5528"/>
    <cellStyle name="Normal 5 2 3 5 3 3 4 2" xfId="11067"/>
    <cellStyle name="Normal 5 2 3 5 3 3 4 3" xfId="16606"/>
    <cellStyle name="Normal 5 2 3 5 3 3 5" xfId="2230"/>
    <cellStyle name="Normal 5 2 3 5 3 3 5 2" xfId="7776"/>
    <cellStyle name="Normal 5 2 3 5 3 3 5 3" xfId="13315"/>
    <cellStyle name="Normal 5 2 3 5 3 3 6" xfId="6571"/>
    <cellStyle name="Normal 5 2 3 5 3 3 7" xfId="12110"/>
    <cellStyle name="Normal 5 2 3 5 3 4" xfId="3162"/>
    <cellStyle name="Normal 5 2 3 5 3 4 2" xfId="8704"/>
    <cellStyle name="Normal 5 2 3 5 3 4 3" xfId="14243"/>
    <cellStyle name="Normal 5 2 3 5 3 5" xfId="4201"/>
    <cellStyle name="Normal 5 2 3 5 3 5 2" xfId="9740"/>
    <cellStyle name="Normal 5 2 3 5 3 5 3" xfId="15279"/>
    <cellStyle name="Normal 5 2 3 5 3 6" xfId="5162"/>
    <cellStyle name="Normal 5 2 3 5 3 6 2" xfId="10701"/>
    <cellStyle name="Normal 5 2 3 5 3 6 3" xfId="16240"/>
    <cellStyle name="Normal 5 2 3 5 3 7" xfId="1864"/>
    <cellStyle name="Normal 5 2 3 5 3 7 2" xfId="7410"/>
    <cellStyle name="Normal 5 2 3 5 3 7 3" xfId="12949"/>
    <cellStyle name="Normal 5 2 3 5 3 8" xfId="6205"/>
    <cellStyle name="Normal 5 2 3 5 3 9" xfId="11744"/>
    <cellStyle name="Normal 5 2 3 5 4" xfId="1203"/>
    <cellStyle name="Normal 5 2 3 5 4 2" xfId="3733"/>
    <cellStyle name="Normal 5 2 3 5 4 2 2" xfId="9275"/>
    <cellStyle name="Normal 5 2 3 5 4 2 3" xfId="14814"/>
    <cellStyle name="Normal 5 2 3 5 4 3" xfId="4770"/>
    <cellStyle name="Normal 5 2 3 5 4 3 2" xfId="10309"/>
    <cellStyle name="Normal 5 2 3 5 4 3 3" xfId="15848"/>
    <cellStyle name="Normal 5 2 3 5 4 4" xfId="5705"/>
    <cellStyle name="Normal 5 2 3 5 4 4 2" xfId="11244"/>
    <cellStyle name="Normal 5 2 3 5 4 4 3" xfId="16783"/>
    <cellStyle name="Normal 5 2 3 5 4 5" xfId="2407"/>
    <cellStyle name="Normal 5 2 3 5 4 5 2" xfId="7953"/>
    <cellStyle name="Normal 5 2 3 5 4 5 3" xfId="13492"/>
    <cellStyle name="Normal 5 2 3 5 4 6" xfId="6748"/>
    <cellStyle name="Normal 5 2 3 5 4 7" xfId="12287"/>
    <cellStyle name="Normal 5 2 3 5 5" xfId="823"/>
    <cellStyle name="Normal 5 2 3 5 5 2" xfId="3353"/>
    <cellStyle name="Normal 5 2 3 5 5 2 2" xfId="8895"/>
    <cellStyle name="Normal 5 2 3 5 5 2 3" xfId="14434"/>
    <cellStyle name="Normal 5 2 3 5 5 3" xfId="4390"/>
    <cellStyle name="Normal 5 2 3 5 5 3 2" xfId="9929"/>
    <cellStyle name="Normal 5 2 3 5 5 3 3" xfId="15468"/>
    <cellStyle name="Normal 5 2 3 5 5 4" xfId="5325"/>
    <cellStyle name="Normal 5 2 3 5 5 4 2" xfId="10864"/>
    <cellStyle name="Normal 5 2 3 5 5 4 3" xfId="16403"/>
    <cellStyle name="Normal 5 2 3 5 5 5" xfId="2027"/>
    <cellStyle name="Normal 5 2 3 5 5 5 2" xfId="7573"/>
    <cellStyle name="Normal 5 2 3 5 5 5 3" xfId="13112"/>
    <cellStyle name="Normal 5 2 3 5 5 6" xfId="6368"/>
    <cellStyle name="Normal 5 2 3 5 5 7" xfId="11907"/>
    <cellStyle name="Normal 5 2 3 5 6" xfId="1548"/>
    <cellStyle name="Normal 5 2 3 5 6 2" xfId="2753"/>
    <cellStyle name="Normal 5 2 3 5 6 2 2" xfId="8299"/>
    <cellStyle name="Normal 5 2 3 5 6 2 3" xfId="13838"/>
    <cellStyle name="Normal 5 2 3 5 6 3" xfId="7094"/>
    <cellStyle name="Normal 5 2 3 5 6 4" xfId="12633"/>
    <cellStyle name="Normal 5 2 3 5 7" xfId="2926"/>
    <cellStyle name="Normal 5 2 3 5 7 2" xfId="8470"/>
    <cellStyle name="Normal 5 2 3 5 7 3" xfId="14009"/>
    <cellStyle name="Normal 5 2 3 5 8" xfId="3049"/>
    <cellStyle name="Normal 5 2 3 5 8 2" xfId="8592"/>
    <cellStyle name="Normal 5 2 3 5 8 3" xfId="14131"/>
    <cellStyle name="Normal 5 2 3 5 9" xfId="4092"/>
    <cellStyle name="Normal 5 2 3 5 9 2" xfId="9633"/>
    <cellStyle name="Normal 5 2 3 5 9 3" xfId="15172"/>
    <cellStyle name="Normal 5 2 3 6" xfId="306"/>
    <cellStyle name="Normal 5 2 3 6 10" xfId="6069"/>
    <cellStyle name="Normal 5 2 3 6 10 2" xfId="17147"/>
    <cellStyle name="Normal 5 2 3 6 11" xfId="713"/>
    <cellStyle name="Normal 5 2 3 6 11 2" xfId="17309"/>
    <cellStyle name="Normal 5 2 3 6 12" xfId="11608"/>
    <cellStyle name="Normal 5 2 3 6 13" xfId="17476"/>
    <cellStyle name="Normal 5 2 3 6 14" xfId="17641"/>
    <cellStyle name="Normal 5 2 3 6 2" xfId="505"/>
    <cellStyle name="Normal 5 2 3 6 2 2" xfId="1346"/>
    <cellStyle name="Normal 5 2 3 6 2 2 2" xfId="3878"/>
    <cellStyle name="Normal 5 2 3 6 2 2 2 2" xfId="9420"/>
    <cellStyle name="Normal 5 2 3 6 2 2 2 3" xfId="14959"/>
    <cellStyle name="Normal 5 2 3 6 2 2 3" xfId="4915"/>
    <cellStyle name="Normal 5 2 3 6 2 2 3 2" xfId="10454"/>
    <cellStyle name="Normal 5 2 3 6 2 2 3 3" xfId="15993"/>
    <cellStyle name="Normal 5 2 3 6 2 2 4" xfId="5849"/>
    <cellStyle name="Normal 5 2 3 6 2 2 4 2" xfId="11388"/>
    <cellStyle name="Normal 5 2 3 6 2 2 4 3" xfId="16927"/>
    <cellStyle name="Normal 5 2 3 6 2 2 5" xfId="2551"/>
    <cellStyle name="Normal 5 2 3 6 2 2 5 2" xfId="8097"/>
    <cellStyle name="Normal 5 2 3 6 2 2 5 3" xfId="13636"/>
    <cellStyle name="Normal 5 2 3 6 2 2 6" xfId="6892"/>
    <cellStyle name="Normal 5 2 3 6 2 2 7" xfId="12431"/>
    <cellStyle name="Normal 5 2 3 6 2 3" xfId="1044"/>
    <cellStyle name="Normal 5 2 3 6 2 3 2" xfId="3574"/>
    <cellStyle name="Normal 5 2 3 6 2 3 2 2" xfId="9116"/>
    <cellStyle name="Normal 5 2 3 6 2 3 2 3" xfId="14655"/>
    <cellStyle name="Normal 5 2 3 6 2 3 3" xfId="4611"/>
    <cellStyle name="Normal 5 2 3 6 2 3 3 2" xfId="10150"/>
    <cellStyle name="Normal 5 2 3 6 2 3 3 3" xfId="15689"/>
    <cellStyle name="Normal 5 2 3 6 2 3 4" xfId="5546"/>
    <cellStyle name="Normal 5 2 3 6 2 3 4 2" xfId="11085"/>
    <cellStyle name="Normal 5 2 3 6 2 3 4 3" xfId="16624"/>
    <cellStyle name="Normal 5 2 3 6 2 3 5" xfId="2248"/>
    <cellStyle name="Normal 5 2 3 6 2 3 5 2" xfId="7794"/>
    <cellStyle name="Normal 5 2 3 6 2 3 5 3" xfId="13333"/>
    <cellStyle name="Normal 5 2 3 6 2 3 6" xfId="6589"/>
    <cellStyle name="Normal 5 2 3 6 2 3 7" xfId="12128"/>
    <cellStyle name="Normal 5 2 3 6 2 4" xfId="3164"/>
    <cellStyle name="Normal 5 2 3 6 2 4 2" xfId="8706"/>
    <cellStyle name="Normal 5 2 3 6 2 4 3" xfId="14245"/>
    <cellStyle name="Normal 5 2 3 6 2 5" xfId="4203"/>
    <cellStyle name="Normal 5 2 3 6 2 5 2" xfId="9742"/>
    <cellStyle name="Normal 5 2 3 6 2 5 3" xfId="15281"/>
    <cellStyle name="Normal 5 2 3 6 2 6" xfId="5164"/>
    <cellStyle name="Normal 5 2 3 6 2 6 2" xfId="10703"/>
    <cellStyle name="Normal 5 2 3 6 2 6 3" xfId="16242"/>
    <cellStyle name="Normal 5 2 3 6 2 7" xfId="1866"/>
    <cellStyle name="Normal 5 2 3 6 2 7 2" xfId="7412"/>
    <cellStyle name="Normal 5 2 3 6 2 7 3" xfId="12951"/>
    <cellStyle name="Normal 5 2 3 6 2 8" xfId="6207"/>
    <cellStyle name="Normal 5 2 3 6 2 9" xfId="11746"/>
    <cellStyle name="Normal 5 2 3 6 3" xfId="1221"/>
    <cellStyle name="Normal 5 2 3 6 3 2" xfId="3751"/>
    <cellStyle name="Normal 5 2 3 6 3 2 2" xfId="9293"/>
    <cellStyle name="Normal 5 2 3 6 3 2 3" xfId="14832"/>
    <cellStyle name="Normal 5 2 3 6 3 3" xfId="4788"/>
    <cellStyle name="Normal 5 2 3 6 3 3 2" xfId="10327"/>
    <cellStyle name="Normal 5 2 3 6 3 3 3" xfId="15866"/>
    <cellStyle name="Normal 5 2 3 6 3 4" xfId="5723"/>
    <cellStyle name="Normal 5 2 3 6 3 4 2" xfId="11262"/>
    <cellStyle name="Normal 5 2 3 6 3 4 3" xfId="16801"/>
    <cellStyle name="Normal 5 2 3 6 3 5" xfId="2425"/>
    <cellStyle name="Normal 5 2 3 6 3 5 2" xfId="7971"/>
    <cellStyle name="Normal 5 2 3 6 3 5 3" xfId="13510"/>
    <cellStyle name="Normal 5 2 3 6 3 6" xfId="6766"/>
    <cellStyle name="Normal 5 2 3 6 3 7" xfId="12305"/>
    <cellStyle name="Normal 5 2 3 6 4" xfId="825"/>
    <cellStyle name="Normal 5 2 3 6 4 2" xfId="3355"/>
    <cellStyle name="Normal 5 2 3 6 4 2 2" xfId="8897"/>
    <cellStyle name="Normal 5 2 3 6 4 2 3" xfId="14436"/>
    <cellStyle name="Normal 5 2 3 6 4 3" xfId="4392"/>
    <cellStyle name="Normal 5 2 3 6 4 3 2" xfId="9931"/>
    <cellStyle name="Normal 5 2 3 6 4 3 3" xfId="15470"/>
    <cellStyle name="Normal 5 2 3 6 4 4" xfId="5327"/>
    <cellStyle name="Normal 5 2 3 6 4 4 2" xfId="10866"/>
    <cellStyle name="Normal 5 2 3 6 4 4 3" xfId="16405"/>
    <cellStyle name="Normal 5 2 3 6 4 5" xfId="2029"/>
    <cellStyle name="Normal 5 2 3 6 4 5 2" xfId="7575"/>
    <cellStyle name="Normal 5 2 3 6 4 5 3" xfId="13114"/>
    <cellStyle name="Normal 5 2 3 6 4 6" xfId="6370"/>
    <cellStyle name="Normal 5 2 3 6 4 7" xfId="11909"/>
    <cellStyle name="Normal 5 2 3 6 5" xfId="1566"/>
    <cellStyle name="Normal 5 2 3 6 5 2" xfId="2771"/>
    <cellStyle name="Normal 5 2 3 6 5 2 2" xfId="8317"/>
    <cellStyle name="Normal 5 2 3 6 5 2 3" xfId="13856"/>
    <cellStyle name="Normal 5 2 3 6 5 3" xfId="7112"/>
    <cellStyle name="Normal 5 2 3 6 5 4" xfId="12651"/>
    <cellStyle name="Normal 5 2 3 6 6" xfId="2944"/>
    <cellStyle name="Normal 5 2 3 6 6 2" xfId="8488"/>
    <cellStyle name="Normal 5 2 3 6 6 3" xfId="14027"/>
    <cellStyle name="Normal 5 2 3 6 7" xfId="3040"/>
    <cellStyle name="Normal 5 2 3 6 7 2" xfId="8583"/>
    <cellStyle name="Normal 5 2 3 6 7 3" xfId="14122"/>
    <cellStyle name="Normal 5 2 3 6 8" xfId="4083"/>
    <cellStyle name="Normal 5 2 3 6 8 2" xfId="9624"/>
    <cellStyle name="Normal 5 2 3 6 8 3" xfId="15163"/>
    <cellStyle name="Normal 5 2 3 6 9" xfId="1728"/>
    <cellStyle name="Normal 5 2 3 6 9 2" xfId="7274"/>
    <cellStyle name="Normal 5 2 3 6 9 3" xfId="12813"/>
    <cellStyle name="Normal 5 2 3 7" xfId="307"/>
    <cellStyle name="Normal 5 2 3 7 10" xfId="5997"/>
    <cellStyle name="Normal 5 2 3 7 10 2" xfId="17075"/>
    <cellStyle name="Normal 5 2 3 7 11" xfId="641"/>
    <cellStyle name="Normal 5 2 3 7 11 2" xfId="17237"/>
    <cellStyle name="Normal 5 2 3 7 12" xfId="11536"/>
    <cellStyle name="Normal 5 2 3 7 13" xfId="17404"/>
    <cellStyle name="Normal 5 2 3 7 14" xfId="17569"/>
    <cellStyle name="Normal 5 2 3 7 2" xfId="506"/>
    <cellStyle name="Normal 5 2 3 7 2 2" xfId="1347"/>
    <cellStyle name="Normal 5 2 3 7 2 2 2" xfId="3879"/>
    <cellStyle name="Normal 5 2 3 7 2 2 2 2" xfId="9421"/>
    <cellStyle name="Normal 5 2 3 7 2 2 2 3" xfId="14960"/>
    <cellStyle name="Normal 5 2 3 7 2 2 3" xfId="4916"/>
    <cellStyle name="Normal 5 2 3 7 2 2 3 2" xfId="10455"/>
    <cellStyle name="Normal 5 2 3 7 2 2 3 3" xfId="15994"/>
    <cellStyle name="Normal 5 2 3 7 2 2 4" xfId="5850"/>
    <cellStyle name="Normal 5 2 3 7 2 2 4 2" xfId="11389"/>
    <cellStyle name="Normal 5 2 3 7 2 2 4 3" xfId="16928"/>
    <cellStyle name="Normal 5 2 3 7 2 2 5" xfId="2552"/>
    <cellStyle name="Normal 5 2 3 7 2 2 5 2" xfId="8098"/>
    <cellStyle name="Normal 5 2 3 7 2 2 5 3" xfId="13637"/>
    <cellStyle name="Normal 5 2 3 7 2 2 6" xfId="6893"/>
    <cellStyle name="Normal 5 2 3 7 2 2 7" xfId="12432"/>
    <cellStyle name="Normal 5 2 3 7 2 3" xfId="972"/>
    <cellStyle name="Normal 5 2 3 7 2 3 2" xfId="3502"/>
    <cellStyle name="Normal 5 2 3 7 2 3 2 2" xfId="9044"/>
    <cellStyle name="Normal 5 2 3 7 2 3 2 3" xfId="14583"/>
    <cellStyle name="Normal 5 2 3 7 2 3 3" xfId="4539"/>
    <cellStyle name="Normal 5 2 3 7 2 3 3 2" xfId="10078"/>
    <cellStyle name="Normal 5 2 3 7 2 3 3 3" xfId="15617"/>
    <cellStyle name="Normal 5 2 3 7 2 3 4" xfId="5474"/>
    <cellStyle name="Normal 5 2 3 7 2 3 4 2" xfId="11013"/>
    <cellStyle name="Normal 5 2 3 7 2 3 4 3" xfId="16552"/>
    <cellStyle name="Normal 5 2 3 7 2 3 5" xfId="2176"/>
    <cellStyle name="Normal 5 2 3 7 2 3 5 2" xfId="7722"/>
    <cellStyle name="Normal 5 2 3 7 2 3 5 3" xfId="13261"/>
    <cellStyle name="Normal 5 2 3 7 2 3 6" xfId="6517"/>
    <cellStyle name="Normal 5 2 3 7 2 3 7" xfId="12056"/>
    <cellStyle name="Normal 5 2 3 7 2 4" xfId="3165"/>
    <cellStyle name="Normal 5 2 3 7 2 4 2" xfId="8707"/>
    <cellStyle name="Normal 5 2 3 7 2 4 3" xfId="14246"/>
    <cellStyle name="Normal 5 2 3 7 2 5" xfId="4204"/>
    <cellStyle name="Normal 5 2 3 7 2 5 2" xfId="9743"/>
    <cellStyle name="Normal 5 2 3 7 2 5 3" xfId="15282"/>
    <cellStyle name="Normal 5 2 3 7 2 6" xfId="5165"/>
    <cellStyle name="Normal 5 2 3 7 2 6 2" xfId="10704"/>
    <cellStyle name="Normal 5 2 3 7 2 6 3" xfId="16243"/>
    <cellStyle name="Normal 5 2 3 7 2 7" xfId="1867"/>
    <cellStyle name="Normal 5 2 3 7 2 7 2" xfId="7413"/>
    <cellStyle name="Normal 5 2 3 7 2 7 3" xfId="12952"/>
    <cellStyle name="Normal 5 2 3 7 2 8" xfId="6208"/>
    <cellStyle name="Normal 5 2 3 7 2 9" xfId="11747"/>
    <cellStyle name="Normal 5 2 3 7 3" xfId="1149"/>
    <cellStyle name="Normal 5 2 3 7 3 2" xfId="3679"/>
    <cellStyle name="Normal 5 2 3 7 3 2 2" xfId="9221"/>
    <cellStyle name="Normal 5 2 3 7 3 2 3" xfId="14760"/>
    <cellStyle name="Normal 5 2 3 7 3 3" xfId="4716"/>
    <cellStyle name="Normal 5 2 3 7 3 3 2" xfId="10255"/>
    <cellStyle name="Normal 5 2 3 7 3 3 3" xfId="15794"/>
    <cellStyle name="Normal 5 2 3 7 3 4" xfId="5651"/>
    <cellStyle name="Normal 5 2 3 7 3 4 2" xfId="11190"/>
    <cellStyle name="Normal 5 2 3 7 3 4 3" xfId="16729"/>
    <cellStyle name="Normal 5 2 3 7 3 5" xfId="2353"/>
    <cellStyle name="Normal 5 2 3 7 3 5 2" xfId="7899"/>
    <cellStyle name="Normal 5 2 3 7 3 5 3" xfId="13438"/>
    <cellStyle name="Normal 5 2 3 7 3 6" xfId="6694"/>
    <cellStyle name="Normal 5 2 3 7 3 7" xfId="12233"/>
    <cellStyle name="Normal 5 2 3 7 4" xfId="826"/>
    <cellStyle name="Normal 5 2 3 7 4 2" xfId="3356"/>
    <cellStyle name="Normal 5 2 3 7 4 2 2" xfId="8898"/>
    <cellStyle name="Normal 5 2 3 7 4 2 3" xfId="14437"/>
    <cellStyle name="Normal 5 2 3 7 4 3" xfId="4393"/>
    <cellStyle name="Normal 5 2 3 7 4 3 2" xfId="9932"/>
    <cellStyle name="Normal 5 2 3 7 4 3 3" xfId="15471"/>
    <cellStyle name="Normal 5 2 3 7 4 4" xfId="5328"/>
    <cellStyle name="Normal 5 2 3 7 4 4 2" xfId="10867"/>
    <cellStyle name="Normal 5 2 3 7 4 4 3" xfId="16406"/>
    <cellStyle name="Normal 5 2 3 7 4 5" xfId="2030"/>
    <cellStyle name="Normal 5 2 3 7 4 5 2" xfId="7576"/>
    <cellStyle name="Normal 5 2 3 7 4 5 3" xfId="13115"/>
    <cellStyle name="Normal 5 2 3 7 4 6" xfId="6371"/>
    <cellStyle name="Normal 5 2 3 7 4 7" xfId="11910"/>
    <cellStyle name="Normal 5 2 3 7 5" xfId="1494"/>
    <cellStyle name="Normal 5 2 3 7 5 2" xfId="2699"/>
    <cellStyle name="Normal 5 2 3 7 5 2 2" xfId="8245"/>
    <cellStyle name="Normal 5 2 3 7 5 2 3" xfId="13784"/>
    <cellStyle name="Normal 5 2 3 7 5 3" xfId="7040"/>
    <cellStyle name="Normal 5 2 3 7 5 4" xfId="12579"/>
    <cellStyle name="Normal 5 2 3 7 6" xfId="2872"/>
    <cellStyle name="Normal 5 2 3 7 6 2" xfId="8416"/>
    <cellStyle name="Normal 5 2 3 7 6 3" xfId="13955"/>
    <cellStyle name="Normal 5 2 3 7 7" xfId="3012"/>
    <cellStyle name="Normal 5 2 3 7 7 2" xfId="8556"/>
    <cellStyle name="Normal 5 2 3 7 7 3" xfId="14095"/>
    <cellStyle name="Normal 5 2 3 7 8" xfId="4057"/>
    <cellStyle name="Normal 5 2 3 7 8 2" xfId="9599"/>
    <cellStyle name="Normal 5 2 3 7 8 3" xfId="15138"/>
    <cellStyle name="Normal 5 2 3 7 9" xfId="1656"/>
    <cellStyle name="Normal 5 2 3 7 9 2" xfId="7202"/>
    <cellStyle name="Normal 5 2 3 7 9 3" xfId="12741"/>
    <cellStyle name="Normal 5 2 3 8" xfId="455"/>
    <cellStyle name="Normal 5 2 3 8 2" xfId="1297"/>
    <cellStyle name="Normal 5 2 3 8 2 2" xfId="3828"/>
    <cellStyle name="Normal 5 2 3 8 2 2 2" xfId="9370"/>
    <cellStyle name="Normal 5 2 3 8 2 2 3" xfId="14909"/>
    <cellStyle name="Normal 5 2 3 8 2 3" xfId="4865"/>
    <cellStyle name="Normal 5 2 3 8 2 3 2" xfId="10404"/>
    <cellStyle name="Normal 5 2 3 8 2 3 3" xfId="15943"/>
    <cellStyle name="Normal 5 2 3 8 2 4" xfId="5800"/>
    <cellStyle name="Normal 5 2 3 8 2 4 2" xfId="11339"/>
    <cellStyle name="Normal 5 2 3 8 2 4 3" xfId="16878"/>
    <cellStyle name="Normal 5 2 3 8 2 5" xfId="2502"/>
    <cellStyle name="Normal 5 2 3 8 2 5 2" xfId="8048"/>
    <cellStyle name="Normal 5 2 3 8 2 5 3" xfId="13587"/>
    <cellStyle name="Normal 5 2 3 8 2 6" xfId="6843"/>
    <cellStyle name="Normal 5 2 3 8 2 7" xfId="12382"/>
    <cellStyle name="Normal 5 2 3 8 3" xfId="954"/>
    <cellStyle name="Normal 5 2 3 8 3 2" xfId="3484"/>
    <cellStyle name="Normal 5 2 3 8 3 2 2" xfId="9026"/>
    <cellStyle name="Normal 5 2 3 8 3 2 3" xfId="14565"/>
    <cellStyle name="Normal 5 2 3 8 3 3" xfId="4521"/>
    <cellStyle name="Normal 5 2 3 8 3 3 2" xfId="10060"/>
    <cellStyle name="Normal 5 2 3 8 3 3 3" xfId="15599"/>
    <cellStyle name="Normal 5 2 3 8 3 4" xfId="5456"/>
    <cellStyle name="Normal 5 2 3 8 3 4 2" xfId="10995"/>
    <cellStyle name="Normal 5 2 3 8 3 4 3" xfId="16534"/>
    <cellStyle name="Normal 5 2 3 8 3 5" xfId="2158"/>
    <cellStyle name="Normal 5 2 3 8 3 5 2" xfId="7704"/>
    <cellStyle name="Normal 5 2 3 8 3 5 3" xfId="13243"/>
    <cellStyle name="Normal 5 2 3 8 3 6" xfId="6499"/>
    <cellStyle name="Normal 5 2 3 8 3 7" xfId="12038"/>
    <cellStyle name="Normal 5 2 3 8 4" xfId="3105"/>
    <cellStyle name="Normal 5 2 3 8 4 2" xfId="8648"/>
    <cellStyle name="Normal 5 2 3 8 4 3" xfId="14187"/>
    <cellStyle name="Normal 5 2 3 8 5" xfId="4148"/>
    <cellStyle name="Normal 5 2 3 8 5 2" xfId="9689"/>
    <cellStyle name="Normal 5 2 3 8 5 3" xfId="15228"/>
    <cellStyle name="Normal 5 2 3 8 6" xfId="5115"/>
    <cellStyle name="Normal 5 2 3 8 6 2" xfId="10654"/>
    <cellStyle name="Normal 5 2 3 8 6 3" xfId="16193"/>
    <cellStyle name="Normal 5 2 3 8 7" xfId="1817"/>
    <cellStyle name="Normal 5 2 3 8 7 2" xfId="7363"/>
    <cellStyle name="Normal 5 2 3 8 7 3" xfId="12902"/>
    <cellStyle name="Normal 5 2 3 8 8" xfId="6158"/>
    <cellStyle name="Normal 5 2 3 8 9" xfId="11697"/>
    <cellStyle name="Normal 5 2 3 9" xfId="1131"/>
    <cellStyle name="Normal 5 2 3 9 2" xfId="3661"/>
    <cellStyle name="Normal 5 2 3 9 2 2" xfId="9203"/>
    <cellStyle name="Normal 5 2 3 9 2 3" xfId="14742"/>
    <cellStyle name="Normal 5 2 3 9 3" xfId="4698"/>
    <cellStyle name="Normal 5 2 3 9 3 2" xfId="10237"/>
    <cellStyle name="Normal 5 2 3 9 3 3" xfId="15776"/>
    <cellStyle name="Normal 5 2 3 9 4" xfId="5633"/>
    <cellStyle name="Normal 5 2 3 9 4 2" xfId="11172"/>
    <cellStyle name="Normal 5 2 3 9 4 3" xfId="16711"/>
    <cellStyle name="Normal 5 2 3 9 5" xfId="2335"/>
    <cellStyle name="Normal 5 2 3 9 5 2" xfId="7881"/>
    <cellStyle name="Normal 5 2 3 9 5 3" xfId="13420"/>
    <cellStyle name="Normal 5 2 3 9 6" xfId="6676"/>
    <cellStyle name="Normal 5 2 3 9 7" xfId="12215"/>
    <cellStyle name="Normal 5 2 4" xfId="252"/>
    <cellStyle name="Normal 5 2 4 10" xfId="1482"/>
    <cellStyle name="Normal 5 2 4 10 2" xfId="2687"/>
    <cellStyle name="Normal 5 2 4 10 2 2" xfId="8233"/>
    <cellStyle name="Normal 5 2 4 10 2 3" xfId="13772"/>
    <cellStyle name="Normal 5 2 4 10 3" xfId="7028"/>
    <cellStyle name="Normal 5 2 4 10 4" xfId="12567"/>
    <cellStyle name="Normal 5 2 4 11" xfId="2860"/>
    <cellStyle name="Normal 5 2 4 11 2" xfId="8404"/>
    <cellStyle name="Normal 5 2 4 11 3" xfId="13943"/>
    <cellStyle name="Normal 5 2 4 12" xfId="2844"/>
    <cellStyle name="Normal 5 2 4 12 2" xfId="8390"/>
    <cellStyle name="Normal 5 2 4 12 3" xfId="13929"/>
    <cellStyle name="Normal 5 2 4 13" xfId="3017"/>
    <cellStyle name="Normal 5 2 4 13 2" xfId="8561"/>
    <cellStyle name="Normal 5 2 4 13 3" xfId="14100"/>
    <cellStyle name="Normal 5 2 4 14" xfId="1644"/>
    <cellStyle name="Normal 5 2 4 14 2" xfId="7190"/>
    <cellStyle name="Normal 5 2 4 14 3" xfId="12729"/>
    <cellStyle name="Normal 5 2 4 15" xfId="5985"/>
    <cellStyle name="Normal 5 2 4 15 2" xfId="17063"/>
    <cellStyle name="Normal 5 2 4 16" xfId="629"/>
    <cellStyle name="Normal 5 2 4 16 2" xfId="17225"/>
    <cellStyle name="Normal 5 2 4 17" xfId="11524"/>
    <cellStyle name="Normal 5 2 4 18" xfId="17392"/>
    <cellStyle name="Normal 5 2 4 19" xfId="17557"/>
    <cellStyle name="Normal 5 2 4 2" xfId="308"/>
    <cellStyle name="Normal 5 2 4 2 10" xfId="1698"/>
    <cellStyle name="Normal 5 2 4 2 10 2" xfId="7244"/>
    <cellStyle name="Normal 5 2 4 2 10 3" xfId="12783"/>
    <cellStyle name="Normal 5 2 4 2 11" xfId="6039"/>
    <cellStyle name="Normal 5 2 4 2 11 2" xfId="17117"/>
    <cellStyle name="Normal 5 2 4 2 12" xfId="683"/>
    <cellStyle name="Normal 5 2 4 2 12 2" xfId="17279"/>
    <cellStyle name="Normal 5 2 4 2 13" xfId="11578"/>
    <cellStyle name="Normal 5 2 4 2 14" xfId="17446"/>
    <cellStyle name="Normal 5 2 4 2 15" xfId="17611"/>
    <cellStyle name="Normal 5 2 4 2 2" xfId="309"/>
    <cellStyle name="Normal 5 2 4 2 2 10" xfId="6129"/>
    <cellStyle name="Normal 5 2 4 2 2 10 2" xfId="17207"/>
    <cellStyle name="Normal 5 2 4 2 2 11" xfId="773"/>
    <cellStyle name="Normal 5 2 4 2 2 11 2" xfId="17369"/>
    <cellStyle name="Normal 5 2 4 2 2 12" xfId="11668"/>
    <cellStyle name="Normal 5 2 4 2 2 13" xfId="17536"/>
    <cellStyle name="Normal 5 2 4 2 2 14" xfId="17701"/>
    <cellStyle name="Normal 5 2 4 2 2 2" xfId="508"/>
    <cellStyle name="Normal 5 2 4 2 2 2 2" xfId="1349"/>
    <cellStyle name="Normal 5 2 4 2 2 2 2 2" xfId="3881"/>
    <cellStyle name="Normal 5 2 4 2 2 2 2 2 2" xfId="9423"/>
    <cellStyle name="Normal 5 2 4 2 2 2 2 2 3" xfId="14962"/>
    <cellStyle name="Normal 5 2 4 2 2 2 2 3" xfId="4918"/>
    <cellStyle name="Normal 5 2 4 2 2 2 2 3 2" xfId="10457"/>
    <cellStyle name="Normal 5 2 4 2 2 2 2 3 3" xfId="15996"/>
    <cellStyle name="Normal 5 2 4 2 2 2 2 4" xfId="5852"/>
    <cellStyle name="Normal 5 2 4 2 2 2 2 4 2" xfId="11391"/>
    <cellStyle name="Normal 5 2 4 2 2 2 2 4 3" xfId="16930"/>
    <cellStyle name="Normal 5 2 4 2 2 2 2 5" xfId="2554"/>
    <cellStyle name="Normal 5 2 4 2 2 2 2 5 2" xfId="8100"/>
    <cellStyle name="Normal 5 2 4 2 2 2 2 5 3" xfId="13639"/>
    <cellStyle name="Normal 5 2 4 2 2 2 2 6" xfId="6895"/>
    <cellStyle name="Normal 5 2 4 2 2 2 2 7" xfId="12434"/>
    <cellStyle name="Normal 5 2 4 2 2 2 3" xfId="1104"/>
    <cellStyle name="Normal 5 2 4 2 2 2 3 2" xfId="3634"/>
    <cellStyle name="Normal 5 2 4 2 2 2 3 2 2" xfId="9176"/>
    <cellStyle name="Normal 5 2 4 2 2 2 3 2 3" xfId="14715"/>
    <cellStyle name="Normal 5 2 4 2 2 2 3 3" xfId="4671"/>
    <cellStyle name="Normal 5 2 4 2 2 2 3 3 2" xfId="10210"/>
    <cellStyle name="Normal 5 2 4 2 2 2 3 3 3" xfId="15749"/>
    <cellStyle name="Normal 5 2 4 2 2 2 3 4" xfId="5606"/>
    <cellStyle name="Normal 5 2 4 2 2 2 3 4 2" xfId="11145"/>
    <cellStyle name="Normal 5 2 4 2 2 2 3 4 3" xfId="16684"/>
    <cellStyle name="Normal 5 2 4 2 2 2 3 5" xfId="2308"/>
    <cellStyle name="Normal 5 2 4 2 2 2 3 5 2" xfId="7854"/>
    <cellStyle name="Normal 5 2 4 2 2 2 3 5 3" xfId="13393"/>
    <cellStyle name="Normal 5 2 4 2 2 2 3 6" xfId="6649"/>
    <cellStyle name="Normal 5 2 4 2 2 2 3 7" xfId="12188"/>
    <cellStyle name="Normal 5 2 4 2 2 2 4" xfId="3167"/>
    <cellStyle name="Normal 5 2 4 2 2 2 4 2" xfId="8709"/>
    <cellStyle name="Normal 5 2 4 2 2 2 4 3" xfId="14248"/>
    <cellStyle name="Normal 5 2 4 2 2 2 5" xfId="4206"/>
    <cellStyle name="Normal 5 2 4 2 2 2 5 2" xfId="9745"/>
    <cellStyle name="Normal 5 2 4 2 2 2 5 3" xfId="15284"/>
    <cellStyle name="Normal 5 2 4 2 2 2 6" xfId="5167"/>
    <cellStyle name="Normal 5 2 4 2 2 2 6 2" xfId="10706"/>
    <cellStyle name="Normal 5 2 4 2 2 2 6 3" xfId="16245"/>
    <cellStyle name="Normal 5 2 4 2 2 2 7" xfId="1869"/>
    <cellStyle name="Normal 5 2 4 2 2 2 7 2" xfId="7415"/>
    <cellStyle name="Normal 5 2 4 2 2 2 7 3" xfId="12954"/>
    <cellStyle name="Normal 5 2 4 2 2 2 8" xfId="6210"/>
    <cellStyle name="Normal 5 2 4 2 2 2 9" xfId="11749"/>
    <cellStyle name="Normal 5 2 4 2 2 3" xfId="1281"/>
    <cellStyle name="Normal 5 2 4 2 2 3 2" xfId="3811"/>
    <cellStyle name="Normal 5 2 4 2 2 3 2 2" xfId="9353"/>
    <cellStyle name="Normal 5 2 4 2 2 3 2 3" xfId="14892"/>
    <cellStyle name="Normal 5 2 4 2 2 3 3" xfId="4848"/>
    <cellStyle name="Normal 5 2 4 2 2 3 3 2" xfId="10387"/>
    <cellStyle name="Normal 5 2 4 2 2 3 3 3" xfId="15926"/>
    <cellStyle name="Normal 5 2 4 2 2 3 4" xfId="5783"/>
    <cellStyle name="Normal 5 2 4 2 2 3 4 2" xfId="11322"/>
    <cellStyle name="Normal 5 2 4 2 2 3 4 3" xfId="16861"/>
    <cellStyle name="Normal 5 2 4 2 2 3 5" xfId="2485"/>
    <cellStyle name="Normal 5 2 4 2 2 3 5 2" xfId="8031"/>
    <cellStyle name="Normal 5 2 4 2 2 3 5 3" xfId="13570"/>
    <cellStyle name="Normal 5 2 4 2 2 3 6" xfId="6826"/>
    <cellStyle name="Normal 5 2 4 2 2 3 7" xfId="12365"/>
    <cellStyle name="Normal 5 2 4 2 2 4" xfId="829"/>
    <cellStyle name="Normal 5 2 4 2 2 4 2" xfId="3359"/>
    <cellStyle name="Normal 5 2 4 2 2 4 2 2" xfId="8901"/>
    <cellStyle name="Normal 5 2 4 2 2 4 2 3" xfId="14440"/>
    <cellStyle name="Normal 5 2 4 2 2 4 3" xfId="4396"/>
    <cellStyle name="Normal 5 2 4 2 2 4 3 2" xfId="9935"/>
    <cellStyle name="Normal 5 2 4 2 2 4 3 3" xfId="15474"/>
    <cellStyle name="Normal 5 2 4 2 2 4 4" xfId="5331"/>
    <cellStyle name="Normal 5 2 4 2 2 4 4 2" xfId="10870"/>
    <cellStyle name="Normal 5 2 4 2 2 4 4 3" xfId="16409"/>
    <cellStyle name="Normal 5 2 4 2 2 4 5" xfId="2033"/>
    <cellStyle name="Normal 5 2 4 2 2 4 5 2" xfId="7579"/>
    <cellStyle name="Normal 5 2 4 2 2 4 5 3" xfId="13118"/>
    <cellStyle name="Normal 5 2 4 2 2 4 6" xfId="6374"/>
    <cellStyle name="Normal 5 2 4 2 2 4 7" xfId="11913"/>
    <cellStyle name="Normal 5 2 4 2 2 5" xfId="1626"/>
    <cellStyle name="Normal 5 2 4 2 2 5 2" xfId="2831"/>
    <cellStyle name="Normal 5 2 4 2 2 5 2 2" xfId="8377"/>
    <cellStyle name="Normal 5 2 4 2 2 5 2 3" xfId="13916"/>
    <cellStyle name="Normal 5 2 4 2 2 5 3" xfId="7172"/>
    <cellStyle name="Normal 5 2 4 2 2 5 4" xfId="12711"/>
    <cellStyle name="Normal 5 2 4 2 2 6" xfId="3004"/>
    <cellStyle name="Normal 5 2 4 2 2 6 2" xfId="8548"/>
    <cellStyle name="Normal 5 2 4 2 2 6 3" xfId="14087"/>
    <cellStyle name="Normal 5 2 4 2 2 7" xfId="4049"/>
    <cellStyle name="Normal 5 2 4 2 2 7 2" xfId="9591"/>
    <cellStyle name="Normal 5 2 4 2 2 7 3" xfId="15130"/>
    <cellStyle name="Normal 5 2 4 2 2 8" xfId="5086"/>
    <cellStyle name="Normal 5 2 4 2 2 8 2" xfId="10625"/>
    <cellStyle name="Normal 5 2 4 2 2 8 3" xfId="16164"/>
    <cellStyle name="Normal 5 2 4 2 2 9" xfId="1788"/>
    <cellStyle name="Normal 5 2 4 2 2 9 2" xfId="7334"/>
    <cellStyle name="Normal 5 2 4 2 2 9 3" xfId="12873"/>
    <cellStyle name="Normal 5 2 4 2 3" xfId="507"/>
    <cellStyle name="Normal 5 2 4 2 3 2" xfId="1348"/>
    <cellStyle name="Normal 5 2 4 2 3 2 2" xfId="3880"/>
    <cellStyle name="Normal 5 2 4 2 3 2 2 2" xfId="9422"/>
    <cellStyle name="Normal 5 2 4 2 3 2 2 3" xfId="14961"/>
    <cellStyle name="Normal 5 2 4 2 3 2 3" xfId="4917"/>
    <cellStyle name="Normal 5 2 4 2 3 2 3 2" xfId="10456"/>
    <cellStyle name="Normal 5 2 4 2 3 2 3 3" xfId="15995"/>
    <cellStyle name="Normal 5 2 4 2 3 2 4" xfId="5851"/>
    <cellStyle name="Normal 5 2 4 2 3 2 4 2" xfId="11390"/>
    <cellStyle name="Normal 5 2 4 2 3 2 4 3" xfId="16929"/>
    <cellStyle name="Normal 5 2 4 2 3 2 5" xfId="2553"/>
    <cellStyle name="Normal 5 2 4 2 3 2 5 2" xfId="8099"/>
    <cellStyle name="Normal 5 2 4 2 3 2 5 3" xfId="13638"/>
    <cellStyle name="Normal 5 2 4 2 3 2 6" xfId="6894"/>
    <cellStyle name="Normal 5 2 4 2 3 2 7" xfId="12433"/>
    <cellStyle name="Normal 5 2 4 2 3 3" xfId="1014"/>
    <cellStyle name="Normal 5 2 4 2 3 3 2" xfId="3544"/>
    <cellStyle name="Normal 5 2 4 2 3 3 2 2" xfId="9086"/>
    <cellStyle name="Normal 5 2 4 2 3 3 2 3" xfId="14625"/>
    <cellStyle name="Normal 5 2 4 2 3 3 3" xfId="4581"/>
    <cellStyle name="Normal 5 2 4 2 3 3 3 2" xfId="10120"/>
    <cellStyle name="Normal 5 2 4 2 3 3 3 3" xfId="15659"/>
    <cellStyle name="Normal 5 2 4 2 3 3 4" xfId="5516"/>
    <cellStyle name="Normal 5 2 4 2 3 3 4 2" xfId="11055"/>
    <cellStyle name="Normal 5 2 4 2 3 3 4 3" xfId="16594"/>
    <cellStyle name="Normal 5 2 4 2 3 3 5" xfId="2218"/>
    <cellStyle name="Normal 5 2 4 2 3 3 5 2" xfId="7764"/>
    <cellStyle name="Normal 5 2 4 2 3 3 5 3" xfId="13303"/>
    <cellStyle name="Normal 5 2 4 2 3 3 6" xfId="6559"/>
    <cellStyle name="Normal 5 2 4 2 3 3 7" xfId="12098"/>
    <cellStyle name="Normal 5 2 4 2 3 4" xfId="3166"/>
    <cellStyle name="Normal 5 2 4 2 3 4 2" xfId="8708"/>
    <cellStyle name="Normal 5 2 4 2 3 4 3" xfId="14247"/>
    <cellStyle name="Normal 5 2 4 2 3 5" xfId="4205"/>
    <cellStyle name="Normal 5 2 4 2 3 5 2" xfId="9744"/>
    <cellStyle name="Normal 5 2 4 2 3 5 3" xfId="15283"/>
    <cellStyle name="Normal 5 2 4 2 3 6" xfId="5166"/>
    <cellStyle name="Normal 5 2 4 2 3 6 2" xfId="10705"/>
    <cellStyle name="Normal 5 2 4 2 3 6 3" xfId="16244"/>
    <cellStyle name="Normal 5 2 4 2 3 7" xfId="1868"/>
    <cellStyle name="Normal 5 2 4 2 3 7 2" xfId="7414"/>
    <cellStyle name="Normal 5 2 4 2 3 7 3" xfId="12953"/>
    <cellStyle name="Normal 5 2 4 2 3 8" xfId="6209"/>
    <cellStyle name="Normal 5 2 4 2 3 9" xfId="11748"/>
    <cellStyle name="Normal 5 2 4 2 4" xfId="1191"/>
    <cellStyle name="Normal 5 2 4 2 4 2" xfId="3721"/>
    <cellStyle name="Normal 5 2 4 2 4 2 2" xfId="9263"/>
    <cellStyle name="Normal 5 2 4 2 4 2 3" xfId="14802"/>
    <cellStyle name="Normal 5 2 4 2 4 3" xfId="4758"/>
    <cellStyle name="Normal 5 2 4 2 4 3 2" xfId="10297"/>
    <cellStyle name="Normal 5 2 4 2 4 3 3" xfId="15836"/>
    <cellStyle name="Normal 5 2 4 2 4 4" xfId="5693"/>
    <cellStyle name="Normal 5 2 4 2 4 4 2" xfId="11232"/>
    <cellStyle name="Normal 5 2 4 2 4 4 3" xfId="16771"/>
    <cellStyle name="Normal 5 2 4 2 4 5" xfId="2395"/>
    <cellStyle name="Normal 5 2 4 2 4 5 2" xfId="7941"/>
    <cellStyle name="Normal 5 2 4 2 4 5 3" xfId="13480"/>
    <cellStyle name="Normal 5 2 4 2 4 6" xfId="6736"/>
    <cellStyle name="Normal 5 2 4 2 4 7" xfId="12275"/>
    <cellStyle name="Normal 5 2 4 2 5" xfId="828"/>
    <cellStyle name="Normal 5 2 4 2 5 2" xfId="3358"/>
    <cellStyle name="Normal 5 2 4 2 5 2 2" xfId="8900"/>
    <cellStyle name="Normal 5 2 4 2 5 2 3" xfId="14439"/>
    <cellStyle name="Normal 5 2 4 2 5 3" xfId="4395"/>
    <cellStyle name="Normal 5 2 4 2 5 3 2" xfId="9934"/>
    <cellStyle name="Normal 5 2 4 2 5 3 3" xfId="15473"/>
    <cellStyle name="Normal 5 2 4 2 5 4" xfId="5330"/>
    <cellStyle name="Normal 5 2 4 2 5 4 2" xfId="10869"/>
    <cellStyle name="Normal 5 2 4 2 5 4 3" xfId="16408"/>
    <cellStyle name="Normal 5 2 4 2 5 5" xfId="2032"/>
    <cellStyle name="Normal 5 2 4 2 5 5 2" xfId="7578"/>
    <cellStyle name="Normal 5 2 4 2 5 5 3" xfId="13117"/>
    <cellStyle name="Normal 5 2 4 2 5 6" xfId="6373"/>
    <cellStyle name="Normal 5 2 4 2 5 7" xfId="11912"/>
    <cellStyle name="Normal 5 2 4 2 6" xfId="1536"/>
    <cellStyle name="Normal 5 2 4 2 6 2" xfId="2741"/>
    <cellStyle name="Normal 5 2 4 2 6 2 2" xfId="8287"/>
    <cellStyle name="Normal 5 2 4 2 6 2 3" xfId="13826"/>
    <cellStyle name="Normal 5 2 4 2 6 3" xfId="7082"/>
    <cellStyle name="Normal 5 2 4 2 6 4" xfId="12621"/>
    <cellStyle name="Normal 5 2 4 2 7" xfId="2914"/>
    <cellStyle name="Normal 5 2 4 2 7 2" xfId="8458"/>
    <cellStyle name="Normal 5 2 4 2 7 3" xfId="13997"/>
    <cellStyle name="Normal 5 2 4 2 8" xfId="3022"/>
    <cellStyle name="Normal 5 2 4 2 8 2" xfId="8566"/>
    <cellStyle name="Normal 5 2 4 2 8 3" xfId="14105"/>
    <cellStyle name="Normal 5 2 4 2 9" xfId="4066"/>
    <cellStyle name="Normal 5 2 4 2 9 2" xfId="9608"/>
    <cellStyle name="Normal 5 2 4 2 9 3" xfId="15147"/>
    <cellStyle name="Normal 5 2 4 3" xfId="310"/>
    <cellStyle name="Normal 5 2 4 3 10" xfId="1680"/>
    <cellStyle name="Normal 5 2 4 3 10 2" xfId="7226"/>
    <cellStyle name="Normal 5 2 4 3 10 3" xfId="12765"/>
    <cellStyle name="Normal 5 2 4 3 11" xfId="6021"/>
    <cellStyle name="Normal 5 2 4 3 11 2" xfId="17099"/>
    <cellStyle name="Normal 5 2 4 3 12" xfId="665"/>
    <cellStyle name="Normal 5 2 4 3 12 2" xfId="17261"/>
    <cellStyle name="Normal 5 2 4 3 13" xfId="11560"/>
    <cellStyle name="Normal 5 2 4 3 14" xfId="17428"/>
    <cellStyle name="Normal 5 2 4 3 15" xfId="17593"/>
    <cellStyle name="Normal 5 2 4 3 2" xfId="311"/>
    <cellStyle name="Normal 5 2 4 3 2 10" xfId="6111"/>
    <cellStyle name="Normal 5 2 4 3 2 10 2" xfId="17189"/>
    <cellStyle name="Normal 5 2 4 3 2 11" xfId="755"/>
    <cellStyle name="Normal 5 2 4 3 2 11 2" xfId="17351"/>
    <cellStyle name="Normal 5 2 4 3 2 12" xfId="11650"/>
    <cellStyle name="Normal 5 2 4 3 2 13" xfId="17518"/>
    <cellStyle name="Normal 5 2 4 3 2 14" xfId="17683"/>
    <cellStyle name="Normal 5 2 4 3 2 2" xfId="510"/>
    <cellStyle name="Normal 5 2 4 3 2 2 2" xfId="1351"/>
    <cellStyle name="Normal 5 2 4 3 2 2 2 2" xfId="3883"/>
    <cellStyle name="Normal 5 2 4 3 2 2 2 2 2" xfId="9425"/>
    <cellStyle name="Normal 5 2 4 3 2 2 2 2 3" xfId="14964"/>
    <cellStyle name="Normal 5 2 4 3 2 2 2 3" xfId="4920"/>
    <cellStyle name="Normal 5 2 4 3 2 2 2 3 2" xfId="10459"/>
    <cellStyle name="Normal 5 2 4 3 2 2 2 3 3" xfId="15998"/>
    <cellStyle name="Normal 5 2 4 3 2 2 2 4" xfId="5854"/>
    <cellStyle name="Normal 5 2 4 3 2 2 2 4 2" xfId="11393"/>
    <cellStyle name="Normal 5 2 4 3 2 2 2 4 3" xfId="16932"/>
    <cellStyle name="Normal 5 2 4 3 2 2 2 5" xfId="2556"/>
    <cellStyle name="Normal 5 2 4 3 2 2 2 5 2" xfId="8102"/>
    <cellStyle name="Normal 5 2 4 3 2 2 2 5 3" xfId="13641"/>
    <cellStyle name="Normal 5 2 4 3 2 2 2 6" xfId="6897"/>
    <cellStyle name="Normal 5 2 4 3 2 2 2 7" xfId="12436"/>
    <cellStyle name="Normal 5 2 4 3 2 2 3" xfId="1086"/>
    <cellStyle name="Normal 5 2 4 3 2 2 3 2" xfId="3616"/>
    <cellStyle name="Normal 5 2 4 3 2 2 3 2 2" xfId="9158"/>
    <cellStyle name="Normal 5 2 4 3 2 2 3 2 3" xfId="14697"/>
    <cellStyle name="Normal 5 2 4 3 2 2 3 3" xfId="4653"/>
    <cellStyle name="Normal 5 2 4 3 2 2 3 3 2" xfId="10192"/>
    <cellStyle name="Normal 5 2 4 3 2 2 3 3 3" xfId="15731"/>
    <cellStyle name="Normal 5 2 4 3 2 2 3 4" xfId="5588"/>
    <cellStyle name="Normal 5 2 4 3 2 2 3 4 2" xfId="11127"/>
    <cellStyle name="Normal 5 2 4 3 2 2 3 4 3" xfId="16666"/>
    <cellStyle name="Normal 5 2 4 3 2 2 3 5" xfId="2290"/>
    <cellStyle name="Normal 5 2 4 3 2 2 3 5 2" xfId="7836"/>
    <cellStyle name="Normal 5 2 4 3 2 2 3 5 3" xfId="13375"/>
    <cellStyle name="Normal 5 2 4 3 2 2 3 6" xfId="6631"/>
    <cellStyle name="Normal 5 2 4 3 2 2 3 7" xfId="12170"/>
    <cellStyle name="Normal 5 2 4 3 2 2 4" xfId="3169"/>
    <cellStyle name="Normal 5 2 4 3 2 2 4 2" xfId="8711"/>
    <cellStyle name="Normal 5 2 4 3 2 2 4 3" xfId="14250"/>
    <cellStyle name="Normal 5 2 4 3 2 2 5" xfId="4208"/>
    <cellStyle name="Normal 5 2 4 3 2 2 5 2" xfId="9747"/>
    <cellStyle name="Normal 5 2 4 3 2 2 5 3" xfId="15286"/>
    <cellStyle name="Normal 5 2 4 3 2 2 6" xfId="5169"/>
    <cellStyle name="Normal 5 2 4 3 2 2 6 2" xfId="10708"/>
    <cellStyle name="Normal 5 2 4 3 2 2 6 3" xfId="16247"/>
    <cellStyle name="Normal 5 2 4 3 2 2 7" xfId="1871"/>
    <cellStyle name="Normal 5 2 4 3 2 2 7 2" xfId="7417"/>
    <cellStyle name="Normal 5 2 4 3 2 2 7 3" xfId="12956"/>
    <cellStyle name="Normal 5 2 4 3 2 2 8" xfId="6212"/>
    <cellStyle name="Normal 5 2 4 3 2 2 9" xfId="11751"/>
    <cellStyle name="Normal 5 2 4 3 2 3" xfId="1263"/>
    <cellStyle name="Normal 5 2 4 3 2 3 2" xfId="3793"/>
    <cellStyle name="Normal 5 2 4 3 2 3 2 2" xfId="9335"/>
    <cellStyle name="Normal 5 2 4 3 2 3 2 3" xfId="14874"/>
    <cellStyle name="Normal 5 2 4 3 2 3 3" xfId="4830"/>
    <cellStyle name="Normal 5 2 4 3 2 3 3 2" xfId="10369"/>
    <cellStyle name="Normal 5 2 4 3 2 3 3 3" xfId="15908"/>
    <cellStyle name="Normal 5 2 4 3 2 3 4" xfId="5765"/>
    <cellStyle name="Normal 5 2 4 3 2 3 4 2" xfId="11304"/>
    <cellStyle name="Normal 5 2 4 3 2 3 4 3" xfId="16843"/>
    <cellStyle name="Normal 5 2 4 3 2 3 5" xfId="2467"/>
    <cellStyle name="Normal 5 2 4 3 2 3 5 2" xfId="8013"/>
    <cellStyle name="Normal 5 2 4 3 2 3 5 3" xfId="13552"/>
    <cellStyle name="Normal 5 2 4 3 2 3 6" xfId="6808"/>
    <cellStyle name="Normal 5 2 4 3 2 3 7" xfId="12347"/>
    <cellStyle name="Normal 5 2 4 3 2 4" xfId="831"/>
    <cellStyle name="Normal 5 2 4 3 2 4 2" xfId="3361"/>
    <cellStyle name="Normal 5 2 4 3 2 4 2 2" xfId="8903"/>
    <cellStyle name="Normal 5 2 4 3 2 4 2 3" xfId="14442"/>
    <cellStyle name="Normal 5 2 4 3 2 4 3" xfId="4398"/>
    <cellStyle name="Normal 5 2 4 3 2 4 3 2" xfId="9937"/>
    <cellStyle name="Normal 5 2 4 3 2 4 3 3" xfId="15476"/>
    <cellStyle name="Normal 5 2 4 3 2 4 4" xfId="5333"/>
    <cellStyle name="Normal 5 2 4 3 2 4 4 2" xfId="10872"/>
    <cellStyle name="Normal 5 2 4 3 2 4 4 3" xfId="16411"/>
    <cellStyle name="Normal 5 2 4 3 2 4 5" xfId="2035"/>
    <cellStyle name="Normal 5 2 4 3 2 4 5 2" xfId="7581"/>
    <cellStyle name="Normal 5 2 4 3 2 4 5 3" xfId="13120"/>
    <cellStyle name="Normal 5 2 4 3 2 4 6" xfId="6376"/>
    <cellStyle name="Normal 5 2 4 3 2 4 7" xfId="11915"/>
    <cellStyle name="Normal 5 2 4 3 2 5" xfId="1608"/>
    <cellStyle name="Normal 5 2 4 3 2 5 2" xfId="2813"/>
    <cellStyle name="Normal 5 2 4 3 2 5 2 2" xfId="8359"/>
    <cellStyle name="Normal 5 2 4 3 2 5 2 3" xfId="13898"/>
    <cellStyle name="Normal 5 2 4 3 2 5 3" xfId="7154"/>
    <cellStyle name="Normal 5 2 4 3 2 5 4" xfId="12693"/>
    <cellStyle name="Normal 5 2 4 3 2 6" xfId="2986"/>
    <cellStyle name="Normal 5 2 4 3 2 6 2" xfId="8530"/>
    <cellStyle name="Normal 5 2 4 3 2 6 3" xfId="14069"/>
    <cellStyle name="Normal 5 2 4 3 2 7" xfId="4031"/>
    <cellStyle name="Normal 5 2 4 3 2 7 2" xfId="9573"/>
    <cellStyle name="Normal 5 2 4 3 2 7 3" xfId="15112"/>
    <cellStyle name="Normal 5 2 4 3 2 8" xfId="5068"/>
    <cellStyle name="Normal 5 2 4 3 2 8 2" xfId="10607"/>
    <cellStyle name="Normal 5 2 4 3 2 8 3" xfId="16146"/>
    <cellStyle name="Normal 5 2 4 3 2 9" xfId="1770"/>
    <cellStyle name="Normal 5 2 4 3 2 9 2" xfId="7316"/>
    <cellStyle name="Normal 5 2 4 3 2 9 3" xfId="12855"/>
    <cellStyle name="Normal 5 2 4 3 3" xfId="509"/>
    <cellStyle name="Normal 5 2 4 3 3 2" xfId="1350"/>
    <cellStyle name="Normal 5 2 4 3 3 2 2" xfId="3882"/>
    <cellStyle name="Normal 5 2 4 3 3 2 2 2" xfId="9424"/>
    <cellStyle name="Normal 5 2 4 3 3 2 2 3" xfId="14963"/>
    <cellStyle name="Normal 5 2 4 3 3 2 3" xfId="4919"/>
    <cellStyle name="Normal 5 2 4 3 3 2 3 2" xfId="10458"/>
    <cellStyle name="Normal 5 2 4 3 3 2 3 3" xfId="15997"/>
    <cellStyle name="Normal 5 2 4 3 3 2 4" xfId="5853"/>
    <cellStyle name="Normal 5 2 4 3 3 2 4 2" xfId="11392"/>
    <cellStyle name="Normal 5 2 4 3 3 2 4 3" xfId="16931"/>
    <cellStyle name="Normal 5 2 4 3 3 2 5" xfId="2555"/>
    <cellStyle name="Normal 5 2 4 3 3 2 5 2" xfId="8101"/>
    <cellStyle name="Normal 5 2 4 3 3 2 5 3" xfId="13640"/>
    <cellStyle name="Normal 5 2 4 3 3 2 6" xfId="6896"/>
    <cellStyle name="Normal 5 2 4 3 3 2 7" xfId="12435"/>
    <cellStyle name="Normal 5 2 4 3 3 3" xfId="996"/>
    <cellStyle name="Normal 5 2 4 3 3 3 2" xfId="3526"/>
    <cellStyle name="Normal 5 2 4 3 3 3 2 2" xfId="9068"/>
    <cellStyle name="Normal 5 2 4 3 3 3 2 3" xfId="14607"/>
    <cellStyle name="Normal 5 2 4 3 3 3 3" xfId="4563"/>
    <cellStyle name="Normal 5 2 4 3 3 3 3 2" xfId="10102"/>
    <cellStyle name="Normal 5 2 4 3 3 3 3 3" xfId="15641"/>
    <cellStyle name="Normal 5 2 4 3 3 3 4" xfId="5498"/>
    <cellStyle name="Normal 5 2 4 3 3 3 4 2" xfId="11037"/>
    <cellStyle name="Normal 5 2 4 3 3 3 4 3" xfId="16576"/>
    <cellStyle name="Normal 5 2 4 3 3 3 5" xfId="2200"/>
    <cellStyle name="Normal 5 2 4 3 3 3 5 2" xfId="7746"/>
    <cellStyle name="Normal 5 2 4 3 3 3 5 3" xfId="13285"/>
    <cellStyle name="Normal 5 2 4 3 3 3 6" xfId="6541"/>
    <cellStyle name="Normal 5 2 4 3 3 3 7" xfId="12080"/>
    <cellStyle name="Normal 5 2 4 3 3 4" xfId="3168"/>
    <cellStyle name="Normal 5 2 4 3 3 4 2" xfId="8710"/>
    <cellStyle name="Normal 5 2 4 3 3 4 3" xfId="14249"/>
    <cellStyle name="Normal 5 2 4 3 3 5" xfId="4207"/>
    <cellStyle name="Normal 5 2 4 3 3 5 2" xfId="9746"/>
    <cellStyle name="Normal 5 2 4 3 3 5 3" xfId="15285"/>
    <cellStyle name="Normal 5 2 4 3 3 6" xfId="5168"/>
    <cellStyle name="Normal 5 2 4 3 3 6 2" xfId="10707"/>
    <cellStyle name="Normal 5 2 4 3 3 6 3" xfId="16246"/>
    <cellStyle name="Normal 5 2 4 3 3 7" xfId="1870"/>
    <cellStyle name="Normal 5 2 4 3 3 7 2" xfId="7416"/>
    <cellStyle name="Normal 5 2 4 3 3 7 3" xfId="12955"/>
    <cellStyle name="Normal 5 2 4 3 3 8" xfId="6211"/>
    <cellStyle name="Normal 5 2 4 3 3 9" xfId="11750"/>
    <cellStyle name="Normal 5 2 4 3 4" xfId="1173"/>
    <cellStyle name="Normal 5 2 4 3 4 2" xfId="3703"/>
    <cellStyle name="Normal 5 2 4 3 4 2 2" xfId="9245"/>
    <cellStyle name="Normal 5 2 4 3 4 2 3" xfId="14784"/>
    <cellStyle name="Normal 5 2 4 3 4 3" xfId="4740"/>
    <cellStyle name="Normal 5 2 4 3 4 3 2" xfId="10279"/>
    <cellStyle name="Normal 5 2 4 3 4 3 3" xfId="15818"/>
    <cellStyle name="Normal 5 2 4 3 4 4" xfId="5675"/>
    <cellStyle name="Normal 5 2 4 3 4 4 2" xfId="11214"/>
    <cellStyle name="Normal 5 2 4 3 4 4 3" xfId="16753"/>
    <cellStyle name="Normal 5 2 4 3 4 5" xfId="2377"/>
    <cellStyle name="Normal 5 2 4 3 4 5 2" xfId="7923"/>
    <cellStyle name="Normal 5 2 4 3 4 5 3" xfId="13462"/>
    <cellStyle name="Normal 5 2 4 3 4 6" xfId="6718"/>
    <cellStyle name="Normal 5 2 4 3 4 7" xfId="12257"/>
    <cellStyle name="Normal 5 2 4 3 5" xfId="830"/>
    <cellStyle name="Normal 5 2 4 3 5 2" xfId="3360"/>
    <cellStyle name="Normal 5 2 4 3 5 2 2" xfId="8902"/>
    <cellStyle name="Normal 5 2 4 3 5 2 3" xfId="14441"/>
    <cellStyle name="Normal 5 2 4 3 5 3" xfId="4397"/>
    <cellStyle name="Normal 5 2 4 3 5 3 2" xfId="9936"/>
    <cellStyle name="Normal 5 2 4 3 5 3 3" xfId="15475"/>
    <cellStyle name="Normal 5 2 4 3 5 4" xfId="5332"/>
    <cellStyle name="Normal 5 2 4 3 5 4 2" xfId="10871"/>
    <cellStyle name="Normal 5 2 4 3 5 4 3" xfId="16410"/>
    <cellStyle name="Normal 5 2 4 3 5 5" xfId="2034"/>
    <cellStyle name="Normal 5 2 4 3 5 5 2" xfId="7580"/>
    <cellStyle name="Normal 5 2 4 3 5 5 3" xfId="13119"/>
    <cellStyle name="Normal 5 2 4 3 5 6" xfId="6375"/>
    <cellStyle name="Normal 5 2 4 3 5 7" xfId="11914"/>
    <cellStyle name="Normal 5 2 4 3 6" xfId="1518"/>
    <cellStyle name="Normal 5 2 4 3 6 2" xfId="2723"/>
    <cellStyle name="Normal 5 2 4 3 6 2 2" xfId="8269"/>
    <cellStyle name="Normal 5 2 4 3 6 2 3" xfId="13808"/>
    <cellStyle name="Normal 5 2 4 3 6 3" xfId="7064"/>
    <cellStyle name="Normal 5 2 4 3 6 4" xfId="12603"/>
    <cellStyle name="Normal 5 2 4 3 7" xfId="2896"/>
    <cellStyle name="Normal 5 2 4 3 7 2" xfId="8440"/>
    <cellStyle name="Normal 5 2 4 3 7 3" xfId="13979"/>
    <cellStyle name="Normal 5 2 4 3 8" xfId="3289"/>
    <cellStyle name="Normal 5 2 4 3 8 2" xfId="8831"/>
    <cellStyle name="Normal 5 2 4 3 8 3" xfId="14370"/>
    <cellStyle name="Normal 5 2 4 3 9" xfId="4328"/>
    <cellStyle name="Normal 5 2 4 3 9 2" xfId="9867"/>
    <cellStyle name="Normal 5 2 4 3 9 3" xfId="15406"/>
    <cellStyle name="Normal 5 2 4 4" xfId="312"/>
    <cellStyle name="Normal 5 2 4 4 10" xfId="1716"/>
    <cellStyle name="Normal 5 2 4 4 10 2" xfId="7262"/>
    <cellStyle name="Normal 5 2 4 4 10 3" xfId="12801"/>
    <cellStyle name="Normal 5 2 4 4 11" xfId="6057"/>
    <cellStyle name="Normal 5 2 4 4 11 2" xfId="17135"/>
    <cellStyle name="Normal 5 2 4 4 12" xfId="701"/>
    <cellStyle name="Normal 5 2 4 4 12 2" xfId="17297"/>
    <cellStyle name="Normal 5 2 4 4 13" xfId="11596"/>
    <cellStyle name="Normal 5 2 4 4 14" xfId="17464"/>
    <cellStyle name="Normal 5 2 4 4 15" xfId="17629"/>
    <cellStyle name="Normal 5 2 4 4 2" xfId="313"/>
    <cellStyle name="Normal 5 2 4 4 2 10" xfId="6093"/>
    <cellStyle name="Normal 5 2 4 4 2 10 2" xfId="17171"/>
    <cellStyle name="Normal 5 2 4 4 2 11" xfId="737"/>
    <cellStyle name="Normal 5 2 4 4 2 11 2" xfId="17333"/>
    <cellStyle name="Normal 5 2 4 4 2 12" xfId="11632"/>
    <cellStyle name="Normal 5 2 4 4 2 13" xfId="17500"/>
    <cellStyle name="Normal 5 2 4 4 2 14" xfId="17665"/>
    <cellStyle name="Normal 5 2 4 4 2 2" xfId="512"/>
    <cellStyle name="Normal 5 2 4 4 2 2 2" xfId="1353"/>
    <cellStyle name="Normal 5 2 4 4 2 2 2 2" xfId="3885"/>
    <cellStyle name="Normal 5 2 4 4 2 2 2 2 2" xfId="9427"/>
    <cellStyle name="Normal 5 2 4 4 2 2 2 2 3" xfId="14966"/>
    <cellStyle name="Normal 5 2 4 4 2 2 2 3" xfId="4922"/>
    <cellStyle name="Normal 5 2 4 4 2 2 2 3 2" xfId="10461"/>
    <cellStyle name="Normal 5 2 4 4 2 2 2 3 3" xfId="16000"/>
    <cellStyle name="Normal 5 2 4 4 2 2 2 4" xfId="5856"/>
    <cellStyle name="Normal 5 2 4 4 2 2 2 4 2" xfId="11395"/>
    <cellStyle name="Normal 5 2 4 4 2 2 2 4 3" xfId="16934"/>
    <cellStyle name="Normal 5 2 4 4 2 2 2 5" xfId="2558"/>
    <cellStyle name="Normal 5 2 4 4 2 2 2 5 2" xfId="8104"/>
    <cellStyle name="Normal 5 2 4 4 2 2 2 5 3" xfId="13643"/>
    <cellStyle name="Normal 5 2 4 4 2 2 2 6" xfId="6899"/>
    <cellStyle name="Normal 5 2 4 4 2 2 2 7" xfId="12438"/>
    <cellStyle name="Normal 5 2 4 4 2 2 3" xfId="1068"/>
    <cellStyle name="Normal 5 2 4 4 2 2 3 2" xfId="3598"/>
    <cellStyle name="Normal 5 2 4 4 2 2 3 2 2" xfId="9140"/>
    <cellStyle name="Normal 5 2 4 4 2 2 3 2 3" xfId="14679"/>
    <cellStyle name="Normal 5 2 4 4 2 2 3 3" xfId="4635"/>
    <cellStyle name="Normal 5 2 4 4 2 2 3 3 2" xfId="10174"/>
    <cellStyle name="Normal 5 2 4 4 2 2 3 3 3" xfId="15713"/>
    <cellStyle name="Normal 5 2 4 4 2 2 3 4" xfId="5570"/>
    <cellStyle name="Normal 5 2 4 4 2 2 3 4 2" xfId="11109"/>
    <cellStyle name="Normal 5 2 4 4 2 2 3 4 3" xfId="16648"/>
    <cellStyle name="Normal 5 2 4 4 2 2 3 5" xfId="2272"/>
    <cellStyle name="Normal 5 2 4 4 2 2 3 5 2" xfId="7818"/>
    <cellStyle name="Normal 5 2 4 4 2 2 3 5 3" xfId="13357"/>
    <cellStyle name="Normal 5 2 4 4 2 2 3 6" xfId="6613"/>
    <cellStyle name="Normal 5 2 4 4 2 2 3 7" xfId="12152"/>
    <cellStyle name="Normal 5 2 4 4 2 2 4" xfId="3171"/>
    <cellStyle name="Normal 5 2 4 4 2 2 4 2" xfId="8713"/>
    <cellStyle name="Normal 5 2 4 4 2 2 4 3" xfId="14252"/>
    <cellStyle name="Normal 5 2 4 4 2 2 5" xfId="4210"/>
    <cellStyle name="Normal 5 2 4 4 2 2 5 2" xfId="9749"/>
    <cellStyle name="Normal 5 2 4 4 2 2 5 3" xfId="15288"/>
    <cellStyle name="Normal 5 2 4 4 2 2 6" xfId="5171"/>
    <cellStyle name="Normal 5 2 4 4 2 2 6 2" xfId="10710"/>
    <cellStyle name="Normal 5 2 4 4 2 2 6 3" xfId="16249"/>
    <cellStyle name="Normal 5 2 4 4 2 2 7" xfId="1873"/>
    <cellStyle name="Normal 5 2 4 4 2 2 7 2" xfId="7419"/>
    <cellStyle name="Normal 5 2 4 4 2 2 7 3" xfId="12958"/>
    <cellStyle name="Normal 5 2 4 4 2 2 8" xfId="6214"/>
    <cellStyle name="Normal 5 2 4 4 2 2 9" xfId="11753"/>
    <cellStyle name="Normal 5 2 4 4 2 3" xfId="1245"/>
    <cellStyle name="Normal 5 2 4 4 2 3 2" xfId="3775"/>
    <cellStyle name="Normal 5 2 4 4 2 3 2 2" xfId="9317"/>
    <cellStyle name="Normal 5 2 4 4 2 3 2 3" xfId="14856"/>
    <cellStyle name="Normal 5 2 4 4 2 3 3" xfId="4812"/>
    <cellStyle name="Normal 5 2 4 4 2 3 3 2" xfId="10351"/>
    <cellStyle name="Normal 5 2 4 4 2 3 3 3" xfId="15890"/>
    <cellStyle name="Normal 5 2 4 4 2 3 4" xfId="5747"/>
    <cellStyle name="Normal 5 2 4 4 2 3 4 2" xfId="11286"/>
    <cellStyle name="Normal 5 2 4 4 2 3 4 3" xfId="16825"/>
    <cellStyle name="Normal 5 2 4 4 2 3 5" xfId="2449"/>
    <cellStyle name="Normal 5 2 4 4 2 3 5 2" xfId="7995"/>
    <cellStyle name="Normal 5 2 4 4 2 3 5 3" xfId="13534"/>
    <cellStyle name="Normal 5 2 4 4 2 3 6" xfId="6790"/>
    <cellStyle name="Normal 5 2 4 4 2 3 7" xfId="12329"/>
    <cellStyle name="Normal 5 2 4 4 2 4" xfId="833"/>
    <cellStyle name="Normal 5 2 4 4 2 4 2" xfId="3363"/>
    <cellStyle name="Normal 5 2 4 4 2 4 2 2" xfId="8905"/>
    <cellStyle name="Normal 5 2 4 4 2 4 2 3" xfId="14444"/>
    <cellStyle name="Normal 5 2 4 4 2 4 3" xfId="4400"/>
    <cellStyle name="Normal 5 2 4 4 2 4 3 2" xfId="9939"/>
    <cellStyle name="Normal 5 2 4 4 2 4 3 3" xfId="15478"/>
    <cellStyle name="Normal 5 2 4 4 2 4 4" xfId="5335"/>
    <cellStyle name="Normal 5 2 4 4 2 4 4 2" xfId="10874"/>
    <cellStyle name="Normal 5 2 4 4 2 4 4 3" xfId="16413"/>
    <cellStyle name="Normal 5 2 4 4 2 4 5" xfId="2037"/>
    <cellStyle name="Normal 5 2 4 4 2 4 5 2" xfId="7583"/>
    <cellStyle name="Normal 5 2 4 4 2 4 5 3" xfId="13122"/>
    <cellStyle name="Normal 5 2 4 4 2 4 6" xfId="6378"/>
    <cellStyle name="Normal 5 2 4 4 2 4 7" xfId="11917"/>
    <cellStyle name="Normal 5 2 4 4 2 5" xfId="1590"/>
    <cellStyle name="Normal 5 2 4 4 2 5 2" xfId="2795"/>
    <cellStyle name="Normal 5 2 4 4 2 5 2 2" xfId="8341"/>
    <cellStyle name="Normal 5 2 4 4 2 5 2 3" xfId="13880"/>
    <cellStyle name="Normal 5 2 4 4 2 5 3" xfId="7136"/>
    <cellStyle name="Normal 5 2 4 4 2 5 4" xfId="12675"/>
    <cellStyle name="Normal 5 2 4 4 2 6" xfId="2968"/>
    <cellStyle name="Normal 5 2 4 4 2 6 2" xfId="8512"/>
    <cellStyle name="Normal 5 2 4 4 2 6 3" xfId="14051"/>
    <cellStyle name="Normal 5 2 4 4 2 7" xfId="4013"/>
    <cellStyle name="Normal 5 2 4 4 2 7 2" xfId="9555"/>
    <cellStyle name="Normal 5 2 4 4 2 7 3" xfId="15094"/>
    <cellStyle name="Normal 5 2 4 4 2 8" xfId="5050"/>
    <cellStyle name="Normal 5 2 4 4 2 8 2" xfId="10589"/>
    <cellStyle name="Normal 5 2 4 4 2 8 3" xfId="16128"/>
    <cellStyle name="Normal 5 2 4 4 2 9" xfId="1752"/>
    <cellStyle name="Normal 5 2 4 4 2 9 2" xfId="7298"/>
    <cellStyle name="Normal 5 2 4 4 2 9 3" xfId="12837"/>
    <cellStyle name="Normal 5 2 4 4 3" xfId="511"/>
    <cellStyle name="Normal 5 2 4 4 3 2" xfId="1352"/>
    <cellStyle name="Normal 5 2 4 4 3 2 2" xfId="3884"/>
    <cellStyle name="Normal 5 2 4 4 3 2 2 2" xfId="9426"/>
    <cellStyle name="Normal 5 2 4 4 3 2 2 3" xfId="14965"/>
    <cellStyle name="Normal 5 2 4 4 3 2 3" xfId="4921"/>
    <cellStyle name="Normal 5 2 4 4 3 2 3 2" xfId="10460"/>
    <cellStyle name="Normal 5 2 4 4 3 2 3 3" xfId="15999"/>
    <cellStyle name="Normal 5 2 4 4 3 2 4" xfId="5855"/>
    <cellStyle name="Normal 5 2 4 4 3 2 4 2" xfId="11394"/>
    <cellStyle name="Normal 5 2 4 4 3 2 4 3" xfId="16933"/>
    <cellStyle name="Normal 5 2 4 4 3 2 5" xfId="2557"/>
    <cellStyle name="Normal 5 2 4 4 3 2 5 2" xfId="8103"/>
    <cellStyle name="Normal 5 2 4 4 3 2 5 3" xfId="13642"/>
    <cellStyle name="Normal 5 2 4 4 3 2 6" xfId="6898"/>
    <cellStyle name="Normal 5 2 4 4 3 2 7" xfId="12437"/>
    <cellStyle name="Normal 5 2 4 4 3 3" xfId="1032"/>
    <cellStyle name="Normal 5 2 4 4 3 3 2" xfId="3562"/>
    <cellStyle name="Normal 5 2 4 4 3 3 2 2" xfId="9104"/>
    <cellStyle name="Normal 5 2 4 4 3 3 2 3" xfId="14643"/>
    <cellStyle name="Normal 5 2 4 4 3 3 3" xfId="4599"/>
    <cellStyle name="Normal 5 2 4 4 3 3 3 2" xfId="10138"/>
    <cellStyle name="Normal 5 2 4 4 3 3 3 3" xfId="15677"/>
    <cellStyle name="Normal 5 2 4 4 3 3 4" xfId="5534"/>
    <cellStyle name="Normal 5 2 4 4 3 3 4 2" xfId="11073"/>
    <cellStyle name="Normal 5 2 4 4 3 3 4 3" xfId="16612"/>
    <cellStyle name="Normal 5 2 4 4 3 3 5" xfId="2236"/>
    <cellStyle name="Normal 5 2 4 4 3 3 5 2" xfId="7782"/>
    <cellStyle name="Normal 5 2 4 4 3 3 5 3" xfId="13321"/>
    <cellStyle name="Normal 5 2 4 4 3 3 6" xfId="6577"/>
    <cellStyle name="Normal 5 2 4 4 3 3 7" xfId="12116"/>
    <cellStyle name="Normal 5 2 4 4 3 4" xfId="3170"/>
    <cellStyle name="Normal 5 2 4 4 3 4 2" xfId="8712"/>
    <cellStyle name="Normal 5 2 4 4 3 4 3" xfId="14251"/>
    <cellStyle name="Normal 5 2 4 4 3 5" xfId="4209"/>
    <cellStyle name="Normal 5 2 4 4 3 5 2" xfId="9748"/>
    <cellStyle name="Normal 5 2 4 4 3 5 3" xfId="15287"/>
    <cellStyle name="Normal 5 2 4 4 3 6" xfId="5170"/>
    <cellStyle name="Normal 5 2 4 4 3 6 2" xfId="10709"/>
    <cellStyle name="Normal 5 2 4 4 3 6 3" xfId="16248"/>
    <cellStyle name="Normal 5 2 4 4 3 7" xfId="1872"/>
    <cellStyle name="Normal 5 2 4 4 3 7 2" xfId="7418"/>
    <cellStyle name="Normal 5 2 4 4 3 7 3" xfId="12957"/>
    <cellStyle name="Normal 5 2 4 4 3 8" xfId="6213"/>
    <cellStyle name="Normal 5 2 4 4 3 9" xfId="11752"/>
    <cellStyle name="Normal 5 2 4 4 4" xfId="1209"/>
    <cellStyle name="Normal 5 2 4 4 4 2" xfId="3739"/>
    <cellStyle name="Normal 5 2 4 4 4 2 2" xfId="9281"/>
    <cellStyle name="Normal 5 2 4 4 4 2 3" xfId="14820"/>
    <cellStyle name="Normal 5 2 4 4 4 3" xfId="4776"/>
    <cellStyle name="Normal 5 2 4 4 4 3 2" xfId="10315"/>
    <cellStyle name="Normal 5 2 4 4 4 3 3" xfId="15854"/>
    <cellStyle name="Normal 5 2 4 4 4 4" xfId="5711"/>
    <cellStyle name="Normal 5 2 4 4 4 4 2" xfId="11250"/>
    <cellStyle name="Normal 5 2 4 4 4 4 3" xfId="16789"/>
    <cellStyle name="Normal 5 2 4 4 4 5" xfId="2413"/>
    <cellStyle name="Normal 5 2 4 4 4 5 2" xfId="7959"/>
    <cellStyle name="Normal 5 2 4 4 4 5 3" xfId="13498"/>
    <cellStyle name="Normal 5 2 4 4 4 6" xfId="6754"/>
    <cellStyle name="Normal 5 2 4 4 4 7" xfId="12293"/>
    <cellStyle name="Normal 5 2 4 4 5" xfId="832"/>
    <cellStyle name="Normal 5 2 4 4 5 2" xfId="3362"/>
    <cellStyle name="Normal 5 2 4 4 5 2 2" xfId="8904"/>
    <cellStyle name="Normal 5 2 4 4 5 2 3" xfId="14443"/>
    <cellStyle name="Normal 5 2 4 4 5 3" xfId="4399"/>
    <cellStyle name="Normal 5 2 4 4 5 3 2" xfId="9938"/>
    <cellStyle name="Normal 5 2 4 4 5 3 3" xfId="15477"/>
    <cellStyle name="Normal 5 2 4 4 5 4" xfId="5334"/>
    <cellStyle name="Normal 5 2 4 4 5 4 2" xfId="10873"/>
    <cellStyle name="Normal 5 2 4 4 5 4 3" xfId="16412"/>
    <cellStyle name="Normal 5 2 4 4 5 5" xfId="2036"/>
    <cellStyle name="Normal 5 2 4 4 5 5 2" xfId="7582"/>
    <cellStyle name="Normal 5 2 4 4 5 5 3" xfId="13121"/>
    <cellStyle name="Normal 5 2 4 4 5 6" xfId="6377"/>
    <cellStyle name="Normal 5 2 4 4 5 7" xfId="11916"/>
    <cellStyle name="Normal 5 2 4 4 6" xfId="1554"/>
    <cellStyle name="Normal 5 2 4 4 6 2" xfId="2759"/>
    <cellStyle name="Normal 5 2 4 4 6 2 2" xfId="8305"/>
    <cellStyle name="Normal 5 2 4 4 6 2 3" xfId="13844"/>
    <cellStyle name="Normal 5 2 4 4 6 3" xfId="7100"/>
    <cellStyle name="Normal 5 2 4 4 6 4" xfId="12639"/>
    <cellStyle name="Normal 5 2 4 4 7" xfId="2932"/>
    <cellStyle name="Normal 5 2 4 4 7 2" xfId="8476"/>
    <cellStyle name="Normal 5 2 4 4 7 3" xfId="14015"/>
    <cellStyle name="Normal 5 2 4 4 8" xfId="3037"/>
    <cellStyle name="Normal 5 2 4 4 8 2" xfId="8580"/>
    <cellStyle name="Normal 5 2 4 4 8 3" xfId="14119"/>
    <cellStyle name="Normal 5 2 4 4 9" xfId="4080"/>
    <cellStyle name="Normal 5 2 4 4 9 2" xfId="9621"/>
    <cellStyle name="Normal 5 2 4 4 9 3" xfId="15160"/>
    <cellStyle name="Normal 5 2 4 5" xfId="314"/>
    <cellStyle name="Normal 5 2 4 5 10" xfId="6075"/>
    <cellStyle name="Normal 5 2 4 5 10 2" xfId="17153"/>
    <cellStyle name="Normal 5 2 4 5 11" xfId="719"/>
    <cellStyle name="Normal 5 2 4 5 11 2" xfId="17315"/>
    <cellStyle name="Normal 5 2 4 5 12" xfId="11614"/>
    <cellStyle name="Normal 5 2 4 5 13" xfId="17482"/>
    <cellStyle name="Normal 5 2 4 5 14" xfId="17647"/>
    <cellStyle name="Normal 5 2 4 5 2" xfId="513"/>
    <cellStyle name="Normal 5 2 4 5 2 2" xfId="1354"/>
    <cellStyle name="Normal 5 2 4 5 2 2 2" xfId="3886"/>
    <cellStyle name="Normal 5 2 4 5 2 2 2 2" xfId="9428"/>
    <cellStyle name="Normal 5 2 4 5 2 2 2 3" xfId="14967"/>
    <cellStyle name="Normal 5 2 4 5 2 2 3" xfId="4923"/>
    <cellStyle name="Normal 5 2 4 5 2 2 3 2" xfId="10462"/>
    <cellStyle name="Normal 5 2 4 5 2 2 3 3" xfId="16001"/>
    <cellStyle name="Normal 5 2 4 5 2 2 4" xfId="5857"/>
    <cellStyle name="Normal 5 2 4 5 2 2 4 2" xfId="11396"/>
    <cellStyle name="Normal 5 2 4 5 2 2 4 3" xfId="16935"/>
    <cellStyle name="Normal 5 2 4 5 2 2 5" xfId="2559"/>
    <cellStyle name="Normal 5 2 4 5 2 2 5 2" xfId="8105"/>
    <cellStyle name="Normal 5 2 4 5 2 2 5 3" xfId="13644"/>
    <cellStyle name="Normal 5 2 4 5 2 2 6" xfId="6900"/>
    <cellStyle name="Normal 5 2 4 5 2 2 7" xfId="12439"/>
    <cellStyle name="Normal 5 2 4 5 2 3" xfId="1050"/>
    <cellStyle name="Normal 5 2 4 5 2 3 2" xfId="3580"/>
    <cellStyle name="Normal 5 2 4 5 2 3 2 2" xfId="9122"/>
    <cellStyle name="Normal 5 2 4 5 2 3 2 3" xfId="14661"/>
    <cellStyle name="Normal 5 2 4 5 2 3 3" xfId="4617"/>
    <cellStyle name="Normal 5 2 4 5 2 3 3 2" xfId="10156"/>
    <cellStyle name="Normal 5 2 4 5 2 3 3 3" xfId="15695"/>
    <cellStyle name="Normal 5 2 4 5 2 3 4" xfId="5552"/>
    <cellStyle name="Normal 5 2 4 5 2 3 4 2" xfId="11091"/>
    <cellStyle name="Normal 5 2 4 5 2 3 4 3" xfId="16630"/>
    <cellStyle name="Normal 5 2 4 5 2 3 5" xfId="2254"/>
    <cellStyle name="Normal 5 2 4 5 2 3 5 2" xfId="7800"/>
    <cellStyle name="Normal 5 2 4 5 2 3 5 3" xfId="13339"/>
    <cellStyle name="Normal 5 2 4 5 2 3 6" xfId="6595"/>
    <cellStyle name="Normal 5 2 4 5 2 3 7" xfId="12134"/>
    <cellStyle name="Normal 5 2 4 5 2 4" xfId="3172"/>
    <cellStyle name="Normal 5 2 4 5 2 4 2" xfId="8714"/>
    <cellStyle name="Normal 5 2 4 5 2 4 3" xfId="14253"/>
    <cellStyle name="Normal 5 2 4 5 2 5" xfId="4211"/>
    <cellStyle name="Normal 5 2 4 5 2 5 2" xfId="9750"/>
    <cellStyle name="Normal 5 2 4 5 2 5 3" xfId="15289"/>
    <cellStyle name="Normal 5 2 4 5 2 6" xfId="5172"/>
    <cellStyle name="Normal 5 2 4 5 2 6 2" xfId="10711"/>
    <cellStyle name="Normal 5 2 4 5 2 6 3" xfId="16250"/>
    <cellStyle name="Normal 5 2 4 5 2 7" xfId="1874"/>
    <cellStyle name="Normal 5 2 4 5 2 7 2" xfId="7420"/>
    <cellStyle name="Normal 5 2 4 5 2 7 3" xfId="12959"/>
    <cellStyle name="Normal 5 2 4 5 2 8" xfId="6215"/>
    <cellStyle name="Normal 5 2 4 5 2 9" xfId="11754"/>
    <cellStyle name="Normal 5 2 4 5 3" xfId="1227"/>
    <cellStyle name="Normal 5 2 4 5 3 2" xfId="3757"/>
    <cellStyle name="Normal 5 2 4 5 3 2 2" xfId="9299"/>
    <cellStyle name="Normal 5 2 4 5 3 2 3" xfId="14838"/>
    <cellStyle name="Normal 5 2 4 5 3 3" xfId="4794"/>
    <cellStyle name="Normal 5 2 4 5 3 3 2" xfId="10333"/>
    <cellStyle name="Normal 5 2 4 5 3 3 3" xfId="15872"/>
    <cellStyle name="Normal 5 2 4 5 3 4" xfId="5729"/>
    <cellStyle name="Normal 5 2 4 5 3 4 2" xfId="11268"/>
    <cellStyle name="Normal 5 2 4 5 3 4 3" xfId="16807"/>
    <cellStyle name="Normal 5 2 4 5 3 5" xfId="2431"/>
    <cellStyle name="Normal 5 2 4 5 3 5 2" xfId="7977"/>
    <cellStyle name="Normal 5 2 4 5 3 5 3" xfId="13516"/>
    <cellStyle name="Normal 5 2 4 5 3 6" xfId="6772"/>
    <cellStyle name="Normal 5 2 4 5 3 7" xfId="12311"/>
    <cellStyle name="Normal 5 2 4 5 4" xfId="834"/>
    <cellStyle name="Normal 5 2 4 5 4 2" xfId="3364"/>
    <cellStyle name="Normal 5 2 4 5 4 2 2" xfId="8906"/>
    <cellStyle name="Normal 5 2 4 5 4 2 3" xfId="14445"/>
    <cellStyle name="Normal 5 2 4 5 4 3" xfId="4401"/>
    <cellStyle name="Normal 5 2 4 5 4 3 2" xfId="9940"/>
    <cellStyle name="Normal 5 2 4 5 4 3 3" xfId="15479"/>
    <cellStyle name="Normal 5 2 4 5 4 4" xfId="5336"/>
    <cellStyle name="Normal 5 2 4 5 4 4 2" xfId="10875"/>
    <cellStyle name="Normal 5 2 4 5 4 4 3" xfId="16414"/>
    <cellStyle name="Normal 5 2 4 5 4 5" xfId="2038"/>
    <cellStyle name="Normal 5 2 4 5 4 5 2" xfId="7584"/>
    <cellStyle name="Normal 5 2 4 5 4 5 3" xfId="13123"/>
    <cellStyle name="Normal 5 2 4 5 4 6" xfId="6379"/>
    <cellStyle name="Normal 5 2 4 5 4 7" xfId="11918"/>
    <cellStyle name="Normal 5 2 4 5 5" xfId="1572"/>
    <cellStyle name="Normal 5 2 4 5 5 2" xfId="2777"/>
    <cellStyle name="Normal 5 2 4 5 5 2 2" xfId="8323"/>
    <cellStyle name="Normal 5 2 4 5 5 2 3" xfId="13862"/>
    <cellStyle name="Normal 5 2 4 5 5 3" xfId="7118"/>
    <cellStyle name="Normal 5 2 4 5 5 4" xfId="12657"/>
    <cellStyle name="Normal 5 2 4 5 6" xfId="2950"/>
    <cellStyle name="Normal 5 2 4 5 6 2" xfId="8494"/>
    <cellStyle name="Normal 5 2 4 5 6 3" xfId="14033"/>
    <cellStyle name="Normal 5 2 4 5 7" xfId="3068"/>
    <cellStyle name="Normal 5 2 4 5 7 2" xfId="8611"/>
    <cellStyle name="Normal 5 2 4 5 7 3" xfId="14150"/>
    <cellStyle name="Normal 5 2 4 5 8" xfId="4111"/>
    <cellStyle name="Normal 5 2 4 5 8 2" xfId="9652"/>
    <cellStyle name="Normal 5 2 4 5 8 3" xfId="15191"/>
    <cellStyle name="Normal 5 2 4 5 9" xfId="1734"/>
    <cellStyle name="Normal 5 2 4 5 9 2" xfId="7280"/>
    <cellStyle name="Normal 5 2 4 5 9 3" xfId="12819"/>
    <cellStyle name="Normal 5 2 4 6" xfId="315"/>
    <cellStyle name="Normal 5 2 4 6 10" xfId="6003"/>
    <cellStyle name="Normal 5 2 4 6 10 2" xfId="17081"/>
    <cellStyle name="Normal 5 2 4 6 11" xfId="647"/>
    <cellStyle name="Normal 5 2 4 6 11 2" xfId="17243"/>
    <cellStyle name="Normal 5 2 4 6 12" xfId="11542"/>
    <cellStyle name="Normal 5 2 4 6 13" xfId="17410"/>
    <cellStyle name="Normal 5 2 4 6 14" xfId="17575"/>
    <cellStyle name="Normal 5 2 4 6 2" xfId="514"/>
    <cellStyle name="Normal 5 2 4 6 2 2" xfId="1355"/>
    <cellStyle name="Normal 5 2 4 6 2 2 2" xfId="3887"/>
    <cellStyle name="Normal 5 2 4 6 2 2 2 2" xfId="9429"/>
    <cellStyle name="Normal 5 2 4 6 2 2 2 3" xfId="14968"/>
    <cellStyle name="Normal 5 2 4 6 2 2 3" xfId="4924"/>
    <cellStyle name="Normal 5 2 4 6 2 2 3 2" xfId="10463"/>
    <cellStyle name="Normal 5 2 4 6 2 2 3 3" xfId="16002"/>
    <cellStyle name="Normal 5 2 4 6 2 2 4" xfId="5858"/>
    <cellStyle name="Normal 5 2 4 6 2 2 4 2" xfId="11397"/>
    <cellStyle name="Normal 5 2 4 6 2 2 4 3" xfId="16936"/>
    <cellStyle name="Normal 5 2 4 6 2 2 5" xfId="2560"/>
    <cellStyle name="Normal 5 2 4 6 2 2 5 2" xfId="8106"/>
    <cellStyle name="Normal 5 2 4 6 2 2 5 3" xfId="13645"/>
    <cellStyle name="Normal 5 2 4 6 2 2 6" xfId="6901"/>
    <cellStyle name="Normal 5 2 4 6 2 2 7" xfId="12440"/>
    <cellStyle name="Normal 5 2 4 6 2 3" xfId="978"/>
    <cellStyle name="Normal 5 2 4 6 2 3 2" xfId="3508"/>
    <cellStyle name="Normal 5 2 4 6 2 3 2 2" xfId="9050"/>
    <cellStyle name="Normal 5 2 4 6 2 3 2 3" xfId="14589"/>
    <cellStyle name="Normal 5 2 4 6 2 3 3" xfId="4545"/>
    <cellStyle name="Normal 5 2 4 6 2 3 3 2" xfId="10084"/>
    <cellStyle name="Normal 5 2 4 6 2 3 3 3" xfId="15623"/>
    <cellStyle name="Normal 5 2 4 6 2 3 4" xfId="5480"/>
    <cellStyle name="Normal 5 2 4 6 2 3 4 2" xfId="11019"/>
    <cellStyle name="Normal 5 2 4 6 2 3 4 3" xfId="16558"/>
    <cellStyle name="Normal 5 2 4 6 2 3 5" xfId="2182"/>
    <cellStyle name="Normal 5 2 4 6 2 3 5 2" xfId="7728"/>
    <cellStyle name="Normal 5 2 4 6 2 3 5 3" xfId="13267"/>
    <cellStyle name="Normal 5 2 4 6 2 3 6" xfId="6523"/>
    <cellStyle name="Normal 5 2 4 6 2 3 7" xfId="12062"/>
    <cellStyle name="Normal 5 2 4 6 2 4" xfId="3173"/>
    <cellStyle name="Normal 5 2 4 6 2 4 2" xfId="8715"/>
    <cellStyle name="Normal 5 2 4 6 2 4 3" xfId="14254"/>
    <cellStyle name="Normal 5 2 4 6 2 5" xfId="4212"/>
    <cellStyle name="Normal 5 2 4 6 2 5 2" xfId="9751"/>
    <cellStyle name="Normal 5 2 4 6 2 5 3" xfId="15290"/>
    <cellStyle name="Normal 5 2 4 6 2 6" xfId="5173"/>
    <cellStyle name="Normal 5 2 4 6 2 6 2" xfId="10712"/>
    <cellStyle name="Normal 5 2 4 6 2 6 3" xfId="16251"/>
    <cellStyle name="Normal 5 2 4 6 2 7" xfId="1875"/>
    <cellStyle name="Normal 5 2 4 6 2 7 2" xfId="7421"/>
    <cellStyle name="Normal 5 2 4 6 2 7 3" xfId="12960"/>
    <cellStyle name="Normal 5 2 4 6 2 8" xfId="6216"/>
    <cellStyle name="Normal 5 2 4 6 2 9" xfId="11755"/>
    <cellStyle name="Normal 5 2 4 6 3" xfId="1155"/>
    <cellStyle name="Normal 5 2 4 6 3 2" xfId="3685"/>
    <cellStyle name="Normal 5 2 4 6 3 2 2" xfId="9227"/>
    <cellStyle name="Normal 5 2 4 6 3 2 3" xfId="14766"/>
    <cellStyle name="Normal 5 2 4 6 3 3" xfId="4722"/>
    <cellStyle name="Normal 5 2 4 6 3 3 2" xfId="10261"/>
    <cellStyle name="Normal 5 2 4 6 3 3 3" xfId="15800"/>
    <cellStyle name="Normal 5 2 4 6 3 4" xfId="5657"/>
    <cellStyle name="Normal 5 2 4 6 3 4 2" xfId="11196"/>
    <cellStyle name="Normal 5 2 4 6 3 4 3" xfId="16735"/>
    <cellStyle name="Normal 5 2 4 6 3 5" xfId="2359"/>
    <cellStyle name="Normal 5 2 4 6 3 5 2" xfId="7905"/>
    <cellStyle name="Normal 5 2 4 6 3 5 3" xfId="13444"/>
    <cellStyle name="Normal 5 2 4 6 3 6" xfId="6700"/>
    <cellStyle name="Normal 5 2 4 6 3 7" xfId="12239"/>
    <cellStyle name="Normal 5 2 4 6 4" xfId="835"/>
    <cellStyle name="Normal 5 2 4 6 4 2" xfId="3365"/>
    <cellStyle name="Normal 5 2 4 6 4 2 2" xfId="8907"/>
    <cellStyle name="Normal 5 2 4 6 4 2 3" xfId="14446"/>
    <cellStyle name="Normal 5 2 4 6 4 3" xfId="4402"/>
    <cellStyle name="Normal 5 2 4 6 4 3 2" xfId="9941"/>
    <cellStyle name="Normal 5 2 4 6 4 3 3" xfId="15480"/>
    <cellStyle name="Normal 5 2 4 6 4 4" xfId="5337"/>
    <cellStyle name="Normal 5 2 4 6 4 4 2" xfId="10876"/>
    <cellStyle name="Normal 5 2 4 6 4 4 3" xfId="16415"/>
    <cellStyle name="Normal 5 2 4 6 4 5" xfId="2039"/>
    <cellStyle name="Normal 5 2 4 6 4 5 2" xfId="7585"/>
    <cellStyle name="Normal 5 2 4 6 4 5 3" xfId="13124"/>
    <cellStyle name="Normal 5 2 4 6 4 6" xfId="6380"/>
    <cellStyle name="Normal 5 2 4 6 4 7" xfId="11919"/>
    <cellStyle name="Normal 5 2 4 6 5" xfId="1500"/>
    <cellStyle name="Normal 5 2 4 6 5 2" xfId="2705"/>
    <cellStyle name="Normal 5 2 4 6 5 2 2" xfId="8251"/>
    <cellStyle name="Normal 5 2 4 6 5 2 3" xfId="13790"/>
    <cellStyle name="Normal 5 2 4 6 5 3" xfId="7046"/>
    <cellStyle name="Normal 5 2 4 6 5 4" xfId="12585"/>
    <cellStyle name="Normal 5 2 4 6 6" xfId="2878"/>
    <cellStyle name="Normal 5 2 4 6 6 2" xfId="8422"/>
    <cellStyle name="Normal 5 2 4 6 6 3" xfId="13961"/>
    <cellStyle name="Normal 5 2 4 6 7" xfId="3317"/>
    <cellStyle name="Normal 5 2 4 6 7 2" xfId="8859"/>
    <cellStyle name="Normal 5 2 4 6 7 3" xfId="14398"/>
    <cellStyle name="Normal 5 2 4 6 8" xfId="4354"/>
    <cellStyle name="Normal 5 2 4 6 8 2" xfId="9893"/>
    <cellStyle name="Normal 5 2 4 6 8 3" xfId="15432"/>
    <cellStyle name="Normal 5 2 4 6 9" xfId="1662"/>
    <cellStyle name="Normal 5 2 4 6 9 2" xfId="7208"/>
    <cellStyle name="Normal 5 2 4 6 9 3" xfId="12747"/>
    <cellStyle name="Normal 5 2 4 7" xfId="457"/>
    <cellStyle name="Normal 5 2 4 7 2" xfId="1299"/>
    <cellStyle name="Normal 5 2 4 7 2 2" xfId="3830"/>
    <cellStyle name="Normal 5 2 4 7 2 2 2" xfId="9372"/>
    <cellStyle name="Normal 5 2 4 7 2 2 3" xfId="14911"/>
    <cellStyle name="Normal 5 2 4 7 2 3" xfId="4867"/>
    <cellStyle name="Normal 5 2 4 7 2 3 2" xfId="10406"/>
    <cellStyle name="Normal 5 2 4 7 2 3 3" xfId="15945"/>
    <cellStyle name="Normal 5 2 4 7 2 4" xfId="5802"/>
    <cellStyle name="Normal 5 2 4 7 2 4 2" xfId="11341"/>
    <cellStyle name="Normal 5 2 4 7 2 4 3" xfId="16880"/>
    <cellStyle name="Normal 5 2 4 7 2 5" xfId="2504"/>
    <cellStyle name="Normal 5 2 4 7 2 5 2" xfId="8050"/>
    <cellStyle name="Normal 5 2 4 7 2 5 3" xfId="13589"/>
    <cellStyle name="Normal 5 2 4 7 2 6" xfId="6845"/>
    <cellStyle name="Normal 5 2 4 7 2 7" xfId="12384"/>
    <cellStyle name="Normal 5 2 4 7 3" xfId="960"/>
    <cellStyle name="Normal 5 2 4 7 3 2" xfId="3490"/>
    <cellStyle name="Normal 5 2 4 7 3 2 2" xfId="9032"/>
    <cellStyle name="Normal 5 2 4 7 3 2 3" xfId="14571"/>
    <cellStyle name="Normal 5 2 4 7 3 3" xfId="4527"/>
    <cellStyle name="Normal 5 2 4 7 3 3 2" xfId="10066"/>
    <cellStyle name="Normal 5 2 4 7 3 3 3" xfId="15605"/>
    <cellStyle name="Normal 5 2 4 7 3 4" xfId="5462"/>
    <cellStyle name="Normal 5 2 4 7 3 4 2" xfId="11001"/>
    <cellStyle name="Normal 5 2 4 7 3 4 3" xfId="16540"/>
    <cellStyle name="Normal 5 2 4 7 3 5" xfId="2164"/>
    <cellStyle name="Normal 5 2 4 7 3 5 2" xfId="7710"/>
    <cellStyle name="Normal 5 2 4 7 3 5 3" xfId="13249"/>
    <cellStyle name="Normal 5 2 4 7 3 6" xfId="6505"/>
    <cellStyle name="Normal 5 2 4 7 3 7" xfId="12044"/>
    <cellStyle name="Normal 5 2 4 7 4" xfId="3107"/>
    <cellStyle name="Normal 5 2 4 7 4 2" xfId="8650"/>
    <cellStyle name="Normal 5 2 4 7 4 3" xfId="14189"/>
    <cellStyle name="Normal 5 2 4 7 5" xfId="4150"/>
    <cellStyle name="Normal 5 2 4 7 5 2" xfId="9691"/>
    <cellStyle name="Normal 5 2 4 7 5 3" xfId="15230"/>
    <cellStyle name="Normal 5 2 4 7 6" xfId="5117"/>
    <cellStyle name="Normal 5 2 4 7 6 2" xfId="10656"/>
    <cellStyle name="Normal 5 2 4 7 6 3" xfId="16195"/>
    <cellStyle name="Normal 5 2 4 7 7" xfId="1819"/>
    <cellStyle name="Normal 5 2 4 7 7 2" xfId="7365"/>
    <cellStyle name="Normal 5 2 4 7 7 3" xfId="12904"/>
    <cellStyle name="Normal 5 2 4 7 8" xfId="6160"/>
    <cellStyle name="Normal 5 2 4 7 9" xfId="11699"/>
    <cellStyle name="Normal 5 2 4 8" xfId="1137"/>
    <cellStyle name="Normal 5 2 4 8 2" xfId="3667"/>
    <cellStyle name="Normal 5 2 4 8 2 2" xfId="9209"/>
    <cellStyle name="Normal 5 2 4 8 2 3" xfId="14748"/>
    <cellStyle name="Normal 5 2 4 8 3" xfId="4704"/>
    <cellStyle name="Normal 5 2 4 8 3 2" xfId="10243"/>
    <cellStyle name="Normal 5 2 4 8 3 3" xfId="15782"/>
    <cellStyle name="Normal 5 2 4 8 4" xfId="5639"/>
    <cellStyle name="Normal 5 2 4 8 4 2" xfId="11178"/>
    <cellStyle name="Normal 5 2 4 8 4 3" xfId="16717"/>
    <cellStyle name="Normal 5 2 4 8 5" xfId="2341"/>
    <cellStyle name="Normal 5 2 4 8 5 2" xfId="7887"/>
    <cellStyle name="Normal 5 2 4 8 5 3" xfId="13426"/>
    <cellStyle name="Normal 5 2 4 8 6" xfId="6682"/>
    <cellStyle name="Normal 5 2 4 8 7" xfId="12221"/>
    <cellStyle name="Normal 5 2 4 9" xfId="827"/>
    <cellStyle name="Normal 5 2 4 9 2" xfId="3357"/>
    <cellStyle name="Normal 5 2 4 9 2 2" xfId="8899"/>
    <cellStyle name="Normal 5 2 4 9 2 3" xfId="14438"/>
    <cellStyle name="Normal 5 2 4 9 3" xfId="4394"/>
    <cellStyle name="Normal 5 2 4 9 3 2" xfId="9933"/>
    <cellStyle name="Normal 5 2 4 9 3 3" xfId="15472"/>
    <cellStyle name="Normal 5 2 4 9 4" xfId="5329"/>
    <cellStyle name="Normal 5 2 4 9 4 2" xfId="10868"/>
    <cellStyle name="Normal 5 2 4 9 4 3" xfId="16407"/>
    <cellStyle name="Normal 5 2 4 9 5" xfId="2031"/>
    <cellStyle name="Normal 5 2 4 9 5 2" xfId="7577"/>
    <cellStyle name="Normal 5 2 4 9 5 3" xfId="13116"/>
    <cellStyle name="Normal 5 2 4 9 6" xfId="6372"/>
    <cellStyle name="Normal 5 2 4 9 7" xfId="11911"/>
    <cellStyle name="Normal 5 2 5" xfId="316"/>
    <cellStyle name="Normal 5 2 5 10" xfId="1690"/>
    <cellStyle name="Normal 5 2 5 10 2" xfId="7236"/>
    <cellStyle name="Normal 5 2 5 10 3" xfId="12775"/>
    <cellStyle name="Normal 5 2 5 11" xfId="6031"/>
    <cellStyle name="Normal 5 2 5 11 2" xfId="17109"/>
    <cellStyle name="Normal 5 2 5 12" xfId="675"/>
    <cellStyle name="Normal 5 2 5 12 2" xfId="17271"/>
    <cellStyle name="Normal 5 2 5 13" xfId="11570"/>
    <cellStyle name="Normal 5 2 5 14" xfId="17438"/>
    <cellStyle name="Normal 5 2 5 15" xfId="17603"/>
    <cellStyle name="Normal 5 2 5 2" xfId="317"/>
    <cellStyle name="Normal 5 2 5 2 10" xfId="6121"/>
    <cellStyle name="Normal 5 2 5 2 10 2" xfId="17199"/>
    <cellStyle name="Normal 5 2 5 2 11" xfId="765"/>
    <cellStyle name="Normal 5 2 5 2 11 2" xfId="17361"/>
    <cellStyle name="Normal 5 2 5 2 12" xfId="11660"/>
    <cellStyle name="Normal 5 2 5 2 13" xfId="17528"/>
    <cellStyle name="Normal 5 2 5 2 14" xfId="17693"/>
    <cellStyle name="Normal 5 2 5 2 2" xfId="516"/>
    <cellStyle name="Normal 5 2 5 2 2 2" xfId="1357"/>
    <cellStyle name="Normal 5 2 5 2 2 2 2" xfId="3889"/>
    <cellStyle name="Normal 5 2 5 2 2 2 2 2" xfId="9431"/>
    <cellStyle name="Normal 5 2 5 2 2 2 2 3" xfId="14970"/>
    <cellStyle name="Normal 5 2 5 2 2 2 3" xfId="4926"/>
    <cellStyle name="Normal 5 2 5 2 2 2 3 2" xfId="10465"/>
    <cellStyle name="Normal 5 2 5 2 2 2 3 3" xfId="16004"/>
    <cellStyle name="Normal 5 2 5 2 2 2 4" xfId="5860"/>
    <cellStyle name="Normal 5 2 5 2 2 2 4 2" xfId="11399"/>
    <cellStyle name="Normal 5 2 5 2 2 2 4 3" xfId="16938"/>
    <cellStyle name="Normal 5 2 5 2 2 2 5" xfId="2562"/>
    <cellStyle name="Normal 5 2 5 2 2 2 5 2" xfId="8108"/>
    <cellStyle name="Normal 5 2 5 2 2 2 5 3" xfId="13647"/>
    <cellStyle name="Normal 5 2 5 2 2 2 6" xfId="6903"/>
    <cellStyle name="Normal 5 2 5 2 2 2 7" xfId="12442"/>
    <cellStyle name="Normal 5 2 5 2 2 3" xfId="1096"/>
    <cellStyle name="Normal 5 2 5 2 2 3 2" xfId="3626"/>
    <cellStyle name="Normal 5 2 5 2 2 3 2 2" xfId="9168"/>
    <cellStyle name="Normal 5 2 5 2 2 3 2 3" xfId="14707"/>
    <cellStyle name="Normal 5 2 5 2 2 3 3" xfId="4663"/>
    <cellStyle name="Normal 5 2 5 2 2 3 3 2" xfId="10202"/>
    <cellStyle name="Normal 5 2 5 2 2 3 3 3" xfId="15741"/>
    <cellStyle name="Normal 5 2 5 2 2 3 4" xfId="5598"/>
    <cellStyle name="Normal 5 2 5 2 2 3 4 2" xfId="11137"/>
    <cellStyle name="Normal 5 2 5 2 2 3 4 3" xfId="16676"/>
    <cellStyle name="Normal 5 2 5 2 2 3 5" xfId="2300"/>
    <cellStyle name="Normal 5 2 5 2 2 3 5 2" xfId="7846"/>
    <cellStyle name="Normal 5 2 5 2 2 3 5 3" xfId="13385"/>
    <cellStyle name="Normal 5 2 5 2 2 3 6" xfId="6641"/>
    <cellStyle name="Normal 5 2 5 2 2 3 7" xfId="12180"/>
    <cellStyle name="Normal 5 2 5 2 2 4" xfId="3175"/>
    <cellStyle name="Normal 5 2 5 2 2 4 2" xfId="8717"/>
    <cellStyle name="Normal 5 2 5 2 2 4 3" xfId="14256"/>
    <cellStyle name="Normal 5 2 5 2 2 5" xfId="4214"/>
    <cellStyle name="Normal 5 2 5 2 2 5 2" xfId="9753"/>
    <cellStyle name="Normal 5 2 5 2 2 5 3" xfId="15292"/>
    <cellStyle name="Normal 5 2 5 2 2 6" xfId="5175"/>
    <cellStyle name="Normal 5 2 5 2 2 6 2" xfId="10714"/>
    <cellStyle name="Normal 5 2 5 2 2 6 3" xfId="16253"/>
    <cellStyle name="Normal 5 2 5 2 2 7" xfId="1877"/>
    <cellStyle name="Normal 5 2 5 2 2 7 2" xfId="7423"/>
    <cellStyle name="Normal 5 2 5 2 2 7 3" xfId="12962"/>
    <cellStyle name="Normal 5 2 5 2 2 8" xfId="6218"/>
    <cellStyle name="Normal 5 2 5 2 2 9" xfId="11757"/>
    <cellStyle name="Normal 5 2 5 2 3" xfId="1273"/>
    <cellStyle name="Normal 5 2 5 2 3 2" xfId="3803"/>
    <cellStyle name="Normal 5 2 5 2 3 2 2" xfId="9345"/>
    <cellStyle name="Normal 5 2 5 2 3 2 3" xfId="14884"/>
    <cellStyle name="Normal 5 2 5 2 3 3" xfId="4840"/>
    <cellStyle name="Normal 5 2 5 2 3 3 2" xfId="10379"/>
    <cellStyle name="Normal 5 2 5 2 3 3 3" xfId="15918"/>
    <cellStyle name="Normal 5 2 5 2 3 4" xfId="5775"/>
    <cellStyle name="Normal 5 2 5 2 3 4 2" xfId="11314"/>
    <cellStyle name="Normal 5 2 5 2 3 4 3" xfId="16853"/>
    <cellStyle name="Normal 5 2 5 2 3 5" xfId="2477"/>
    <cellStyle name="Normal 5 2 5 2 3 5 2" xfId="8023"/>
    <cellStyle name="Normal 5 2 5 2 3 5 3" xfId="13562"/>
    <cellStyle name="Normal 5 2 5 2 3 6" xfId="6818"/>
    <cellStyle name="Normal 5 2 5 2 3 7" xfId="12357"/>
    <cellStyle name="Normal 5 2 5 2 4" xfId="837"/>
    <cellStyle name="Normal 5 2 5 2 4 2" xfId="3367"/>
    <cellStyle name="Normal 5 2 5 2 4 2 2" xfId="8909"/>
    <cellStyle name="Normal 5 2 5 2 4 2 3" xfId="14448"/>
    <cellStyle name="Normal 5 2 5 2 4 3" xfId="4404"/>
    <cellStyle name="Normal 5 2 5 2 4 3 2" xfId="9943"/>
    <cellStyle name="Normal 5 2 5 2 4 3 3" xfId="15482"/>
    <cellStyle name="Normal 5 2 5 2 4 4" xfId="5339"/>
    <cellStyle name="Normal 5 2 5 2 4 4 2" xfId="10878"/>
    <cellStyle name="Normal 5 2 5 2 4 4 3" xfId="16417"/>
    <cellStyle name="Normal 5 2 5 2 4 5" xfId="2041"/>
    <cellStyle name="Normal 5 2 5 2 4 5 2" xfId="7587"/>
    <cellStyle name="Normal 5 2 5 2 4 5 3" xfId="13126"/>
    <cellStyle name="Normal 5 2 5 2 4 6" xfId="6382"/>
    <cellStyle name="Normal 5 2 5 2 4 7" xfId="11921"/>
    <cellStyle name="Normal 5 2 5 2 5" xfId="1618"/>
    <cellStyle name="Normal 5 2 5 2 5 2" xfId="2823"/>
    <cellStyle name="Normal 5 2 5 2 5 2 2" xfId="8369"/>
    <cellStyle name="Normal 5 2 5 2 5 2 3" xfId="13908"/>
    <cellStyle name="Normal 5 2 5 2 5 3" xfId="7164"/>
    <cellStyle name="Normal 5 2 5 2 5 4" xfId="12703"/>
    <cellStyle name="Normal 5 2 5 2 6" xfId="2996"/>
    <cellStyle name="Normal 5 2 5 2 6 2" xfId="8540"/>
    <cellStyle name="Normal 5 2 5 2 6 3" xfId="14079"/>
    <cellStyle name="Normal 5 2 5 2 7" xfId="4041"/>
    <cellStyle name="Normal 5 2 5 2 7 2" xfId="9583"/>
    <cellStyle name="Normal 5 2 5 2 7 3" xfId="15122"/>
    <cellStyle name="Normal 5 2 5 2 8" xfId="5078"/>
    <cellStyle name="Normal 5 2 5 2 8 2" xfId="10617"/>
    <cellStyle name="Normal 5 2 5 2 8 3" xfId="16156"/>
    <cellStyle name="Normal 5 2 5 2 9" xfId="1780"/>
    <cellStyle name="Normal 5 2 5 2 9 2" xfId="7326"/>
    <cellStyle name="Normal 5 2 5 2 9 3" xfId="12865"/>
    <cellStyle name="Normal 5 2 5 3" xfId="515"/>
    <cellStyle name="Normal 5 2 5 3 2" xfId="1356"/>
    <cellStyle name="Normal 5 2 5 3 2 2" xfId="3888"/>
    <cellStyle name="Normal 5 2 5 3 2 2 2" xfId="9430"/>
    <cellStyle name="Normal 5 2 5 3 2 2 3" xfId="14969"/>
    <cellStyle name="Normal 5 2 5 3 2 3" xfId="4925"/>
    <cellStyle name="Normal 5 2 5 3 2 3 2" xfId="10464"/>
    <cellStyle name="Normal 5 2 5 3 2 3 3" xfId="16003"/>
    <cellStyle name="Normal 5 2 5 3 2 4" xfId="5859"/>
    <cellStyle name="Normal 5 2 5 3 2 4 2" xfId="11398"/>
    <cellStyle name="Normal 5 2 5 3 2 4 3" xfId="16937"/>
    <cellStyle name="Normal 5 2 5 3 2 5" xfId="2561"/>
    <cellStyle name="Normal 5 2 5 3 2 5 2" xfId="8107"/>
    <cellStyle name="Normal 5 2 5 3 2 5 3" xfId="13646"/>
    <cellStyle name="Normal 5 2 5 3 2 6" xfId="6902"/>
    <cellStyle name="Normal 5 2 5 3 2 7" xfId="12441"/>
    <cellStyle name="Normal 5 2 5 3 3" xfId="1006"/>
    <cellStyle name="Normal 5 2 5 3 3 2" xfId="3536"/>
    <cellStyle name="Normal 5 2 5 3 3 2 2" xfId="9078"/>
    <cellStyle name="Normal 5 2 5 3 3 2 3" xfId="14617"/>
    <cellStyle name="Normal 5 2 5 3 3 3" xfId="4573"/>
    <cellStyle name="Normal 5 2 5 3 3 3 2" xfId="10112"/>
    <cellStyle name="Normal 5 2 5 3 3 3 3" xfId="15651"/>
    <cellStyle name="Normal 5 2 5 3 3 4" xfId="5508"/>
    <cellStyle name="Normal 5 2 5 3 3 4 2" xfId="11047"/>
    <cellStyle name="Normal 5 2 5 3 3 4 3" xfId="16586"/>
    <cellStyle name="Normal 5 2 5 3 3 5" xfId="2210"/>
    <cellStyle name="Normal 5 2 5 3 3 5 2" xfId="7756"/>
    <cellStyle name="Normal 5 2 5 3 3 5 3" xfId="13295"/>
    <cellStyle name="Normal 5 2 5 3 3 6" xfId="6551"/>
    <cellStyle name="Normal 5 2 5 3 3 7" xfId="12090"/>
    <cellStyle name="Normal 5 2 5 3 4" xfId="3174"/>
    <cellStyle name="Normal 5 2 5 3 4 2" xfId="8716"/>
    <cellStyle name="Normal 5 2 5 3 4 3" xfId="14255"/>
    <cellStyle name="Normal 5 2 5 3 5" xfId="4213"/>
    <cellStyle name="Normal 5 2 5 3 5 2" xfId="9752"/>
    <cellStyle name="Normal 5 2 5 3 5 3" xfId="15291"/>
    <cellStyle name="Normal 5 2 5 3 6" xfId="5174"/>
    <cellStyle name="Normal 5 2 5 3 6 2" xfId="10713"/>
    <cellStyle name="Normal 5 2 5 3 6 3" xfId="16252"/>
    <cellStyle name="Normal 5 2 5 3 7" xfId="1876"/>
    <cellStyle name="Normal 5 2 5 3 7 2" xfId="7422"/>
    <cellStyle name="Normal 5 2 5 3 7 3" xfId="12961"/>
    <cellStyle name="Normal 5 2 5 3 8" xfId="6217"/>
    <cellStyle name="Normal 5 2 5 3 9" xfId="11756"/>
    <cellStyle name="Normal 5 2 5 4" xfId="1183"/>
    <cellStyle name="Normal 5 2 5 4 2" xfId="3713"/>
    <cellStyle name="Normal 5 2 5 4 2 2" xfId="9255"/>
    <cellStyle name="Normal 5 2 5 4 2 3" xfId="14794"/>
    <cellStyle name="Normal 5 2 5 4 3" xfId="4750"/>
    <cellStyle name="Normal 5 2 5 4 3 2" xfId="10289"/>
    <cellStyle name="Normal 5 2 5 4 3 3" xfId="15828"/>
    <cellStyle name="Normal 5 2 5 4 4" xfId="5685"/>
    <cellStyle name="Normal 5 2 5 4 4 2" xfId="11224"/>
    <cellStyle name="Normal 5 2 5 4 4 3" xfId="16763"/>
    <cellStyle name="Normal 5 2 5 4 5" xfId="2387"/>
    <cellStyle name="Normal 5 2 5 4 5 2" xfId="7933"/>
    <cellStyle name="Normal 5 2 5 4 5 3" xfId="13472"/>
    <cellStyle name="Normal 5 2 5 4 6" xfId="6728"/>
    <cellStyle name="Normal 5 2 5 4 7" xfId="12267"/>
    <cellStyle name="Normal 5 2 5 5" xfId="836"/>
    <cellStyle name="Normal 5 2 5 5 2" xfId="3366"/>
    <cellStyle name="Normal 5 2 5 5 2 2" xfId="8908"/>
    <cellStyle name="Normal 5 2 5 5 2 3" xfId="14447"/>
    <cellStyle name="Normal 5 2 5 5 3" xfId="4403"/>
    <cellStyle name="Normal 5 2 5 5 3 2" xfId="9942"/>
    <cellStyle name="Normal 5 2 5 5 3 3" xfId="15481"/>
    <cellStyle name="Normal 5 2 5 5 4" xfId="5338"/>
    <cellStyle name="Normal 5 2 5 5 4 2" xfId="10877"/>
    <cellStyle name="Normal 5 2 5 5 4 3" xfId="16416"/>
    <cellStyle name="Normal 5 2 5 5 5" xfId="2040"/>
    <cellStyle name="Normal 5 2 5 5 5 2" xfId="7586"/>
    <cellStyle name="Normal 5 2 5 5 5 3" xfId="13125"/>
    <cellStyle name="Normal 5 2 5 5 6" xfId="6381"/>
    <cellStyle name="Normal 5 2 5 5 7" xfId="11920"/>
    <cellStyle name="Normal 5 2 5 6" xfId="1528"/>
    <cellStyle name="Normal 5 2 5 6 2" xfId="2733"/>
    <cellStyle name="Normal 5 2 5 6 2 2" xfId="8279"/>
    <cellStyle name="Normal 5 2 5 6 2 3" xfId="13818"/>
    <cellStyle name="Normal 5 2 5 6 3" xfId="7074"/>
    <cellStyle name="Normal 5 2 5 6 4" xfId="12613"/>
    <cellStyle name="Normal 5 2 5 7" xfId="2906"/>
    <cellStyle name="Normal 5 2 5 7 2" xfId="8450"/>
    <cellStyle name="Normal 5 2 5 7 3" xfId="13989"/>
    <cellStyle name="Normal 5 2 5 8" xfId="3021"/>
    <cellStyle name="Normal 5 2 5 8 2" xfId="8565"/>
    <cellStyle name="Normal 5 2 5 8 3" xfId="14104"/>
    <cellStyle name="Normal 5 2 5 9" xfId="4065"/>
    <cellStyle name="Normal 5 2 5 9 2" xfId="9607"/>
    <cellStyle name="Normal 5 2 5 9 3" xfId="15146"/>
    <cellStyle name="Normal 5 2 6" xfId="318"/>
    <cellStyle name="Normal 5 2 6 10" xfId="1672"/>
    <cellStyle name="Normal 5 2 6 10 2" xfId="7218"/>
    <cellStyle name="Normal 5 2 6 10 3" xfId="12757"/>
    <cellStyle name="Normal 5 2 6 11" xfId="6013"/>
    <cellStyle name="Normal 5 2 6 11 2" xfId="17091"/>
    <cellStyle name="Normal 5 2 6 12" xfId="657"/>
    <cellStyle name="Normal 5 2 6 12 2" xfId="17253"/>
    <cellStyle name="Normal 5 2 6 13" xfId="11552"/>
    <cellStyle name="Normal 5 2 6 14" xfId="17420"/>
    <cellStyle name="Normal 5 2 6 15" xfId="17585"/>
    <cellStyle name="Normal 5 2 6 2" xfId="319"/>
    <cellStyle name="Normal 5 2 6 2 10" xfId="6103"/>
    <cellStyle name="Normal 5 2 6 2 10 2" xfId="17181"/>
    <cellStyle name="Normal 5 2 6 2 11" xfId="747"/>
    <cellStyle name="Normal 5 2 6 2 11 2" xfId="17343"/>
    <cellStyle name="Normal 5 2 6 2 12" xfId="11642"/>
    <cellStyle name="Normal 5 2 6 2 13" xfId="17510"/>
    <cellStyle name="Normal 5 2 6 2 14" xfId="17675"/>
    <cellStyle name="Normal 5 2 6 2 2" xfId="518"/>
    <cellStyle name="Normal 5 2 6 2 2 2" xfId="1359"/>
    <cellStyle name="Normal 5 2 6 2 2 2 2" xfId="3891"/>
    <cellStyle name="Normal 5 2 6 2 2 2 2 2" xfId="9433"/>
    <cellStyle name="Normal 5 2 6 2 2 2 2 3" xfId="14972"/>
    <cellStyle name="Normal 5 2 6 2 2 2 3" xfId="4928"/>
    <cellStyle name="Normal 5 2 6 2 2 2 3 2" xfId="10467"/>
    <cellStyle name="Normal 5 2 6 2 2 2 3 3" xfId="16006"/>
    <cellStyle name="Normal 5 2 6 2 2 2 4" xfId="5862"/>
    <cellStyle name="Normal 5 2 6 2 2 2 4 2" xfId="11401"/>
    <cellStyle name="Normal 5 2 6 2 2 2 4 3" xfId="16940"/>
    <cellStyle name="Normal 5 2 6 2 2 2 5" xfId="2564"/>
    <cellStyle name="Normal 5 2 6 2 2 2 5 2" xfId="8110"/>
    <cellStyle name="Normal 5 2 6 2 2 2 5 3" xfId="13649"/>
    <cellStyle name="Normal 5 2 6 2 2 2 6" xfId="6905"/>
    <cellStyle name="Normal 5 2 6 2 2 2 7" xfId="12444"/>
    <cellStyle name="Normal 5 2 6 2 2 3" xfId="1078"/>
    <cellStyle name="Normal 5 2 6 2 2 3 2" xfId="3608"/>
    <cellStyle name="Normal 5 2 6 2 2 3 2 2" xfId="9150"/>
    <cellStyle name="Normal 5 2 6 2 2 3 2 3" xfId="14689"/>
    <cellStyle name="Normal 5 2 6 2 2 3 3" xfId="4645"/>
    <cellStyle name="Normal 5 2 6 2 2 3 3 2" xfId="10184"/>
    <cellStyle name="Normal 5 2 6 2 2 3 3 3" xfId="15723"/>
    <cellStyle name="Normal 5 2 6 2 2 3 4" xfId="5580"/>
    <cellStyle name="Normal 5 2 6 2 2 3 4 2" xfId="11119"/>
    <cellStyle name="Normal 5 2 6 2 2 3 4 3" xfId="16658"/>
    <cellStyle name="Normal 5 2 6 2 2 3 5" xfId="2282"/>
    <cellStyle name="Normal 5 2 6 2 2 3 5 2" xfId="7828"/>
    <cellStyle name="Normal 5 2 6 2 2 3 5 3" xfId="13367"/>
    <cellStyle name="Normal 5 2 6 2 2 3 6" xfId="6623"/>
    <cellStyle name="Normal 5 2 6 2 2 3 7" xfId="12162"/>
    <cellStyle name="Normal 5 2 6 2 2 4" xfId="3177"/>
    <cellStyle name="Normal 5 2 6 2 2 4 2" xfId="8719"/>
    <cellStyle name="Normal 5 2 6 2 2 4 3" xfId="14258"/>
    <cellStyle name="Normal 5 2 6 2 2 5" xfId="4216"/>
    <cellStyle name="Normal 5 2 6 2 2 5 2" xfId="9755"/>
    <cellStyle name="Normal 5 2 6 2 2 5 3" xfId="15294"/>
    <cellStyle name="Normal 5 2 6 2 2 6" xfId="5177"/>
    <cellStyle name="Normal 5 2 6 2 2 6 2" xfId="10716"/>
    <cellStyle name="Normal 5 2 6 2 2 6 3" xfId="16255"/>
    <cellStyle name="Normal 5 2 6 2 2 7" xfId="1879"/>
    <cellStyle name="Normal 5 2 6 2 2 7 2" xfId="7425"/>
    <cellStyle name="Normal 5 2 6 2 2 7 3" xfId="12964"/>
    <cellStyle name="Normal 5 2 6 2 2 8" xfId="6220"/>
    <cellStyle name="Normal 5 2 6 2 2 9" xfId="11759"/>
    <cellStyle name="Normal 5 2 6 2 3" xfId="1255"/>
    <cellStyle name="Normal 5 2 6 2 3 2" xfId="3785"/>
    <cellStyle name="Normal 5 2 6 2 3 2 2" xfId="9327"/>
    <cellStyle name="Normal 5 2 6 2 3 2 3" xfId="14866"/>
    <cellStyle name="Normal 5 2 6 2 3 3" xfId="4822"/>
    <cellStyle name="Normal 5 2 6 2 3 3 2" xfId="10361"/>
    <cellStyle name="Normal 5 2 6 2 3 3 3" xfId="15900"/>
    <cellStyle name="Normal 5 2 6 2 3 4" xfId="5757"/>
    <cellStyle name="Normal 5 2 6 2 3 4 2" xfId="11296"/>
    <cellStyle name="Normal 5 2 6 2 3 4 3" xfId="16835"/>
    <cellStyle name="Normal 5 2 6 2 3 5" xfId="2459"/>
    <cellStyle name="Normal 5 2 6 2 3 5 2" xfId="8005"/>
    <cellStyle name="Normal 5 2 6 2 3 5 3" xfId="13544"/>
    <cellStyle name="Normal 5 2 6 2 3 6" xfId="6800"/>
    <cellStyle name="Normal 5 2 6 2 3 7" xfId="12339"/>
    <cellStyle name="Normal 5 2 6 2 4" xfId="839"/>
    <cellStyle name="Normal 5 2 6 2 4 2" xfId="3369"/>
    <cellStyle name="Normal 5 2 6 2 4 2 2" xfId="8911"/>
    <cellStyle name="Normal 5 2 6 2 4 2 3" xfId="14450"/>
    <cellStyle name="Normal 5 2 6 2 4 3" xfId="4406"/>
    <cellStyle name="Normal 5 2 6 2 4 3 2" xfId="9945"/>
    <cellStyle name="Normal 5 2 6 2 4 3 3" xfId="15484"/>
    <cellStyle name="Normal 5 2 6 2 4 4" xfId="5341"/>
    <cellStyle name="Normal 5 2 6 2 4 4 2" xfId="10880"/>
    <cellStyle name="Normal 5 2 6 2 4 4 3" xfId="16419"/>
    <cellStyle name="Normal 5 2 6 2 4 5" xfId="2043"/>
    <cellStyle name="Normal 5 2 6 2 4 5 2" xfId="7589"/>
    <cellStyle name="Normal 5 2 6 2 4 5 3" xfId="13128"/>
    <cellStyle name="Normal 5 2 6 2 4 6" xfId="6384"/>
    <cellStyle name="Normal 5 2 6 2 4 7" xfId="11923"/>
    <cellStyle name="Normal 5 2 6 2 5" xfId="1600"/>
    <cellStyle name="Normal 5 2 6 2 5 2" xfId="2805"/>
    <cellStyle name="Normal 5 2 6 2 5 2 2" xfId="8351"/>
    <cellStyle name="Normal 5 2 6 2 5 2 3" xfId="13890"/>
    <cellStyle name="Normal 5 2 6 2 5 3" xfId="7146"/>
    <cellStyle name="Normal 5 2 6 2 5 4" xfId="12685"/>
    <cellStyle name="Normal 5 2 6 2 6" xfId="2978"/>
    <cellStyle name="Normal 5 2 6 2 6 2" xfId="8522"/>
    <cellStyle name="Normal 5 2 6 2 6 3" xfId="14061"/>
    <cellStyle name="Normal 5 2 6 2 7" xfId="4023"/>
    <cellStyle name="Normal 5 2 6 2 7 2" xfId="9565"/>
    <cellStyle name="Normal 5 2 6 2 7 3" xfId="15104"/>
    <cellStyle name="Normal 5 2 6 2 8" xfId="5060"/>
    <cellStyle name="Normal 5 2 6 2 8 2" xfId="10599"/>
    <cellStyle name="Normal 5 2 6 2 8 3" xfId="16138"/>
    <cellStyle name="Normal 5 2 6 2 9" xfId="1762"/>
    <cellStyle name="Normal 5 2 6 2 9 2" xfId="7308"/>
    <cellStyle name="Normal 5 2 6 2 9 3" xfId="12847"/>
    <cellStyle name="Normal 5 2 6 3" xfId="517"/>
    <cellStyle name="Normal 5 2 6 3 2" xfId="1358"/>
    <cellStyle name="Normal 5 2 6 3 2 2" xfId="3890"/>
    <cellStyle name="Normal 5 2 6 3 2 2 2" xfId="9432"/>
    <cellStyle name="Normal 5 2 6 3 2 2 3" xfId="14971"/>
    <cellStyle name="Normal 5 2 6 3 2 3" xfId="4927"/>
    <cellStyle name="Normal 5 2 6 3 2 3 2" xfId="10466"/>
    <cellStyle name="Normal 5 2 6 3 2 3 3" xfId="16005"/>
    <cellStyle name="Normal 5 2 6 3 2 4" xfId="5861"/>
    <cellStyle name="Normal 5 2 6 3 2 4 2" xfId="11400"/>
    <cellStyle name="Normal 5 2 6 3 2 4 3" xfId="16939"/>
    <cellStyle name="Normal 5 2 6 3 2 5" xfId="2563"/>
    <cellStyle name="Normal 5 2 6 3 2 5 2" xfId="8109"/>
    <cellStyle name="Normal 5 2 6 3 2 5 3" xfId="13648"/>
    <cellStyle name="Normal 5 2 6 3 2 6" xfId="6904"/>
    <cellStyle name="Normal 5 2 6 3 2 7" xfId="12443"/>
    <cellStyle name="Normal 5 2 6 3 3" xfId="988"/>
    <cellStyle name="Normal 5 2 6 3 3 2" xfId="3518"/>
    <cellStyle name="Normal 5 2 6 3 3 2 2" xfId="9060"/>
    <cellStyle name="Normal 5 2 6 3 3 2 3" xfId="14599"/>
    <cellStyle name="Normal 5 2 6 3 3 3" xfId="4555"/>
    <cellStyle name="Normal 5 2 6 3 3 3 2" xfId="10094"/>
    <cellStyle name="Normal 5 2 6 3 3 3 3" xfId="15633"/>
    <cellStyle name="Normal 5 2 6 3 3 4" xfId="5490"/>
    <cellStyle name="Normal 5 2 6 3 3 4 2" xfId="11029"/>
    <cellStyle name="Normal 5 2 6 3 3 4 3" xfId="16568"/>
    <cellStyle name="Normal 5 2 6 3 3 5" xfId="2192"/>
    <cellStyle name="Normal 5 2 6 3 3 5 2" xfId="7738"/>
    <cellStyle name="Normal 5 2 6 3 3 5 3" xfId="13277"/>
    <cellStyle name="Normal 5 2 6 3 3 6" xfId="6533"/>
    <cellStyle name="Normal 5 2 6 3 3 7" xfId="12072"/>
    <cellStyle name="Normal 5 2 6 3 4" xfId="3176"/>
    <cellStyle name="Normal 5 2 6 3 4 2" xfId="8718"/>
    <cellStyle name="Normal 5 2 6 3 4 3" xfId="14257"/>
    <cellStyle name="Normal 5 2 6 3 5" xfId="4215"/>
    <cellStyle name="Normal 5 2 6 3 5 2" xfId="9754"/>
    <cellStyle name="Normal 5 2 6 3 5 3" xfId="15293"/>
    <cellStyle name="Normal 5 2 6 3 6" xfId="5176"/>
    <cellStyle name="Normal 5 2 6 3 6 2" xfId="10715"/>
    <cellStyle name="Normal 5 2 6 3 6 3" xfId="16254"/>
    <cellStyle name="Normal 5 2 6 3 7" xfId="1878"/>
    <cellStyle name="Normal 5 2 6 3 7 2" xfId="7424"/>
    <cellStyle name="Normal 5 2 6 3 7 3" xfId="12963"/>
    <cellStyle name="Normal 5 2 6 3 8" xfId="6219"/>
    <cellStyle name="Normal 5 2 6 3 9" xfId="11758"/>
    <cellStyle name="Normal 5 2 6 4" xfId="1165"/>
    <cellStyle name="Normal 5 2 6 4 2" xfId="3695"/>
    <cellStyle name="Normal 5 2 6 4 2 2" xfId="9237"/>
    <cellStyle name="Normal 5 2 6 4 2 3" xfId="14776"/>
    <cellStyle name="Normal 5 2 6 4 3" xfId="4732"/>
    <cellStyle name="Normal 5 2 6 4 3 2" xfId="10271"/>
    <cellStyle name="Normal 5 2 6 4 3 3" xfId="15810"/>
    <cellStyle name="Normal 5 2 6 4 4" xfId="5667"/>
    <cellStyle name="Normal 5 2 6 4 4 2" xfId="11206"/>
    <cellStyle name="Normal 5 2 6 4 4 3" xfId="16745"/>
    <cellStyle name="Normal 5 2 6 4 5" xfId="2369"/>
    <cellStyle name="Normal 5 2 6 4 5 2" xfId="7915"/>
    <cellStyle name="Normal 5 2 6 4 5 3" xfId="13454"/>
    <cellStyle name="Normal 5 2 6 4 6" xfId="6710"/>
    <cellStyle name="Normal 5 2 6 4 7" xfId="12249"/>
    <cellStyle name="Normal 5 2 6 5" xfId="838"/>
    <cellStyle name="Normal 5 2 6 5 2" xfId="3368"/>
    <cellStyle name="Normal 5 2 6 5 2 2" xfId="8910"/>
    <cellStyle name="Normal 5 2 6 5 2 3" xfId="14449"/>
    <cellStyle name="Normal 5 2 6 5 3" xfId="4405"/>
    <cellStyle name="Normal 5 2 6 5 3 2" xfId="9944"/>
    <cellStyle name="Normal 5 2 6 5 3 3" xfId="15483"/>
    <cellStyle name="Normal 5 2 6 5 4" xfId="5340"/>
    <cellStyle name="Normal 5 2 6 5 4 2" xfId="10879"/>
    <cellStyle name="Normal 5 2 6 5 4 3" xfId="16418"/>
    <cellStyle name="Normal 5 2 6 5 5" xfId="2042"/>
    <cellStyle name="Normal 5 2 6 5 5 2" xfId="7588"/>
    <cellStyle name="Normal 5 2 6 5 5 3" xfId="13127"/>
    <cellStyle name="Normal 5 2 6 5 6" xfId="6383"/>
    <cellStyle name="Normal 5 2 6 5 7" xfId="11922"/>
    <cellStyle name="Normal 5 2 6 6" xfId="1510"/>
    <cellStyle name="Normal 5 2 6 6 2" xfId="2715"/>
    <cellStyle name="Normal 5 2 6 6 2 2" xfId="8261"/>
    <cellStyle name="Normal 5 2 6 6 2 3" xfId="13800"/>
    <cellStyle name="Normal 5 2 6 6 3" xfId="7056"/>
    <cellStyle name="Normal 5 2 6 6 4" xfId="12595"/>
    <cellStyle name="Normal 5 2 6 7" xfId="2888"/>
    <cellStyle name="Normal 5 2 6 7 2" xfId="8432"/>
    <cellStyle name="Normal 5 2 6 7 3" xfId="13971"/>
    <cellStyle name="Normal 5 2 6 8" xfId="3304"/>
    <cellStyle name="Normal 5 2 6 8 2" xfId="8846"/>
    <cellStyle name="Normal 5 2 6 8 3" xfId="14385"/>
    <cellStyle name="Normal 5 2 6 9" xfId="4341"/>
    <cellStyle name="Normal 5 2 6 9 2" xfId="9880"/>
    <cellStyle name="Normal 5 2 6 9 3" xfId="15419"/>
    <cellStyle name="Normal 5 2 7" xfId="320"/>
    <cellStyle name="Normal 5 2 7 10" xfId="1708"/>
    <cellStyle name="Normal 5 2 7 10 2" xfId="7254"/>
    <cellStyle name="Normal 5 2 7 10 3" xfId="12793"/>
    <cellStyle name="Normal 5 2 7 11" xfId="6049"/>
    <cellStyle name="Normal 5 2 7 11 2" xfId="17127"/>
    <cellStyle name="Normal 5 2 7 12" xfId="693"/>
    <cellStyle name="Normal 5 2 7 12 2" xfId="17289"/>
    <cellStyle name="Normal 5 2 7 13" xfId="11588"/>
    <cellStyle name="Normal 5 2 7 14" xfId="17456"/>
    <cellStyle name="Normal 5 2 7 15" xfId="17621"/>
    <cellStyle name="Normal 5 2 7 2" xfId="321"/>
    <cellStyle name="Normal 5 2 7 2 10" xfId="6085"/>
    <cellStyle name="Normal 5 2 7 2 10 2" xfId="17163"/>
    <cellStyle name="Normal 5 2 7 2 11" xfId="729"/>
    <cellStyle name="Normal 5 2 7 2 11 2" xfId="17325"/>
    <cellStyle name="Normal 5 2 7 2 12" xfId="11624"/>
    <cellStyle name="Normal 5 2 7 2 13" xfId="17492"/>
    <cellStyle name="Normal 5 2 7 2 14" xfId="17657"/>
    <cellStyle name="Normal 5 2 7 2 2" xfId="520"/>
    <cellStyle name="Normal 5 2 7 2 2 2" xfId="1361"/>
    <cellStyle name="Normal 5 2 7 2 2 2 2" xfId="3893"/>
    <cellStyle name="Normal 5 2 7 2 2 2 2 2" xfId="9435"/>
    <cellStyle name="Normal 5 2 7 2 2 2 2 3" xfId="14974"/>
    <cellStyle name="Normal 5 2 7 2 2 2 3" xfId="4930"/>
    <cellStyle name="Normal 5 2 7 2 2 2 3 2" xfId="10469"/>
    <cellStyle name="Normal 5 2 7 2 2 2 3 3" xfId="16008"/>
    <cellStyle name="Normal 5 2 7 2 2 2 4" xfId="5864"/>
    <cellStyle name="Normal 5 2 7 2 2 2 4 2" xfId="11403"/>
    <cellStyle name="Normal 5 2 7 2 2 2 4 3" xfId="16942"/>
    <cellStyle name="Normal 5 2 7 2 2 2 5" xfId="2566"/>
    <cellStyle name="Normal 5 2 7 2 2 2 5 2" xfId="8112"/>
    <cellStyle name="Normal 5 2 7 2 2 2 5 3" xfId="13651"/>
    <cellStyle name="Normal 5 2 7 2 2 2 6" xfId="6907"/>
    <cellStyle name="Normal 5 2 7 2 2 2 7" xfId="12446"/>
    <cellStyle name="Normal 5 2 7 2 2 3" xfId="1060"/>
    <cellStyle name="Normal 5 2 7 2 2 3 2" xfId="3590"/>
    <cellStyle name="Normal 5 2 7 2 2 3 2 2" xfId="9132"/>
    <cellStyle name="Normal 5 2 7 2 2 3 2 3" xfId="14671"/>
    <cellStyle name="Normal 5 2 7 2 2 3 3" xfId="4627"/>
    <cellStyle name="Normal 5 2 7 2 2 3 3 2" xfId="10166"/>
    <cellStyle name="Normal 5 2 7 2 2 3 3 3" xfId="15705"/>
    <cellStyle name="Normal 5 2 7 2 2 3 4" xfId="5562"/>
    <cellStyle name="Normal 5 2 7 2 2 3 4 2" xfId="11101"/>
    <cellStyle name="Normal 5 2 7 2 2 3 4 3" xfId="16640"/>
    <cellStyle name="Normal 5 2 7 2 2 3 5" xfId="2264"/>
    <cellStyle name="Normal 5 2 7 2 2 3 5 2" xfId="7810"/>
    <cellStyle name="Normal 5 2 7 2 2 3 5 3" xfId="13349"/>
    <cellStyle name="Normal 5 2 7 2 2 3 6" xfId="6605"/>
    <cellStyle name="Normal 5 2 7 2 2 3 7" xfId="12144"/>
    <cellStyle name="Normal 5 2 7 2 2 4" xfId="3179"/>
    <cellStyle name="Normal 5 2 7 2 2 4 2" xfId="8721"/>
    <cellStyle name="Normal 5 2 7 2 2 4 3" xfId="14260"/>
    <cellStyle name="Normal 5 2 7 2 2 5" xfId="4218"/>
    <cellStyle name="Normal 5 2 7 2 2 5 2" xfId="9757"/>
    <cellStyle name="Normal 5 2 7 2 2 5 3" xfId="15296"/>
    <cellStyle name="Normal 5 2 7 2 2 6" xfId="5179"/>
    <cellStyle name="Normal 5 2 7 2 2 6 2" xfId="10718"/>
    <cellStyle name="Normal 5 2 7 2 2 6 3" xfId="16257"/>
    <cellStyle name="Normal 5 2 7 2 2 7" xfId="1881"/>
    <cellStyle name="Normal 5 2 7 2 2 7 2" xfId="7427"/>
    <cellStyle name="Normal 5 2 7 2 2 7 3" xfId="12966"/>
    <cellStyle name="Normal 5 2 7 2 2 8" xfId="6222"/>
    <cellStyle name="Normal 5 2 7 2 2 9" xfId="11761"/>
    <cellStyle name="Normal 5 2 7 2 3" xfId="1237"/>
    <cellStyle name="Normal 5 2 7 2 3 2" xfId="3767"/>
    <cellStyle name="Normal 5 2 7 2 3 2 2" xfId="9309"/>
    <cellStyle name="Normal 5 2 7 2 3 2 3" xfId="14848"/>
    <cellStyle name="Normal 5 2 7 2 3 3" xfId="4804"/>
    <cellStyle name="Normal 5 2 7 2 3 3 2" xfId="10343"/>
    <cellStyle name="Normal 5 2 7 2 3 3 3" xfId="15882"/>
    <cellStyle name="Normal 5 2 7 2 3 4" xfId="5739"/>
    <cellStyle name="Normal 5 2 7 2 3 4 2" xfId="11278"/>
    <cellStyle name="Normal 5 2 7 2 3 4 3" xfId="16817"/>
    <cellStyle name="Normal 5 2 7 2 3 5" xfId="2441"/>
    <cellStyle name="Normal 5 2 7 2 3 5 2" xfId="7987"/>
    <cellStyle name="Normal 5 2 7 2 3 5 3" xfId="13526"/>
    <cellStyle name="Normal 5 2 7 2 3 6" xfId="6782"/>
    <cellStyle name="Normal 5 2 7 2 3 7" xfId="12321"/>
    <cellStyle name="Normal 5 2 7 2 4" xfId="841"/>
    <cellStyle name="Normal 5 2 7 2 4 2" xfId="3371"/>
    <cellStyle name="Normal 5 2 7 2 4 2 2" xfId="8913"/>
    <cellStyle name="Normal 5 2 7 2 4 2 3" xfId="14452"/>
    <cellStyle name="Normal 5 2 7 2 4 3" xfId="4408"/>
    <cellStyle name="Normal 5 2 7 2 4 3 2" xfId="9947"/>
    <cellStyle name="Normal 5 2 7 2 4 3 3" xfId="15486"/>
    <cellStyle name="Normal 5 2 7 2 4 4" xfId="5343"/>
    <cellStyle name="Normal 5 2 7 2 4 4 2" xfId="10882"/>
    <cellStyle name="Normal 5 2 7 2 4 4 3" xfId="16421"/>
    <cellStyle name="Normal 5 2 7 2 4 5" xfId="2045"/>
    <cellStyle name="Normal 5 2 7 2 4 5 2" xfId="7591"/>
    <cellStyle name="Normal 5 2 7 2 4 5 3" xfId="13130"/>
    <cellStyle name="Normal 5 2 7 2 4 6" xfId="6386"/>
    <cellStyle name="Normal 5 2 7 2 4 7" xfId="11925"/>
    <cellStyle name="Normal 5 2 7 2 5" xfId="1582"/>
    <cellStyle name="Normal 5 2 7 2 5 2" xfId="2787"/>
    <cellStyle name="Normal 5 2 7 2 5 2 2" xfId="8333"/>
    <cellStyle name="Normal 5 2 7 2 5 2 3" xfId="13872"/>
    <cellStyle name="Normal 5 2 7 2 5 3" xfId="7128"/>
    <cellStyle name="Normal 5 2 7 2 5 4" xfId="12667"/>
    <cellStyle name="Normal 5 2 7 2 6" xfId="2960"/>
    <cellStyle name="Normal 5 2 7 2 6 2" xfId="8504"/>
    <cellStyle name="Normal 5 2 7 2 6 3" xfId="14043"/>
    <cellStyle name="Normal 5 2 7 2 7" xfId="4005"/>
    <cellStyle name="Normal 5 2 7 2 7 2" xfId="9547"/>
    <cellStyle name="Normal 5 2 7 2 7 3" xfId="15086"/>
    <cellStyle name="Normal 5 2 7 2 8" xfId="5042"/>
    <cellStyle name="Normal 5 2 7 2 8 2" xfId="10581"/>
    <cellStyle name="Normal 5 2 7 2 8 3" xfId="16120"/>
    <cellStyle name="Normal 5 2 7 2 9" xfId="1744"/>
    <cellStyle name="Normal 5 2 7 2 9 2" xfId="7290"/>
    <cellStyle name="Normal 5 2 7 2 9 3" xfId="12829"/>
    <cellStyle name="Normal 5 2 7 3" xfId="519"/>
    <cellStyle name="Normal 5 2 7 3 2" xfId="1360"/>
    <cellStyle name="Normal 5 2 7 3 2 2" xfId="3892"/>
    <cellStyle name="Normal 5 2 7 3 2 2 2" xfId="9434"/>
    <cellStyle name="Normal 5 2 7 3 2 2 3" xfId="14973"/>
    <cellStyle name="Normal 5 2 7 3 2 3" xfId="4929"/>
    <cellStyle name="Normal 5 2 7 3 2 3 2" xfId="10468"/>
    <cellStyle name="Normal 5 2 7 3 2 3 3" xfId="16007"/>
    <cellStyle name="Normal 5 2 7 3 2 4" xfId="5863"/>
    <cellStyle name="Normal 5 2 7 3 2 4 2" xfId="11402"/>
    <cellStyle name="Normal 5 2 7 3 2 4 3" xfId="16941"/>
    <cellStyle name="Normal 5 2 7 3 2 5" xfId="2565"/>
    <cellStyle name="Normal 5 2 7 3 2 5 2" xfId="8111"/>
    <cellStyle name="Normal 5 2 7 3 2 5 3" xfId="13650"/>
    <cellStyle name="Normal 5 2 7 3 2 6" xfId="6906"/>
    <cellStyle name="Normal 5 2 7 3 2 7" xfId="12445"/>
    <cellStyle name="Normal 5 2 7 3 3" xfId="1024"/>
    <cellStyle name="Normal 5 2 7 3 3 2" xfId="3554"/>
    <cellStyle name="Normal 5 2 7 3 3 2 2" xfId="9096"/>
    <cellStyle name="Normal 5 2 7 3 3 2 3" xfId="14635"/>
    <cellStyle name="Normal 5 2 7 3 3 3" xfId="4591"/>
    <cellStyle name="Normal 5 2 7 3 3 3 2" xfId="10130"/>
    <cellStyle name="Normal 5 2 7 3 3 3 3" xfId="15669"/>
    <cellStyle name="Normal 5 2 7 3 3 4" xfId="5526"/>
    <cellStyle name="Normal 5 2 7 3 3 4 2" xfId="11065"/>
    <cellStyle name="Normal 5 2 7 3 3 4 3" xfId="16604"/>
    <cellStyle name="Normal 5 2 7 3 3 5" xfId="2228"/>
    <cellStyle name="Normal 5 2 7 3 3 5 2" xfId="7774"/>
    <cellStyle name="Normal 5 2 7 3 3 5 3" xfId="13313"/>
    <cellStyle name="Normal 5 2 7 3 3 6" xfId="6569"/>
    <cellStyle name="Normal 5 2 7 3 3 7" xfId="12108"/>
    <cellStyle name="Normal 5 2 7 3 4" xfId="3178"/>
    <cellStyle name="Normal 5 2 7 3 4 2" xfId="8720"/>
    <cellStyle name="Normal 5 2 7 3 4 3" xfId="14259"/>
    <cellStyle name="Normal 5 2 7 3 5" xfId="4217"/>
    <cellStyle name="Normal 5 2 7 3 5 2" xfId="9756"/>
    <cellStyle name="Normal 5 2 7 3 5 3" xfId="15295"/>
    <cellStyle name="Normal 5 2 7 3 6" xfId="5178"/>
    <cellStyle name="Normal 5 2 7 3 6 2" xfId="10717"/>
    <cellStyle name="Normal 5 2 7 3 6 3" xfId="16256"/>
    <cellStyle name="Normal 5 2 7 3 7" xfId="1880"/>
    <cellStyle name="Normal 5 2 7 3 7 2" xfId="7426"/>
    <cellStyle name="Normal 5 2 7 3 7 3" xfId="12965"/>
    <cellStyle name="Normal 5 2 7 3 8" xfId="6221"/>
    <cellStyle name="Normal 5 2 7 3 9" xfId="11760"/>
    <cellStyle name="Normal 5 2 7 4" xfId="1201"/>
    <cellStyle name="Normal 5 2 7 4 2" xfId="3731"/>
    <cellStyle name="Normal 5 2 7 4 2 2" xfId="9273"/>
    <cellStyle name="Normal 5 2 7 4 2 3" xfId="14812"/>
    <cellStyle name="Normal 5 2 7 4 3" xfId="4768"/>
    <cellStyle name="Normal 5 2 7 4 3 2" xfId="10307"/>
    <cellStyle name="Normal 5 2 7 4 3 3" xfId="15846"/>
    <cellStyle name="Normal 5 2 7 4 4" xfId="5703"/>
    <cellStyle name="Normal 5 2 7 4 4 2" xfId="11242"/>
    <cellStyle name="Normal 5 2 7 4 4 3" xfId="16781"/>
    <cellStyle name="Normal 5 2 7 4 5" xfId="2405"/>
    <cellStyle name="Normal 5 2 7 4 5 2" xfId="7951"/>
    <cellStyle name="Normal 5 2 7 4 5 3" xfId="13490"/>
    <cellStyle name="Normal 5 2 7 4 6" xfId="6746"/>
    <cellStyle name="Normal 5 2 7 4 7" xfId="12285"/>
    <cellStyle name="Normal 5 2 7 5" xfId="840"/>
    <cellStyle name="Normal 5 2 7 5 2" xfId="3370"/>
    <cellStyle name="Normal 5 2 7 5 2 2" xfId="8912"/>
    <cellStyle name="Normal 5 2 7 5 2 3" xfId="14451"/>
    <cellStyle name="Normal 5 2 7 5 3" xfId="4407"/>
    <cellStyle name="Normal 5 2 7 5 3 2" xfId="9946"/>
    <cellStyle name="Normal 5 2 7 5 3 3" xfId="15485"/>
    <cellStyle name="Normal 5 2 7 5 4" xfId="5342"/>
    <cellStyle name="Normal 5 2 7 5 4 2" xfId="10881"/>
    <cellStyle name="Normal 5 2 7 5 4 3" xfId="16420"/>
    <cellStyle name="Normal 5 2 7 5 5" xfId="2044"/>
    <cellStyle name="Normal 5 2 7 5 5 2" xfId="7590"/>
    <cellStyle name="Normal 5 2 7 5 5 3" xfId="13129"/>
    <cellStyle name="Normal 5 2 7 5 6" xfId="6385"/>
    <cellStyle name="Normal 5 2 7 5 7" xfId="11924"/>
    <cellStyle name="Normal 5 2 7 6" xfId="1546"/>
    <cellStyle name="Normal 5 2 7 6 2" xfId="2751"/>
    <cellStyle name="Normal 5 2 7 6 2 2" xfId="8297"/>
    <cellStyle name="Normal 5 2 7 6 2 3" xfId="13836"/>
    <cellStyle name="Normal 5 2 7 6 3" xfId="7092"/>
    <cellStyle name="Normal 5 2 7 6 4" xfId="12631"/>
    <cellStyle name="Normal 5 2 7 7" xfId="2924"/>
    <cellStyle name="Normal 5 2 7 7 2" xfId="8468"/>
    <cellStyle name="Normal 5 2 7 7 3" xfId="14007"/>
    <cellStyle name="Normal 5 2 7 8" xfId="3053"/>
    <cellStyle name="Normal 5 2 7 8 2" xfId="8596"/>
    <cellStyle name="Normal 5 2 7 8 3" xfId="14135"/>
    <cellStyle name="Normal 5 2 7 9" xfId="4096"/>
    <cellStyle name="Normal 5 2 7 9 2" xfId="9637"/>
    <cellStyle name="Normal 5 2 7 9 3" xfId="15176"/>
    <cellStyle name="Normal 5 2 8" xfId="322"/>
    <cellStyle name="Normal 5 2 8 10" xfId="6067"/>
    <cellStyle name="Normal 5 2 8 10 2" xfId="17145"/>
    <cellStyle name="Normal 5 2 8 11" xfId="711"/>
    <cellStyle name="Normal 5 2 8 11 2" xfId="17307"/>
    <cellStyle name="Normal 5 2 8 12" xfId="11606"/>
    <cellStyle name="Normal 5 2 8 13" xfId="17474"/>
    <cellStyle name="Normal 5 2 8 14" xfId="17639"/>
    <cellStyle name="Normal 5 2 8 2" xfId="521"/>
    <cellStyle name="Normal 5 2 8 2 2" xfId="1362"/>
    <cellStyle name="Normal 5 2 8 2 2 2" xfId="3894"/>
    <cellStyle name="Normal 5 2 8 2 2 2 2" xfId="9436"/>
    <cellStyle name="Normal 5 2 8 2 2 2 3" xfId="14975"/>
    <cellStyle name="Normal 5 2 8 2 2 3" xfId="4931"/>
    <cellStyle name="Normal 5 2 8 2 2 3 2" xfId="10470"/>
    <cellStyle name="Normal 5 2 8 2 2 3 3" xfId="16009"/>
    <cellStyle name="Normal 5 2 8 2 2 4" xfId="5865"/>
    <cellStyle name="Normal 5 2 8 2 2 4 2" xfId="11404"/>
    <cellStyle name="Normal 5 2 8 2 2 4 3" xfId="16943"/>
    <cellStyle name="Normal 5 2 8 2 2 5" xfId="2567"/>
    <cellStyle name="Normal 5 2 8 2 2 5 2" xfId="8113"/>
    <cellStyle name="Normal 5 2 8 2 2 5 3" xfId="13652"/>
    <cellStyle name="Normal 5 2 8 2 2 6" xfId="6908"/>
    <cellStyle name="Normal 5 2 8 2 2 7" xfId="12447"/>
    <cellStyle name="Normal 5 2 8 2 3" xfId="1042"/>
    <cellStyle name="Normal 5 2 8 2 3 2" xfId="3572"/>
    <cellStyle name="Normal 5 2 8 2 3 2 2" xfId="9114"/>
    <cellStyle name="Normal 5 2 8 2 3 2 3" xfId="14653"/>
    <cellStyle name="Normal 5 2 8 2 3 3" xfId="4609"/>
    <cellStyle name="Normal 5 2 8 2 3 3 2" xfId="10148"/>
    <cellStyle name="Normal 5 2 8 2 3 3 3" xfId="15687"/>
    <cellStyle name="Normal 5 2 8 2 3 4" xfId="5544"/>
    <cellStyle name="Normal 5 2 8 2 3 4 2" xfId="11083"/>
    <cellStyle name="Normal 5 2 8 2 3 4 3" xfId="16622"/>
    <cellStyle name="Normal 5 2 8 2 3 5" xfId="2246"/>
    <cellStyle name="Normal 5 2 8 2 3 5 2" xfId="7792"/>
    <cellStyle name="Normal 5 2 8 2 3 5 3" xfId="13331"/>
    <cellStyle name="Normal 5 2 8 2 3 6" xfId="6587"/>
    <cellStyle name="Normal 5 2 8 2 3 7" xfId="12126"/>
    <cellStyle name="Normal 5 2 8 2 4" xfId="3180"/>
    <cellStyle name="Normal 5 2 8 2 4 2" xfId="8722"/>
    <cellStyle name="Normal 5 2 8 2 4 3" xfId="14261"/>
    <cellStyle name="Normal 5 2 8 2 5" xfId="4219"/>
    <cellStyle name="Normal 5 2 8 2 5 2" xfId="9758"/>
    <cellStyle name="Normal 5 2 8 2 5 3" xfId="15297"/>
    <cellStyle name="Normal 5 2 8 2 6" xfId="5180"/>
    <cellStyle name="Normal 5 2 8 2 6 2" xfId="10719"/>
    <cellStyle name="Normal 5 2 8 2 6 3" xfId="16258"/>
    <cellStyle name="Normal 5 2 8 2 7" xfId="1882"/>
    <cellStyle name="Normal 5 2 8 2 7 2" xfId="7428"/>
    <cellStyle name="Normal 5 2 8 2 7 3" xfId="12967"/>
    <cellStyle name="Normal 5 2 8 2 8" xfId="6223"/>
    <cellStyle name="Normal 5 2 8 2 9" xfId="11762"/>
    <cellStyle name="Normal 5 2 8 3" xfId="1219"/>
    <cellStyle name="Normal 5 2 8 3 2" xfId="3749"/>
    <cellStyle name="Normal 5 2 8 3 2 2" xfId="9291"/>
    <cellStyle name="Normal 5 2 8 3 2 3" xfId="14830"/>
    <cellStyle name="Normal 5 2 8 3 3" xfId="4786"/>
    <cellStyle name="Normal 5 2 8 3 3 2" xfId="10325"/>
    <cellStyle name="Normal 5 2 8 3 3 3" xfId="15864"/>
    <cellStyle name="Normal 5 2 8 3 4" xfId="5721"/>
    <cellStyle name="Normal 5 2 8 3 4 2" xfId="11260"/>
    <cellStyle name="Normal 5 2 8 3 4 3" xfId="16799"/>
    <cellStyle name="Normal 5 2 8 3 5" xfId="2423"/>
    <cellStyle name="Normal 5 2 8 3 5 2" xfId="7969"/>
    <cellStyle name="Normal 5 2 8 3 5 3" xfId="13508"/>
    <cellStyle name="Normal 5 2 8 3 6" xfId="6764"/>
    <cellStyle name="Normal 5 2 8 3 7" xfId="12303"/>
    <cellStyle name="Normal 5 2 8 4" xfId="842"/>
    <cellStyle name="Normal 5 2 8 4 2" xfId="3372"/>
    <cellStyle name="Normal 5 2 8 4 2 2" xfId="8914"/>
    <cellStyle name="Normal 5 2 8 4 2 3" xfId="14453"/>
    <cellStyle name="Normal 5 2 8 4 3" xfId="4409"/>
    <cellStyle name="Normal 5 2 8 4 3 2" xfId="9948"/>
    <cellStyle name="Normal 5 2 8 4 3 3" xfId="15487"/>
    <cellStyle name="Normal 5 2 8 4 4" xfId="5344"/>
    <cellStyle name="Normal 5 2 8 4 4 2" xfId="10883"/>
    <cellStyle name="Normal 5 2 8 4 4 3" xfId="16422"/>
    <cellStyle name="Normal 5 2 8 4 5" xfId="2046"/>
    <cellStyle name="Normal 5 2 8 4 5 2" xfId="7592"/>
    <cellStyle name="Normal 5 2 8 4 5 3" xfId="13131"/>
    <cellStyle name="Normal 5 2 8 4 6" xfId="6387"/>
    <cellStyle name="Normal 5 2 8 4 7" xfId="11926"/>
    <cellStyle name="Normal 5 2 8 5" xfId="1564"/>
    <cellStyle name="Normal 5 2 8 5 2" xfId="2769"/>
    <cellStyle name="Normal 5 2 8 5 2 2" xfId="8315"/>
    <cellStyle name="Normal 5 2 8 5 2 3" xfId="13854"/>
    <cellStyle name="Normal 5 2 8 5 3" xfId="7110"/>
    <cellStyle name="Normal 5 2 8 5 4" xfId="12649"/>
    <cellStyle name="Normal 5 2 8 6" xfId="2942"/>
    <cellStyle name="Normal 5 2 8 6 2" xfId="8486"/>
    <cellStyle name="Normal 5 2 8 6 3" xfId="14025"/>
    <cellStyle name="Normal 5 2 8 7" xfId="3044"/>
    <cellStyle name="Normal 5 2 8 7 2" xfId="8587"/>
    <cellStyle name="Normal 5 2 8 7 3" xfId="14126"/>
    <cellStyle name="Normal 5 2 8 8" xfId="4087"/>
    <cellStyle name="Normal 5 2 8 8 2" xfId="9628"/>
    <cellStyle name="Normal 5 2 8 8 3" xfId="15167"/>
    <cellStyle name="Normal 5 2 8 9" xfId="1726"/>
    <cellStyle name="Normal 5 2 8 9 2" xfId="7272"/>
    <cellStyle name="Normal 5 2 8 9 3" xfId="12811"/>
    <cellStyle name="Normal 5 2 9" xfId="271"/>
    <cellStyle name="Normal 5 2 9 10" xfId="1654"/>
    <cellStyle name="Normal 5 2 9 10 2" xfId="7200"/>
    <cellStyle name="Normal 5 2 9 10 3" xfId="12739"/>
    <cellStyle name="Normal 5 2 9 11" xfId="5995"/>
    <cellStyle name="Normal 5 2 9 11 2" xfId="17073"/>
    <cellStyle name="Normal 5 2 9 12" xfId="639"/>
    <cellStyle name="Normal 5 2 9 12 2" xfId="17235"/>
    <cellStyle name="Normal 5 2 9 13" xfId="11534"/>
    <cellStyle name="Normal 5 2 9 14" xfId="17402"/>
    <cellStyle name="Normal 5 2 9 15" xfId="17567"/>
    <cellStyle name="Normal 5 2 9 17" xfId="17712"/>
    <cellStyle name="Normal 5 2 9 2" xfId="323"/>
    <cellStyle name="Normal 5 2 9 2 10" xfId="11678"/>
    <cellStyle name="Normal 5 2 9 2 2" xfId="522"/>
    <cellStyle name="Normal 5 2 9 2 2 2" xfId="1363"/>
    <cellStyle name="Normal 5 2 9 2 2 2 2" xfId="3895"/>
    <cellStyle name="Normal 5 2 9 2 2 2 2 2" xfId="9437"/>
    <cellStyle name="Normal 5 2 9 2 2 2 2 3" xfId="14976"/>
    <cellStyle name="Normal 5 2 9 2 2 2 3" xfId="4932"/>
    <cellStyle name="Normal 5 2 9 2 2 2 3 2" xfId="10471"/>
    <cellStyle name="Normal 5 2 9 2 2 2 3 3" xfId="16010"/>
    <cellStyle name="Normal 5 2 9 2 2 2 4" xfId="5866"/>
    <cellStyle name="Normal 5 2 9 2 2 2 4 2" xfId="11405"/>
    <cellStyle name="Normal 5 2 9 2 2 2 4 3" xfId="16944"/>
    <cellStyle name="Normal 5 2 9 2 2 2 5" xfId="2568"/>
    <cellStyle name="Normal 5 2 9 2 2 2 5 2" xfId="8114"/>
    <cellStyle name="Normal 5 2 9 2 2 2 5 3" xfId="13653"/>
    <cellStyle name="Normal 5 2 9 2 2 2 6" xfId="6909"/>
    <cellStyle name="Normal 5 2 9 2 2 2 7" xfId="12448"/>
    <cellStyle name="Normal 5 2 9 2 2 3" xfId="3181"/>
    <cellStyle name="Normal 5 2 9 2 2 3 2" xfId="8723"/>
    <cellStyle name="Normal 5 2 9 2 2 3 3" xfId="14262"/>
    <cellStyle name="Normal 5 2 9 2 2 4" xfId="4220"/>
    <cellStyle name="Normal 5 2 9 2 2 4 2" xfId="9759"/>
    <cellStyle name="Normal 5 2 9 2 2 4 3" xfId="15298"/>
    <cellStyle name="Normal 5 2 9 2 2 5" xfId="5181"/>
    <cellStyle name="Normal 5 2 9 2 2 5 2" xfId="10720"/>
    <cellStyle name="Normal 5 2 9 2 2 5 3" xfId="16259"/>
    <cellStyle name="Normal 5 2 9 2 2 6" xfId="1883"/>
    <cellStyle name="Normal 5 2 9 2 2 6 2" xfId="7429"/>
    <cellStyle name="Normal 5 2 9 2 2 6 3" xfId="12968"/>
    <cellStyle name="Normal 5 2 9 2 2 7" xfId="6224"/>
    <cellStyle name="Normal 5 2 9 2 2 8" xfId="11763"/>
    <cellStyle name="Normal 5 2 9 2 3" xfId="1291"/>
    <cellStyle name="Normal 5 2 9 2 3 2" xfId="3821"/>
    <cellStyle name="Normal 5 2 9 2 3 2 2" xfId="9363"/>
    <cellStyle name="Normal 5 2 9 2 3 2 3" xfId="14902"/>
    <cellStyle name="Normal 5 2 9 2 3 3" xfId="4858"/>
    <cellStyle name="Normal 5 2 9 2 3 3 2" xfId="10397"/>
    <cellStyle name="Normal 5 2 9 2 3 3 3" xfId="15936"/>
    <cellStyle name="Normal 5 2 9 2 3 4" xfId="5793"/>
    <cellStyle name="Normal 5 2 9 2 3 4 2" xfId="11332"/>
    <cellStyle name="Normal 5 2 9 2 3 4 3" xfId="16871"/>
    <cellStyle name="Normal 5 2 9 2 3 5" xfId="2495"/>
    <cellStyle name="Normal 5 2 9 2 3 5 2" xfId="8041"/>
    <cellStyle name="Normal 5 2 9 2 3 5 3" xfId="13580"/>
    <cellStyle name="Normal 5 2 9 2 3 6" xfId="6836"/>
    <cellStyle name="Normal 5 2 9 2 3 7" xfId="12375"/>
    <cellStyle name="Normal 5 2 9 2 4" xfId="1114"/>
    <cellStyle name="Normal 5 2 9 2 4 2" xfId="3644"/>
    <cellStyle name="Normal 5 2 9 2 4 2 2" xfId="9186"/>
    <cellStyle name="Normal 5 2 9 2 4 2 3" xfId="14725"/>
    <cellStyle name="Normal 5 2 9 2 4 3" xfId="4681"/>
    <cellStyle name="Normal 5 2 9 2 4 3 2" xfId="10220"/>
    <cellStyle name="Normal 5 2 9 2 4 3 3" xfId="15759"/>
    <cellStyle name="Normal 5 2 9 2 4 4" xfId="5616"/>
    <cellStyle name="Normal 5 2 9 2 4 4 2" xfId="11155"/>
    <cellStyle name="Normal 5 2 9 2 4 4 3" xfId="16694"/>
    <cellStyle name="Normal 5 2 9 2 4 5" xfId="2318"/>
    <cellStyle name="Normal 5 2 9 2 4 5 2" xfId="7864"/>
    <cellStyle name="Normal 5 2 9 2 4 5 3" xfId="13403"/>
    <cellStyle name="Normal 5 2 9 2 4 6" xfId="6659"/>
    <cellStyle name="Normal 5 2 9 2 4 7" xfId="12198"/>
    <cellStyle name="Normal 5 2 9 2 5" xfId="3016"/>
    <cellStyle name="Normal 5 2 9 2 5 2" xfId="8560"/>
    <cellStyle name="Normal 5 2 9 2 5 3" xfId="14099"/>
    <cellStyle name="Normal 5 2 9 2 6" xfId="4061"/>
    <cellStyle name="Normal 5 2 9 2 6 2" xfId="9603"/>
    <cellStyle name="Normal 5 2 9 2 6 3" xfId="15142"/>
    <cellStyle name="Normal 5 2 9 2 7" xfId="5096"/>
    <cellStyle name="Normal 5 2 9 2 7 2" xfId="10635"/>
    <cellStyle name="Normal 5 2 9 2 7 3" xfId="16174"/>
    <cellStyle name="Normal 5 2 9 2 8" xfId="1798"/>
    <cellStyle name="Normal 5 2 9 2 8 2" xfId="7344"/>
    <cellStyle name="Normal 5 2 9 2 8 3" xfId="12883"/>
    <cellStyle name="Normal 5 2 9 2 9" xfId="6151"/>
    <cellStyle name="Normal 5 2 9 3" xfId="471"/>
    <cellStyle name="Normal 5 2 9 3 2" xfId="1312"/>
    <cellStyle name="Normal 5 2 9 3 2 2" xfId="3844"/>
    <cellStyle name="Normal 5 2 9 3 2 2 2" xfId="9386"/>
    <cellStyle name="Normal 5 2 9 3 2 2 3" xfId="14925"/>
    <cellStyle name="Normal 5 2 9 3 2 3" xfId="4881"/>
    <cellStyle name="Normal 5 2 9 3 2 3 2" xfId="10420"/>
    <cellStyle name="Normal 5 2 9 3 2 3 3" xfId="15959"/>
    <cellStyle name="Normal 5 2 9 3 2 4" xfId="5815"/>
    <cellStyle name="Normal 5 2 9 3 2 4 2" xfId="11354"/>
    <cellStyle name="Normal 5 2 9 3 2 4 3" xfId="16893"/>
    <cellStyle name="Normal 5 2 9 3 2 5" xfId="2517"/>
    <cellStyle name="Normal 5 2 9 3 2 5 2" xfId="8063"/>
    <cellStyle name="Normal 5 2 9 3 2 5 3" xfId="13602"/>
    <cellStyle name="Normal 5 2 9 3 2 6" xfId="6858"/>
    <cellStyle name="Normal 5 2 9 3 2 7" xfId="12397"/>
    <cellStyle name="Normal 5 2 9 3 3" xfId="970"/>
    <cellStyle name="Normal 5 2 9 3 3 2" xfId="3500"/>
    <cellStyle name="Normal 5 2 9 3 3 2 2" xfId="9042"/>
    <cellStyle name="Normal 5 2 9 3 3 2 3" xfId="14581"/>
    <cellStyle name="Normal 5 2 9 3 3 3" xfId="4537"/>
    <cellStyle name="Normal 5 2 9 3 3 3 2" xfId="10076"/>
    <cellStyle name="Normal 5 2 9 3 3 3 3" xfId="15615"/>
    <cellStyle name="Normal 5 2 9 3 3 4" xfId="5472"/>
    <cellStyle name="Normal 5 2 9 3 3 4 2" xfId="11011"/>
    <cellStyle name="Normal 5 2 9 3 3 4 3" xfId="16550"/>
    <cellStyle name="Normal 5 2 9 3 3 5" xfId="2174"/>
    <cellStyle name="Normal 5 2 9 3 3 5 2" xfId="7720"/>
    <cellStyle name="Normal 5 2 9 3 3 5 3" xfId="13259"/>
    <cellStyle name="Normal 5 2 9 3 3 6" xfId="6515"/>
    <cellStyle name="Normal 5 2 9 3 3 7" xfId="12054"/>
    <cellStyle name="Normal 5 2 9 3 4" xfId="3130"/>
    <cellStyle name="Normal 5 2 9 3 4 2" xfId="8672"/>
    <cellStyle name="Normal 5 2 9 3 4 3" xfId="14211"/>
    <cellStyle name="Normal 5 2 9 3 5" xfId="4169"/>
    <cellStyle name="Normal 5 2 9 3 5 2" xfId="9708"/>
    <cellStyle name="Normal 5 2 9 3 5 3" xfId="15247"/>
    <cellStyle name="Normal 5 2 9 3 6" xfId="5130"/>
    <cellStyle name="Normal 5 2 9 3 6 2" xfId="10669"/>
    <cellStyle name="Normal 5 2 9 3 6 3" xfId="16208"/>
    <cellStyle name="Normal 5 2 9 3 7" xfId="1832"/>
    <cellStyle name="Normal 5 2 9 3 7 2" xfId="7378"/>
    <cellStyle name="Normal 5 2 9 3 7 3" xfId="12917"/>
    <cellStyle name="Normal 5 2 9 3 8" xfId="6173"/>
    <cellStyle name="Normal 5 2 9 3 9" xfId="11712"/>
    <cellStyle name="Normal 5 2 9 4" xfId="1147"/>
    <cellStyle name="Normal 5 2 9 4 2" xfId="3677"/>
    <cellStyle name="Normal 5 2 9 4 2 2" xfId="9219"/>
    <cellStyle name="Normal 5 2 9 4 2 3" xfId="14758"/>
    <cellStyle name="Normal 5 2 9 4 3" xfId="4714"/>
    <cellStyle name="Normal 5 2 9 4 3 2" xfId="10253"/>
    <cellStyle name="Normal 5 2 9 4 3 3" xfId="15792"/>
    <cellStyle name="Normal 5 2 9 4 4" xfId="5649"/>
    <cellStyle name="Normal 5 2 9 4 4 2" xfId="11188"/>
    <cellStyle name="Normal 5 2 9 4 4 3" xfId="16727"/>
    <cellStyle name="Normal 5 2 9 4 5" xfId="2351"/>
    <cellStyle name="Normal 5 2 9 4 5 2" xfId="7897"/>
    <cellStyle name="Normal 5 2 9 4 5 3" xfId="13436"/>
    <cellStyle name="Normal 5 2 9 4 6" xfId="6692"/>
    <cellStyle name="Normal 5 2 9 4 7" xfId="12231"/>
    <cellStyle name="Normal 5 2 9 5" xfId="843"/>
    <cellStyle name="Normal 5 2 9 5 2" xfId="3373"/>
    <cellStyle name="Normal 5 2 9 5 2 2" xfId="8915"/>
    <cellStyle name="Normal 5 2 9 5 2 3" xfId="14454"/>
    <cellStyle name="Normal 5 2 9 5 3" xfId="4410"/>
    <cellStyle name="Normal 5 2 9 5 3 2" xfId="9949"/>
    <cellStyle name="Normal 5 2 9 5 3 3" xfId="15488"/>
    <cellStyle name="Normal 5 2 9 5 4" xfId="5345"/>
    <cellStyle name="Normal 5 2 9 5 4 2" xfId="10884"/>
    <cellStyle name="Normal 5 2 9 5 4 3" xfId="16423"/>
    <cellStyle name="Normal 5 2 9 5 5" xfId="2047"/>
    <cellStyle name="Normal 5 2 9 5 5 2" xfId="7593"/>
    <cellStyle name="Normal 5 2 9 5 5 3" xfId="13132"/>
    <cellStyle name="Normal 5 2 9 5 6" xfId="6388"/>
    <cellStyle name="Normal 5 2 9 5 7" xfId="11927"/>
    <cellStyle name="Normal 5 2 9 6" xfId="1492"/>
    <cellStyle name="Normal 5 2 9 6 2" xfId="2697"/>
    <cellStyle name="Normal 5 2 9 6 2 2" xfId="8243"/>
    <cellStyle name="Normal 5 2 9 6 2 3" xfId="13782"/>
    <cellStyle name="Normal 5 2 9 6 3" xfId="7038"/>
    <cellStyle name="Normal 5 2 9 6 4" xfId="12577"/>
    <cellStyle name="Normal 5 2 9 7" xfId="2870"/>
    <cellStyle name="Normal 5 2 9 7 2" xfId="8414"/>
    <cellStyle name="Normal 5 2 9 7 3" xfId="13953"/>
    <cellStyle name="Normal 5 2 9 8" xfId="2842"/>
    <cellStyle name="Normal 5 2 9 8 2" xfId="8388"/>
    <cellStyle name="Normal 5 2 9 8 3" xfId="13927"/>
    <cellStyle name="Normal 5 2 9 9" xfId="3302"/>
    <cellStyle name="Normal 5 2 9 9 2" xfId="8844"/>
    <cellStyle name="Normal 5 2 9 9 3" xfId="14383"/>
    <cellStyle name="Normal 5 20" xfId="1472"/>
    <cellStyle name="Normal 5 20 2" xfId="2677"/>
    <cellStyle name="Normal 5 20 2 2" xfId="8223"/>
    <cellStyle name="Normal 5 20 2 3" xfId="13762"/>
    <cellStyle name="Normal 5 20 3" xfId="7018"/>
    <cellStyle name="Normal 5 20 4" xfId="12557"/>
    <cellStyle name="Normal 5 21" xfId="2841"/>
    <cellStyle name="Normal 5 21 2" xfId="8387"/>
    <cellStyle name="Normal 5 21 3" xfId="13926"/>
    <cellStyle name="Normal 5 22" xfId="3032"/>
    <cellStyle name="Normal 5 22 2" xfId="8575"/>
    <cellStyle name="Normal 5 22 3" xfId="14114"/>
    <cellStyle name="Normal 5 23" xfId="4075"/>
    <cellStyle name="Normal 5 23 2" xfId="9616"/>
    <cellStyle name="Normal 5 23 3" xfId="15155"/>
    <cellStyle name="Normal 5 24" xfId="1634"/>
    <cellStyle name="Normal 5 24 2" xfId="7180"/>
    <cellStyle name="Normal 5 24 3" xfId="12719"/>
    <cellStyle name="Normal 5 25" xfId="5975"/>
    <cellStyle name="Normal 5 25 2" xfId="17053"/>
    <cellStyle name="Normal 5 26" xfId="619"/>
    <cellStyle name="Normal 5 26 2" xfId="17215"/>
    <cellStyle name="Normal 5 27" xfId="11514"/>
    <cellStyle name="Normal 5 28" xfId="17378"/>
    <cellStyle name="Normal 5 29" xfId="17379"/>
    <cellStyle name="Normal 5 3" xfId="154"/>
    <cellStyle name="Normal 5 3 10" xfId="844"/>
    <cellStyle name="Normal 5 3 10 2" xfId="3374"/>
    <cellStyle name="Normal 5 3 10 2 2" xfId="8916"/>
    <cellStyle name="Normal 5 3 10 2 3" xfId="14455"/>
    <cellStyle name="Normal 5 3 10 3" xfId="4411"/>
    <cellStyle name="Normal 5 3 10 3 2" xfId="9950"/>
    <cellStyle name="Normal 5 3 10 3 3" xfId="15489"/>
    <cellStyle name="Normal 5 3 10 4" xfId="5346"/>
    <cellStyle name="Normal 5 3 10 4 2" xfId="10885"/>
    <cellStyle name="Normal 5 3 10 4 3" xfId="16424"/>
    <cellStyle name="Normal 5 3 10 5" xfId="2048"/>
    <cellStyle name="Normal 5 3 10 5 2" xfId="7594"/>
    <cellStyle name="Normal 5 3 10 5 3" xfId="13133"/>
    <cellStyle name="Normal 5 3 10 6" xfId="6389"/>
    <cellStyle name="Normal 5 3 10 7" xfId="11928"/>
    <cellStyle name="Normal 5 3 11" xfId="1478"/>
    <cellStyle name="Normal 5 3 11 2" xfId="2683"/>
    <cellStyle name="Normal 5 3 11 2 2" xfId="8229"/>
    <cellStyle name="Normal 5 3 11 2 3" xfId="13768"/>
    <cellStyle name="Normal 5 3 11 3" xfId="7024"/>
    <cellStyle name="Normal 5 3 11 4" xfId="12563"/>
    <cellStyle name="Normal 5 3 12" xfId="2856"/>
    <cellStyle name="Normal 5 3 12 2" xfId="8400"/>
    <cellStyle name="Normal 5 3 12 3" xfId="13939"/>
    <cellStyle name="Normal 5 3 13" xfId="2852"/>
    <cellStyle name="Normal 5 3 13 2" xfId="8396"/>
    <cellStyle name="Normal 5 3 13 3" xfId="13935"/>
    <cellStyle name="Normal 5 3 14" xfId="3120"/>
    <cellStyle name="Normal 5 3 14 2" xfId="8663"/>
    <cellStyle name="Normal 5 3 14 3" xfId="14202"/>
    <cellStyle name="Normal 5 3 15" xfId="1640"/>
    <cellStyle name="Normal 5 3 15 2" xfId="7186"/>
    <cellStyle name="Normal 5 3 15 3" xfId="12725"/>
    <cellStyle name="Normal 5 3 16" xfId="5981"/>
    <cellStyle name="Normal 5 3 16 2" xfId="17059"/>
    <cellStyle name="Normal 5 3 17" xfId="625"/>
    <cellStyle name="Normal 5 3 17 2" xfId="17221"/>
    <cellStyle name="Normal 5 3 18" xfId="11520"/>
    <cellStyle name="Normal 5 3 19" xfId="17388"/>
    <cellStyle name="Normal 5 3 2" xfId="253"/>
    <cellStyle name="Normal 5 3 2 10" xfId="1485"/>
    <cellStyle name="Normal 5 3 2 10 2" xfId="2690"/>
    <cellStyle name="Normal 5 3 2 10 2 2" xfId="8236"/>
    <cellStyle name="Normal 5 3 2 10 2 3" xfId="13775"/>
    <cellStyle name="Normal 5 3 2 10 3" xfId="7031"/>
    <cellStyle name="Normal 5 3 2 10 4" xfId="12570"/>
    <cellStyle name="Normal 5 3 2 11" xfId="2863"/>
    <cellStyle name="Normal 5 3 2 11 2" xfId="8407"/>
    <cellStyle name="Normal 5 3 2 11 3" xfId="13946"/>
    <cellStyle name="Normal 5 3 2 12" xfId="3311"/>
    <cellStyle name="Normal 5 3 2 12 2" xfId="8853"/>
    <cellStyle name="Normal 5 3 2 12 3" xfId="14392"/>
    <cellStyle name="Normal 5 3 2 13" xfId="4348"/>
    <cellStyle name="Normal 5 3 2 13 2" xfId="9887"/>
    <cellStyle name="Normal 5 3 2 13 3" xfId="15426"/>
    <cellStyle name="Normal 5 3 2 14" xfId="1647"/>
    <cellStyle name="Normal 5 3 2 14 2" xfId="7193"/>
    <cellStyle name="Normal 5 3 2 14 3" xfId="12732"/>
    <cellStyle name="Normal 5 3 2 15" xfId="5988"/>
    <cellStyle name="Normal 5 3 2 15 2" xfId="17066"/>
    <cellStyle name="Normal 5 3 2 16" xfId="632"/>
    <cellStyle name="Normal 5 3 2 16 2" xfId="17228"/>
    <cellStyle name="Normal 5 3 2 17" xfId="11527"/>
    <cellStyle name="Normal 5 3 2 18" xfId="17395"/>
    <cellStyle name="Normal 5 3 2 19" xfId="17560"/>
    <cellStyle name="Normal 5 3 2 2" xfId="324"/>
    <cellStyle name="Normal 5 3 2 2 10" xfId="1701"/>
    <cellStyle name="Normal 5 3 2 2 10 2" xfId="7247"/>
    <cellStyle name="Normal 5 3 2 2 10 3" xfId="12786"/>
    <cellStyle name="Normal 5 3 2 2 11" xfId="6042"/>
    <cellStyle name="Normal 5 3 2 2 11 2" xfId="17120"/>
    <cellStyle name="Normal 5 3 2 2 12" xfId="686"/>
    <cellStyle name="Normal 5 3 2 2 12 2" xfId="17282"/>
    <cellStyle name="Normal 5 3 2 2 13" xfId="11581"/>
    <cellStyle name="Normal 5 3 2 2 14" xfId="17449"/>
    <cellStyle name="Normal 5 3 2 2 15" xfId="17614"/>
    <cellStyle name="Normal 5 3 2 2 2" xfId="325"/>
    <cellStyle name="Normal 5 3 2 2 2 10" xfId="6132"/>
    <cellStyle name="Normal 5 3 2 2 2 10 2" xfId="17210"/>
    <cellStyle name="Normal 5 3 2 2 2 11" xfId="776"/>
    <cellStyle name="Normal 5 3 2 2 2 11 2" xfId="17372"/>
    <cellStyle name="Normal 5 3 2 2 2 12" xfId="11671"/>
    <cellStyle name="Normal 5 3 2 2 2 13" xfId="17539"/>
    <cellStyle name="Normal 5 3 2 2 2 14" xfId="17704"/>
    <cellStyle name="Normal 5 3 2 2 2 2" xfId="524"/>
    <cellStyle name="Normal 5 3 2 2 2 2 2" xfId="1365"/>
    <cellStyle name="Normal 5 3 2 2 2 2 2 2" xfId="3897"/>
    <cellStyle name="Normal 5 3 2 2 2 2 2 2 2" xfId="9439"/>
    <cellStyle name="Normal 5 3 2 2 2 2 2 2 3" xfId="14978"/>
    <cellStyle name="Normal 5 3 2 2 2 2 2 3" xfId="4934"/>
    <cellStyle name="Normal 5 3 2 2 2 2 2 3 2" xfId="10473"/>
    <cellStyle name="Normal 5 3 2 2 2 2 2 3 3" xfId="16012"/>
    <cellStyle name="Normal 5 3 2 2 2 2 2 4" xfId="5868"/>
    <cellStyle name="Normal 5 3 2 2 2 2 2 4 2" xfId="11407"/>
    <cellStyle name="Normal 5 3 2 2 2 2 2 4 3" xfId="16946"/>
    <cellStyle name="Normal 5 3 2 2 2 2 2 5" xfId="2570"/>
    <cellStyle name="Normal 5 3 2 2 2 2 2 5 2" xfId="8116"/>
    <cellStyle name="Normal 5 3 2 2 2 2 2 5 3" xfId="13655"/>
    <cellStyle name="Normal 5 3 2 2 2 2 2 6" xfId="6911"/>
    <cellStyle name="Normal 5 3 2 2 2 2 2 7" xfId="12450"/>
    <cellStyle name="Normal 5 3 2 2 2 2 3" xfId="1107"/>
    <cellStyle name="Normal 5 3 2 2 2 2 3 2" xfId="3637"/>
    <cellStyle name="Normal 5 3 2 2 2 2 3 2 2" xfId="9179"/>
    <cellStyle name="Normal 5 3 2 2 2 2 3 2 3" xfId="14718"/>
    <cellStyle name="Normal 5 3 2 2 2 2 3 3" xfId="4674"/>
    <cellStyle name="Normal 5 3 2 2 2 2 3 3 2" xfId="10213"/>
    <cellStyle name="Normal 5 3 2 2 2 2 3 3 3" xfId="15752"/>
    <cellStyle name="Normal 5 3 2 2 2 2 3 4" xfId="5609"/>
    <cellStyle name="Normal 5 3 2 2 2 2 3 4 2" xfId="11148"/>
    <cellStyle name="Normal 5 3 2 2 2 2 3 4 3" xfId="16687"/>
    <cellStyle name="Normal 5 3 2 2 2 2 3 5" xfId="2311"/>
    <cellStyle name="Normal 5 3 2 2 2 2 3 5 2" xfId="7857"/>
    <cellStyle name="Normal 5 3 2 2 2 2 3 5 3" xfId="13396"/>
    <cellStyle name="Normal 5 3 2 2 2 2 3 6" xfId="6652"/>
    <cellStyle name="Normal 5 3 2 2 2 2 3 7" xfId="12191"/>
    <cellStyle name="Normal 5 3 2 2 2 2 4" xfId="3183"/>
    <cellStyle name="Normal 5 3 2 2 2 2 4 2" xfId="8725"/>
    <cellStyle name="Normal 5 3 2 2 2 2 4 3" xfId="14264"/>
    <cellStyle name="Normal 5 3 2 2 2 2 5" xfId="4222"/>
    <cellStyle name="Normal 5 3 2 2 2 2 5 2" xfId="9761"/>
    <cellStyle name="Normal 5 3 2 2 2 2 5 3" xfId="15300"/>
    <cellStyle name="Normal 5 3 2 2 2 2 6" xfId="5183"/>
    <cellStyle name="Normal 5 3 2 2 2 2 6 2" xfId="10722"/>
    <cellStyle name="Normal 5 3 2 2 2 2 6 3" xfId="16261"/>
    <cellStyle name="Normal 5 3 2 2 2 2 7" xfId="1885"/>
    <cellStyle name="Normal 5 3 2 2 2 2 7 2" xfId="7431"/>
    <cellStyle name="Normal 5 3 2 2 2 2 7 3" xfId="12970"/>
    <cellStyle name="Normal 5 3 2 2 2 2 8" xfId="6226"/>
    <cellStyle name="Normal 5 3 2 2 2 2 9" xfId="11765"/>
    <cellStyle name="Normal 5 3 2 2 2 3" xfId="1284"/>
    <cellStyle name="Normal 5 3 2 2 2 3 2" xfId="3814"/>
    <cellStyle name="Normal 5 3 2 2 2 3 2 2" xfId="9356"/>
    <cellStyle name="Normal 5 3 2 2 2 3 2 3" xfId="14895"/>
    <cellStyle name="Normal 5 3 2 2 2 3 3" xfId="4851"/>
    <cellStyle name="Normal 5 3 2 2 2 3 3 2" xfId="10390"/>
    <cellStyle name="Normal 5 3 2 2 2 3 3 3" xfId="15929"/>
    <cellStyle name="Normal 5 3 2 2 2 3 4" xfId="5786"/>
    <cellStyle name="Normal 5 3 2 2 2 3 4 2" xfId="11325"/>
    <cellStyle name="Normal 5 3 2 2 2 3 4 3" xfId="16864"/>
    <cellStyle name="Normal 5 3 2 2 2 3 5" xfId="2488"/>
    <cellStyle name="Normal 5 3 2 2 2 3 5 2" xfId="8034"/>
    <cellStyle name="Normal 5 3 2 2 2 3 5 3" xfId="13573"/>
    <cellStyle name="Normal 5 3 2 2 2 3 6" xfId="6829"/>
    <cellStyle name="Normal 5 3 2 2 2 3 7" xfId="12368"/>
    <cellStyle name="Normal 5 3 2 2 2 4" xfId="847"/>
    <cellStyle name="Normal 5 3 2 2 2 4 2" xfId="3377"/>
    <cellStyle name="Normal 5 3 2 2 2 4 2 2" xfId="8919"/>
    <cellStyle name="Normal 5 3 2 2 2 4 2 3" xfId="14458"/>
    <cellStyle name="Normal 5 3 2 2 2 4 3" xfId="4414"/>
    <cellStyle name="Normal 5 3 2 2 2 4 3 2" xfId="9953"/>
    <cellStyle name="Normal 5 3 2 2 2 4 3 3" xfId="15492"/>
    <cellStyle name="Normal 5 3 2 2 2 4 4" xfId="5349"/>
    <cellStyle name="Normal 5 3 2 2 2 4 4 2" xfId="10888"/>
    <cellStyle name="Normal 5 3 2 2 2 4 4 3" xfId="16427"/>
    <cellStyle name="Normal 5 3 2 2 2 4 5" xfId="2051"/>
    <cellStyle name="Normal 5 3 2 2 2 4 5 2" xfId="7597"/>
    <cellStyle name="Normal 5 3 2 2 2 4 5 3" xfId="13136"/>
    <cellStyle name="Normal 5 3 2 2 2 4 6" xfId="6392"/>
    <cellStyle name="Normal 5 3 2 2 2 4 7" xfId="11931"/>
    <cellStyle name="Normal 5 3 2 2 2 5" xfId="1629"/>
    <cellStyle name="Normal 5 3 2 2 2 5 2" xfId="2834"/>
    <cellStyle name="Normal 5 3 2 2 2 5 2 2" xfId="8380"/>
    <cellStyle name="Normal 5 3 2 2 2 5 2 3" xfId="13919"/>
    <cellStyle name="Normal 5 3 2 2 2 5 3" xfId="7175"/>
    <cellStyle name="Normal 5 3 2 2 2 5 4" xfId="12714"/>
    <cellStyle name="Normal 5 3 2 2 2 6" xfId="3007"/>
    <cellStyle name="Normal 5 3 2 2 2 6 2" xfId="8551"/>
    <cellStyle name="Normal 5 3 2 2 2 6 3" xfId="14090"/>
    <cellStyle name="Normal 5 3 2 2 2 7" xfId="4052"/>
    <cellStyle name="Normal 5 3 2 2 2 7 2" xfId="9594"/>
    <cellStyle name="Normal 5 3 2 2 2 7 3" xfId="15133"/>
    <cellStyle name="Normal 5 3 2 2 2 8" xfId="5089"/>
    <cellStyle name="Normal 5 3 2 2 2 8 2" xfId="10628"/>
    <cellStyle name="Normal 5 3 2 2 2 8 3" xfId="16167"/>
    <cellStyle name="Normal 5 3 2 2 2 9" xfId="1791"/>
    <cellStyle name="Normal 5 3 2 2 2 9 2" xfId="7337"/>
    <cellStyle name="Normal 5 3 2 2 2 9 3" xfId="12876"/>
    <cellStyle name="Normal 5 3 2 2 3" xfId="523"/>
    <cellStyle name="Normal 5 3 2 2 3 2" xfId="1364"/>
    <cellStyle name="Normal 5 3 2 2 3 2 2" xfId="3896"/>
    <cellStyle name="Normal 5 3 2 2 3 2 2 2" xfId="9438"/>
    <cellStyle name="Normal 5 3 2 2 3 2 2 3" xfId="14977"/>
    <cellStyle name="Normal 5 3 2 2 3 2 3" xfId="4933"/>
    <cellStyle name="Normal 5 3 2 2 3 2 3 2" xfId="10472"/>
    <cellStyle name="Normal 5 3 2 2 3 2 3 3" xfId="16011"/>
    <cellStyle name="Normal 5 3 2 2 3 2 4" xfId="5867"/>
    <cellStyle name="Normal 5 3 2 2 3 2 4 2" xfId="11406"/>
    <cellStyle name="Normal 5 3 2 2 3 2 4 3" xfId="16945"/>
    <cellStyle name="Normal 5 3 2 2 3 2 5" xfId="2569"/>
    <cellStyle name="Normal 5 3 2 2 3 2 5 2" xfId="8115"/>
    <cellStyle name="Normal 5 3 2 2 3 2 5 3" xfId="13654"/>
    <cellStyle name="Normal 5 3 2 2 3 2 6" xfId="6910"/>
    <cellStyle name="Normal 5 3 2 2 3 2 7" xfId="12449"/>
    <cellStyle name="Normal 5 3 2 2 3 3" xfId="1017"/>
    <cellStyle name="Normal 5 3 2 2 3 3 2" xfId="3547"/>
    <cellStyle name="Normal 5 3 2 2 3 3 2 2" xfId="9089"/>
    <cellStyle name="Normal 5 3 2 2 3 3 2 3" xfId="14628"/>
    <cellStyle name="Normal 5 3 2 2 3 3 3" xfId="4584"/>
    <cellStyle name="Normal 5 3 2 2 3 3 3 2" xfId="10123"/>
    <cellStyle name="Normal 5 3 2 2 3 3 3 3" xfId="15662"/>
    <cellStyle name="Normal 5 3 2 2 3 3 4" xfId="5519"/>
    <cellStyle name="Normal 5 3 2 2 3 3 4 2" xfId="11058"/>
    <cellStyle name="Normal 5 3 2 2 3 3 4 3" xfId="16597"/>
    <cellStyle name="Normal 5 3 2 2 3 3 5" xfId="2221"/>
    <cellStyle name="Normal 5 3 2 2 3 3 5 2" xfId="7767"/>
    <cellStyle name="Normal 5 3 2 2 3 3 5 3" xfId="13306"/>
    <cellStyle name="Normal 5 3 2 2 3 3 6" xfId="6562"/>
    <cellStyle name="Normal 5 3 2 2 3 3 7" xfId="12101"/>
    <cellStyle name="Normal 5 3 2 2 3 4" xfId="3182"/>
    <cellStyle name="Normal 5 3 2 2 3 4 2" xfId="8724"/>
    <cellStyle name="Normal 5 3 2 2 3 4 3" xfId="14263"/>
    <cellStyle name="Normal 5 3 2 2 3 5" xfId="4221"/>
    <cellStyle name="Normal 5 3 2 2 3 5 2" xfId="9760"/>
    <cellStyle name="Normal 5 3 2 2 3 5 3" xfId="15299"/>
    <cellStyle name="Normal 5 3 2 2 3 6" xfId="5182"/>
    <cellStyle name="Normal 5 3 2 2 3 6 2" xfId="10721"/>
    <cellStyle name="Normal 5 3 2 2 3 6 3" xfId="16260"/>
    <cellStyle name="Normal 5 3 2 2 3 7" xfId="1884"/>
    <cellStyle name="Normal 5 3 2 2 3 7 2" xfId="7430"/>
    <cellStyle name="Normal 5 3 2 2 3 7 3" xfId="12969"/>
    <cellStyle name="Normal 5 3 2 2 3 8" xfId="6225"/>
    <cellStyle name="Normal 5 3 2 2 3 9" xfId="11764"/>
    <cellStyle name="Normal 5 3 2 2 4" xfId="1194"/>
    <cellStyle name="Normal 5 3 2 2 4 2" xfId="3724"/>
    <cellStyle name="Normal 5 3 2 2 4 2 2" xfId="9266"/>
    <cellStyle name="Normal 5 3 2 2 4 2 3" xfId="14805"/>
    <cellStyle name="Normal 5 3 2 2 4 3" xfId="4761"/>
    <cellStyle name="Normal 5 3 2 2 4 3 2" xfId="10300"/>
    <cellStyle name="Normal 5 3 2 2 4 3 3" xfId="15839"/>
    <cellStyle name="Normal 5 3 2 2 4 4" xfId="5696"/>
    <cellStyle name="Normal 5 3 2 2 4 4 2" xfId="11235"/>
    <cellStyle name="Normal 5 3 2 2 4 4 3" xfId="16774"/>
    <cellStyle name="Normal 5 3 2 2 4 5" xfId="2398"/>
    <cellStyle name="Normal 5 3 2 2 4 5 2" xfId="7944"/>
    <cellStyle name="Normal 5 3 2 2 4 5 3" xfId="13483"/>
    <cellStyle name="Normal 5 3 2 2 4 6" xfId="6739"/>
    <cellStyle name="Normal 5 3 2 2 4 7" xfId="12278"/>
    <cellStyle name="Normal 5 3 2 2 5" xfId="846"/>
    <cellStyle name="Normal 5 3 2 2 5 2" xfId="3376"/>
    <cellStyle name="Normal 5 3 2 2 5 2 2" xfId="8918"/>
    <cellStyle name="Normal 5 3 2 2 5 2 3" xfId="14457"/>
    <cellStyle name="Normal 5 3 2 2 5 3" xfId="4413"/>
    <cellStyle name="Normal 5 3 2 2 5 3 2" xfId="9952"/>
    <cellStyle name="Normal 5 3 2 2 5 3 3" xfId="15491"/>
    <cellStyle name="Normal 5 3 2 2 5 4" xfId="5348"/>
    <cellStyle name="Normal 5 3 2 2 5 4 2" xfId="10887"/>
    <cellStyle name="Normal 5 3 2 2 5 4 3" xfId="16426"/>
    <cellStyle name="Normal 5 3 2 2 5 5" xfId="2050"/>
    <cellStyle name="Normal 5 3 2 2 5 5 2" xfId="7596"/>
    <cellStyle name="Normal 5 3 2 2 5 5 3" xfId="13135"/>
    <cellStyle name="Normal 5 3 2 2 5 6" xfId="6391"/>
    <cellStyle name="Normal 5 3 2 2 5 7" xfId="11930"/>
    <cellStyle name="Normal 5 3 2 2 6" xfId="1539"/>
    <cellStyle name="Normal 5 3 2 2 6 2" xfId="2744"/>
    <cellStyle name="Normal 5 3 2 2 6 2 2" xfId="8290"/>
    <cellStyle name="Normal 5 3 2 2 6 2 3" xfId="13829"/>
    <cellStyle name="Normal 5 3 2 2 6 3" xfId="7085"/>
    <cellStyle name="Normal 5 3 2 2 6 4" xfId="12624"/>
    <cellStyle name="Normal 5 3 2 2 7" xfId="2917"/>
    <cellStyle name="Normal 5 3 2 2 7 2" xfId="8461"/>
    <cellStyle name="Normal 5 3 2 2 7 3" xfId="14000"/>
    <cellStyle name="Normal 5 3 2 2 8" xfId="3086"/>
    <cellStyle name="Normal 5 3 2 2 8 2" xfId="8629"/>
    <cellStyle name="Normal 5 3 2 2 8 3" xfId="14168"/>
    <cellStyle name="Normal 5 3 2 2 9" xfId="4129"/>
    <cellStyle name="Normal 5 3 2 2 9 2" xfId="9670"/>
    <cellStyle name="Normal 5 3 2 2 9 3" xfId="15209"/>
    <cellStyle name="Normal 5 3 2 3" xfId="326"/>
    <cellStyle name="Normal 5 3 2 3 10" xfId="1683"/>
    <cellStyle name="Normal 5 3 2 3 10 2" xfId="7229"/>
    <cellStyle name="Normal 5 3 2 3 10 3" xfId="12768"/>
    <cellStyle name="Normal 5 3 2 3 11" xfId="6024"/>
    <cellStyle name="Normal 5 3 2 3 11 2" xfId="17102"/>
    <cellStyle name="Normal 5 3 2 3 12" xfId="668"/>
    <cellStyle name="Normal 5 3 2 3 12 2" xfId="17264"/>
    <cellStyle name="Normal 5 3 2 3 13" xfId="11563"/>
    <cellStyle name="Normal 5 3 2 3 14" xfId="17431"/>
    <cellStyle name="Normal 5 3 2 3 15" xfId="17596"/>
    <cellStyle name="Normal 5 3 2 3 2" xfId="327"/>
    <cellStyle name="Normal 5 3 2 3 2 10" xfId="6114"/>
    <cellStyle name="Normal 5 3 2 3 2 10 2" xfId="17192"/>
    <cellStyle name="Normal 5 3 2 3 2 11" xfId="758"/>
    <cellStyle name="Normal 5 3 2 3 2 11 2" xfId="17354"/>
    <cellStyle name="Normal 5 3 2 3 2 12" xfId="11653"/>
    <cellStyle name="Normal 5 3 2 3 2 13" xfId="17521"/>
    <cellStyle name="Normal 5 3 2 3 2 14" xfId="17686"/>
    <cellStyle name="Normal 5 3 2 3 2 2" xfId="526"/>
    <cellStyle name="Normal 5 3 2 3 2 2 2" xfId="1367"/>
    <cellStyle name="Normal 5 3 2 3 2 2 2 2" xfId="3899"/>
    <cellStyle name="Normal 5 3 2 3 2 2 2 2 2" xfId="9441"/>
    <cellStyle name="Normal 5 3 2 3 2 2 2 2 3" xfId="14980"/>
    <cellStyle name="Normal 5 3 2 3 2 2 2 3" xfId="4936"/>
    <cellStyle name="Normal 5 3 2 3 2 2 2 3 2" xfId="10475"/>
    <cellStyle name="Normal 5 3 2 3 2 2 2 3 3" xfId="16014"/>
    <cellStyle name="Normal 5 3 2 3 2 2 2 4" xfId="5870"/>
    <cellStyle name="Normal 5 3 2 3 2 2 2 4 2" xfId="11409"/>
    <cellStyle name="Normal 5 3 2 3 2 2 2 4 3" xfId="16948"/>
    <cellStyle name="Normal 5 3 2 3 2 2 2 5" xfId="2572"/>
    <cellStyle name="Normal 5 3 2 3 2 2 2 5 2" xfId="8118"/>
    <cellStyle name="Normal 5 3 2 3 2 2 2 5 3" xfId="13657"/>
    <cellStyle name="Normal 5 3 2 3 2 2 2 6" xfId="6913"/>
    <cellStyle name="Normal 5 3 2 3 2 2 2 7" xfId="12452"/>
    <cellStyle name="Normal 5 3 2 3 2 2 3" xfId="1089"/>
    <cellStyle name="Normal 5 3 2 3 2 2 3 2" xfId="3619"/>
    <cellStyle name="Normal 5 3 2 3 2 2 3 2 2" xfId="9161"/>
    <cellStyle name="Normal 5 3 2 3 2 2 3 2 3" xfId="14700"/>
    <cellStyle name="Normal 5 3 2 3 2 2 3 3" xfId="4656"/>
    <cellStyle name="Normal 5 3 2 3 2 2 3 3 2" xfId="10195"/>
    <cellStyle name="Normal 5 3 2 3 2 2 3 3 3" xfId="15734"/>
    <cellStyle name="Normal 5 3 2 3 2 2 3 4" xfId="5591"/>
    <cellStyle name="Normal 5 3 2 3 2 2 3 4 2" xfId="11130"/>
    <cellStyle name="Normal 5 3 2 3 2 2 3 4 3" xfId="16669"/>
    <cellStyle name="Normal 5 3 2 3 2 2 3 5" xfId="2293"/>
    <cellStyle name="Normal 5 3 2 3 2 2 3 5 2" xfId="7839"/>
    <cellStyle name="Normal 5 3 2 3 2 2 3 5 3" xfId="13378"/>
    <cellStyle name="Normal 5 3 2 3 2 2 3 6" xfId="6634"/>
    <cellStyle name="Normal 5 3 2 3 2 2 3 7" xfId="12173"/>
    <cellStyle name="Normal 5 3 2 3 2 2 4" xfId="3185"/>
    <cellStyle name="Normal 5 3 2 3 2 2 4 2" xfId="8727"/>
    <cellStyle name="Normal 5 3 2 3 2 2 4 3" xfId="14266"/>
    <cellStyle name="Normal 5 3 2 3 2 2 5" xfId="4224"/>
    <cellStyle name="Normal 5 3 2 3 2 2 5 2" xfId="9763"/>
    <cellStyle name="Normal 5 3 2 3 2 2 5 3" xfId="15302"/>
    <cellStyle name="Normal 5 3 2 3 2 2 6" xfId="5185"/>
    <cellStyle name="Normal 5 3 2 3 2 2 6 2" xfId="10724"/>
    <cellStyle name="Normal 5 3 2 3 2 2 6 3" xfId="16263"/>
    <cellStyle name="Normal 5 3 2 3 2 2 7" xfId="1887"/>
    <cellStyle name="Normal 5 3 2 3 2 2 7 2" xfId="7433"/>
    <cellStyle name="Normal 5 3 2 3 2 2 7 3" xfId="12972"/>
    <cellStyle name="Normal 5 3 2 3 2 2 8" xfId="6228"/>
    <cellStyle name="Normal 5 3 2 3 2 2 9" xfId="11767"/>
    <cellStyle name="Normal 5 3 2 3 2 3" xfId="1266"/>
    <cellStyle name="Normal 5 3 2 3 2 3 2" xfId="3796"/>
    <cellStyle name="Normal 5 3 2 3 2 3 2 2" xfId="9338"/>
    <cellStyle name="Normal 5 3 2 3 2 3 2 3" xfId="14877"/>
    <cellStyle name="Normal 5 3 2 3 2 3 3" xfId="4833"/>
    <cellStyle name="Normal 5 3 2 3 2 3 3 2" xfId="10372"/>
    <cellStyle name="Normal 5 3 2 3 2 3 3 3" xfId="15911"/>
    <cellStyle name="Normal 5 3 2 3 2 3 4" xfId="5768"/>
    <cellStyle name="Normal 5 3 2 3 2 3 4 2" xfId="11307"/>
    <cellStyle name="Normal 5 3 2 3 2 3 4 3" xfId="16846"/>
    <cellStyle name="Normal 5 3 2 3 2 3 5" xfId="2470"/>
    <cellStyle name="Normal 5 3 2 3 2 3 5 2" xfId="8016"/>
    <cellStyle name="Normal 5 3 2 3 2 3 5 3" xfId="13555"/>
    <cellStyle name="Normal 5 3 2 3 2 3 6" xfId="6811"/>
    <cellStyle name="Normal 5 3 2 3 2 3 7" xfId="12350"/>
    <cellStyle name="Normal 5 3 2 3 2 4" xfId="849"/>
    <cellStyle name="Normal 5 3 2 3 2 4 2" xfId="3379"/>
    <cellStyle name="Normal 5 3 2 3 2 4 2 2" xfId="8921"/>
    <cellStyle name="Normal 5 3 2 3 2 4 2 3" xfId="14460"/>
    <cellStyle name="Normal 5 3 2 3 2 4 3" xfId="4416"/>
    <cellStyle name="Normal 5 3 2 3 2 4 3 2" xfId="9955"/>
    <cellStyle name="Normal 5 3 2 3 2 4 3 3" xfId="15494"/>
    <cellStyle name="Normal 5 3 2 3 2 4 4" xfId="5351"/>
    <cellStyle name="Normal 5 3 2 3 2 4 4 2" xfId="10890"/>
    <cellStyle name="Normal 5 3 2 3 2 4 4 3" xfId="16429"/>
    <cellStyle name="Normal 5 3 2 3 2 4 5" xfId="2053"/>
    <cellStyle name="Normal 5 3 2 3 2 4 5 2" xfId="7599"/>
    <cellStyle name="Normal 5 3 2 3 2 4 5 3" xfId="13138"/>
    <cellStyle name="Normal 5 3 2 3 2 4 6" xfId="6394"/>
    <cellStyle name="Normal 5 3 2 3 2 4 7" xfId="11933"/>
    <cellStyle name="Normal 5 3 2 3 2 5" xfId="1611"/>
    <cellStyle name="Normal 5 3 2 3 2 5 2" xfId="2816"/>
    <cellStyle name="Normal 5 3 2 3 2 5 2 2" xfId="8362"/>
    <cellStyle name="Normal 5 3 2 3 2 5 2 3" xfId="13901"/>
    <cellStyle name="Normal 5 3 2 3 2 5 3" xfId="7157"/>
    <cellStyle name="Normal 5 3 2 3 2 5 4" xfId="12696"/>
    <cellStyle name="Normal 5 3 2 3 2 6" xfId="2989"/>
    <cellStyle name="Normal 5 3 2 3 2 6 2" xfId="8533"/>
    <cellStyle name="Normal 5 3 2 3 2 6 3" xfId="14072"/>
    <cellStyle name="Normal 5 3 2 3 2 7" xfId="4034"/>
    <cellStyle name="Normal 5 3 2 3 2 7 2" xfId="9576"/>
    <cellStyle name="Normal 5 3 2 3 2 7 3" xfId="15115"/>
    <cellStyle name="Normal 5 3 2 3 2 8" xfId="5071"/>
    <cellStyle name="Normal 5 3 2 3 2 8 2" xfId="10610"/>
    <cellStyle name="Normal 5 3 2 3 2 8 3" xfId="16149"/>
    <cellStyle name="Normal 5 3 2 3 2 9" xfId="1773"/>
    <cellStyle name="Normal 5 3 2 3 2 9 2" xfId="7319"/>
    <cellStyle name="Normal 5 3 2 3 2 9 3" xfId="12858"/>
    <cellStyle name="Normal 5 3 2 3 3" xfId="525"/>
    <cellStyle name="Normal 5 3 2 3 3 2" xfId="1366"/>
    <cellStyle name="Normal 5 3 2 3 3 2 2" xfId="3898"/>
    <cellStyle name="Normal 5 3 2 3 3 2 2 2" xfId="9440"/>
    <cellStyle name="Normal 5 3 2 3 3 2 2 3" xfId="14979"/>
    <cellStyle name="Normal 5 3 2 3 3 2 3" xfId="4935"/>
    <cellStyle name="Normal 5 3 2 3 3 2 3 2" xfId="10474"/>
    <cellStyle name="Normal 5 3 2 3 3 2 3 3" xfId="16013"/>
    <cellStyle name="Normal 5 3 2 3 3 2 4" xfId="5869"/>
    <cellStyle name="Normal 5 3 2 3 3 2 4 2" xfId="11408"/>
    <cellStyle name="Normal 5 3 2 3 3 2 4 3" xfId="16947"/>
    <cellStyle name="Normal 5 3 2 3 3 2 5" xfId="2571"/>
    <cellStyle name="Normal 5 3 2 3 3 2 5 2" xfId="8117"/>
    <cellStyle name="Normal 5 3 2 3 3 2 5 3" xfId="13656"/>
    <cellStyle name="Normal 5 3 2 3 3 2 6" xfId="6912"/>
    <cellStyle name="Normal 5 3 2 3 3 2 7" xfId="12451"/>
    <cellStyle name="Normal 5 3 2 3 3 3" xfId="999"/>
    <cellStyle name="Normal 5 3 2 3 3 3 2" xfId="3529"/>
    <cellStyle name="Normal 5 3 2 3 3 3 2 2" xfId="9071"/>
    <cellStyle name="Normal 5 3 2 3 3 3 2 3" xfId="14610"/>
    <cellStyle name="Normal 5 3 2 3 3 3 3" xfId="4566"/>
    <cellStyle name="Normal 5 3 2 3 3 3 3 2" xfId="10105"/>
    <cellStyle name="Normal 5 3 2 3 3 3 3 3" xfId="15644"/>
    <cellStyle name="Normal 5 3 2 3 3 3 4" xfId="5501"/>
    <cellStyle name="Normal 5 3 2 3 3 3 4 2" xfId="11040"/>
    <cellStyle name="Normal 5 3 2 3 3 3 4 3" xfId="16579"/>
    <cellStyle name="Normal 5 3 2 3 3 3 5" xfId="2203"/>
    <cellStyle name="Normal 5 3 2 3 3 3 5 2" xfId="7749"/>
    <cellStyle name="Normal 5 3 2 3 3 3 5 3" xfId="13288"/>
    <cellStyle name="Normal 5 3 2 3 3 3 6" xfId="6544"/>
    <cellStyle name="Normal 5 3 2 3 3 3 7" xfId="12083"/>
    <cellStyle name="Normal 5 3 2 3 3 4" xfId="3184"/>
    <cellStyle name="Normal 5 3 2 3 3 4 2" xfId="8726"/>
    <cellStyle name="Normal 5 3 2 3 3 4 3" xfId="14265"/>
    <cellStyle name="Normal 5 3 2 3 3 5" xfId="4223"/>
    <cellStyle name="Normal 5 3 2 3 3 5 2" xfId="9762"/>
    <cellStyle name="Normal 5 3 2 3 3 5 3" xfId="15301"/>
    <cellStyle name="Normal 5 3 2 3 3 6" xfId="5184"/>
    <cellStyle name="Normal 5 3 2 3 3 6 2" xfId="10723"/>
    <cellStyle name="Normal 5 3 2 3 3 6 3" xfId="16262"/>
    <cellStyle name="Normal 5 3 2 3 3 7" xfId="1886"/>
    <cellStyle name="Normal 5 3 2 3 3 7 2" xfId="7432"/>
    <cellStyle name="Normal 5 3 2 3 3 7 3" xfId="12971"/>
    <cellStyle name="Normal 5 3 2 3 3 8" xfId="6227"/>
    <cellStyle name="Normal 5 3 2 3 3 9" xfId="11766"/>
    <cellStyle name="Normal 5 3 2 3 4" xfId="1176"/>
    <cellStyle name="Normal 5 3 2 3 4 2" xfId="3706"/>
    <cellStyle name="Normal 5 3 2 3 4 2 2" xfId="9248"/>
    <cellStyle name="Normal 5 3 2 3 4 2 3" xfId="14787"/>
    <cellStyle name="Normal 5 3 2 3 4 3" xfId="4743"/>
    <cellStyle name="Normal 5 3 2 3 4 3 2" xfId="10282"/>
    <cellStyle name="Normal 5 3 2 3 4 3 3" xfId="15821"/>
    <cellStyle name="Normal 5 3 2 3 4 4" xfId="5678"/>
    <cellStyle name="Normal 5 3 2 3 4 4 2" xfId="11217"/>
    <cellStyle name="Normal 5 3 2 3 4 4 3" xfId="16756"/>
    <cellStyle name="Normal 5 3 2 3 4 5" xfId="2380"/>
    <cellStyle name="Normal 5 3 2 3 4 5 2" xfId="7926"/>
    <cellStyle name="Normal 5 3 2 3 4 5 3" xfId="13465"/>
    <cellStyle name="Normal 5 3 2 3 4 6" xfId="6721"/>
    <cellStyle name="Normal 5 3 2 3 4 7" xfId="12260"/>
    <cellStyle name="Normal 5 3 2 3 5" xfId="848"/>
    <cellStyle name="Normal 5 3 2 3 5 2" xfId="3378"/>
    <cellStyle name="Normal 5 3 2 3 5 2 2" xfId="8920"/>
    <cellStyle name="Normal 5 3 2 3 5 2 3" xfId="14459"/>
    <cellStyle name="Normal 5 3 2 3 5 3" xfId="4415"/>
    <cellStyle name="Normal 5 3 2 3 5 3 2" xfId="9954"/>
    <cellStyle name="Normal 5 3 2 3 5 3 3" xfId="15493"/>
    <cellStyle name="Normal 5 3 2 3 5 4" xfId="5350"/>
    <cellStyle name="Normal 5 3 2 3 5 4 2" xfId="10889"/>
    <cellStyle name="Normal 5 3 2 3 5 4 3" xfId="16428"/>
    <cellStyle name="Normal 5 3 2 3 5 5" xfId="2052"/>
    <cellStyle name="Normal 5 3 2 3 5 5 2" xfId="7598"/>
    <cellStyle name="Normal 5 3 2 3 5 5 3" xfId="13137"/>
    <cellStyle name="Normal 5 3 2 3 5 6" xfId="6393"/>
    <cellStyle name="Normal 5 3 2 3 5 7" xfId="11932"/>
    <cellStyle name="Normal 5 3 2 3 6" xfId="1521"/>
    <cellStyle name="Normal 5 3 2 3 6 2" xfId="2726"/>
    <cellStyle name="Normal 5 3 2 3 6 2 2" xfId="8272"/>
    <cellStyle name="Normal 5 3 2 3 6 2 3" xfId="13811"/>
    <cellStyle name="Normal 5 3 2 3 6 3" xfId="7067"/>
    <cellStyle name="Normal 5 3 2 3 6 4" xfId="12606"/>
    <cellStyle name="Normal 5 3 2 3 7" xfId="2899"/>
    <cellStyle name="Normal 5 3 2 3 7 2" xfId="8443"/>
    <cellStyle name="Normal 5 3 2 3 7 3" xfId="13982"/>
    <cellStyle name="Normal 5 3 2 3 8" xfId="3315"/>
    <cellStyle name="Normal 5 3 2 3 8 2" xfId="8857"/>
    <cellStyle name="Normal 5 3 2 3 8 3" xfId="14396"/>
    <cellStyle name="Normal 5 3 2 3 9" xfId="4352"/>
    <cellStyle name="Normal 5 3 2 3 9 2" xfId="9891"/>
    <cellStyle name="Normal 5 3 2 3 9 3" xfId="15430"/>
    <cellStyle name="Normal 5 3 2 4" xfId="328"/>
    <cellStyle name="Normal 5 3 2 4 10" xfId="1719"/>
    <cellStyle name="Normal 5 3 2 4 10 2" xfId="7265"/>
    <cellStyle name="Normal 5 3 2 4 10 3" xfId="12804"/>
    <cellStyle name="Normal 5 3 2 4 11" xfId="6060"/>
    <cellStyle name="Normal 5 3 2 4 11 2" xfId="17138"/>
    <cellStyle name="Normal 5 3 2 4 12" xfId="704"/>
    <cellStyle name="Normal 5 3 2 4 12 2" xfId="17300"/>
    <cellStyle name="Normal 5 3 2 4 13" xfId="11599"/>
    <cellStyle name="Normal 5 3 2 4 14" xfId="17467"/>
    <cellStyle name="Normal 5 3 2 4 15" xfId="17632"/>
    <cellStyle name="Normal 5 3 2 4 2" xfId="329"/>
    <cellStyle name="Normal 5 3 2 4 2 10" xfId="6096"/>
    <cellStyle name="Normal 5 3 2 4 2 10 2" xfId="17174"/>
    <cellStyle name="Normal 5 3 2 4 2 11" xfId="740"/>
    <cellStyle name="Normal 5 3 2 4 2 11 2" xfId="17336"/>
    <cellStyle name="Normal 5 3 2 4 2 12" xfId="11635"/>
    <cellStyle name="Normal 5 3 2 4 2 13" xfId="17503"/>
    <cellStyle name="Normal 5 3 2 4 2 14" xfId="17668"/>
    <cellStyle name="Normal 5 3 2 4 2 2" xfId="528"/>
    <cellStyle name="Normal 5 3 2 4 2 2 2" xfId="1369"/>
    <cellStyle name="Normal 5 3 2 4 2 2 2 2" xfId="3901"/>
    <cellStyle name="Normal 5 3 2 4 2 2 2 2 2" xfId="9443"/>
    <cellStyle name="Normal 5 3 2 4 2 2 2 2 3" xfId="14982"/>
    <cellStyle name="Normal 5 3 2 4 2 2 2 3" xfId="4938"/>
    <cellStyle name="Normal 5 3 2 4 2 2 2 3 2" xfId="10477"/>
    <cellStyle name="Normal 5 3 2 4 2 2 2 3 3" xfId="16016"/>
    <cellStyle name="Normal 5 3 2 4 2 2 2 4" xfId="5872"/>
    <cellStyle name="Normal 5 3 2 4 2 2 2 4 2" xfId="11411"/>
    <cellStyle name="Normal 5 3 2 4 2 2 2 4 3" xfId="16950"/>
    <cellStyle name="Normal 5 3 2 4 2 2 2 5" xfId="2574"/>
    <cellStyle name="Normal 5 3 2 4 2 2 2 5 2" xfId="8120"/>
    <cellStyle name="Normal 5 3 2 4 2 2 2 5 3" xfId="13659"/>
    <cellStyle name="Normal 5 3 2 4 2 2 2 6" xfId="6915"/>
    <cellStyle name="Normal 5 3 2 4 2 2 2 7" xfId="12454"/>
    <cellStyle name="Normal 5 3 2 4 2 2 3" xfId="1071"/>
    <cellStyle name="Normal 5 3 2 4 2 2 3 2" xfId="3601"/>
    <cellStyle name="Normal 5 3 2 4 2 2 3 2 2" xfId="9143"/>
    <cellStyle name="Normal 5 3 2 4 2 2 3 2 3" xfId="14682"/>
    <cellStyle name="Normal 5 3 2 4 2 2 3 3" xfId="4638"/>
    <cellStyle name="Normal 5 3 2 4 2 2 3 3 2" xfId="10177"/>
    <cellStyle name="Normal 5 3 2 4 2 2 3 3 3" xfId="15716"/>
    <cellStyle name="Normal 5 3 2 4 2 2 3 4" xfId="5573"/>
    <cellStyle name="Normal 5 3 2 4 2 2 3 4 2" xfId="11112"/>
    <cellStyle name="Normal 5 3 2 4 2 2 3 4 3" xfId="16651"/>
    <cellStyle name="Normal 5 3 2 4 2 2 3 5" xfId="2275"/>
    <cellStyle name="Normal 5 3 2 4 2 2 3 5 2" xfId="7821"/>
    <cellStyle name="Normal 5 3 2 4 2 2 3 5 3" xfId="13360"/>
    <cellStyle name="Normal 5 3 2 4 2 2 3 6" xfId="6616"/>
    <cellStyle name="Normal 5 3 2 4 2 2 3 7" xfId="12155"/>
    <cellStyle name="Normal 5 3 2 4 2 2 4" xfId="3187"/>
    <cellStyle name="Normal 5 3 2 4 2 2 4 2" xfId="8729"/>
    <cellStyle name="Normal 5 3 2 4 2 2 4 3" xfId="14268"/>
    <cellStyle name="Normal 5 3 2 4 2 2 5" xfId="4226"/>
    <cellStyle name="Normal 5 3 2 4 2 2 5 2" xfId="9765"/>
    <cellStyle name="Normal 5 3 2 4 2 2 5 3" xfId="15304"/>
    <cellStyle name="Normal 5 3 2 4 2 2 6" xfId="5187"/>
    <cellStyle name="Normal 5 3 2 4 2 2 6 2" xfId="10726"/>
    <cellStyle name="Normal 5 3 2 4 2 2 6 3" xfId="16265"/>
    <cellStyle name="Normal 5 3 2 4 2 2 7" xfId="1889"/>
    <cellStyle name="Normal 5 3 2 4 2 2 7 2" xfId="7435"/>
    <cellStyle name="Normal 5 3 2 4 2 2 7 3" xfId="12974"/>
    <cellStyle name="Normal 5 3 2 4 2 2 8" xfId="6230"/>
    <cellStyle name="Normal 5 3 2 4 2 2 9" xfId="11769"/>
    <cellStyle name="Normal 5 3 2 4 2 3" xfId="1248"/>
    <cellStyle name="Normal 5 3 2 4 2 3 2" xfId="3778"/>
    <cellStyle name="Normal 5 3 2 4 2 3 2 2" xfId="9320"/>
    <cellStyle name="Normal 5 3 2 4 2 3 2 3" xfId="14859"/>
    <cellStyle name="Normal 5 3 2 4 2 3 3" xfId="4815"/>
    <cellStyle name="Normal 5 3 2 4 2 3 3 2" xfId="10354"/>
    <cellStyle name="Normal 5 3 2 4 2 3 3 3" xfId="15893"/>
    <cellStyle name="Normal 5 3 2 4 2 3 4" xfId="5750"/>
    <cellStyle name="Normal 5 3 2 4 2 3 4 2" xfId="11289"/>
    <cellStyle name="Normal 5 3 2 4 2 3 4 3" xfId="16828"/>
    <cellStyle name="Normal 5 3 2 4 2 3 5" xfId="2452"/>
    <cellStyle name="Normal 5 3 2 4 2 3 5 2" xfId="7998"/>
    <cellStyle name="Normal 5 3 2 4 2 3 5 3" xfId="13537"/>
    <cellStyle name="Normal 5 3 2 4 2 3 6" xfId="6793"/>
    <cellStyle name="Normal 5 3 2 4 2 3 7" xfId="12332"/>
    <cellStyle name="Normal 5 3 2 4 2 4" xfId="851"/>
    <cellStyle name="Normal 5 3 2 4 2 4 2" xfId="3381"/>
    <cellStyle name="Normal 5 3 2 4 2 4 2 2" xfId="8923"/>
    <cellStyle name="Normal 5 3 2 4 2 4 2 3" xfId="14462"/>
    <cellStyle name="Normal 5 3 2 4 2 4 3" xfId="4418"/>
    <cellStyle name="Normal 5 3 2 4 2 4 3 2" xfId="9957"/>
    <cellStyle name="Normal 5 3 2 4 2 4 3 3" xfId="15496"/>
    <cellStyle name="Normal 5 3 2 4 2 4 4" xfId="5353"/>
    <cellStyle name="Normal 5 3 2 4 2 4 4 2" xfId="10892"/>
    <cellStyle name="Normal 5 3 2 4 2 4 4 3" xfId="16431"/>
    <cellStyle name="Normal 5 3 2 4 2 4 5" xfId="2055"/>
    <cellStyle name="Normal 5 3 2 4 2 4 5 2" xfId="7601"/>
    <cellStyle name="Normal 5 3 2 4 2 4 5 3" xfId="13140"/>
    <cellStyle name="Normal 5 3 2 4 2 4 6" xfId="6396"/>
    <cellStyle name="Normal 5 3 2 4 2 4 7" xfId="11935"/>
    <cellStyle name="Normal 5 3 2 4 2 5" xfId="1593"/>
    <cellStyle name="Normal 5 3 2 4 2 5 2" xfId="2798"/>
    <cellStyle name="Normal 5 3 2 4 2 5 2 2" xfId="8344"/>
    <cellStyle name="Normal 5 3 2 4 2 5 2 3" xfId="13883"/>
    <cellStyle name="Normal 5 3 2 4 2 5 3" xfId="7139"/>
    <cellStyle name="Normal 5 3 2 4 2 5 4" xfId="12678"/>
    <cellStyle name="Normal 5 3 2 4 2 6" xfId="2971"/>
    <cellStyle name="Normal 5 3 2 4 2 6 2" xfId="8515"/>
    <cellStyle name="Normal 5 3 2 4 2 6 3" xfId="14054"/>
    <cellStyle name="Normal 5 3 2 4 2 7" xfId="4016"/>
    <cellStyle name="Normal 5 3 2 4 2 7 2" xfId="9558"/>
    <cellStyle name="Normal 5 3 2 4 2 7 3" xfId="15097"/>
    <cellStyle name="Normal 5 3 2 4 2 8" xfId="5053"/>
    <cellStyle name="Normal 5 3 2 4 2 8 2" xfId="10592"/>
    <cellStyle name="Normal 5 3 2 4 2 8 3" xfId="16131"/>
    <cellStyle name="Normal 5 3 2 4 2 9" xfId="1755"/>
    <cellStyle name="Normal 5 3 2 4 2 9 2" xfId="7301"/>
    <cellStyle name="Normal 5 3 2 4 2 9 3" xfId="12840"/>
    <cellStyle name="Normal 5 3 2 4 3" xfId="527"/>
    <cellStyle name="Normal 5 3 2 4 3 2" xfId="1368"/>
    <cellStyle name="Normal 5 3 2 4 3 2 2" xfId="3900"/>
    <cellStyle name="Normal 5 3 2 4 3 2 2 2" xfId="9442"/>
    <cellStyle name="Normal 5 3 2 4 3 2 2 3" xfId="14981"/>
    <cellStyle name="Normal 5 3 2 4 3 2 3" xfId="4937"/>
    <cellStyle name="Normal 5 3 2 4 3 2 3 2" xfId="10476"/>
    <cellStyle name="Normal 5 3 2 4 3 2 3 3" xfId="16015"/>
    <cellStyle name="Normal 5 3 2 4 3 2 4" xfId="5871"/>
    <cellStyle name="Normal 5 3 2 4 3 2 4 2" xfId="11410"/>
    <cellStyle name="Normal 5 3 2 4 3 2 4 3" xfId="16949"/>
    <cellStyle name="Normal 5 3 2 4 3 2 5" xfId="2573"/>
    <cellStyle name="Normal 5 3 2 4 3 2 5 2" xfId="8119"/>
    <cellStyle name="Normal 5 3 2 4 3 2 5 3" xfId="13658"/>
    <cellStyle name="Normal 5 3 2 4 3 2 6" xfId="6914"/>
    <cellStyle name="Normal 5 3 2 4 3 2 7" xfId="12453"/>
    <cellStyle name="Normal 5 3 2 4 3 3" xfId="1035"/>
    <cellStyle name="Normal 5 3 2 4 3 3 2" xfId="3565"/>
    <cellStyle name="Normal 5 3 2 4 3 3 2 2" xfId="9107"/>
    <cellStyle name="Normal 5 3 2 4 3 3 2 3" xfId="14646"/>
    <cellStyle name="Normal 5 3 2 4 3 3 3" xfId="4602"/>
    <cellStyle name="Normal 5 3 2 4 3 3 3 2" xfId="10141"/>
    <cellStyle name="Normal 5 3 2 4 3 3 3 3" xfId="15680"/>
    <cellStyle name="Normal 5 3 2 4 3 3 4" xfId="5537"/>
    <cellStyle name="Normal 5 3 2 4 3 3 4 2" xfId="11076"/>
    <cellStyle name="Normal 5 3 2 4 3 3 4 3" xfId="16615"/>
    <cellStyle name="Normal 5 3 2 4 3 3 5" xfId="2239"/>
    <cellStyle name="Normal 5 3 2 4 3 3 5 2" xfId="7785"/>
    <cellStyle name="Normal 5 3 2 4 3 3 5 3" xfId="13324"/>
    <cellStyle name="Normal 5 3 2 4 3 3 6" xfId="6580"/>
    <cellStyle name="Normal 5 3 2 4 3 3 7" xfId="12119"/>
    <cellStyle name="Normal 5 3 2 4 3 4" xfId="3186"/>
    <cellStyle name="Normal 5 3 2 4 3 4 2" xfId="8728"/>
    <cellStyle name="Normal 5 3 2 4 3 4 3" xfId="14267"/>
    <cellStyle name="Normal 5 3 2 4 3 5" xfId="4225"/>
    <cellStyle name="Normal 5 3 2 4 3 5 2" xfId="9764"/>
    <cellStyle name="Normal 5 3 2 4 3 5 3" xfId="15303"/>
    <cellStyle name="Normal 5 3 2 4 3 6" xfId="5186"/>
    <cellStyle name="Normal 5 3 2 4 3 6 2" xfId="10725"/>
    <cellStyle name="Normal 5 3 2 4 3 6 3" xfId="16264"/>
    <cellStyle name="Normal 5 3 2 4 3 7" xfId="1888"/>
    <cellStyle name="Normal 5 3 2 4 3 7 2" xfId="7434"/>
    <cellStyle name="Normal 5 3 2 4 3 7 3" xfId="12973"/>
    <cellStyle name="Normal 5 3 2 4 3 8" xfId="6229"/>
    <cellStyle name="Normal 5 3 2 4 3 9" xfId="11768"/>
    <cellStyle name="Normal 5 3 2 4 4" xfId="1212"/>
    <cellStyle name="Normal 5 3 2 4 4 2" xfId="3742"/>
    <cellStyle name="Normal 5 3 2 4 4 2 2" xfId="9284"/>
    <cellStyle name="Normal 5 3 2 4 4 2 3" xfId="14823"/>
    <cellStyle name="Normal 5 3 2 4 4 3" xfId="4779"/>
    <cellStyle name="Normal 5 3 2 4 4 3 2" xfId="10318"/>
    <cellStyle name="Normal 5 3 2 4 4 3 3" xfId="15857"/>
    <cellStyle name="Normal 5 3 2 4 4 4" xfId="5714"/>
    <cellStyle name="Normal 5 3 2 4 4 4 2" xfId="11253"/>
    <cellStyle name="Normal 5 3 2 4 4 4 3" xfId="16792"/>
    <cellStyle name="Normal 5 3 2 4 4 5" xfId="2416"/>
    <cellStyle name="Normal 5 3 2 4 4 5 2" xfId="7962"/>
    <cellStyle name="Normal 5 3 2 4 4 5 3" xfId="13501"/>
    <cellStyle name="Normal 5 3 2 4 4 6" xfId="6757"/>
    <cellStyle name="Normal 5 3 2 4 4 7" xfId="12296"/>
    <cellStyle name="Normal 5 3 2 4 5" xfId="850"/>
    <cellStyle name="Normal 5 3 2 4 5 2" xfId="3380"/>
    <cellStyle name="Normal 5 3 2 4 5 2 2" xfId="8922"/>
    <cellStyle name="Normal 5 3 2 4 5 2 3" xfId="14461"/>
    <cellStyle name="Normal 5 3 2 4 5 3" xfId="4417"/>
    <cellStyle name="Normal 5 3 2 4 5 3 2" xfId="9956"/>
    <cellStyle name="Normal 5 3 2 4 5 3 3" xfId="15495"/>
    <cellStyle name="Normal 5 3 2 4 5 4" xfId="5352"/>
    <cellStyle name="Normal 5 3 2 4 5 4 2" xfId="10891"/>
    <cellStyle name="Normal 5 3 2 4 5 4 3" xfId="16430"/>
    <cellStyle name="Normal 5 3 2 4 5 5" xfId="2054"/>
    <cellStyle name="Normal 5 3 2 4 5 5 2" xfId="7600"/>
    <cellStyle name="Normal 5 3 2 4 5 5 3" xfId="13139"/>
    <cellStyle name="Normal 5 3 2 4 5 6" xfId="6395"/>
    <cellStyle name="Normal 5 3 2 4 5 7" xfId="11934"/>
    <cellStyle name="Normal 5 3 2 4 6" xfId="1557"/>
    <cellStyle name="Normal 5 3 2 4 6 2" xfId="2762"/>
    <cellStyle name="Normal 5 3 2 4 6 2 2" xfId="8308"/>
    <cellStyle name="Normal 5 3 2 4 6 2 3" xfId="13847"/>
    <cellStyle name="Normal 5 3 2 4 6 3" xfId="7103"/>
    <cellStyle name="Normal 5 3 2 4 6 4" xfId="12642"/>
    <cellStyle name="Normal 5 3 2 4 7" xfId="2935"/>
    <cellStyle name="Normal 5 3 2 4 7 2" xfId="8479"/>
    <cellStyle name="Normal 5 3 2 4 7 3" xfId="14018"/>
    <cellStyle name="Normal 5 3 2 4 8" xfId="3077"/>
    <cellStyle name="Normal 5 3 2 4 8 2" xfId="8620"/>
    <cellStyle name="Normal 5 3 2 4 8 3" xfId="14159"/>
    <cellStyle name="Normal 5 3 2 4 9" xfId="4120"/>
    <cellStyle name="Normal 5 3 2 4 9 2" xfId="9661"/>
    <cellStyle name="Normal 5 3 2 4 9 3" xfId="15200"/>
    <cellStyle name="Normal 5 3 2 5" xfId="330"/>
    <cellStyle name="Normal 5 3 2 5 10" xfId="6078"/>
    <cellStyle name="Normal 5 3 2 5 10 2" xfId="17156"/>
    <cellStyle name="Normal 5 3 2 5 11" xfId="722"/>
    <cellStyle name="Normal 5 3 2 5 11 2" xfId="17318"/>
    <cellStyle name="Normal 5 3 2 5 12" xfId="11617"/>
    <cellStyle name="Normal 5 3 2 5 13" xfId="17485"/>
    <cellStyle name="Normal 5 3 2 5 14" xfId="17650"/>
    <cellStyle name="Normal 5 3 2 5 2" xfId="529"/>
    <cellStyle name="Normal 5 3 2 5 2 2" xfId="1370"/>
    <cellStyle name="Normal 5 3 2 5 2 2 2" xfId="3902"/>
    <cellStyle name="Normal 5 3 2 5 2 2 2 2" xfId="9444"/>
    <cellStyle name="Normal 5 3 2 5 2 2 2 3" xfId="14983"/>
    <cellStyle name="Normal 5 3 2 5 2 2 3" xfId="4939"/>
    <cellStyle name="Normal 5 3 2 5 2 2 3 2" xfId="10478"/>
    <cellStyle name="Normal 5 3 2 5 2 2 3 3" xfId="16017"/>
    <cellStyle name="Normal 5 3 2 5 2 2 4" xfId="5873"/>
    <cellStyle name="Normal 5 3 2 5 2 2 4 2" xfId="11412"/>
    <cellStyle name="Normal 5 3 2 5 2 2 4 3" xfId="16951"/>
    <cellStyle name="Normal 5 3 2 5 2 2 5" xfId="2575"/>
    <cellStyle name="Normal 5 3 2 5 2 2 5 2" xfId="8121"/>
    <cellStyle name="Normal 5 3 2 5 2 2 5 3" xfId="13660"/>
    <cellStyle name="Normal 5 3 2 5 2 2 6" xfId="6916"/>
    <cellStyle name="Normal 5 3 2 5 2 2 7" xfId="12455"/>
    <cellStyle name="Normal 5 3 2 5 2 3" xfId="1053"/>
    <cellStyle name="Normal 5 3 2 5 2 3 2" xfId="3583"/>
    <cellStyle name="Normal 5 3 2 5 2 3 2 2" xfId="9125"/>
    <cellStyle name="Normal 5 3 2 5 2 3 2 3" xfId="14664"/>
    <cellStyle name="Normal 5 3 2 5 2 3 3" xfId="4620"/>
    <cellStyle name="Normal 5 3 2 5 2 3 3 2" xfId="10159"/>
    <cellStyle name="Normal 5 3 2 5 2 3 3 3" xfId="15698"/>
    <cellStyle name="Normal 5 3 2 5 2 3 4" xfId="5555"/>
    <cellStyle name="Normal 5 3 2 5 2 3 4 2" xfId="11094"/>
    <cellStyle name="Normal 5 3 2 5 2 3 4 3" xfId="16633"/>
    <cellStyle name="Normal 5 3 2 5 2 3 5" xfId="2257"/>
    <cellStyle name="Normal 5 3 2 5 2 3 5 2" xfId="7803"/>
    <cellStyle name="Normal 5 3 2 5 2 3 5 3" xfId="13342"/>
    <cellStyle name="Normal 5 3 2 5 2 3 6" xfId="6598"/>
    <cellStyle name="Normal 5 3 2 5 2 3 7" xfId="12137"/>
    <cellStyle name="Normal 5 3 2 5 2 4" xfId="3188"/>
    <cellStyle name="Normal 5 3 2 5 2 4 2" xfId="8730"/>
    <cellStyle name="Normal 5 3 2 5 2 4 3" xfId="14269"/>
    <cellStyle name="Normal 5 3 2 5 2 5" xfId="4227"/>
    <cellStyle name="Normal 5 3 2 5 2 5 2" xfId="9766"/>
    <cellStyle name="Normal 5 3 2 5 2 5 3" xfId="15305"/>
    <cellStyle name="Normal 5 3 2 5 2 6" xfId="5188"/>
    <cellStyle name="Normal 5 3 2 5 2 6 2" xfId="10727"/>
    <cellStyle name="Normal 5 3 2 5 2 6 3" xfId="16266"/>
    <cellStyle name="Normal 5 3 2 5 2 7" xfId="1890"/>
    <cellStyle name="Normal 5 3 2 5 2 7 2" xfId="7436"/>
    <cellStyle name="Normal 5 3 2 5 2 7 3" xfId="12975"/>
    <cellStyle name="Normal 5 3 2 5 2 8" xfId="6231"/>
    <cellStyle name="Normal 5 3 2 5 2 9" xfId="11770"/>
    <cellStyle name="Normal 5 3 2 5 3" xfId="1230"/>
    <cellStyle name="Normal 5 3 2 5 3 2" xfId="3760"/>
    <cellStyle name="Normal 5 3 2 5 3 2 2" xfId="9302"/>
    <cellStyle name="Normal 5 3 2 5 3 2 3" xfId="14841"/>
    <cellStyle name="Normal 5 3 2 5 3 3" xfId="4797"/>
    <cellStyle name="Normal 5 3 2 5 3 3 2" xfId="10336"/>
    <cellStyle name="Normal 5 3 2 5 3 3 3" xfId="15875"/>
    <cellStyle name="Normal 5 3 2 5 3 4" xfId="5732"/>
    <cellStyle name="Normal 5 3 2 5 3 4 2" xfId="11271"/>
    <cellStyle name="Normal 5 3 2 5 3 4 3" xfId="16810"/>
    <cellStyle name="Normal 5 3 2 5 3 5" xfId="2434"/>
    <cellStyle name="Normal 5 3 2 5 3 5 2" xfId="7980"/>
    <cellStyle name="Normal 5 3 2 5 3 5 3" xfId="13519"/>
    <cellStyle name="Normal 5 3 2 5 3 6" xfId="6775"/>
    <cellStyle name="Normal 5 3 2 5 3 7" xfId="12314"/>
    <cellStyle name="Normal 5 3 2 5 4" xfId="852"/>
    <cellStyle name="Normal 5 3 2 5 4 2" xfId="3382"/>
    <cellStyle name="Normal 5 3 2 5 4 2 2" xfId="8924"/>
    <cellStyle name="Normal 5 3 2 5 4 2 3" xfId="14463"/>
    <cellStyle name="Normal 5 3 2 5 4 3" xfId="4419"/>
    <cellStyle name="Normal 5 3 2 5 4 3 2" xfId="9958"/>
    <cellStyle name="Normal 5 3 2 5 4 3 3" xfId="15497"/>
    <cellStyle name="Normal 5 3 2 5 4 4" xfId="5354"/>
    <cellStyle name="Normal 5 3 2 5 4 4 2" xfId="10893"/>
    <cellStyle name="Normal 5 3 2 5 4 4 3" xfId="16432"/>
    <cellStyle name="Normal 5 3 2 5 4 5" xfId="2056"/>
    <cellStyle name="Normal 5 3 2 5 4 5 2" xfId="7602"/>
    <cellStyle name="Normal 5 3 2 5 4 5 3" xfId="13141"/>
    <cellStyle name="Normal 5 3 2 5 4 6" xfId="6397"/>
    <cellStyle name="Normal 5 3 2 5 4 7" xfId="11936"/>
    <cellStyle name="Normal 5 3 2 5 5" xfId="1575"/>
    <cellStyle name="Normal 5 3 2 5 5 2" xfId="2780"/>
    <cellStyle name="Normal 5 3 2 5 5 2 2" xfId="8326"/>
    <cellStyle name="Normal 5 3 2 5 5 2 3" xfId="13865"/>
    <cellStyle name="Normal 5 3 2 5 5 3" xfId="7121"/>
    <cellStyle name="Normal 5 3 2 5 5 4" xfId="12660"/>
    <cellStyle name="Normal 5 3 2 5 6" xfId="2953"/>
    <cellStyle name="Normal 5 3 2 5 6 2" xfId="8497"/>
    <cellStyle name="Normal 5 3 2 5 6 3" xfId="14036"/>
    <cellStyle name="Normal 5 3 2 5 7" xfId="3065"/>
    <cellStyle name="Normal 5 3 2 5 7 2" xfId="8608"/>
    <cellStyle name="Normal 5 3 2 5 7 3" xfId="14147"/>
    <cellStyle name="Normal 5 3 2 5 8" xfId="4108"/>
    <cellStyle name="Normal 5 3 2 5 8 2" xfId="9649"/>
    <cellStyle name="Normal 5 3 2 5 8 3" xfId="15188"/>
    <cellStyle name="Normal 5 3 2 5 9" xfId="1737"/>
    <cellStyle name="Normal 5 3 2 5 9 2" xfId="7283"/>
    <cellStyle name="Normal 5 3 2 5 9 3" xfId="12822"/>
    <cellStyle name="Normal 5 3 2 6" xfId="331"/>
    <cellStyle name="Normal 5 3 2 6 10" xfId="6006"/>
    <cellStyle name="Normal 5 3 2 6 10 2" xfId="17084"/>
    <cellStyle name="Normal 5 3 2 6 11" xfId="650"/>
    <cellStyle name="Normal 5 3 2 6 11 2" xfId="17246"/>
    <cellStyle name="Normal 5 3 2 6 12" xfId="11545"/>
    <cellStyle name="Normal 5 3 2 6 13" xfId="17413"/>
    <cellStyle name="Normal 5 3 2 6 14" xfId="17578"/>
    <cellStyle name="Normal 5 3 2 6 2" xfId="530"/>
    <cellStyle name="Normal 5 3 2 6 2 2" xfId="1371"/>
    <cellStyle name="Normal 5 3 2 6 2 2 2" xfId="3903"/>
    <cellStyle name="Normal 5 3 2 6 2 2 2 2" xfId="9445"/>
    <cellStyle name="Normal 5 3 2 6 2 2 2 3" xfId="14984"/>
    <cellStyle name="Normal 5 3 2 6 2 2 3" xfId="4940"/>
    <cellStyle name="Normal 5 3 2 6 2 2 3 2" xfId="10479"/>
    <cellStyle name="Normal 5 3 2 6 2 2 3 3" xfId="16018"/>
    <cellStyle name="Normal 5 3 2 6 2 2 4" xfId="5874"/>
    <cellStyle name="Normal 5 3 2 6 2 2 4 2" xfId="11413"/>
    <cellStyle name="Normal 5 3 2 6 2 2 4 3" xfId="16952"/>
    <cellStyle name="Normal 5 3 2 6 2 2 5" xfId="2576"/>
    <cellStyle name="Normal 5 3 2 6 2 2 5 2" xfId="8122"/>
    <cellStyle name="Normal 5 3 2 6 2 2 5 3" xfId="13661"/>
    <cellStyle name="Normal 5 3 2 6 2 2 6" xfId="6917"/>
    <cellStyle name="Normal 5 3 2 6 2 2 7" xfId="12456"/>
    <cellStyle name="Normal 5 3 2 6 2 3" xfId="981"/>
    <cellStyle name="Normal 5 3 2 6 2 3 2" xfId="3511"/>
    <cellStyle name="Normal 5 3 2 6 2 3 2 2" xfId="9053"/>
    <cellStyle name="Normal 5 3 2 6 2 3 2 3" xfId="14592"/>
    <cellStyle name="Normal 5 3 2 6 2 3 3" xfId="4548"/>
    <cellStyle name="Normal 5 3 2 6 2 3 3 2" xfId="10087"/>
    <cellStyle name="Normal 5 3 2 6 2 3 3 3" xfId="15626"/>
    <cellStyle name="Normal 5 3 2 6 2 3 4" xfId="5483"/>
    <cellStyle name="Normal 5 3 2 6 2 3 4 2" xfId="11022"/>
    <cellStyle name="Normal 5 3 2 6 2 3 4 3" xfId="16561"/>
    <cellStyle name="Normal 5 3 2 6 2 3 5" xfId="2185"/>
    <cellStyle name="Normal 5 3 2 6 2 3 5 2" xfId="7731"/>
    <cellStyle name="Normal 5 3 2 6 2 3 5 3" xfId="13270"/>
    <cellStyle name="Normal 5 3 2 6 2 3 6" xfId="6526"/>
    <cellStyle name="Normal 5 3 2 6 2 3 7" xfId="12065"/>
    <cellStyle name="Normal 5 3 2 6 2 4" xfId="3189"/>
    <cellStyle name="Normal 5 3 2 6 2 4 2" xfId="8731"/>
    <cellStyle name="Normal 5 3 2 6 2 4 3" xfId="14270"/>
    <cellStyle name="Normal 5 3 2 6 2 5" xfId="4228"/>
    <cellStyle name="Normal 5 3 2 6 2 5 2" xfId="9767"/>
    <cellStyle name="Normal 5 3 2 6 2 5 3" xfId="15306"/>
    <cellStyle name="Normal 5 3 2 6 2 6" xfId="5189"/>
    <cellStyle name="Normal 5 3 2 6 2 6 2" xfId="10728"/>
    <cellStyle name="Normal 5 3 2 6 2 6 3" xfId="16267"/>
    <cellStyle name="Normal 5 3 2 6 2 7" xfId="1891"/>
    <cellStyle name="Normal 5 3 2 6 2 7 2" xfId="7437"/>
    <cellStyle name="Normal 5 3 2 6 2 7 3" xfId="12976"/>
    <cellStyle name="Normal 5 3 2 6 2 8" xfId="6232"/>
    <cellStyle name="Normal 5 3 2 6 2 9" xfId="11771"/>
    <cellStyle name="Normal 5 3 2 6 3" xfId="1158"/>
    <cellStyle name="Normal 5 3 2 6 3 2" xfId="3688"/>
    <cellStyle name="Normal 5 3 2 6 3 2 2" xfId="9230"/>
    <cellStyle name="Normal 5 3 2 6 3 2 3" xfId="14769"/>
    <cellStyle name="Normal 5 3 2 6 3 3" xfId="4725"/>
    <cellStyle name="Normal 5 3 2 6 3 3 2" xfId="10264"/>
    <cellStyle name="Normal 5 3 2 6 3 3 3" xfId="15803"/>
    <cellStyle name="Normal 5 3 2 6 3 4" xfId="5660"/>
    <cellStyle name="Normal 5 3 2 6 3 4 2" xfId="11199"/>
    <cellStyle name="Normal 5 3 2 6 3 4 3" xfId="16738"/>
    <cellStyle name="Normal 5 3 2 6 3 5" xfId="2362"/>
    <cellStyle name="Normal 5 3 2 6 3 5 2" xfId="7908"/>
    <cellStyle name="Normal 5 3 2 6 3 5 3" xfId="13447"/>
    <cellStyle name="Normal 5 3 2 6 3 6" xfId="6703"/>
    <cellStyle name="Normal 5 3 2 6 3 7" xfId="12242"/>
    <cellStyle name="Normal 5 3 2 6 4" xfId="853"/>
    <cellStyle name="Normal 5 3 2 6 4 2" xfId="3383"/>
    <cellStyle name="Normal 5 3 2 6 4 2 2" xfId="8925"/>
    <cellStyle name="Normal 5 3 2 6 4 2 3" xfId="14464"/>
    <cellStyle name="Normal 5 3 2 6 4 3" xfId="4420"/>
    <cellStyle name="Normal 5 3 2 6 4 3 2" xfId="9959"/>
    <cellStyle name="Normal 5 3 2 6 4 3 3" xfId="15498"/>
    <cellStyle name="Normal 5 3 2 6 4 4" xfId="5355"/>
    <cellStyle name="Normal 5 3 2 6 4 4 2" xfId="10894"/>
    <cellStyle name="Normal 5 3 2 6 4 4 3" xfId="16433"/>
    <cellStyle name="Normal 5 3 2 6 4 5" xfId="2057"/>
    <cellStyle name="Normal 5 3 2 6 4 5 2" xfId="7603"/>
    <cellStyle name="Normal 5 3 2 6 4 5 3" xfId="13142"/>
    <cellStyle name="Normal 5 3 2 6 4 6" xfId="6398"/>
    <cellStyle name="Normal 5 3 2 6 4 7" xfId="11937"/>
    <cellStyle name="Normal 5 3 2 6 5" xfId="1503"/>
    <cellStyle name="Normal 5 3 2 6 5 2" xfId="2708"/>
    <cellStyle name="Normal 5 3 2 6 5 2 2" xfId="8254"/>
    <cellStyle name="Normal 5 3 2 6 5 2 3" xfId="13793"/>
    <cellStyle name="Normal 5 3 2 6 5 3" xfId="7049"/>
    <cellStyle name="Normal 5 3 2 6 5 4" xfId="12588"/>
    <cellStyle name="Normal 5 3 2 6 6" xfId="2881"/>
    <cellStyle name="Normal 5 3 2 6 6 2" xfId="8425"/>
    <cellStyle name="Normal 5 3 2 6 6 3" xfId="13964"/>
    <cellStyle name="Normal 5 3 2 6 7" xfId="3277"/>
    <cellStyle name="Normal 5 3 2 6 7 2" xfId="8819"/>
    <cellStyle name="Normal 5 3 2 6 7 3" xfId="14358"/>
    <cellStyle name="Normal 5 3 2 6 8" xfId="4316"/>
    <cellStyle name="Normal 5 3 2 6 8 2" xfId="9855"/>
    <cellStyle name="Normal 5 3 2 6 8 3" xfId="15394"/>
    <cellStyle name="Normal 5 3 2 6 9" xfId="1665"/>
    <cellStyle name="Normal 5 3 2 6 9 2" xfId="7211"/>
    <cellStyle name="Normal 5 3 2 6 9 3" xfId="12750"/>
    <cellStyle name="Normal 5 3 2 7" xfId="458"/>
    <cellStyle name="Normal 5 3 2 7 2" xfId="1300"/>
    <cellStyle name="Normal 5 3 2 7 2 2" xfId="3831"/>
    <cellStyle name="Normal 5 3 2 7 2 2 2" xfId="9373"/>
    <cellStyle name="Normal 5 3 2 7 2 2 3" xfId="14912"/>
    <cellStyle name="Normal 5 3 2 7 2 3" xfId="4868"/>
    <cellStyle name="Normal 5 3 2 7 2 3 2" xfId="10407"/>
    <cellStyle name="Normal 5 3 2 7 2 3 3" xfId="15946"/>
    <cellStyle name="Normal 5 3 2 7 2 4" xfId="5803"/>
    <cellStyle name="Normal 5 3 2 7 2 4 2" xfId="11342"/>
    <cellStyle name="Normal 5 3 2 7 2 4 3" xfId="16881"/>
    <cellStyle name="Normal 5 3 2 7 2 5" xfId="2505"/>
    <cellStyle name="Normal 5 3 2 7 2 5 2" xfId="8051"/>
    <cellStyle name="Normal 5 3 2 7 2 5 3" xfId="13590"/>
    <cellStyle name="Normal 5 3 2 7 2 6" xfId="6846"/>
    <cellStyle name="Normal 5 3 2 7 2 7" xfId="12385"/>
    <cellStyle name="Normal 5 3 2 7 3" xfId="963"/>
    <cellStyle name="Normal 5 3 2 7 3 2" xfId="3493"/>
    <cellStyle name="Normal 5 3 2 7 3 2 2" xfId="9035"/>
    <cellStyle name="Normal 5 3 2 7 3 2 3" xfId="14574"/>
    <cellStyle name="Normal 5 3 2 7 3 3" xfId="4530"/>
    <cellStyle name="Normal 5 3 2 7 3 3 2" xfId="10069"/>
    <cellStyle name="Normal 5 3 2 7 3 3 3" xfId="15608"/>
    <cellStyle name="Normal 5 3 2 7 3 4" xfId="5465"/>
    <cellStyle name="Normal 5 3 2 7 3 4 2" xfId="11004"/>
    <cellStyle name="Normal 5 3 2 7 3 4 3" xfId="16543"/>
    <cellStyle name="Normal 5 3 2 7 3 5" xfId="2167"/>
    <cellStyle name="Normal 5 3 2 7 3 5 2" xfId="7713"/>
    <cellStyle name="Normal 5 3 2 7 3 5 3" xfId="13252"/>
    <cellStyle name="Normal 5 3 2 7 3 6" xfId="6508"/>
    <cellStyle name="Normal 5 3 2 7 3 7" xfId="12047"/>
    <cellStyle name="Normal 5 3 2 7 4" xfId="3108"/>
    <cellStyle name="Normal 5 3 2 7 4 2" xfId="8651"/>
    <cellStyle name="Normal 5 3 2 7 4 3" xfId="14190"/>
    <cellStyle name="Normal 5 3 2 7 5" xfId="4151"/>
    <cellStyle name="Normal 5 3 2 7 5 2" xfId="9692"/>
    <cellStyle name="Normal 5 3 2 7 5 3" xfId="15231"/>
    <cellStyle name="Normal 5 3 2 7 6" xfId="5118"/>
    <cellStyle name="Normal 5 3 2 7 6 2" xfId="10657"/>
    <cellStyle name="Normal 5 3 2 7 6 3" xfId="16196"/>
    <cellStyle name="Normal 5 3 2 7 7" xfId="1820"/>
    <cellStyle name="Normal 5 3 2 7 7 2" xfId="7366"/>
    <cellStyle name="Normal 5 3 2 7 7 3" xfId="12905"/>
    <cellStyle name="Normal 5 3 2 7 8" xfId="6161"/>
    <cellStyle name="Normal 5 3 2 7 9" xfId="11700"/>
    <cellStyle name="Normal 5 3 2 8" xfId="1140"/>
    <cellStyle name="Normal 5 3 2 8 2" xfId="3670"/>
    <cellStyle name="Normal 5 3 2 8 2 2" xfId="9212"/>
    <cellStyle name="Normal 5 3 2 8 2 3" xfId="14751"/>
    <cellStyle name="Normal 5 3 2 8 3" xfId="4707"/>
    <cellStyle name="Normal 5 3 2 8 3 2" xfId="10246"/>
    <cellStyle name="Normal 5 3 2 8 3 3" xfId="15785"/>
    <cellStyle name="Normal 5 3 2 8 4" xfId="5642"/>
    <cellStyle name="Normal 5 3 2 8 4 2" xfId="11181"/>
    <cellStyle name="Normal 5 3 2 8 4 3" xfId="16720"/>
    <cellStyle name="Normal 5 3 2 8 5" xfId="2344"/>
    <cellStyle name="Normal 5 3 2 8 5 2" xfId="7890"/>
    <cellStyle name="Normal 5 3 2 8 5 3" xfId="13429"/>
    <cellStyle name="Normal 5 3 2 8 6" xfId="6685"/>
    <cellStyle name="Normal 5 3 2 8 7" xfId="12224"/>
    <cellStyle name="Normal 5 3 2 9" xfId="845"/>
    <cellStyle name="Normal 5 3 2 9 2" xfId="3375"/>
    <cellStyle name="Normal 5 3 2 9 2 2" xfId="8917"/>
    <cellStyle name="Normal 5 3 2 9 2 3" xfId="14456"/>
    <cellStyle name="Normal 5 3 2 9 3" xfId="4412"/>
    <cellStyle name="Normal 5 3 2 9 3 2" xfId="9951"/>
    <cellStyle name="Normal 5 3 2 9 3 3" xfId="15490"/>
    <cellStyle name="Normal 5 3 2 9 4" xfId="5347"/>
    <cellStyle name="Normal 5 3 2 9 4 2" xfId="10886"/>
    <cellStyle name="Normal 5 3 2 9 4 3" xfId="16425"/>
    <cellStyle name="Normal 5 3 2 9 5" xfId="2049"/>
    <cellStyle name="Normal 5 3 2 9 5 2" xfId="7595"/>
    <cellStyle name="Normal 5 3 2 9 5 3" xfId="13134"/>
    <cellStyle name="Normal 5 3 2 9 6" xfId="6390"/>
    <cellStyle name="Normal 5 3 2 9 7" xfId="11929"/>
    <cellStyle name="Normal 5 3 20" xfId="17553"/>
    <cellStyle name="Normal 5 3 3" xfId="332"/>
    <cellStyle name="Normal 5 3 3 10" xfId="1694"/>
    <cellStyle name="Normal 5 3 3 10 2" xfId="7240"/>
    <cellStyle name="Normal 5 3 3 10 3" xfId="12779"/>
    <cellStyle name="Normal 5 3 3 11" xfId="6035"/>
    <cellStyle name="Normal 5 3 3 11 2" xfId="17113"/>
    <cellStyle name="Normal 5 3 3 12" xfId="679"/>
    <cellStyle name="Normal 5 3 3 12 2" xfId="17275"/>
    <cellStyle name="Normal 5 3 3 13" xfId="11574"/>
    <cellStyle name="Normal 5 3 3 14" xfId="17442"/>
    <cellStyle name="Normal 5 3 3 15" xfId="17607"/>
    <cellStyle name="Normal 5 3 3 2" xfId="333"/>
    <cellStyle name="Normal 5 3 3 2 10" xfId="6125"/>
    <cellStyle name="Normal 5 3 3 2 10 2" xfId="17203"/>
    <cellStyle name="Normal 5 3 3 2 11" xfId="769"/>
    <cellStyle name="Normal 5 3 3 2 11 2" xfId="17365"/>
    <cellStyle name="Normal 5 3 3 2 12" xfId="11664"/>
    <cellStyle name="Normal 5 3 3 2 13" xfId="17532"/>
    <cellStyle name="Normal 5 3 3 2 14" xfId="17697"/>
    <cellStyle name="Normal 5 3 3 2 2" xfId="532"/>
    <cellStyle name="Normal 5 3 3 2 2 2" xfId="1373"/>
    <cellStyle name="Normal 5 3 3 2 2 2 2" xfId="3905"/>
    <cellStyle name="Normal 5 3 3 2 2 2 2 2" xfId="9447"/>
    <cellStyle name="Normal 5 3 3 2 2 2 2 3" xfId="14986"/>
    <cellStyle name="Normal 5 3 3 2 2 2 3" xfId="4942"/>
    <cellStyle name="Normal 5 3 3 2 2 2 3 2" xfId="10481"/>
    <cellStyle name="Normal 5 3 3 2 2 2 3 3" xfId="16020"/>
    <cellStyle name="Normal 5 3 3 2 2 2 4" xfId="5876"/>
    <cellStyle name="Normal 5 3 3 2 2 2 4 2" xfId="11415"/>
    <cellStyle name="Normal 5 3 3 2 2 2 4 3" xfId="16954"/>
    <cellStyle name="Normal 5 3 3 2 2 2 5" xfId="2578"/>
    <cellStyle name="Normal 5 3 3 2 2 2 5 2" xfId="8124"/>
    <cellStyle name="Normal 5 3 3 2 2 2 5 3" xfId="13663"/>
    <cellStyle name="Normal 5 3 3 2 2 2 6" xfId="6919"/>
    <cellStyle name="Normal 5 3 3 2 2 2 7" xfId="12458"/>
    <cellStyle name="Normal 5 3 3 2 2 3" xfId="1100"/>
    <cellStyle name="Normal 5 3 3 2 2 3 2" xfId="3630"/>
    <cellStyle name="Normal 5 3 3 2 2 3 2 2" xfId="9172"/>
    <cellStyle name="Normal 5 3 3 2 2 3 2 3" xfId="14711"/>
    <cellStyle name="Normal 5 3 3 2 2 3 3" xfId="4667"/>
    <cellStyle name="Normal 5 3 3 2 2 3 3 2" xfId="10206"/>
    <cellStyle name="Normal 5 3 3 2 2 3 3 3" xfId="15745"/>
    <cellStyle name="Normal 5 3 3 2 2 3 4" xfId="5602"/>
    <cellStyle name="Normal 5 3 3 2 2 3 4 2" xfId="11141"/>
    <cellStyle name="Normal 5 3 3 2 2 3 4 3" xfId="16680"/>
    <cellStyle name="Normal 5 3 3 2 2 3 5" xfId="2304"/>
    <cellStyle name="Normal 5 3 3 2 2 3 5 2" xfId="7850"/>
    <cellStyle name="Normal 5 3 3 2 2 3 5 3" xfId="13389"/>
    <cellStyle name="Normal 5 3 3 2 2 3 6" xfId="6645"/>
    <cellStyle name="Normal 5 3 3 2 2 3 7" xfId="12184"/>
    <cellStyle name="Normal 5 3 3 2 2 4" xfId="3191"/>
    <cellStyle name="Normal 5 3 3 2 2 4 2" xfId="8733"/>
    <cellStyle name="Normal 5 3 3 2 2 4 3" xfId="14272"/>
    <cellStyle name="Normal 5 3 3 2 2 5" xfId="4230"/>
    <cellStyle name="Normal 5 3 3 2 2 5 2" xfId="9769"/>
    <cellStyle name="Normal 5 3 3 2 2 5 3" xfId="15308"/>
    <cellStyle name="Normal 5 3 3 2 2 6" xfId="5191"/>
    <cellStyle name="Normal 5 3 3 2 2 6 2" xfId="10730"/>
    <cellStyle name="Normal 5 3 3 2 2 6 3" xfId="16269"/>
    <cellStyle name="Normal 5 3 3 2 2 7" xfId="1893"/>
    <cellStyle name="Normal 5 3 3 2 2 7 2" xfId="7439"/>
    <cellStyle name="Normal 5 3 3 2 2 7 3" xfId="12978"/>
    <cellStyle name="Normal 5 3 3 2 2 8" xfId="6234"/>
    <cellStyle name="Normal 5 3 3 2 2 9" xfId="11773"/>
    <cellStyle name="Normal 5 3 3 2 3" xfId="1277"/>
    <cellStyle name="Normal 5 3 3 2 3 2" xfId="3807"/>
    <cellStyle name="Normal 5 3 3 2 3 2 2" xfId="9349"/>
    <cellStyle name="Normal 5 3 3 2 3 2 3" xfId="14888"/>
    <cellStyle name="Normal 5 3 3 2 3 3" xfId="4844"/>
    <cellStyle name="Normal 5 3 3 2 3 3 2" xfId="10383"/>
    <cellStyle name="Normal 5 3 3 2 3 3 3" xfId="15922"/>
    <cellStyle name="Normal 5 3 3 2 3 4" xfId="5779"/>
    <cellStyle name="Normal 5 3 3 2 3 4 2" xfId="11318"/>
    <cellStyle name="Normal 5 3 3 2 3 4 3" xfId="16857"/>
    <cellStyle name="Normal 5 3 3 2 3 5" xfId="2481"/>
    <cellStyle name="Normal 5 3 3 2 3 5 2" xfId="8027"/>
    <cellStyle name="Normal 5 3 3 2 3 5 3" xfId="13566"/>
    <cellStyle name="Normal 5 3 3 2 3 6" xfId="6822"/>
    <cellStyle name="Normal 5 3 3 2 3 7" xfId="12361"/>
    <cellStyle name="Normal 5 3 3 2 4" xfId="855"/>
    <cellStyle name="Normal 5 3 3 2 4 2" xfId="3385"/>
    <cellStyle name="Normal 5 3 3 2 4 2 2" xfId="8927"/>
    <cellStyle name="Normal 5 3 3 2 4 2 3" xfId="14466"/>
    <cellStyle name="Normal 5 3 3 2 4 3" xfId="4422"/>
    <cellStyle name="Normal 5 3 3 2 4 3 2" xfId="9961"/>
    <cellStyle name="Normal 5 3 3 2 4 3 3" xfId="15500"/>
    <cellStyle name="Normal 5 3 3 2 4 4" xfId="5357"/>
    <cellStyle name="Normal 5 3 3 2 4 4 2" xfId="10896"/>
    <cellStyle name="Normal 5 3 3 2 4 4 3" xfId="16435"/>
    <cellStyle name="Normal 5 3 3 2 4 5" xfId="2059"/>
    <cellStyle name="Normal 5 3 3 2 4 5 2" xfId="7605"/>
    <cellStyle name="Normal 5 3 3 2 4 5 3" xfId="13144"/>
    <cellStyle name="Normal 5 3 3 2 4 6" xfId="6400"/>
    <cellStyle name="Normal 5 3 3 2 4 7" xfId="11939"/>
    <cellStyle name="Normal 5 3 3 2 5" xfId="1622"/>
    <cellStyle name="Normal 5 3 3 2 5 2" xfId="2827"/>
    <cellStyle name="Normal 5 3 3 2 5 2 2" xfId="8373"/>
    <cellStyle name="Normal 5 3 3 2 5 2 3" xfId="13912"/>
    <cellStyle name="Normal 5 3 3 2 5 3" xfId="7168"/>
    <cellStyle name="Normal 5 3 3 2 5 4" xfId="12707"/>
    <cellStyle name="Normal 5 3 3 2 6" xfId="3000"/>
    <cellStyle name="Normal 5 3 3 2 6 2" xfId="8544"/>
    <cellStyle name="Normal 5 3 3 2 6 3" xfId="14083"/>
    <cellStyle name="Normal 5 3 3 2 7" xfId="4045"/>
    <cellStyle name="Normal 5 3 3 2 7 2" xfId="9587"/>
    <cellStyle name="Normal 5 3 3 2 7 3" xfId="15126"/>
    <cellStyle name="Normal 5 3 3 2 8" xfId="5082"/>
    <cellStyle name="Normal 5 3 3 2 8 2" xfId="10621"/>
    <cellStyle name="Normal 5 3 3 2 8 3" xfId="16160"/>
    <cellStyle name="Normal 5 3 3 2 9" xfId="1784"/>
    <cellStyle name="Normal 5 3 3 2 9 2" xfId="7330"/>
    <cellStyle name="Normal 5 3 3 2 9 3" xfId="12869"/>
    <cellStyle name="Normal 5 3 3 3" xfId="531"/>
    <cellStyle name="Normal 5 3 3 3 2" xfId="1372"/>
    <cellStyle name="Normal 5 3 3 3 2 2" xfId="3904"/>
    <cellStyle name="Normal 5 3 3 3 2 2 2" xfId="9446"/>
    <cellStyle name="Normal 5 3 3 3 2 2 3" xfId="14985"/>
    <cellStyle name="Normal 5 3 3 3 2 3" xfId="4941"/>
    <cellStyle name="Normal 5 3 3 3 2 3 2" xfId="10480"/>
    <cellStyle name="Normal 5 3 3 3 2 3 3" xfId="16019"/>
    <cellStyle name="Normal 5 3 3 3 2 4" xfId="5875"/>
    <cellStyle name="Normal 5 3 3 3 2 4 2" xfId="11414"/>
    <cellStyle name="Normal 5 3 3 3 2 4 3" xfId="16953"/>
    <cellStyle name="Normal 5 3 3 3 2 5" xfId="2577"/>
    <cellStyle name="Normal 5 3 3 3 2 5 2" xfId="8123"/>
    <cellStyle name="Normal 5 3 3 3 2 5 3" xfId="13662"/>
    <cellStyle name="Normal 5 3 3 3 2 6" xfId="6918"/>
    <cellStyle name="Normal 5 3 3 3 2 7" xfId="12457"/>
    <cellStyle name="Normal 5 3 3 3 3" xfId="1010"/>
    <cellStyle name="Normal 5 3 3 3 3 2" xfId="3540"/>
    <cellStyle name="Normal 5 3 3 3 3 2 2" xfId="9082"/>
    <cellStyle name="Normal 5 3 3 3 3 2 3" xfId="14621"/>
    <cellStyle name="Normal 5 3 3 3 3 3" xfId="4577"/>
    <cellStyle name="Normal 5 3 3 3 3 3 2" xfId="10116"/>
    <cellStyle name="Normal 5 3 3 3 3 3 3" xfId="15655"/>
    <cellStyle name="Normal 5 3 3 3 3 4" xfId="5512"/>
    <cellStyle name="Normal 5 3 3 3 3 4 2" xfId="11051"/>
    <cellStyle name="Normal 5 3 3 3 3 4 3" xfId="16590"/>
    <cellStyle name="Normal 5 3 3 3 3 5" xfId="2214"/>
    <cellStyle name="Normal 5 3 3 3 3 5 2" xfId="7760"/>
    <cellStyle name="Normal 5 3 3 3 3 5 3" xfId="13299"/>
    <cellStyle name="Normal 5 3 3 3 3 6" xfId="6555"/>
    <cellStyle name="Normal 5 3 3 3 3 7" xfId="12094"/>
    <cellStyle name="Normal 5 3 3 3 4" xfId="3190"/>
    <cellStyle name="Normal 5 3 3 3 4 2" xfId="8732"/>
    <cellStyle name="Normal 5 3 3 3 4 3" xfId="14271"/>
    <cellStyle name="Normal 5 3 3 3 5" xfId="4229"/>
    <cellStyle name="Normal 5 3 3 3 5 2" xfId="9768"/>
    <cellStyle name="Normal 5 3 3 3 5 3" xfId="15307"/>
    <cellStyle name="Normal 5 3 3 3 6" xfId="5190"/>
    <cellStyle name="Normal 5 3 3 3 6 2" xfId="10729"/>
    <cellStyle name="Normal 5 3 3 3 6 3" xfId="16268"/>
    <cellStyle name="Normal 5 3 3 3 7" xfId="1892"/>
    <cellStyle name="Normal 5 3 3 3 7 2" xfId="7438"/>
    <cellStyle name="Normal 5 3 3 3 7 3" xfId="12977"/>
    <cellStyle name="Normal 5 3 3 3 8" xfId="6233"/>
    <cellStyle name="Normal 5 3 3 3 9" xfId="11772"/>
    <cellStyle name="Normal 5 3 3 4" xfId="1187"/>
    <cellStyle name="Normal 5 3 3 4 2" xfId="3717"/>
    <cellStyle name="Normal 5 3 3 4 2 2" xfId="9259"/>
    <cellStyle name="Normal 5 3 3 4 2 3" xfId="14798"/>
    <cellStyle name="Normal 5 3 3 4 3" xfId="4754"/>
    <cellStyle name="Normal 5 3 3 4 3 2" xfId="10293"/>
    <cellStyle name="Normal 5 3 3 4 3 3" xfId="15832"/>
    <cellStyle name="Normal 5 3 3 4 4" xfId="5689"/>
    <cellStyle name="Normal 5 3 3 4 4 2" xfId="11228"/>
    <cellStyle name="Normal 5 3 3 4 4 3" xfId="16767"/>
    <cellStyle name="Normal 5 3 3 4 5" xfId="2391"/>
    <cellStyle name="Normal 5 3 3 4 5 2" xfId="7937"/>
    <cellStyle name="Normal 5 3 3 4 5 3" xfId="13476"/>
    <cellStyle name="Normal 5 3 3 4 6" xfId="6732"/>
    <cellStyle name="Normal 5 3 3 4 7" xfId="12271"/>
    <cellStyle name="Normal 5 3 3 5" xfId="854"/>
    <cellStyle name="Normal 5 3 3 5 2" xfId="3384"/>
    <cellStyle name="Normal 5 3 3 5 2 2" xfId="8926"/>
    <cellStyle name="Normal 5 3 3 5 2 3" xfId="14465"/>
    <cellStyle name="Normal 5 3 3 5 3" xfId="4421"/>
    <cellStyle name="Normal 5 3 3 5 3 2" xfId="9960"/>
    <cellStyle name="Normal 5 3 3 5 3 3" xfId="15499"/>
    <cellStyle name="Normal 5 3 3 5 4" xfId="5356"/>
    <cellStyle name="Normal 5 3 3 5 4 2" xfId="10895"/>
    <cellStyle name="Normal 5 3 3 5 4 3" xfId="16434"/>
    <cellStyle name="Normal 5 3 3 5 5" xfId="2058"/>
    <cellStyle name="Normal 5 3 3 5 5 2" xfId="7604"/>
    <cellStyle name="Normal 5 3 3 5 5 3" xfId="13143"/>
    <cellStyle name="Normal 5 3 3 5 6" xfId="6399"/>
    <cellStyle name="Normal 5 3 3 5 7" xfId="11938"/>
    <cellStyle name="Normal 5 3 3 6" xfId="1532"/>
    <cellStyle name="Normal 5 3 3 6 2" xfId="2737"/>
    <cellStyle name="Normal 5 3 3 6 2 2" xfId="8283"/>
    <cellStyle name="Normal 5 3 3 6 2 3" xfId="13822"/>
    <cellStyle name="Normal 5 3 3 6 3" xfId="7078"/>
    <cellStyle name="Normal 5 3 3 6 4" xfId="12617"/>
    <cellStyle name="Normal 5 3 3 7" xfId="2910"/>
    <cellStyle name="Normal 5 3 3 7 2" xfId="8454"/>
    <cellStyle name="Normal 5 3 3 7 3" xfId="13993"/>
    <cellStyle name="Normal 5 3 3 8" xfId="3019"/>
    <cellStyle name="Normal 5 3 3 8 2" xfId="8563"/>
    <cellStyle name="Normal 5 3 3 8 3" xfId="14102"/>
    <cellStyle name="Normal 5 3 3 9" xfId="4063"/>
    <cellStyle name="Normal 5 3 3 9 2" xfId="9605"/>
    <cellStyle name="Normal 5 3 3 9 3" xfId="15144"/>
    <cellStyle name="Normal 5 3 4" xfId="334"/>
    <cellStyle name="Normal 5 3 4 10" xfId="1676"/>
    <cellStyle name="Normal 5 3 4 10 2" xfId="7222"/>
    <cellStyle name="Normal 5 3 4 10 3" xfId="12761"/>
    <cellStyle name="Normal 5 3 4 11" xfId="6017"/>
    <cellStyle name="Normal 5 3 4 11 2" xfId="17095"/>
    <cellStyle name="Normal 5 3 4 12" xfId="661"/>
    <cellStyle name="Normal 5 3 4 12 2" xfId="17257"/>
    <cellStyle name="Normal 5 3 4 13" xfId="11556"/>
    <cellStyle name="Normal 5 3 4 14" xfId="17424"/>
    <cellStyle name="Normal 5 3 4 15" xfId="17589"/>
    <cellStyle name="Normal 5 3 4 2" xfId="335"/>
    <cellStyle name="Normal 5 3 4 2 10" xfId="6107"/>
    <cellStyle name="Normal 5 3 4 2 10 2" xfId="17185"/>
    <cellStyle name="Normal 5 3 4 2 11" xfId="751"/>
    <cellStyle name="Normal 5 3 4 2 11 2" xfId="17347"/>
    <cellStyle name="Normal 5 3 4 2 12" xfId="11646"/>
    <cellStyle name="Normal 5 3 4 2 13" xfId="17514"/>
    <cellStyle name="Normal 5 3 4 2 14" xfId="17679"/>
    <cellStyle name="Normal 5 3 4 2 2" xfId="534"/>
    <cellStyle name="Normal 5 3 4 2 2 2" xfId="1375"/>
    <cellStyle name="Normal 5 3 4 2 2 2 2" xfId="3907"/>
    <cellStyle name="Normal 5 3 4 2 2 2 2 2" xfId="9449"/>
    <cellStyle name="Normal 5 3 4 2 2 2 2 3" xfId="14988"/>
    <cellStyle name="Normal 5 3 4 2 2 2 3" xfId="4944"/>
    <cellStyle name="Normal 5 3 4 2 2 2 3 2" xfId="10483"/>
    <cellStyle name="Normal 5 3 4 2 2 2 3 3" xfId="16022"/>
    <cellStyle name="Normal 5 3 4 2 2 2 4" xfId="5878"/>
    <cellStyle name="Normal 5 3 4 2 2 2 4 2" xfId="11417"/>
    <cellStyle name="Normal 5 3 4 2 2 2 4 3" xfId="16956"/>
    <cellStyle name="Normal 5 3 4 2 2 2 5" xfId="2580"/>
    <cellStyle name="Normal 5 3 4 2 2 2 5 2" xfId="8126"/>
    <cellStyle name="Normal 5 3 4 2 2 2 5 3" xfId="13665"/>
    <cellStyle name="Normal 5 3 4 2 2 2 6" xfId="6921"/>
    <cellStyle name="Normal 5 3 4 2 2 2 7" xfId="12460"/>
    <cellStyle name="Normal 5 3 4 2 2 3" xfId="1082"/>
    <cellStyle name="Normal 5 3 4 2 2 3 2" xfId="3612"/>
    <cellStyle name="Normal 5 3 4 2 2 3 2 2" xfId="9154"/>
    <cellStyle name="Normal 5 3 4 2 2 3 2 3" xfId="14693"/>
    <cellStyle name="Normal 5 3 4 2 2 3 3" xfId="4649"/>
    <cellStyle name="Normal 5 3 4 2 2 3 3 2" xfId="10188"/>
    <cellStyle name="Normal 5 3 4 2 2 3 3 3" xfId="15727"/>
    <cellStyle name="Normal 5 3 4 2 2 3 4" xfId="5584"/>
    <cellStyle name="Normal 5 3 4 2 2 3 4 2" xfId="11123"/>
    <cellStyle name="Normal 5 3 4 2 2 3 4 3" xfId="16662"/>
    <cellStyle name="Normal 5 3 4 2 2 3 5" xfId="2286"/>
    <cellStyle name="Normal 5 3 4 2 2 3 5 2" xfId="7832"/>
    <cellStyle name="Normal 5 3 4 2 2 3 5 3" xfId="13371"/>
    <cellStyle name="Normal 5 3 4 2 2 3 6" xfId="6627"/>
    <cellStyle name="Normal 5 3 4 2 2 3 7" xfId="12166"/>
    <cellStyle name="Normal 5 3 4 2 2 4" xfId="3193"/>
    <cellStyle name="Normal 5 3 4 2 2 4 2" xfId="8735"/>
    <cellStyle name="Normal 5 3 4 2 2 4 3" xfId="14274"/>
    <cellStyle name="Normal 5 3 4 2 2 5" xfId="4232"/>
    <cellStyle name="Normal 5 3 4 2 2 5 2" xfId="9771"/>
    <cellStyle name="Normal 5 3 4 2 2 5 3" xfId="15310"/>
    <cellStyle name="Normal 5 3 4 2 2 6" xfId="5193"/>
    <cellStyle name="Normal 5 3 4 2 2 6 2" xfId="10732"/>
    <cellStyle name="Normal 5 3 4 2 2 6 3" xfId="16271"/>
    <cellStyle name="Normal 5 3 4 2 2 7" xfId="1895"/>
    <cellStyle name="Normal 5 3 4 2 2 7 2" xfId="7441"/>
    <cellStyle name="Normal 5 3 4 2 2 7 3" xfId="12980"/>
    <cellStyle name="Normal 5 3 4 2 2 8" xfId="6236"/>
    <cellStyle name="Normal 5 3 4 2 2 9" xfId="11775"/>
    <cellStyle name="Normal 5 3 4 2 3" xfId="1259"/>
    <cellStyle name="Normal 5 3 4 2 3 2" xfId="3789"/>
    <cellStyle name="Normal 5 3 4 2 3 2 2" xfId="9331"/>
    <cellStyle name="Normal 5 3 4 2 3 2 3" xfId="14870"/>
    <cellStyle name="Normal 5 3 4 2 3 3" xfId="4826"/>
    <cellStyle name="Normal 5 3 4 2 3 3 2" xfId="10365"/>
    <cellStyle name="Normal 5 3 4 2 3 3 3" xfId="15904"/>
    <cellStyle name="Normal 5 3 4 2 3 4" xfId="5761"/>
    <cellStyle name="Normal 5 3 4 2 3 4 2" xfId="11300"/>
    <cellStyle name="Normal 5 3 4 2 3 4 3" xfId="16839"/>
    <cellStyle name="Normal 5 3 4 2 3 5" xfId="2463"/>
    <cellStyle name="Normal 5 3 4 2 3 5 2" xfId="8009"/>
    <cellStyle name="Normal 5 3 4 2 3 5 3" xfId="13548"/>
    <cellStyle name="Normal 5 3 4 2 3 6" xfId="6804"/>
    <cellStyle name="Normal 5 3 4 2 3 7" xfId="12343"/>
    <cellStyle name="Normal 5 3 4 2 4" xfId="857"/>
    <cellStyle name="Normal 5 3 4 2 4 2" xfId="3387"/>
    <cellStyle name="Normal 5 3 4 2 4 2 2" xfId="8929"/>
    <cellStyle name="Normal 5 3 4 2 4 2 3" xfId="14468"/>
    <cellStyle name="Normal 5 3 4 2 4 3" xfId="4424"/>
    <cellStyle name="Normal 5 3 4 2 4 3 2" xfId="9963"/>
    <cellStyle name="Normal 5 3 4 2 4 3 3" xfId="15502"/>
    <cellStyle name="Normal 5 3 4 2 4 4" xfId="5359"/>
    <cellStyle name="Normal 5 3 4 2 4 4 2" xfId="10898"/>
    <cellStyle name="Normal 5 3 4 2 4 4 3" xfId="16437"/>
    <cellStyle name="Normal 5 3 4 2 4 5" xfId="2061"/>
    <cellStyle name="Normal 5 3 4 2 4 5 2" xfId="7607"/>
    <cellStyle name="Normal 5 3 4 2 4 5 3" xfId="13146"/>
    <cellStyle name="Normal 5 3 4 2 4 6" xfId="6402"/>
    <cellStyle name="Normal 5 3 4 2 4 7" xfId="11941"/>
    <cellStyle name="Normal 5 3 4 2 5" xfId="1604"/>
    <cellStyle name="Normal 5 3 4 2 5 2" xfId="2809"/>
    <cellStyle name="Normal 5 3 4 2 5 2 2" xfId="8355"/>
    <cellStyle name="Normal 5 3 4 2 5 2 3" xfId="13894"/>
    <cellStyle name="Normal 5 3 4 2 5 3" xfId="7150"/>
    <cellStyle name="Normal 5 3 4 2 5 4" xfId="12689"/>
    <cellStyle name="Normal 5 3 4 2 6" xfId="2982"/>
    <cellStyle name="Normal 5 3 4 2 6 2" xfId="8526"/>
    <cellStyle name="Normal 5 3 4 2 6 3" xfId="14065"/>
    <cellStyle name="Normal 5 3 4 2 7" xfId="4027"/>
    <cellStyle name="Normal 5 3 4 2 7 2" xfId="9569"/>
    <cellStyle name="Normal 5 3 4 2 7 3" xfId="15108"/>
    <cellStyle name="Normal 5 3 4 2 8" xfId="5064"/>
    <cellStyle name="Normal 5 3 4 2 8 2" xfId="10603"/>
    <cellStyle name="Normal 5 3 4 2 8 3" xfId="16142"/>
    <cellStyle name="Normal 5 3 4 2 9" xfId="1766"/>
    <cellStyle name="Normal 5 3 4 2 9 2" xfId="7312"/>
    <cellStyle name="Normal 5 3 4 2 9 3" xfId="12851"/>
    <cellStyle name="Normal 5 3 4 3" xfId="533"/>
    <cellStyle name="Normal 5 3 4 3 2" xfId="1374"/>
    <cellStyle name="Normal 5 3 4 3 2 2" xfId="3906"/>
    <cellStyle name="Normal 5 3 4 3 2 2 2" xfId="9448"/>
    <cellStyle name="Normal 5 3 4 3 2 2 3" xfId="14987"/>
    <cellStyle name="Normal 5 3 4 3 2 3" xfId="4943"/>
    <cellStyle name="Normal 5 3 4 3 2 3 2" xfId="10482"/>
    <cellStyle name="Normal 5 3 4 3 2 3 3" xfId="16021"/>
    <cellStyle name="Normal 5 3 4 3 2 4" xfId="5877"/>
    <cellStyle name="Normal 5 3 4 3 2 4 2" xfId="11416"/>
    <cellStyle name="Normal 5 3 4 3 2 4 3" xfId="16955"/>
    <cellStyle name="Normal 5 3 4 3 2 5" xfId="2579"/>
    <cellStyle name="Normal 5 3 4 3 2 5 2" xfId="8125"/>
    <cellStyle name="Normal 5 3 4 3 2 5 3" xfId="13664"/>
    <cellStyle name="Normal 5 3 4 3 2 6" xfId="6920"/>
    <cellStyle name="Normal 5 3 4 3 2 7" xfId="12459"/>
    <cellStyle name="Normal 5 3 4 3 3" xfId="992"/>
    <cellStyle name="Normal 5 3 4 3 3 2" xfId="3522"/>
    <cellStyle name="Normal 5 3 4 3 3 2 2" xfId="9064"/>
    <cellStyle name="Normal 5 3 4 3 3 2 3" xfId="14603"/>
    <cellStyle name="Normal 5 3 4 3 3 3" xfId="4559"/>
    <cellStyle name="Normal 5 3 4 3 3 3 2" xfId="10098"/>
    <cellStyle name="Normal 5 3 4 3 3 3 3" xfId="15637"/>
    <cellStyle name="Normal 5 3 4 3 3 4" xfId="5494"/>
    <cellStyle name="Normal 5 3 4 3 3 4 2" xfId="11033"/>
    <cellStyle name="Normal 5 3 4 3 3 4 3" xfId="16572"/>
    <cellStyle name="Normal 5 3 4 3 3 5" xfId="2196"/>
    <cellStyle name="Normal 5 3 4 3 3 5 2" xfId="7742"/>
    <cellStyle name="Normal 5 3 4 3 3 5 3" xfId="13281"/>
    <cellStyle name="Normal 5 3 4 3 3 6" xfId="6537"/>
    <cellStyle name="Normal 5 3 4 3 3 7" xfId="12076"/>
    <cellStyle name="Normal 5 3 4 3 4" xfId="3192"/>
    <cellStyle name="Normal 5 3 4 3 4 2" xfId="8734"/>
    <cellStyle name="Normal 5 3 4 3 4 3" xfId="14273"/>
    <cellStyle name="Normal 5 3 4 3 5" xfId="4231"/>
    <cellStyle name="Normal 5 3 4 3 5 2" xfId="9770"/>
    <cellStyle name="Normal 5 3 4 3 5 3" xfId="15309"/>
    <cellStyle name="Normal 5 3 4 3 6" xfId="5192"/>
    <cellStyle name="Normal 5 3 4 3 6 2" xfId="10731"/>
    <cellStyle name="Normal 5 3 4 3 6 3" xfId="16270"/>
    <cellStyle name="Normal 5 3 4 3 7" xfId="1894"/>
    <cellStyle name="Normal 5 3 4 3 7 2" xfId="7440"/>
    <cellStyle name="Normal 5 3 4 3 7 3" xfId="12979"/>
    <cellStyle name="Normal 5 3 4 3 8" xfId="6235"/>
    <cellStyle name="Normal 5 3 4 3 9" xfId="11774"/>
    <cellStyle name="Normal 5 3 4 4" xfId="1169"/>
    <cellStyle name="Normal 5 3 4 4 2" xfId="3699"/>
    <cellStyle name="Normal 5 3 4 4 2 2" xfId="9241"/>
    <cellStyle name="Normal 5 3 4 4 2 3" xfId="14780"/>
    <cellStyle name="Normal 5 3 4 4 3" xfId="4736"/>
    <cellStyle name="Normal 5 3 4 4 3 2" xfId="10275"/>
    <cellStyle name="Normal 5 3 4 4 3 3" xfId="15814"/>
    <cellStyle name="Normal 5 3 4 4 4" xfId="5671"/>
    <cellStyle name="Normal 5 3 4 4 4 2" xfId="11210"/>
    <cellStyle name="Normal 5 3 4 4 4 3" xfId="16749"/>
    <cellStyle name="Normal 5 3 4 4 5" xfId="2373"/>
    <cellStyle name="Normal 5 3 4 4 5 2" xfId="7919"/>
    <cellStyle name="Normal 5 3 4 4 5 3" xfId="13458"/>
    <cellStyle name="Normal 5 3 4 4 6" xfId="6714"/>
    <cellStyle name="Normal 5 3 4 4 7" xfId="12253"/>
    <cellStyle name="Normal 5 3 4 5" xfId="856"/>
    <cellStyle name="Normal 5 3 4 5 2" xfId="3386"/>
    <cellStyle name="Normal 5 3 4 5 2 2" xfId="8928"/>
    <cellStyle name="Normal 5 3 4 5 2 3" xfId="14467"/>
    <cellStyle name="Normal 5 3 4 5 3" xfId="4423"/>
    <cellStyle name="Normal 5 3 4 5 3 2" xfId="9962"/>
    <cellStyle name="Normal 5 3 4 5 3 3" xfId="15501"/>
    <cellStyle name="Normal 5 3 4 5 4" xfId="5358"/>
    <cellStyle name="Normal 5 3 4 5 4 2" xfId="10897"/>
    <cellStyle name="Normal 5 3 4 5 4 3" xfId="16436"/>
    <cellStyle name="Normal 5 3 4 5 5" xfId="2060"/>
    <cellStyle name="Normal 5 3 4 5 5 2" xfId="7606"/>
    <cellStyle name="Normal 5 3 4 5 5 3" xfId="13145"/>
    <cellStyle name="Normal 5 3 4 5 6" xfId="6401"/>
    <cellStyle name="Normal 5 3 4 5 7" xfId="11940"/>
    <cellStyle name="Normal 5 3 4 6" xfId="1514"/>
    <cellStyle name="Normal 5 3 4 6 2" xfId="2719"/>
    <cellStyle name="Normal 5 3 4 6 2 2" xfId="8265"/>
    <cellStyle name="Normal 5 3 4 6 2 3" xfId="13804"/>
    <cellStyle name="Normal 5 3 4 6 3" xfId="7060"/>
    <cellStyle name="Normal 5 3 4 6 4" xfId="12599"/>
    <cellStyle name="Normal 5 3 4 7" xfId="2892"/>
    <cellStyle name="Normal 5 3 4 7 2" xfId="8436"/>
    <cellStyle name="Normal 5 3 4 7 3" xfId="13975"/>
    <cellStyle name="Normal 5 3 4 8" xfId="3028"/>
    <cellStyle name="Normal 5 3 4 8 2" xfId="8571"/>
    <cellStyle name="Normal 5 3 4 8 3" xfId="14110"/>
    <cellStyle name="Normal 5 3 4 9" xfId="4072"/>
    <cellStyle name="Normal 5 3 4 9 2" xfId="9613"/>
    <cellStyle name="Normal 5 3 4 9 3" xfId="15152"/>
    <cellStyle name="Normal 5 3 5" xfId="336"/>
    <cellStyle name="Normal 5 3 5 10" xfId="1712"/>
    <cellStyle name="Normal 5 3 5 10 2" xfId="7258"/>
    <cellStyle name="Normal 5 3 5 10 3" xfId="12797"/>
    <cellStyle name="Normal 5 3 5 11" xfId="6053"/>
    <cellStyle name="Normal 5 3 5 11 2" xfId="17131"/>
    <cellStyle name="Normal 5 3 5 12" xfId="697"/>
    <cellStyle name="Normal 5 3 5 12 2" xfId="17293"/>
    <cellStyle name="Normal 5 3 5 13" xfId="11592"/>
    <cellStyle name="Normal 5 3 5 14" xfId="17460"/>
    <cellStyle name="Normal 5 3 5 15" xfId="17625"/>
    <cellStyle name="Normal 5 3 5 2" xfId="337"/>
    <cellStyle name="Normal 5 3 5 2 10" xfId="6089"/>
    <cellStyle name="Normal 5 3 5 2 10 2" xfId="17167"/>
    <cellStyle name="Normal 5 3 5 2 11" xfId="733"/>
    <cellStyle name="Normal 5 3 5 2 11 2" xfId="17329"/>
    <cellStyle name="Normal 5 3 5 2 12" xfId="11628"/>
    <cellStyle name="Normal 5 3 5 2 13" xfId="17496"/>
    <cellStyle name="Normal 5 3 5 2 14" xfId="17661"/>
    <cellStyle name="Normal 5 3 5 2 2" xfId="536"/>
    <cellStyle name="Normal 5 3 5 2 2 2" xfId="1377"/>
    <cellStyle name="Normal 5 3 5 2 2 2 2" xfId="3909"/>
    <cellStyle name="Normal 5 3 5 2 2 2 2 2" xfId="9451"/>
    <cellStyle name="Normal 5 3 5 2 2 2 2 3" xfId="14990"/>
    <cellStyle name="Normal 5 3 5 2 2 2 3" xfId="4946"/>
    <cellStyle name="Normal 5 3 5 2 2 2 3 2" xfId="10485"/>
    <cellStyle name="Normal 5 3 5 2 2 2 3 3" xfId="16024"/>
    <cellStyle name="Normal 5 3 5 2 2 2 4" xfId="5880"/>
    <cellStyle name="Normal 5 3 5 2 2 2 4 2" xfId="11419"/>
    <cellStyle name="Normal 5 3 5 2 2 2 4 3" xfId="16958"/>
    <cellStyle name="Normal 5 3 5 2 2 2 5" xfId="2582"/>
    <cellStyle name="Normal 5 3 5 2 2 2 5 2" xfId="8128"/>
    <cellStyle name="Normal 5 3 5 2 2 2 5 3" xfId="13667"/>
    <cellStyle name="Normal 5 3 5 2 2 2 6" xfId="6923"/>
    <cellStyle name="Normal 5 3 5 2 2 2 7" xfId="12462"/>
    <cellStyle name="Normal 5 3 5 2 2 3" xfId="1064"/>
    <cellStyle name="Normal 5 3 5 2 2 3 2" xfId="3594"/>
    <cellStyle name="Normal 5 3 5 2 2 3 2 2" xfId="9136"/>
    <cellStyle name="Normal 5 3 5 2 2 3 2 3" xfId="14675"/>
    <cellStyle name="Normal 5 3 5 2 2 3 3" xfId="4631"/>
    <cellStyle name="Normal 5 3 5 2 2 3 3 2" xfId="10170"/>
    <cellStyle name="Normal 5 3 5 2 2 3 3 3" xfId="15709"/>
    <cellStyle name="Normal 5 3 5 2 2 3 4" xfId="5566"/>
    <cellStyle name="Normal 5 3 5 2 2 3 4 2" xfId="11105"/>
    <cellStyle name="Normal 5 3 5 2 2 3 4 3" xfId="16644"/>
    <cellStyle name="Normal 5 3 5 2 2 3 5" xfId="2268"/>
    <cellStyle name="Normal 5 3 5 2 2 3 5 2" xfId="7814"/>
    <cellStyle name="Normal 5 3 5 2 2 3 5 3" xfId="13353"/>
    <cellStyle name="Normal 5 3 5 2 2 3 6" xfId="6609"/>
    <cellStyle name="Normal 5 3 5 2 2 3 7" xfId="12148"/>
    <cellStyle name="Normal 5 3 5 2 2 4" xfId="3195"/>
    <cellStyle name="Normal 5 3 5 2 2 4 2" xfId="8737"/>
    <cellStyle name="Normal 5 3 5 2 2 4 3" xfId="14276"/>
    <cellStyle name="Normal 5 3 5 2 2 5" xfId="4234"/>
    <cellStyle name="Normal 5 3 5 2 2 5 2" xfId="9773"/>
    <cellStyle name="Normal 5 3 5 2 2 5 3" xfId="15312"/>
    <cellStyle name="Normal 5 3 5 2 2 6" xfId="5195"/>
    <cellStyle name="Normal 5 3 5 2 2 6 2" xfId="10734"/>
    <cellStyle name="Normal 5 3 5 2 2 6 3" xfId="16273"/>
    <cellStyle name="Normal 5 3 5 2 2 7" xfId="1897"/>
    <cellStyle name="Normal 5 3 5 2 2 7 2" xfId="7443"/>
    <cellStyle name="Normal 5 3 5 2 2 7 3" xfId="12982"/>
    <cellStyle name="Normal 5 3 5 2 2 8" xfId="6238"/>
    <cellStyle name="Normal 5 3 5 2 2 9" xfId="11777"/>
    <cellStyle name="Normal 5 3 5 2 3" xfId="1241"/>
    <cellStyle name="Normal 5 3 5 2 3 2" xfId="3771"/>
    <cellStyle name="Normal 5 3 5 2 3 2 2" xfId="9313"/>
    <cellStyle name="Normal 5 3 5 2 3 2 3" xfId="14852"/>
    <cellStyle name="Normal 5 3 5 2 3 3" xfId="4808"/>
    <cellStyle name="Normal 5 3 5 2 3 3 2" xfId="10347"/>
    <cellStyle name="Normal 5 3 5 2 3 3 3" xfId="15886"/>
    <cellStyle name="Normal 5 3 5 2 3 4" xfId="5743"/>
    <cellStyle name="Normal 5 3 5 2 3 4 2" xfId="11282"/>
    <cellStyle name="Normal 5 3 5 2 3 4 3" xfId="16821"/>
    <cellStyle name="Normal 5 3 5 2 3 5" xfId="2445"/>
    <cellStyle name="Normal 5 3 5 2 3 5 2" xfId="7991"/>
    <cellStyle name="Normal 5 3 5 2 3 5 3" xfId="13530"/>
    <cellStyle name="Normal 5 3 5 2 3 6" xfId="6786"/>
    <cellStyle name="Normal 5 3 5 2 3 7" xfId="12325"/>
    <cellStyle name="Normal 5 3 5 2 4" xfId="859"/>
    <cellStyle name="Normal 5 3 5 2 4 2" xfId="3389"/>
    <cellStyle name="Normal 5 3 5 2 4 2 2" xfId="8931"/>
    <cellStyle name="Normal 5 3 5 2 4 2 3" xfId="14470"/>
    <cellStyle name="Normal 5 3 5 2 4 3" xfId="4426"/>
    <cellStyle name="Normal 5 3 5 2 4 3 2" xfId="9965"/>
    <cellStyle name="Normal 5 3 5 2 4 3 3" xfId="15504"/>
    <cellStyle name="Normal 5 3 5 2 4 4" xfId="5361"/>
    <cellStyle name="Normal 5 3 5 2 4 4 2" xfId="10900"/>
    <cellStyle name="Normal 5 3 5 2 4 4 3" xfId="16439"/>
    <cellStyle name="Normal 5 3 5 2 4 5" xfId="2063"/>
    <cellStyle name="Normal 5 3 5 2 4 5 2" xfId="7609"/>
    <cellStyle name="Normal 5 3 5 2 4 5 3" xfId="13148"/>
    <cellStyle name="Normal 5 3 5 2 4 6" xfId="6404"/>
    <cellStyle name="Normal 5 3 5 2 4 7" xfId="11943"/>
    <cellStyle name="Normal 5 3 5 2 5" xfId="1586"/>
    <cellStyle name="Normal 5 3 5 2 5 2" xfId="2791"/>
    <cellStyle name="Normal 5 3 5 2 5 2 2" xfId="8337"/>
    <cellStyle name="Normal 5 3 5 2 5 2 3" xfId="13876"/>
    <cellStyle name="Normal 5 3 5 2 5 3" xfId="7132"/>
    <cellStyle name="Normal 5 3 5 2 5 4" xfId="12671"/>
    <cellStyle name="Normal 5 3 5 2 6" xfId="2964"/>
    <cellStyle name="Normal 5 3 5 2 6 2" xfId="8508"/>
    <cellStyle name="Normal 5 3 5 2 6 3" xfId="14047"/>
    <cellStyle name="Normal 5 3 5 2 7" xfId="4009"/>
    <cellStyle name="Normal 5 3 5 2 7 2" xfId="9551"/>
    <cellStyle name="Normal 5 3 5 2 7 3" xfId="15090"/>
    <cellStyle name="Normal 5 3 5 2 8" xfId="5046"/>
    <cellStyle name="Normal 5 3 5 2 8 2" xfId="10585"/>
    <cellStyle name="Normal 5 3 5 2 8 3" xfId="16124"/>
    <cellStyle name="Normal 5 3 5 2 9" xfId="1748"/>
    <cellStyle name="Normal 5 3 5 2 9 2" xfId="7294"/>
    <cellStyle name="Normal 5 3 5 2 9 3" xfId="12833"/>
    <cellStyle name="Normal 5 3 5 3" xfId="535"/>
    <cellStyle name="Normal 5 3 5 3 2" xfId="1376"/>
    <cellStyle name="Normal 5 3 5 3 2 2" xfId="3908"/>
    <cellStyle name="Normal 5 3 5 3 2 2 2" xfId="9450"/>
    <cellStyle name="Normal 5 3 5 3 2 2 3" xfId="14989"/>
    <cellStyle name="Normal 5 3 5 3 2 3" xfId="4945"/>
    <cellStyle name="Normal 5 3 5 3 2 3 2" xfId="10484"/>
    <cellStyle name="Normal 5 3 5 3 2 3 3" xfId="16023"/>
    <cellStyle name="Normal 5 3 5 3 2 4" xfId="5879"/>
    <cellStyle name="Normal 5 3 5 3 2 4 2" xfId="11418"/>
    <cellStyle name="Normal 5 3 5 3 2 4 3" xfId="16957"/>
    <cellStyle name="Normal 5 3 5 3 2 5" xfId="2581"/>
    <cellStyle name="Normal 5 3 5 3 2 5 2" xfId="8127"/>
    <cellStyle name="Normal 5 3 5 3 2 5 3" xfId="13666"/>
    <cellStyle name="Normal 5 3 5 3 2 6" xfId="6922"/>
    <cellStyle name="Normal 5 3 5 3 2 7" xfId="12461"/>
    <cellStyle name="Normal 5 3 5 3 3" xfId="1028"/>
    <cellStyle name="Normal 5 3 5 3 3 2" xfId="3558"/>
    <cellStyle name="Normal 5 3 5 3 3 2 2" xfId="9100"/>
    <cellStyle name="Normal 5 3 5 3 3 2 3" xfId="14639"/>
    <cellStyle name="Normal 5 3 5 3 3 3" xfId="4595"/>
    <cellStyle name="Normal 5 3 5 3 3 3 2" xfId="10134"/>
    <cellStyle name="Normal 5 3 5 3 3 3 3" xfId="15673"/>
    <cellStyle name="Normal 5 3 5 3 3 4" xfId="5530"/>
    <cellStyle name="Normal 5 3 5 3 3 4 2" xfId="11069"/>
    <cellStyle name="Normal 5 3 5 3 3 4 3" xfId="16608"/>
    <cellStyle name="Normal 5 3 5 3 3 5" xfId="2232"/>
    <cellStyle name="Normal 5 3 5 3 3 5 2" xfId="7778"/>
    <cellStyle name="Normal 5 3 5 3 3 5 3" xfId="13317"/>
    <cellStyle name="Normal 5 3 5 3 3 6" xfId="6573"/>
    <cellStyle name="Normal 5 3 5 3 3 7" xfId="12112"/>
    <cellStyle name="Normal 5 3 5 3 4" xfId="3194"/>
    <cellStyle name="Normal 5 3 5 3 4 2" xfId="8736"/>
    <cellStyle name="Normal 5 3 5 3 4 3" xfId="14275"/>
    <cellStyle name="Normal 5 3 5 3 5" xfId="4233"/>
    <cellStyle name="Normal 5 3 5 3 5 2" xfId="9772"/>
    <cellStyle name="Normal 5 3 5 3 5 3" xfId="15311"/>
    <cellStyle name="Normal 5 3 5 3 6" xfId="5194"/>
    <cellStyle name="Normal 5 3 5 3 6 2" xfId="10733"/>
    <cellStyle name="Normal 5 3 5 3 6 3" xfId="16272"/>
    <cellStyle name="Normal 5 3 5 3 7" xfId="1896"/>
    <cellStyle name="Normal 5 3 5 3 7 2" xfId="7442"/>
    <cellStyle name="Normal 5 3 5 3 7 3" xfId="12981"/>
    <cellStyle name="Normal 5 3 5 3 8" xfId="6237"/>
    <cellStyle name="Normal 5 3 5 3 9" xfId="11776"/>
    <cellStyle name="Normal 5 3 5 4" xfId="1205"/>
    <cellStyle name="Normal 5 3 5 4 2" xfId="3735"/>
    <cellStyle name="Normal 5 3 5 4 2 2" xfId="9277"/>
    <cellStyle name="Normal 5 3 5 4 2 3" xfId="14816"/>
    <cellStyle name="Normal 5 3 5 4 3" xfId="4772"/>
    <cellStyle name="Normal 5 3 5 4 3 2" xfId="10311"/>
    <cellStyle name="Normal 5 3 5 4 3 3" xfId="15850"/>
    <cellStyle name="Normal 5 3 5 4 4" xfId="5707"/>
    <cellStyle name="Normal 5 3 5 4 4 2" xfId="11246"/>
    <cellStyle name="Normal 5 3 5 4 4 3" xfId="16785"/>
    <cellStyle name="Normal 5 3 5 4 5" xfId="2409"/>
    <cellStyle name="Normal 5 3 5 4 5 2" xfId="7955"/>
    <cellStyle name="Normal 5 3 5 4 5 3" xfId="13494"/>
    <cellStyle name="Normal 5 3 5 4 6" xfId="6750"/>
    <cellStyle name="Normal 5 3 5 4 7" xfId="12289"/>
    <cellStyle name="Normal 5 3 5 5" xfId="858"/>
    <cellStyle name="Normal 5 3 5 5 2" xfId="3388"/>
    <cellStyle name="Normal 5 3 5 5 2 2" xfId="8930"/>
    <cellStyle name="Normal 5 3 5 5 2 3" xfId="14469"/>
    <cellStyle name="Normal 5 3 5 5 3" xfId="4425"/>
    <cellStyle name="Normal 5 3 5 5 3 2" xfId="9964"/>
    <cellStyle name="Normal 5 3 5 5 3 3" xfId="15503"/>
    <cellStyle name="Normal 5 3 5 5 4" xfId="5360"/>
    <cellStyle name="Normal 5 3 5 5 4 2" xfId="10899"/>
    <cellStyle name="Normal 5 3 5 5 4 3" xfId="16438"/>
    <cellStyle name="Normal 5 3 5 5 5" xfId="2062"/>
    <cellStyle name="Normal 5 3 5 5 5 2" xfId="7608"/>
    <cellStyle name="Normal 5 3 5 5 5 3" xfId="13147"/>
    <cellStyle name="Normal 5 3 5 5 6" xfId="6403"/>
    <cellStyle name="Normal 5 3 5 5 7" xfId="11942"/>
    <cellStyle name="Normal 5 3 5 6" xfId="1550"/>
    <cellStyle name="Normal 5 3 5 6 2" xfId="2755"/>
    <cellStyle name="Normal 5 3 5 6 2 2" xfId="8301"/>
    <cellStyle name="Normal 5 3 5 6 2 3" xfId="13840"/>
    <cellStyle name="Normal 5 3 5 6 3" xfId="7096"/>
    <cellStyle name="Normal 5 3 5 6 4" xfId="12635"/>
    <cellStyle name="Normal 5 3 5 7" xfId="2928"/>
    <cellStyle name="Normal 5 3 5 7 2" xfId="8472"/>
    <cellStyle name="Normal 5 3 5 7 3" xfId="14011"/>
    <cellStyle name="Normal 5 3 5 8" xfId="3045"/>
    <cellStyle name="Normal 5 3 5 8 2" xfId="8588"/>
    <cellStyle name="Normal 5 3 5 8 3" xfId="14127"/>
    <cellStyle name="Normal 5 3 5 9" xfId="4088"/>
    <cellStyle name="Normal 5 3 5 9 2" xfId="9629"/>
    <cellStyle name="Normal 5 3 5 9 3" xfId="15168"/>
    <cellStyle name="Normal 5 3 6" xfId="338"/>
    <cellStyle name="Normal 5 3 6 10" xfId="6071"/>
    <cellStyle name="Normal 5 3 6 10 2" xfId="17149"/>
    <cellStyle name="Normal 5 3 6 11" xfId="715"/>
    <cellStyle name="Normal 5 3 6 11 2" xfId="17311"/>
    <cellStyle name="Normal 5 3 6 12" xfId="11610"/>
    <cellStyle name="Normal 5 3 6 13" xfId="17478"/>
    <cellStyle name="Normal 5 3 6 14" xfId="17643"/>
    <cellStyle name="Normal 5 3 6 2" xfId="537"/>
    <cellStyle name="Normal 5 3 6 2 2" xfId="1378"/>
    <cellStyle name="Normal 5 3 6 2 2 2" xfId="3910"/>
    <cellStyle name="Normal 5 3 6 2 2 2 2" xfId="9452"/>
    <cellStyle name="Normal 5 3 6 2 2 2 3" xfId="14991"/>
    <cellStyle name="Normal 5 3 6 2 2 3" xfId="4947"/>
    <cellStyle name="Normal 5 3 6 2 2 3 2" xfId="10486"/>
    <cellStyle name="Normal 5 3 6 2 2 3 3" xfId="16025"/>
    <cellStyle name="Normal 5 3 6 2 2 4" xfId="5881"/>
    <cellStyle name="Normal 5 3 6 2 2 4 2" xfId="11420"/>
    <cellStyle name="Normal 5 3 6 2 2 4 3" xfId="16959"/>
    <cellStyle name="Normal 5 3 6 2 2 5" xfId="2583"/>
    <cellStyle name="Normal 5 3 6 2 2 5 2" xfId="8129"/>
    <cellStyle name="Normal 5 3 6 2 2 5 3" xfId="13668"/>
    <cellStyle name="Normal 5 3 6 2 2 6" xfId="6924"/>
    <cellStyle name="Normal 5 3 6 2 2 7" xfId="12463"/>
    <cellStyle name="Normal 5 3 6 2 3" xfId="1046"/>
    <cellStyle name="Normal 5 3 6 2 3 2" xfId="3576"/>
    <cellStyle name="Normal 5 3 6 2 3 2 2" xfId="9118"/>
    <cellStyle name="Normal 5 3 6 2 3 2 3" xfId="14657"/>
    <cellStyle name="Normal 5 3 6 2 3 3" xfId="4613"/>
    <cellStyle name="Normal 5 3 6 2 3 3 2" xfId="10152"/>
    <cellStyle name="Normal 5 3 6 2 3 3 3" xfId="15691"/>
    <cellStyle name="Normal 5 3 6 2 3 4" xfId="5548"/>
    <cellStyle name="Normal 5 3 6 2 3 4 2" xfId="11087"/>
    <cellStyle name="Normal 5 3 6 2 3 4 3" xfId="16626"/>
    <cellStyle name="Normal 5 3 6 2 3 5" xfId="2250"/>
    <cellStyle name="Normal 5 3 6 2 3 5 2" xfId="7796"/>
    <cellStyle name="Normal 5 3 6 2 3 5 3" xfId="13335"/>
    <cellStyle name="Normal 5 3 6 2 3 6" xfId="6591"/>
    <cellStyle name="Normal 5 3 6 2 3 7" xfId="12130"/>
    <cellStyle name="Normal 5 3 6 2 4" xfId="3196"/>
    <cellStyle name="Normal 5 3 6 2 4 2" xfId="8738"/>
    <cellStyle name="Normal 5 3 6 2 4 3" xfId="14277"/>
    <cellStyle name="Normal 5 3 6 2 5" xfId="4235"/>
    <cellStyle name="Normal 5 3 6 2 5 2" xfId="9774"/>
    <cellStyle name="Normal 5 3 6 2 5 3" xfId="15313"/>
    <cellStyle name="Normal 5 3 6 2 6" xfId="5196"/>
    <cellStyle name="Normal 5 3 6 2 6 2" xfId="10735"/>
    <cellStyle name="Normal 5 3 6 2 6 3" xfId="16274"/>
    <cellStyle name="Normal 5 3 6 2 7" xfId="1898"/>
    <cellStyle name="Normal 5 3 6 2 7 2" xfId="7444"/>
    <cellStyle name="Normal 5 3 6 2 7 3" xfId="12983"/>
    <cellStyle name="Normal 5 3 6 2 8" xfId="6239"/>
    <cellStyle name="Normal 5 3 6 2 9" xfId="11778"/>
    <cellStyle name="Normal 5 3 6 3" xfId="1223"/>
    <cellStyle name="Normal 5 3 6 3 2" xfId="3753"/>
    <cellStyle name="Normal 5 3 6 3 2 2" xfId="9295"/>
    <cellStyle name="Normal 5 3 6 3 2 3" xfId="14834"/>
    <cellStyle name="Normal 5 3 6 3 3" xfId="4790"/>
    <cellStyle name="Normal 5 3 6 3 3 2" xfId="10329"/>
    <cellStyle name="Normal 5 3 6 3 3 3" xfId="15868"/>
    <cellStyle name="Normal 5 3 6 3 4" xfId="5725"/>
    <cellStyle name="Normal 5 3 6 3 4 2" xfId="11264"/>
    <cellStyle name="Normal 5 3 6 3 4 3" xfId="16803"/>
    <cellStyle name="Normal 5 3 6 3 5" xfId="2427"/>
    <cellStyle name="Normal 5 3 6 3 5 2" xfId="7973"/>
    <cellStyle name="Normal 5 3 6 3 5 3" xfId="13512"/>
    <cellStyle name="Normal 5 3 6 3 6" xfId="6768"/>
    <cellStyle name="Normal 5 3 6 3 7" xfId="12307"/>
    <cellStyle name="Normal 5 3 6 4" xfId="860"/>
    <cellStyle name="Normal 5 3 6 4 2" xfId="3390"/>
    <cellStyle name="Normal 5 3 6 4 2 2" xfId="8932"/>
    <cellStyle name="Normal 5 3 6 4 2 3" xfId="14471"/>
    <cellStyle name="Normal 5 3 6 4 3" xfId="4427"/>
    <cellStyle name="Normal 5 3 6 4 3 2" xfId="9966"/>
    <cellStyle name="Normal 5 3 6 4 3 3" xfId="15505"/>
    <cellStyle name="Normal 5 3 6 4 4" xfId="5362"/>
    <cellStyle name="Normal 5 3 6 4 4 2" xfId="10901"/>
    <cellStyle name="Normal 5 3 6 4 4 3" xfId="16440"/>
    <cellStyle name="Normal 5 3 6 4 5" xfId="2064"/>
    <cellStyle name="Normal 5 3 6 4 5 2" xfId="7610"/>
    <cellStyle name="Normal 5 3 6 4 5 3" xfId="13149"/>
    <cellStyle name="Normal 5 3 6 4 6" xfId="6405"/>
    <cellStyle name="Normal 5 3 6 4 7" xfId="11944"/>
    <cellStyle name="Normal 5 3 6 5" xfId="1568"/>
    <cellStyle name="Normal 5 3 6 5 2" xfId="2773"/>
    <cellStyle name="Normal 5 3 6 5 2 2" xfId="8319"/>
    <cellStyle name="Normal 5 3 6 5 2 3" xfId="13858"/>
    <cellStyle name="Normal 5 3 6 5 3" xfId="7114"/>
    <cellStyle name="Normal 5 3 6 5 4" xfId="12653"/>
    <cellStyle name="Normal 5 3 6 6" xfId="2946"/>
    <cellStyle name="Normal 5 3 6 6 2" xfId="8490"/>
    <cellStyle name="Normal 5 3 6 6 3" xfId="14029"/>
    <cellStyle name="Normal 5 3 6 7" xfId="3036"/>
    <cellStyle name="Normal 5 3 6 7 2" xfId="8579"/>
    <cellStyle name="Normal 5 3 6 7 3" xfId="14118"/>
    <cellStyle name="Normal 5 3 6 8" xfId="4079"/>
    <cellStyle name="Normal 5 3 6 8 2" xfId="9620"/>
    <cellStyle name="Normal 5 3 6 8 3" xfId="15159"/>
    <cellStyle name="Normal 5 3 6 9" xfId="1730"/>
    <cellStyle name="Normal 5 3 6 9 2" xfId="7276"/>
    <cellStyle name="Normal 5 3 6 9 3" xfId="12815"/>
    <cellStyle name="Normal 5 3 7" xfId="339"/>
    <cellStyle name="Normal 5 3 7 10" xfId="5999"/>
    <cellStyle name="Normal 5 3 7 10 2" xfId="17077"/>
    <cellStyle name="Normal 5 3 7 11" xfId="643"/>
    <cellStyle name="Normal 5 3 7 11 2" xfId="17239"/>
    <cellStyle name="Normal 5 3 7 12" xfId="11538"/>
    <cellStyle name="Normal 5 3 7 13" xfId="17406"/>
    <cellStyle name="Normal 5 3 7 14" xfId="17571"/>
    <cellStyle name="Normal 5 3 7 2" xfId="538"/>
    <cellStyle name="Normal 5 3 7 2 2" xfId="1379"/>
    <cellStyle name="Normal 5 3 7 2 2 2" xfId="3911"/>
    <cellStyle name="Normal 5 3 7 2 2 2 2" xfId="9453"/>
    <cellStyle name="Normal 5 3 7 2 2 2 3" xfId="14992"/>
    <cellStyle name="Normal 5 3 7 2 2 3" xfId="4948"/>
    <cellStyle name="Normal 5 3 7 2 2 3 2" xfId="10487"/>
    <cellStyle name="Normal 5 3 7 2 2 3 3" xfId="16026"/>
    <cellStyle name="Normal 5 3 7 2 2 4" xfId="5882"/>
    <cellStyle name="Normal 5 3 7 2 2 4 2" xfId="11421"/>
    <cellStyle name="Normal 5 3 7 2 2 4 3" xfId="16960"/>
    <cellStyle name="Normal 5 3 7 2 2 5" xfId="2584"/>
    <cellStyle name="Normal 5 3 7 2 2 5 2" xfId="8130"/>
    <cellStyle name="Normal 5 3 7 2 2 5 3" xfId="13669"/>
    <cellStyle name="Normal 5 3 7 2 2 6" xfId="6925"/>
    <cellStyle name="Normal 5 3 7 2 2 7" xfId="12464"/>
    <cellStyle name="Normal 5 3 7 2 3" xfId="974"/>
    <cellStyle name="Normal 5 3 7 2 3 2" xfId="3504"/>
    <cellStyle name="Normal 5 3 7 2 3 2 2" xfId="9046"/>
    <cellStyle name="Normal 5 3 7 2 3 2 3" xfId="14585"/>
    <cellStyle name="Normal 5 3 7 2 3 3" xfId="4541"/>
    <cellStyle name="Normal 5 3 7 2 3 3 2" xfId="10080"/>
    <cellStyle name="Normal 5 3 7 2 3 3 3" xfId="15619"/>
    <cellStyle name="Normal 5 3 7 2 3 4" xfId="5476"/>
    <cellStyle name="Normal 5 3 7 2 3 4 2" xfId="11015"/>
    <cellStyle name="Normal 5 3 7 2 3 4 3" xfId="16554"/>
    <cellStyle name="Normal 5 3 7 2 3 5" xfId="2178"/>
    <cellStyle name="Normal 5 3 7 2 3 5 2" xfId="7724"/>
    <cellStyle name="Normal 5 3 7 2 3 5 3" xfId="13263"/>
    <cellStyle name="Normal 5 3 7 2 3 6" xfId="6519"/>
    <cellStyle name="Normal 5 3 7 2 3 7" xfId="12058"/>
    <cellStyle name="Normal 5 3 7 2 4" xfId="3197"/>
    <cellStyle name="Normal 5 3 7 2 4 2" xfId="8739"/>
    <cellStyle name="Normal 5 3 7 2 4 3" xfId="14278"/>
    <cellStyle name="Normal 5 3 7 2 5" xfId="4236"/>
    <cellStyle name="Normal 5 3 7 2 5 2" xfId="9775"/>
    <cellStyle name="Normal 5 3 7 2 5 3" xfId="15314"/>
    <cellStyle name="Normal 5 3 7 2 6" xfId="5197"/>
    <cellStyle name="Normal 5 3 7 2 6 2" xfId="10736"/>
    <cellStyle name="Normal 5 3 7 2 6 3" xfId="16275"/>
    <cellStyle name="Normal 5 3 7 2 7" xfId="1899"/>
    <cellStyle name="Normal 5 3 7 2 7 2" xfId="7445"/>
    <cellStyle name="Normal 5 3 7 2 7 3" xfId="12984"/>
    <cellStyle name="Normal 5 3 7 2 8" xfId="6240"/>
    <cellStyle name="Normal 5 3 7 2 9" xfId="11779"/>
    <cellStyle name="Normal 5 3 7 3" xfId="1151"/>
    <cellStyle name="Normal 5 3 7 3 2" xfId="3681"/>
    <cellStyle name="Normal 5 3 7 3 2 2" xfId="9223"/>
    <cellStyle name="Normal 5 3 7 3 2 3" xfId="14762"/>
    <cellStyle name="Normal 5 3 7 3 3" xfId="4718"/>
    <cellStyle name="Normal 5 3 7 3 3 2" xfId="10257"/>
    <cellStyle name="Normal 5 3 7 3 3 3" xfId="15796"/>
    <cellStyle name="Normal 5 3 7 3 4" xfId="5653"/>
    <cellStyle name="Normal 5 3 7 3 4 2" xfId="11192"/>
    <cellStyle name="Normal 5 3 7 3 4 3" xfId="16731"/>
    <cellStyle name="Normal 5 3 7 3 5" xfId="2355"/>
    <cellStyle name="Normal 5 3 7 3 5 2" xfId="7901"/>
    <cellStyle name="Normal 5 3 7 3 5 3" xfId="13440"/>
    <cellStyle name="Normal 5 3 7 3 6" xfId="6696"/>
    <cellStyle name="Normal 5 3 7 3 7" xfId="12235"/>
    <cellStyle name="Normal 5 3 7 4" xfId="861"/>
    <cellStyle name="Normal 5 3 7 4 2" xfId="3391"/>
    <cellStyle name="Normal 5 3 7 4 2 2" xfId="8933"/>
    <cellStyle name="Normal 5 3 7 4 2 3" xfId="14472"/>
    <cellStyle name="Normal 5 3 7 4 3" xfId="4428"/>
    <cellStyle name="Normal 5 3 7 4 3 2" xfId="9967"/>
    <cellStyle name="Normal 5 3 7 4 3 3" xfId="15506"/>
    <cellStyle name="Normal 5 3 7 4 4" xfId="5363"/>
    <cellStyle name="Normal 5 3 7 4 4 2" xfId="10902"/>
    <cellStyle name="Normal 5 3 7 4 4 3" xfId="16441"/>
    <cellStyle name="Normal 5 3 7 4 5" xfId="2065"/>
    <cellStyle name="Normal 5 3 7 4 5 2" xfId="7611"/>
    <cellStyle name="Normal 5 3 7 4 5 3" xfId="13150"/>
    <cellStyle name="Normal 5 3 7 4 6" xfId="6406"/>
    <cellStyle name="Normal 5 3 7 4 7" xfId="11945"/>
    <cellStyle name="Normal 5 3 7 5" xfId="1496"/>
    <cellStyle name="Normal 5 3 7 5 2" xfId="2701"/>
    <cellStyle name="Normal 5 3 7 5 2 2" xfId="8247"/>
    <cellStyle name="Normal 5 3 7 5 2 3" xfId="13786"/>
    <cellStyle name="Normal 5 3 7 5 3" xfId="7042"/>
    <cellStyle name="Normal 5 3 7 5 4" xfId="12581"/>
    <cellStyle name="Normal 5 3 7 6" xfId="2874"/>
    <cellStyle name="Normal 5 3 7 6 2" xfId="8418"/>
    <cellStyle name="Normal 5 3 7 6 3" xfId="13957"/>
    <cellStyle name="Normal 5 3 7 7" xfId="2840"/>
    <cellStyle name="Normal 5 3 7 7 2" xfId="8386"/>
    <cellStyle name="Normal 5 3 7 7 3" xfId="13925"/>
    <cellStyle name="Normal 5 3 7 8" xfId="3129"/>
    <cellStyle name="Normal 5 3 7 8 2" xfId="8671"/>
    <cellStyle name="Normal 5 3 7 8 3" xfId="14210"/>
    <cellStyle name="Normal 5 3 7 9" xfId="1658"/>
    <cellStyle name="Normal 5 3 7 9 2" xfId="7204"/>
    <cellStyle name="Normal 5 3 7 9 3" xfId="12743"/>
    <cellStyle name="Normal 5 3 8" xfId="446"/>
    <cellStyle name="Normal 5 3 8 2" xfId="1293"/>
    <cellStyle name="Normal 5 3 8 2 2" xfId="3823"/>
    <cellStyle name="Normal 5 3 8 2 2 2" xfId="9365"/>
    <cellStyle name="Normal 5 3 8 2 2 3" xfId="14904"/>
    <cellStyle name="Normal 5 3 8 2 3" xfId="4860"/>
    <cellStyle name="Normal 5 3 8 2 3 2" xfId="10399"/>
    <cellStyle name="Normal 5 3 8 2 3 3" xfId="15938"/>
    <cellStyle name="Normal 5 3 8 2 4" xfId="5795"/>
    <cellStyle name="Normal 5 3 8 2 4 2" xfId="11334"/>
    <cellStyle name="Normal 5 3 8 2 4 3" xfId="16873"/>
    <cellStyle name="Normal 5 3 8 2 5" xfId="2497"/>
    <cellStyle name="Normal 5 3 8 2 5 2" xfId="8043"/>
    <cellStyle name="Normal 5 3 8 2 5 3" xfId="13582"/>
    <cellStyle name="Normal 5 3 8 2 6" xfId="6838"/>
    <cellStyle name="Normal 5 3 8 2 7" xfId="12377"/>
    <cellStyle name="Normal 5 3 8 3" xfId="956"/>
    <cellStyle name="Normal 5 3 8 3 2" xfId="3486"/>
    <cellStyle name="Normal 5 3 8 3 2 2" xfId="9028"/>
    <cellStyle name="Normal 5 3 8 3 2 3" xfId="14567"/>
    <cellStyle name="Normal 5 3 8 3 3" xfId="4523"/>
    <cellStyle name="Normal 5 3 8 3 3 2" xfId="10062"/>
    <cellStyle name="Normal 5 3 8 3 3 3" xfId="15601"/>
    <cellStyle name="Normal 5 3 8 3 4" xfId="5458"/>
    <cellStyle name="Normal 5 3 8 3 4 2" xfId="10997"/>
    <cellStyle name="Normal 5 3 8 3 4 3" xfId="16536"/>
    <cellStyle name="Normal 5 3 8 3 5" xfId="2160"/>
    <cellStyle name="Normal 5 3 8 3 5 2" xfId="7706"/>
    <cellStyle name="Normal 5 3 8 3 5 3" xfId="13245"/>
    <cellStyle name="Normal 5 3 8 3 6" xfId="6501"/>
    <cellStyle name="Normal 5 3 8 3 7" xfId="12040"/>
    <cellStyle name="Normal 5 3 8 4" xfId="3058"/>
    <cellStyle name="Normal 5 3 8 4 2" xfId="8601"/>
    <cellStyle name="Normal 5 3 8 4 3" xfId="14140"/>
    <cellStyle name="Normal 5 3 8 5" xfId="4101"/>
    <cellStyle name="Normal 5 3 8 5 2" xfId="9642"/>
    <cellStyle name="Normal 5 3 8 5 3" xfId="15181"/>
    <cellStyle name="Normal 5 3 8 6" xfId="5110"/>
    <cellStyle name="Normal 5 3 8 6 2" xfId="10649"/>
    <cellStyle name="Normal 5 3 8 6 3" xfId="16188"/>
    <cellStyle name="Normal 5 3 8 7" xfId="1812"/>
    <cellStyle name="Normal 5 3 8 7 2" xfId="7358"/>
    <cellStyle name="Normal 5 3 8 7 3" xfId="12897"/>
    <cellStyle name="Normal 5 3 8 8" xfId="6153"/>
    <cellStyle name="Normal 5 3 8 9" xfId="11692"/>
    <cellStyle name="Normal 5 3 9" xfId="1133"/>
    <cellStyle name="Normal 5 3 9 2" xfId="3663"/>
    <cellStyle name="Normal 5 3 9 2 2" xfId="9205"/>
    <cellStyle name="Normal 5 3 9 2 3" xfId="14744"/>
    <cellStyle name="Normal 5 3 9 3" xfId="4700"/>
    <cellStyle name="Normal 5 3 9 3 2" xfId="10239"/>
    <cellStyle name="Normal 5 3 9 3 3" xfId="15778"/>
    <cellStyle name="Normal 5 3 9 4" xfId="5635"/>
    <cellStyle name="Normal 5 3 9 4 2" xfId="11174"/>
    <cellStyle name="Normal 5 3 9 4 3" xfId="16713"/>
    <cellStyle name="Normal 5 3 9 5" xfId="2337"/>
    <cellStyle name="Normal 5 3 9 5 2" xfId="7883"/>
    <cellStyle name="Normal 5 3 9 5 3" xfId="13422"/>
    <cellStyle name="Normal 5 3 9 6" xfId="6678"/>
    <cellStyle name="Normal 5 3 9 7" xfId="12217"/>
    <cellStyle name="Normal 5 30" xfId="247"/>
    <cellStyle name="Normal 5 4" xfId="254"/>
    <cellStyle name="Normal 5 4 10" xfId="862"/>
    <cellStyle name="Normal 5 4 10 2" xfId="3392"/>
    <cellStyle name="Normal 5 4 10 2 2" xfId="8934"/>
    <cellStyle name="Normal 5 4 10 2 3" xfId="14473"/>
    <cellStyle name="Normal 5 4 10 3" xfId="4429"/>
    <cellStyle name="Normal 5 4 10 3 2" xfId="9968"/>
    <cellStyle name="Normal 5 4 10 3 3" xfId="15507"/>
    <cellStyle name="Normal 5 4 10 4" xfId="5364"/>
    <cellStyle name="Normal 5 4 10 4 2" xfId="10903"/>
    <cellStyle name="Normal 5 4 10 4 3" xfId="16442"/>
    <cellStyle name="Normal 5 4 10 5" xfId="2066"/>
    <cellStyle name="Normal 5 4 10 5 2" xfId="7612"/>
    <cellStyle name="Normal 5 4 10 5 3" xfId="13151"/>
    <cellStyle name="Normal 5 4 10 6" xfId="6407"/>
    <cellStyle name="Normal 5 4 10 7" xfId="11946"/>
    <cellStyle name="Normal 5 4 11" xfId="1475"/>
    <cellStyle name="Normal 5 4 11 2" xfId="2680"/>
    <cellStyle name="Normal 5 4 11 2 2" xfId="8226"/>
    <cellStyle name="Normal 5 4 11 2 3" xfId="13765"/>
    <cellStyle name="Normal 5 4 11 3" xfId="7021"/>
    <cellStyle name="Normal 5 4 11 4" xfId="12560"/>
    <cellStyle name="Normal 5 4 12" xfId="2853"/>
    <cellStyle name="Normal 5 4 12 2" xfId="8397"/>
    <cellStyle name="Normal 5 4 12 3" xfId="13936"/>
    <cellStyle name="Normal 5 4 13" xfId="3119"/>
    <cellStyle name="Normal 5 4 13 2" xfId="8662"/>
    <cellStyle name="Normal 5 4 13 3" xfId="14201"/>
    <cellStyle name="Normal 5 4 14" xfId="4162"/>
    <cellStyle name="Normal 5 4 14 2" xfId="9703"/>
    <cellStyle name="Normal 5 4 14 3" xfId="15242"/>
    <cellStyle name="Normal 5 4 15" xfId="1637"/>
    <cellStyle name="Normal 5 4 15 2" xfId="7183"/>
    <cellStyle name="Normal 5 4 15 3" xfId="12722"/>
    <cellStyle name="Normal 5 4 16" xfId="5978"/>
    <cellStyle name="Normal 5 4 16 2" xfId="17056"/>
    <cellStyle name="Normal 5 4 17" xfId="622"/>
    <cellStyle name="Normal 5 4 17 2" xfId="17218"/>
    <cellStyle name="Normal 5 4 18" xfId="11517"/>
    <cellStyle name="Normal 5 4 19" xfId="17385"/>
    <cellStyle name="Normal 5 4 2" xfId="255"/>
    <cellStyle name="Normal 5 4 2 10" xfId="1486"/>
    <cellStyle name="Normal 5 4 2 10 2" xfId="2691"/>
    <cellStyle name="Normal 5 4 2 10 2 2" xfId="8237"/>
    <cellStyle name="Normal 5 4 2 10 2 3" xfId="13776"/>
    <cellStyle name="Normal 5 4 2 10 3" xfId="7032"/>
    <cellStyle name="Normal 5 4 2 10 4" xfId="12571"/>
    <cellStyle name="Normal 5 4 2 11" xfId="2864"/>
    <cellStyle name="Normal 5 4 2 11 2" xfId="8408"/>
    <cellStyle name="Normal 5 4 2 11 3" xfId="13947"/>
    <cellStyle name="Normal 5 4 2 12" xfId="3292"/>
    <cellStyle name="Normal 5 4 2 12 2" xfId="8834"/>
    <cellStyle name="Normal 5 4 2 12 3" xfId="14373"/>
    <cellStyle name="Normal 5 4 2 13" xfId="4331"/>
    <cellStyle name="Normal 5 4 2 13 2" xfId="9870"/>
    <cellStyle name="Normal 5 4 2 13 3" xfId="15409"/>
    <cellStyle name="Normal 5 4 2 14" xfId="1648"/>
    <cellStyle name="Normal 5 4 2 14 2" xfId="7194"/>
    <cellStyle name="Normal 5 4 2 14 3" xfId="12733"/>
    <cellStyle name="Normal 5 4 2 15" xfId="5989"/>
    <cellStyle name="Normal 5 4 2 15 2" xfId="17067"/>
    <cellStyle name="Normal 5 4 2 16" xfId="633"/>
    <cellStyle name="Normal 5 4 2 16 2" xfId="17229"/>
    <cellStyle name="Normal 5 4 2 17" xfId="11528"/>
    <cellStyle name="Normal 5 4 2 18" xfId="17396"/>
    <cellStyle name="Normal 5 4 2 19" xfId="17561"/>
    <cellStyle name="Normal 5 4 2 2" xfId="340"/>
    <cellStyle name="Normal 5 4 2 2 10" xfId="1702"/>
    <cellStyle name="Normal 5 4 2 2 10 2" xfId="7248"/>
    <cellStyle name="Normal 5 4 2 2 10 3" xfId="12787"/>
    <cellStyle name="Normal 5 4 2 2 11" xfId="6043"/>
    <cellStyle name="Normal 5 4 2 2 11 2" xfId="17121"/>
    <cellStyle name="Normal 5 4 2 2 12" xfId="687"/>
    <cellStyle name="Normal 5 4 2 2 12 2" xfId="17283"/>
    <cellStyle name="Normal 5 4 2 2 13" xfId="11582"/>
    <cellStyle name="Normal 5 4 2 2 14" xfId="17450"/>
    <cellStyle name="Normal 5 4 2 2 15" xfId="17615"/>
    <cellStyle name="Normal 5 4 2 2 2" xfId="341"/>
    <cellStyle name="Normal 5 4 2 2 2 10" xfId="6133"/>
    <cellStyle name="Normal 5 4 2 2 2 10 2" xfId="17211"/>
    <cellStyle name="Normal 5 4 2 2 2 11" xfId="777"/>
    <cellStyle name="Normal 5 4 2 2 2 11 2" xfId="17373"/>
    <cellStyle name="Normal 5 4 2 2 2 12" xfId="11672"/>
    <cellStyle name="Normal 5 4 2 2 2 13" xfId="17540"/>
    <cellStyle name="Normal 5 4 2 2 2 14" xfId="17705"/>
    <cellStyle name="Normal 5 4 2 2 2 2" xfId="540"/>
    <cellStyle name="Normal 5 4 2 2 2 2 2" xfId="1381"/>
    <cellStyle name="Normal 5 4 2 2 2 2 2 2" xfId="3913"/>
    <cellStyle name="Normal 5 4 2 2 2 2 2 2 2" xfId="9455"/>
    <cellStyle name="Normal 5 4 2 2 2 2 2 2 3" xfId="14994"/>
    <cellStyle name="Normal 5 4 2 2 2 2 2 3" xfId="4950"/>
    <cellStyle name="Normal 5 4 2 2 2 2 2 3 2" xfId="10489"/>
    <cellStyle name="Normal 5 4 2 2 2 2 2 3 3" xfId="16028"/>
    <cellStyle name="Normal 5 4 2 2 2 2 2 4" xfId="5884"/>
    <cellStyle name="Normal 5 4 2 2 2 2 2 4 2" xfId="11423"/>
    <cellStyle name="Normal 5 4 2 2 2 2 2 4 3" xfId="16962"/>
    <cellStyle name="Normal 5 4 2 2 2 2 2 5" xfId="2586"/>
    <cellStyle name="Normal 5 4 2 2 2 2 2 5 2" xfId="8132"/>
    <cellStyle name="Normal 5 4 2 2 2 2 2 5 3" xfId="13671"/>
    <cellStyle name="Normal 5 4 2 2 2 2 2 6" xfId="6927"/>
    <cellStyle name="Normal 5 4 2 2 2 2 2 7" xfId="12466"/>
    <cellStyle name="Normal 5 4 2 2 2 2 3" xfId="1108"/>
    <cellStyle name="Normal 5 4 2 2 2 2 3 2" xfId="3638"/>
    <cellStyle name="Normal 5 4 2 2 2 2 3 2 2" xfId="9180"/>
    <cellStyle name="Normal 5 4 2 2 2 2 3 2 3" xfId="14719"/>
    <cellStyle name="Normal 5 4 2 2 2 2 3 3" xfId="4675"/>
    <cellStyle name="Normal 5 4 2 2 2 2 3 3 2" xfId="10214"/>
    <cellStyle name="Normal 5 4 2 2 2 2 3 3 3" xfId="15753"/>
    <cellStyle name="Normal 5 4 2 2 2 2 3 4" xfId="5610"/>
    <cellStyle name="Normal 5 4 2 2 2 2 3 4 2" xfId="11149"/>
    <cellStyle name="Normal 5 4 2 2 2 2 3 4 3" xfId="16688"/>
    <cellStyle name="Normal 5 4 2 2 2 2 3 5" xfId="2312"/>
    <cellStyle name="Normal 5 4 2 2 2 2 3 5 2" xfId="7858"/>
    <cellStyle name="Normal 5 4 2 2 2 2 3 5 3" xfId="13397"/>
    <cellStyle name="Normal 5 4 2 2 2 2 3 6" xfId="6653"/>
    <cellStyle name="Normal 5 4 2 2 2 2 3 7" xfId="12192"/>
    <cellStyle name="Normal 5 4 2 2 2 2 4" xfId="3199"/>
    <cellStyle name="Normal 5 4 2 2 2 2 4 2" xfId="8741"/>
    <cellStyle name="Normal 5 4 2 2 2 2 4 3" xfId="14280"/>
    <cellStyle name="Normal 5 4 2 2 2 2 5" xfId="4238"/>
    <cellStyle name="Normal 5 4 2 2 2 2 5 2" xfId="9777"/>
    <cellStyle name="Normal 5 4 2 2 2 2 5 3" xfId="15316"/>
    <cellStyle name="Normal 5 4 2 2 2 2 6" xfId="5199"/>
    <cellStyle name="Normal 5 4 2 2 2 2 6 2" xfId="10738"/>
    <cellStyle name="Normal 5 4 2 2 2 2 6 3" xfId="16277"/>
    <cellStyle name="Normal 5 4 2 2 2 2 7" xfId="1901"/>
    <cellStyle name="Normal 5 4 2 2 2 2 7 2" xfId="7447"/>
    <cellStyle name="Normal 5 4 2 2 2 2 7 3" xfId="12986"/>
    <cellStyle name="Normal 5 4 2 2 2 2 8" xfId="6242"/>
    <cellStyle name="Normal 5 4 2 2 2 2 9" xfId="11781"/>
    <cellStyle name="Normal 5 4 2 2 2 3" xfId="1285"/>
    <cellStyle name="Normal 5 4 2 2 2 3 2" xfId="3815"/>
    <cellStyle name="Normal 5 4 2 2 2 3 2 2" xfId="9357"/>
    <cellStyle name="Normal 5 4 2 2 2 3 2 3" xfId="14896"/>
    <cellStyle name="Normal 5 4 2 2 2 3 3" xfId="4852"/>
    <cellStyle name="Normal 5 4 2 2 2 3 3 2" xfId="10391"/>
    <cellStyle name="Normal 5 4 2 2 2 3 3 3" xfId="15930"/>
    <cellStyle name="Normal 5 4 2 2 2 3 4" xfId="5787"/>
    <cellStyle name="Normal 5 4 2 2 2 3 4 2" xfId="11326"/>
    <cellStyle name="Normal 5 4 2 2 2 3 4 3" xfId="16865"/>
    <cellStyle name="Normal 5 4 2 2 2 3 5" xfId="2489"/>
    <cellStyle name="Normal 5 4 2 2 2 3 5 2" xfId="8035"/>
    <cellStyle name="Normal 5 4 2 2 2 3 5 3" xfId="13574"/>
    <cellStyle name="Normal 5 4 2 2 2 3 6" xfId="6830"/>
    <cellStyle name="Normal 5 4 2 2 2 3 7" xfId="12369"/>
    <cellStyle name="Normal 5 4 2 2 2 4" xfId="865"/>
    <cellStyle name="Normal 5 4 2 2 2 4 2" xfId="3395"/>
    <cellStyle name="Normal 5 4 2 2 2 4 2 2" xfId="8937"/>
    <cellStyle name="Normal 5 4 2 2 2 4 2 3" xfId="14476"/>
    <cellStyle name="Normal 5 4 2 2 2 4 3" xfId="4432"/>
    <cellStyle name="Normal 5 4 2 2 2 4 3 2" xfId="9971"/>
    <cellStyle name="Normal 5 4 2 2 2 4 3 3" xfId="15510"/>
    <cellStyle name="Normal 5 4 2 2 2 4 4" xfId="5367"/>
    <cellStyle name="Normal 5 4 2 2 2 4 4 2" xfId="10906"/>
    <cellStyle name="Normal 5 4 2 2 2 4 4 3" xfId="16445"/>
    <cellStyle name="Normal 5 4 2 2 2 4 5" xfId="2069"/>
    <cellStyle name="Normal 5 4 2 2 2 4 5 2" xfId="7615"/>
    <cellStyle name="Normal 5 4 2 2 2 4 5 3" xfId="13154"/>
    <cellStyle name="Normal 5 4 2 2 2 4 6" xfId="6410"/>
    <cellStyle name="Normal 5 4 2 2 2 4 7" xfId="11949"/>
    <cellStyle name="Normal 5 4 2 2 2 5" xfId="1630"/>
    <cellStyle name="Normal 5 4 2 2 2 5 2" xfId="2835"/>
    <cellStyle name="Normal 5 4 2 2 2 5 2 2" xfId="8381"/>
    <cellStyle name="Normal 5 4 2 2 2 5 2 3" xfId="13920"/>
    <cellStyle name="Normal 5 4 2 2 2 5 3" xfId="7176"/>
    <cellStyle name="Normal 5 4 2 2 2 5 4" xfId="12715"/>
    <cellStyle name="Normal 5 4 2 2 2 6" xfId="3008"/>
    <cellStyle name="Normal 5 4 2 2 2 6 2" xfId="8552"/>
    <cellStyle name="Normal 5 4 2 2 2 6 3" xfId="14091"/>
    <cellStyle name="Normal 5 4 2 2 2 7" xfId="4053"/>
    <cellStyle name="Normal 5 4 2 2 2 7 2" xfId="9595"/>
    <cellStyle name="Normal 5 4 2 2 2 7 3" xfId="15134"/>
    <cellStyle name="Normal 5 4 2 2 2 8" xfId="5090"/>
    <cellStyle name="Normal 5 4 2 2 2 8 2" xfId="10629"/>
    <cellStyle name="Normal 5 4 2 2 2 8 3" xfId="16168"/>
    <cellStyle name="Normal 5 4 2 2 2 9" xfId="1792"/>
    <cellStyle name="Normal 5 4 2 2 2 9 2" xfId="7338"/>
    <cellStyle name="Normal 5 4 2 2 2 9 3" xfId="12877"/>
    <cellStyle name="Normal 5 4 2 2 3" xfId="539"/>
    <cellStyle name="Normal 5 4 2 2 3 2" xfId="1380"/>
    <cellStyle name="Normal 5 4 2 2 3 2 2" xfId="3912"/>
    <cellStyle name="Normal 5 4 2 2 3 2 2 2" xfId="9454"/>
    <cellStyle name="Normal 5 4 2 2 3 2 2 3" xfId="14993"/>
    <cellStyle name="Normal 5 4 2 2 3 2 3" xfId="4949"/>
    <cellStyle name="Normal 5 4 2 2 3 2 3 2" xfId="10488"/>
    <cellStyle name="Normal 5 4 2 2 3 2 3 3" xfId="16027"/>
    <cellStyle name="Normal 5 4 2 2 3 2 4" xfId="5883"/>
    <cellStyle name="Normal 5 4 2 2 3 2 4 2" xfId="11422"/>
    <cellStyle name="Normal 5 4 2 2 3 2 4 3" xfId="16961"/>
    <cellStyle name="Normal 5 4 2 2 3 2 5" xfId="2585"/>
    <cellStyle name="Normal 5 4 2 2 3 2 5 2" xfId="8131"/>
    <cellStyle name="Normal 5 4 2 2 3 2 5 3" xfId="13670"/>
    <cellStyle name="Normal 5 4 2 2 3 2 6" xfId="6926"/>
    <cellStyle name="Normal 5 4 2 2 3 2 7" xfId="12465"/>
    <cellStyle name="Normal 5 4 2 2 3 3" xfId="1018"/>
    <cellStyle name="Normal 5 4 2 2 3 3 2" xfId="3548"/>
    <cellStyle name="Normal 5 4 2 2 3 3 2 2" xfId="9090"/>
    <cellStyle name="Normal 5 4 2 2 3 3 2 3" xfId="14629"/>
    <cellStyle name="Normal 5 4 2 2 3 3 3" xfId="4585"/>
    <cellStyle name="Normal 5 4 2 2 3 3 3 2" xfId="10124"/>
    <cellStyle name="Normal 5 4 2 2 3 3 3 3" xfId="15663"/>
    <cellStyle name="Normal 5 4 2 2 3 3 4" xfId="5520"/>
    <cellStyle name="Normal 5 4 2 2 3 3 4 2" xfId="11059"/>
    <cellStyle name="Normal 5 4 2 2 3 3 4 3" xfId="16598"/>
    <cellStyle name="Normal 5 4 2 2 3 3 5" xfId="2222"/>
    <cellStyle name="Normal 5 4 2 2 3 3 5 2" xfId="7768"/>
    <cellStyle name="Normal 5 4 2 2 3 3 5 3" xfId="13307"/>
    <cellStyle name="Normal 5 4 2 2 3 3 6" xfId="6563"/>
    <cellStyle name="Normal 5 4 2 2 3 3 7" xfId="12102"/>
    <cellStyle name="Normal 5 4 2 2 3 4" xfId="3198"/>
    <cellStyle name="Normal 5 4 2 2 3 4 2" xfId="8740"/>
    <cellStyle name="Normal 5 4 2 2 3 4 3" xfId="14279"/>
    <cellStyle name="Normal 5 4 2 2 3 5" xfId="4237"/>
    <cellStyle name="Normal 5 4 2 2 3 5 2" xfId="9776"/>
    <cellStyle name="Normal 5 4 2 2 3 5 3" xfId="15315"/>
    <cellStyle name="Normal 5 4 2 2 3 6" xfId="5198"/>
    <cellStyle name="Normal 5 4 2 2 3 6 2" xfId="10737"/>
    <cellStyle name="Normal 5 4 2 2 3 6 3" xfId="16276"/>
    <cellStyle name="Normal 5 4 2 2 3 7" xfId="1900"/>
    <cellStyle name="Normal 5 4 2 2 3 7 2" xfId="7446"/>
    <cellStyle name="Normal 5 4 2 2 3 7 3" xfId="12985"/>
    <cellStyle name="Normal 5 4 2 2 3 8" xfId="6241"/>
    <cellStyle name="Normal 5 4 2 2 3 9" xfId="11780"/>
    <cellStyle name="Normal 5 4 2 2 4" xfId="1195"/>
    <cellStyle name="Normal 5 4 2 2 4 2" xfId="3725"/>
    <cellStyle name="Normal 5 4 2 2 4 2 2" xfId="9267"/>
    <cellStyle name="Normal 5 4 2 2 4 2 3" xfId="14806"/>
    <cellStyle name="Normal 5 4 2 2 4 3" xfId="4762"/>
    <cellStyle name="Normal 5 4 2 2 4 3 2" xfId="10301"/>
    <cellStyle name="Normal 5 4 2 2 4 3 3" xfId="15840"/>
    <cellStyle name="Normal 5 4 2 2 4 4" xfId="5697"/>
    <cellStyle name="Normal 5 4 2 2 4 4 2" xfId="11236"/>
    <cellStyle name="Normal 5 4 2 2 4 4 3" xfId="16775"/>
    <cellStyle name="Normal 5 4 2 2 4 5" xfId="2399"/>
    <cellStyle name="Normal 5 4 2 2 4 5 2" xfId="7945"/>
    <cellStyle name="Normal 5 4 2 2 4 5 3" xfId="13484"/>
    <cellStyle name="Normal 5 4 2 2 4 6" xfId="6740"/>
    <cellStyle name="Normal 5 4 2 2 4 7" xfId="12279"/>
    <cellStyle name="Normal 5 4 2 2 5" xfId="864"/>
    <cellStyle name="Normal 5 4 2 2 5 2" xfId="3394"/>
    <cellStyle name="Normal 5 4 2 2 5 2 2" xfId="8936"/>
    <cellStyle name="Normal 5 4 2 2 5 2 3" xfId="14475"/>
    <cellStyle name="Normal 5 4 2 2 5 3" xfId="4431"/>
    <cellStyle name="Normal 5 4 2 2 5 3 2" xfId="9970"/>
    <cellStyle name="Normal 5 4 2 2 5 3 3" xfId="15509"/>
    <cellStyle name="Normal 5 4 2 2 5 4" xfId="5366"/>
    <cellStyle name="Normal 5 4 2 2 5 4 2" xfId="10905"/>
    <cellStyle name="Normal 5 4 2 2 5 4 3" xfId="16444"/>
    <cellStyle name="Normal 5 4 2 2 5 5" xfId="2068"/>
    <cellStyle name="Normal 5 4 2 2 5 5 2" xfId="7614"/>
    <cellStyle name="Normal 5 4 2 2 5 5 3" xfId="13153"/>
    <cellStyle name="Normal 5 4 2 2 5 6" xfId="6409"/>
    <cellStyle name="Normal 5 4 2 2 5 7" xfId="11948"/>
    <cellStyle name="Normal 5 4 2 2 6" xfId="1540"/>
    <cellStyle name="Normal 5 4 2 2 6 2" xfId="2745"/>
    <cellStyle name="Normal 5 4 2 2 6 2 2" xfId="8291"/>
    <cellStyle name="Normal 5 4 2 2 6 2 3" xfId="13830"/>
    <cellStyle name="Normal 5 4 2 2 6 3" xfId="7086"/>
    <cellStyle name="Normal 5 4 2 2 6 4" xfId="12625"/>
    <cellStyle name="Normal 5 4 2 2 7" xfId="2918"/>
    <cellStyle name="Normal 5 4 2 2 7 2" xfId="8462"/>
    <cellStyle name="Normal 5 4 2 2 7 3" xfId="14001"/>
    <cellStyle name="Normal 5 4 2 2 8" xfId="3029"/>
    <cellStyle name="Normal 5 4 2 2 8 2" xfId="8572"/>
    <cellStyle name="Normal 5 4 2 2 8 3" xfId="14111"/>
    <cellStyle name="Normal 5 4 2 2 9" xfId="4073"/>
    <cellStyle name="Normal 5 4 2 2 9 2" xfId="9614"/>
    <cellStyle name="Normal 5 4 2 2 9 3" xfId="15153"/>
    <cellStyle name="Normal 5 4 2 3" xfId="342"/>
    <cellStyle name="Normal 5 4 2 3 10" xfId="1684"/>
    <cellStyle name="Normal 5 4 2 3 10 2" xfId="7230"/>
    <cellStyle name="Normal 5 4 2 3 10 3" xfId="12769"/>
    <cellStyle name="Normal 5 4 2 3 11" xfId="6025"/>
    <cellStyle name="Normal 5 4 2 3 11 2" xfId="17103"/>
    <cellStyle name="Normal 5 4 2 3 12" xfId="669"/>
    <cellStyle name="Normal 5 4 2 3 12 2" xfId="17265"/>
    <cellStyle name="Normal 5 4 2 3 13" xfId="11564"/>
    <cellStyle name="Normal 5 4 2 3 14" xfId="17432"/>
    <cellStyle name="Normal 5 4 2 3 15" xfId="17597"/>
    <cellStyle name="Normal 5 4 2 3 2" xfId="343"/>
    <cellStyle name="Normal 5 4 2 3 2 10" xfId="6115"/>
    <cellStyle name="Normal 5 4 2 3 2 10 2" xfId="17193"/>
    <cellStyle name="Normal 5 4 2 3 2 11" xfId="759"/>
    <cellStyle name="Normal 5 4 2 3 2 11 2" xfId="17355"/>
    <cellStyle name="Normal 5 4 2 3 2 12" xfId="11654"/>
    <cellStyle name="Normal 5 4 2 3 2 13" xfId="17522"/>
    <cellStyle name="Normal 5 4 2 3 2 14" xfId="17687"/>
    <cellStyle name="Normal 5 4 2 3 2 2" xfId="542"/>
    <cellStyle name="Normal 5 4 2 3 2 2 2" xfId="1383"/>
    <cellStyle name="Normal 5 4 2 3 2 2 2 2" xfId="3915"/>
    <cellStyle name="Normal 5 4 2 3 2 2 2 2 2" xfId="9457"/>
    <cellStyle name="Normal 5 4 2 3 2 2 2 2 3" xfId="14996"/>
    <cellStyle name="Normal 5 4 2 3 2 2 2 3" xfId="4952"/>
    <cellStyle name="Normal 5 4 2 3 2 2 2 3 2" xfId="10491"/>
    <cellStyle name="Normal 5 4 2 3 2 2 2 3 3" xfId="16030"/>
    <cellStyle name="Normal 5 4 2 3 2 2 2 4" xfId="5886"/>
    <cellStyle name="Normal 5 4 2 3 2 2 2 4 2" xfId="11425"/>
    <cellStyle name="Normal 5 4 2 3 2 2 2 4 3" xfId="16964"/>
    <cellStyle name="Normal 5 4 2 3 2 2 2 5" xfId="2588"/>
    <cellStyle name="Normal 5 4 2 3 2 2 2 5 2" xfId="8134"/>
    <cellStyle name="Normal 5 4 2 3 2 2 2 5 3" xfId="13673"/>
    <cellStyle name="Normal 5 4 2 3 2 2 2 6" xfId="6929"/>
    <cellStyle name="Normal 5 4 2 3 2 2 2 7" xfId="12468"/>
    <cellStyle name="Normal 5 4 2 3 2 2 3" xfId="1090"/>
    <cellStyle name="Normal 5 4 2 3 2 2 3 2" xfId="3620"/>
    <cellStyle name="Normal 5 4 2 3 2 2 3 2 2" xfId="9162"/>
    <cellStyle name="Normal 5 4 2 3 2 2 3 2 3" xfId="14701"/>
    <cellStyle name="Normal 5 4 2 3 2 2 3 3" xfId="4657"/>
    <cellStyle name="Normal 5 4 2 3 2 2 3 3 2" xfId="10196"/>
    <cellStyle name="Normal 5 4 2 3 2 2 3 3 3" xfId="15735"/>
    <cellStyle name="Normal 5 4 2 3 2 2 3 4" xfId="5592"/>
    <cellStyle name="Normal 5 4 2 3 2 2 3 4 2" xfId="11131"/>
    <cellStyle name="Normal 5 4 2 3 2 2 3 4 3" xfId="16670"/>
    <cellStyle name="Normal 5 4 2 3 2 2 3 5" xfId="2294"/>
    <cellStyle name="Normal 5 4 2 3 2 2 3 5 2" xfId="7840"/>
    <cellStyle name="Normal 5 4 2 3 2 2 3 5 3" xfId="13379"/>
    <cellStyle name="Normal 5 4 2 3 2 2 3 6" xfId="6635"/>
    <cellStyle name="Normal 5 4 2 3 2 2 3 7" xfId="12174"/>
    <cellStyle name="Normal 5 4 2 3 2 2 4" xfId="3201"/>
    <cellStyle name="Normal 5 4 2 3 2 2 4 2" xfId="8743"/>
    <cellStyle name="Normal 5 4 2 3 2 2 4 3" xfId="14282"/>
    <cellStyle name="Normal 5 4 2 3 2 2 5" xfId="4240"/>
    <cellStyle name="Normal 5 4 2 3 2 2 5 2" xfId="9779"/>
    <cellStyle name="Normal 5 4 2 3 2 2 5 3" xfId="15318"/>
    <cellStyle name="Normal 5 4 2 3 2 2 6" xfId="5201"/>
    <cellStyle name="Normal 5 4 2 3 2 2 6 2" xfId="10740"/>
    <cellStyle name="Normal 5 4 2 3 2 2 6 3" xfId="16279"/>
    <cellStyle name="Normal 5 4 2 3 2 2 7" xfId="1903"/>
    <cellStyle name="Normal 5 4 2 3 2 2 7 2" xfId="7449"/>
    <cellStyle name="Normal 5 4 2 3 2 2 7 3" xfId="12988"/>
    <cellStyle name="Normal 5 4 2 3 2 2 8" xfId="6244"/>
    <cellStyle name="Normal 5 4 2 3 2 2 9" xfId="11783"/>
    <cellStyle name="Normal 5 4 2 3 2 3" xfId="1267"/>
    <cellStyle name="Normal 5 4 2 3 2 3 2" xfId="3797"/>
    <cellStyle name="Normal 5 4 2 3 2 3 2 2" xfId="9339"/>
    <cellStyle name="Normal 5 4 2 3 2 3 2 3" xfId="14878"/>
    <cellStyle name="Normal 5 4 2 3 2 3 3" xfId="4834"/>
    <cellStyle name="Normal 5 4 2 3 2 3 3 2" xfId="10373"/>
    <cellStyle name="Normal 5 4 2 3 2 3 3 3" xfId="15912"/>
    <cellStyle name="Normal 5 4 2 3 2 3 4" xfId="5769"/>
    <cellStyle name="Normal 5 4 2 3 2 3 4 2" xfId="11308"/>
    <cellStyle name="Normal 5 4 2 3 2 3 4 3" xfId="16847"/>
    <cellStyle name="Normal 5 4 2 3 2 3 5" xfId="2471"/>
    <cellStyle name="Normal 5 4 2 3 2 3 5 2" xfId="8017"/>
    <cellStyle name="Normal 5 4 2 3 2 3 5 3" xfId="13556"/>
    <cellStyle name="Normal 5 4 2 3 2 3 6" xfId="6812"/>
    <cellStyle name="Normal 5 4 2 3 2 3 7" xfId="12351"/>
    <cellStyle name="Normal 5 4 2 3 2 4" xfId="867"/>
    <cellStyle name="Normal 5 4 2 3 2 4 2" xfId="3397"/>
    <cellStyle name="Normal 5 4 2 3 2 4 2 2" xfId="8939"/>
    <cellStyle name="Normal 5 4 2 3 2 4 2 3" xfId="14478"/>
    <cellStyle name="Normal 5 4 2 3 2 4 3" xfId="4434"/>
    <cellStyle name="Normal 5 4 2 3 2 4 3 2" xfId="9973"/>
    <cellStyle name="Normal 5 4 2 3 2 4 3 3" xfId="15512"/>
    <cellStyle name="Normal 5 4 2 3 2 4 4" xfId="5369"/>
    <cellStyle name="Normal 5 4 2 3 2 4 4 2" xfId="10908"/>
    <cellStyle name="Normal 5 4 2 3 2 4 4 3" xfId="16447"/>
    <cellStyle name="Normal 5 4 2 3 2 4 5" xfId="2071"/>
    <cellStyle name="Normal 5 4 2 3 2 4 5 2" xfId="7617"/>
    <cellStyle name="Normal 5 4 2 3 2 4 5 3" xfId="13156"/>
    <cellStyle name="Normal 5 4 2 3 2 4 6" xfId="6412"/>
    <cellStyle name="Normal 5 4 2 3 2 4 7" xfId="11951"/>
    <cellStyle name="Normal 5 4 2 3 2 5" xfId="1612"/>
    <cellStyle name="Normal 5 4 2 3 2 5 2" xfId="2817"/>
    <cellStyle name="Normal 5 4 2 3 2 5 2 2" xfId="8363"/>
    <cellStyle name="Normal 5 4 2 3 2 5 2 3" xfId="13902"/>
    <cellStyle name="Normal 5 4 2 3 2 5 3" xfId="7158"/>
    <cellStyle name="Normal 5 4 2 3 2 5 4" xfId="12697"/>
    <cellStyle name="Normal 5 4 2 3 2 6" xfId="2990"/>
    <cellStyle name="Normal 5 4 2 3 2 6 2" xfId="8534"/>
    <cellStyle name="Normal 5 4 2 3 2 6 3" xfId="14073"/>
    <cellStyle name="Normal 5 4 2 3 2 7" xfId="4035"/>
    <cellStyle name="Normal 5 4 2 3 2 7 2" xfId="9577"/>
    <cellStyle name="Normal 5 4 2 3 2 7 3" xfId="15116"/>
    <cellStyle name="Normal 5 4 2 3 2 8" xfId="5072"/>
    <cellStyle name="Normal 5 4 2 3 2 8 2" xfId="10611"/>
    <cellStyle name="Normal 5 4 2 3 2 8 3" xfId="16150"/>
    <cellStyle name="Normal 5 4 2 3 2 9" xfId="1774"/>
    <cellStyle name="Normal 5 4 2 3 2 9 2" xfId="7320"/>
    <cellStyle name="Normal 5 4 2 3 2 9 3" xfId="12859"/>
    <cellStyle name="Normal 5 4 2 3 3" xfId="541"/>
    <cellStyle name="Normal 5 4 2 3 3 2" xfId="1382"/>
    <cellStyle name="Normal 5 4 2 3 3 2 2" xfId="3914"/>
    <cellStyle name="Normal 5 4 2 3 3 2 2 2" xfId="9456"/>
    <cellStyle name="Normal 5 4 2 3 3 2 2 3" xfId="14995"/>
    <cellStyle name="Normal 5 4 2 3 3 2 3" xfId="4951"/>
    <cellStyle name="Normal 5 4 2 3 3 2 3 2" xfId="10490"/>
    <cellStyle name="Normal 5 4 2 3 3 2 3 3" xfId="16029"/>
    <cellStyle name="Normal 5 4 2 3 3 2 4" xfId="5885"/>
    <cellStyle name="Normal 5 4 2 3 3 2 4 2" xfId="11424"/>
    <cellStyle name="Normal 5 4 2 3 3 2 4 3" xfId="16963"/>
    <cellStyle name="Normal 5 4 2 3 3 2 5" xfId="2587"/>
    <cellStyle name="Normal 5 4 2 3 3 2 5 2" xfId="8133"/>
    <cellStyle name="Normal 5 4 2 3 3 2 5 3" xfId="13672"/>
    <cellStyle name="Normal 5 4 2 3 3 2 6" xfId="6928"/>
    <cellStyle name="Normal 5 4 2 3 3 2 7" xfId="12467"/>
    <cellStyle name="Normal 5 4 2 3 3 3" xfId="1000"/>
    <cellStyle name="Normal 5 4 2 3 3 3 2" xfId="3530"/>
    <cellStyle name="Normal 5 4 2 3 3 3 2 2" xfId="9072"/>
    <cellStyle name="Normal 5 4 2 3 3 3 2 3" xfId="14611"/>
    <cellStyle name="Normal 5 4 2 3 3 3 3" xfId="4567"/>
    <cellStyle name="Normal 5 4 2 3 3 3 3 2" xfId="10106"/>
    <cellStyle name="Normal 5 4 2 3 3 3 3 3" xfId="15645"/>
    <cellStyle name="Normal 5 4 2 3 3 3 4" xfId="5502"/>
    <cellStyle name="Normal 5 4 2 3 3 3 4 2" xfId="11041"/>
    <cellStyle name="Normal 5 4 2 3 3 3 4 3" xfId="16580"/>
    <cellStyle name="Normal 5 4 2 3 3 3 5" xfId="2204"/>
    <cellStyle name="Normal 5 4 2 3 3 3 5 2" xfId="7750"/>
    <cellStyle name="Normal 5 4 2 3 3 3 5 3" xfId="13289"/>
    <cellStyle name="Normal 5 4 2 3 3 3 6" xfId="6545"/>
    <cellStyle name="Normal 5 4 2 3 3 3 7" xfId="12084"/>
    <cellStyle name="Normal 5 4 2 3 3 4" xfId="3200"/>
    <cellStyle name="Normal 5 4 2 3 3 4 2" xfId="8742"/>
    <cellStyle name="Normal 5 4 2 3 3 4 3" xfId="14281"/>
    <cellStyle name="Normal 5 4 2 3 3 5" xfId="4239"/>
    <cellStyle name="Normal 5 4 2 3 3 5 2" xfId="9778"/>
    <cellStyle name="Normal 5 4 2 3 3 5 3" xfId="15317"/>
    <cellStyle name="Normal 5 4 2 3 3 6" xfId="5200"/>
    <cellStyle name="Normal 5 4 2 3 3 6 2" xfId="10739"/>
    <cellStyle name="Normal 5 4 2 3 3 6 3" xfId="16278"/>
    <cellStyle name="Normal 5 4 2 3 3 7" xfId="1902"/>
    <cellStyle name="Normal 5 4 2 3 3 7 2" xfId="7448"/>
    <cellStyle name="Normal 5 4 2 3 3 7 3" xfId="12987"/>
    <cellStyle name="Normal 5 4 2 3 3 8" xfId="6243"/>
    <cellStyle name="Normal 5 4 2 3 3 9" xfId="11782"/>
    <cellStyle name="Normal 5 4 2 3 4" xfId="1177"/>
    <cellStyle name="Normal 5 4 2 3 4 2" xfId="3707"/>
    <cellStyle name="Normal 5 4 2 3 4 2 2" xfId="9249"/>
    <cellStyle name="Normal 5 4 2 3 4 2 3" xfId="14788"/>
    <cellStyle name="Normal 5 4 2 3 4 3" xfId="4744"/>
    <cellStyle name="Normal 5 4 2 3 4 3 2" xfId="10283"/>
    <cellStyle name="Normal 5 4 2 3 4 3 3" xfId="15822"/>
    <cellStyle name="Normal 5 4 2 3 4 4" xfId="5679"/>
    <cellStyle name="Normal 5 4 2 3 4 4 2" xfId="11218"/>
    <cellStyle name="Normal 5 4 2 3 4 4 3" xfId="16757"/>
    <cellStyle name="Normal 5 4 2 3 4 5" xfId="2381"/>
    <cellStyle name="Normal 5 4 2 3 4 5 2" xfId="7927"/>
    <cellStyle name="Normal 5 4 2 3 4 5 3" xfId="13466"/>
    <cellStyle name="Normal 5 4 2 3 4 6" xfId="6722"/>
    <cellStyle name="Normal 5 4 2 3 4 7" xfId="12261"/>
    <cellStyle name="Normal 5 4 2 3 5" xfId="866"/>
    <cellStyle name="Normal 5 4 2 3 5 2" xfId="3396"/>
    <cellStyle name="Normal 5 4 2 3 5 2 2" xfId="8938"/>
    <cellStyle name="Normal 5 4 2 3 5 2 3" xfId="14477"/>
    <cellStyle name="Normal 5 4 2 3 5 3" xfId="4433"/>
    <cellStyle name="Normal 5 4 2 3 5 3 2" xfId="9972"/>
    <cellStyle name="Normal 5 4 2 3 5 3 3" xfId="15511"/>
    <cellStyle name="Normal 5 4 2 3 5 4" xfId="5368"/>
    <cellStyle name="Normal 5 4 2 3 5 4 2" xfId="10907"/>
    <cellStyle name="Normal 5 4 2 3 5 4 3" xfId="16446"/>
    <cellStyle name="Normal 5 4 2 3 5 5" xfId="2070"/>
    <cellStyle name="Normal 5 4 2 3 5 5 2" xfId="7616"/>
    <cellStyle name="Normal 5 4 2 3 5 5 3" xfId="13155"/>
    <cellStyle name="Normal 5 4 2 3 5 6" xfId="6411"/>
    <cellStyle name="Normal 5 4 2 3 5 7" xfId="11950"/>
    <cellStyle name="Normal 5 4 2 3 6" xfId="1522"/>
    <cellStyle name="Normal 5 4 2 3 6 2" xfId="2727"/>
    <cellStyle name="Normal 5 4 2 3 6 2 2" xfId="8273"/>
    <cellStyle name="Normal 5 4 2 3 6 2 3" xfId="13812"/>
    <cellStyle name="Normal 5 4 2 3 6 3" xfId="7068"/>
    <cellStyle name="Normal 5 4 2 3 6 4" xfId="12607"/>
    <cellStyle name="Normal 5 4 2 3 7" xfId="2900"/>
    <cellStyle name="Normal 5 4 2 3 7 2" xfId="8444"/>
    <cellStyle name="Normal 5 4 2 3 7 3" xfId="13983"/>
    <cellStyle name="Normal 5 4 2 3 8" xfId="3316"/>
    <cellStyle name="Normal 5 4 2 3 8 2" xfId="8858"/>
    <cellStyle name="Normal 5 4 2 3 8 3" xfId="14397"/>
    <cellStyle name="Normal 5 4 2 3 9" xfId="4353"/>
    <cellStyle name="Normal 5 4 2 3 9 2" xfId="9892"/>
    <cellStyle name="Normal 5 4 2 3 9 3" xfId="15431"/>
    <cellStyle name="Normal 5 4 2 4" xfId="344"/>
    <cellStyle name="Normal 5 4 2 4 10" xfId="1720"/>
    <cellStyle name="Normal 5 4 2 4 10 2" xfId="7266"/>
    <cellStyle name="Normal 5 4 2 4 10 3" xfId="12805"/>
    <cellStyle name="Normal 5 4 2 4 11" xfId="6061"/>
    <cellStyle name="Normal 5 4 2 4 11 2" xfId="17139"/>
    <cellStyle name="Normal 5 4 2 4 12" xfId="705"/>
    <cellStyle name="Normal 5 4 2 4 12 2" xfId="17301"/>
    <cellStyle name="Normal 5 4 2 4 13" xfId="11600"/>
    <cellStyle name="Normal 5 4 2 4 14" xfId="17468"/>
    <cellStyle name="Normal 5 4 2 4 15" xfId="17633"/>
    <cellStyle name="Normal 5 4 2 4 2" xfId="345"/>
    <cellStyle name="Normal 5 4 2 4 2 10" xfId="6097"/>
    <cellStyle name="Normal 5 4 2 4 2 10 2" xfId="17175"/>
    <cellStyle name="Normal 5 4 2 4 2 11" xfId="741"/>
    <cellStyle name="Normal 5 4 2 4 2 11 2" xfId="17337"/>
    <cellStyle name="Normal 5 4 2 4 2 12" xfId="11636"/>
    <cellStyle name="Normal 5 4 2 4 2 13" xfId="17504"/>
    <cellStyle name="Normal 5 4 2 4 2 14" xfId="17669"/>
    <cellStyle name="Normal 5 4 2 4 2 2" xfId="544"/>
    <cellStyle name="Normal 5 4 2 4 2 2 2" xfId="1385"/>
    <cellStyle name="Normal 5 4 2 4 2 2 2 2" xfId="3917"/>
    <cellStyle name="Normal 5 4 2 4 2 2 2 2 2" xfId="9459"/>
    <cellStyle name="Normal 5 4 2 4 2 2 2 2 3" xfId="14998"/>
    <cellStyle name="Normal 5 4 2 4 2 2 2 3" xfId="4954"/>
    <cellStyle name="Normal 5 4 2 4 2 2 2 3 2" xfId="10493"/>
    <cellStyle name="Normal 5 4 2 4 2 2 2 3 3" xfId="16032"/>
    <cellStyle name="Normal 5 4 2 4 2 2 2 4" xfId="5888"/>
    <cellStyle name="Normal 5 4 2 4 2 2 2 4 2" xfId="11427"/>
    <cellStyle name="Normal 5 4 2 4 2 2 2 4 3" xfId="16966"/>
    <cellStyle name="Normal 5 4 2 4 2 2 2 5" xfId="2590"/>
    <cellStyle name="Normal 5 4 2 4 2 2 2 5 2" xfId="8136"/>
    <cellStyle name="Normal 5 4 2 4 2 2 2 5 3" xfId="13675"/>
    <cellStyle name="Normal 5 4 2 4 2 2 2 6" xfId="6931"/>
    <cellStyle name="Normal 5 4 2 4 2 2 2 7" xfId="12470"/>
    <cellStyle name="Normal 5 4 2 4 2 2 3" xfId="1072"/>
    <cellStyle name="Normal 5 4 2 4 2 2 3 2" xfId="3602"/>
    <cellStyle name="Normal 5 4 2 4 2 2 3 2 2" xfId="9144"/>
    <cellStyle name="Normal 5 4 2 4 2 2 3 2 3" xfId="14683"/>
    <cellStyle name="Normal 5 4 2 4 2 2 3 3" xfId="4639"/>
    <cellStyle name="Normal 5 4 2 4 2 2 3 3 2" xfId="10178"/>
    <cellStyle name="Normal 5 4 2 4 2 2 3 3 3" xfId="15717"/>
    <cellStyle name="Normal 5 4 2 4 2 2 3 4" xfId="5574"/>
    <cellStyle name="Normal 5 4 2 4 2 2 3 4 2" xfId="11113"/>
    <cellStyle name="Normal 5 4 2 4 2 2 3 4 3" xfId="16652"/>
    <cellStyle name="Normal 5 4 2 4 2 2 3 5" xfId="2276"/>
    <cellStyle name="Normal 5 4 2 4 2 2 3 5 2" xfId="7822"/>
    <cellStyle name="Normal 5 4 2 4 2 2 3 5 3" xfId="13361"/>
    <cellStyle name="Normal 5 4 2 4 2 2 3 6" xfId="6617"/>
    <cellStyle name="Normal 5 4 2 4 2 2 3 7" xfId="12156"/>
    <cellStyle name="Normal 5 4 2 4 2 2 4" xfId="3203"/>
    <cellStyle name="Normal 5 4 2 4 2 2 4 2" xfId="8745"/>
    <cellStyle name="Normal 5 4 2 4 2 2 4 3" xfId="14284"/>
    <cellStyle name="Normal 5 4 2 4 2 2 5" xfId="4242"/>
    <cellStyle name="Normal 5 4 2 4 2 2 5 2" xfId="9781"/>
    <cellStyle name="Normal 5 4 2 4 2 2 5 3" xfId="15320"/>
    <cellStyle name="Normal 5 4 2 4 2 2 6" xfId="5203"/>
    <cellStyle name="Normal 5 4 2 4 2 2 6 2" xfId="10742"/>
    <cellStyle name="Normal 5 4 2 4 2 2 6 3" xfId="16281"/>
    <cellStyle name="Normal 5 4 2 4 2 2 7" xfId="1905"/>
    <cellStyle name="Normal 5 4 2 4 2 2 7 2" xfId="7451"/>
    <cellStyle name="Normal 5 4 2 4 2 2 7 3" xfId="12990"/>
    <cellStyle name="Normal 5 4 2 4 2 2 8" xfId="6246"/>
    <cellStyle name="Normal 5 4 2 4 2 2 9" xfId="11785"/>
    <cellStyle name="Normal 5 4 2 4 2 3" xfId="1249"/>
    <cellStyle name="Normal 5 4 2 4 2 3 2" xfId="3779"/>
    <cellStyle name="Normal 5 4 2 4 2 3 2 2" xfId="9321"/>
    <cellStyle name="Normal 5 4 2 4 2 3 2 3" xfId="14860"/>
    <cellStyle name="Normal 5 4 2 4 2 3 3" xfId="4816"/>
    <cellStyle name="Normal 5 4 2 4 2 3 3 2" xfId="10355"/>
    <cellStyle name="Normal 5 4 2 4 2 3 3 3" xfId="15894"/>
    <cellStyle name="Normal 5 4 2 4 2 3 4" xfId="5751"/>
    <cellStyle name="Normal 5 4 2 4 2 3 4 2" xfId="11290"/>
    <cellStyle name="Normal 5 4 2 4 2 3 4 3" xfId="16829"/>
    <cellStyle name="Normal 5 4 2 4 2 3 5" xfId="2453"/>
    <cellStyle name="Normal 5 4 2 4 2 3 5 2" xfId="7999"/>
    <cellStyle name="Normal 5 4 2 4 2 3 5 3" xfId="13538"/>
    <cellStyle name="Normal 5 4 2 4 2 3 6" xfId="6794"/>
    <cellStyle name="Normal 5 4 2 4 2 3 7" xfId="12333"/>
    <cellStyle name="Normal 5 4 2 4 2 4" xfId="869"/>
    <cellStyle name="Normal 5 4 2 4 2 4 2" xfId="3399"/>
    <cellStyle name="Normal 5 4 2 4 2 4 2 2" xfId="8941"/>
    <cellStyle name="Normal 5 4 2 4 2 4 2 3" xfId="14480"/>
    <cellStyle name="Normal 5 4 2 4 2 4 3" xfId="4436"/>
    <cellStyle name="Normal 5 4 2 4 2 4 3 2" xfId="9975"/>
    <cellStyle name="Normal 5 4 2 4 2 4 3 3" xfId="15514"/>
    <cellStyle name="Normal 5 4 2 4 2 4 4" xfId="5371"/>
    <cellStyle name="Normal 5 4 2 4 2 4 4 2" xfId="10910"/>
    <cellStyle name="Normal 5 4 2 4 2 4 4 3" xfId="16449"/>
    <cellStyle name="Normal 5 4 2 4 2 4 5" xfId="2073"/>
    <cellStyle name="Normal 5 4 2 4 2 4 5 2" xfId="7619"/>
    <cellStyle name="Normal 5 4 2 4 2 4 5 3" xfId="13158"/>
    <cellStyle name="Normal 5 4 2 4 2 4 6" xfId="6414"/>
    <cellStyle name="Normal 5 4 2 4 2 4 7" xfId="11953"/>
    <cellStyle name="Normal 5 4 2 4 2 5" xfId="1594"/>
    <cellStyle name="Normal 5 4 2 4 2 5 2" xfId="2799"/>
    <cellStyle name="Normal 5 4 2 4 2 5 2 2" xfId="8345"/>
    <cellStyle name="Normal 5 4 2 4 2 5 2 3" xfId="13884"/>
    <cellStyle name="Normal 5 4 2 4 2 5 3" xfId="7140"/>
    <cellStyle name="Normal 5 4 2 4 2 5 4" xfId="12679"/>
    <cellStyle name="Normal 5 4 2 4 2 6" xfId="2972"/>
    <cellStyle name="Normal 5 4 2 4 2 6 2" xfId="8516"/>
    <cellStyle name="Normal 5 4 2 4 2 6 3" xfId="14055"/>
    <cellStyle name="Normal 5 4 2 4 2 7" xfId="4017"/>
    <cellStyle name="Normal 5 4 2 4 2 7 2" xfId="9559"/>
    <cellStyle name="Normal 5 4 2 4 2 7 3" xfId="15098"/>
    <cellStyle name="Normal 5 4 2 4 2 8" xfId="5054"/>
    <cellStyle name="Normal 5 4 2 4 2 8 2" xfId="10593"/>
    <cellStyle name="Normal 5 4 2 4 2 8 3" xfId="16132"/>
    <cellStyle name="Normal 5 4 2 4 2 9" xfId="1756"/>
    <cellStyle name="Normal 5 4 2 4 2 9 2" xfId="7302"/>
    <cellStyle name="Normal 5 4 2 4 2 9 3" xfId="12841"/>
    <cellStyle name="Normal 5 4 2 4 3" xfId="543"/>
    <cellStyle name="Normal 5 4 2 4 3 2" xfId="1384"/>
    <cellStyle name="Normal 5 4 2 4 3 2 2" xfId="3916"/>
    <cellStyle name="Normal 5 4 2 4 3 2 2 2" xfId="9458"/>
    <cellStyle name="Normal 5 4 2 4 3 2 2 3" xfId="14997"/>
    <cellStyle name="Normal 5 4 2 4 3 2 3" xfId="4953"/>
    <cellStyle name="Normal 5 4 2 4 3 2 3 2" xfId="10492"/>
    <cellStyle name="Normal 5 4 2 4 3 2 3 3" xfId="16031"/>
    <cellStyle name="Normal 5 4 2 4 3 2 4" xfId="5887"/>
    <cellStyle name="Normal 5 4 2 4 3 2 4 2" xfId="11426"/>
    <cellStyle name="Normal 5 4 2 4 3 2 4 3" xfId="16965"/>
    <cellStyle name="Normal 5 4 2 4 3 2 5" xfId="2589"/>
    <cellStyle name="Normal 5 4 2 4 3 2 5 2" xfId="8135"/>
    <cellStyle name="Normal 5 4 2 4 3 2 5 3" xfId="13674"/>
    <cellStyle name="Normal 5 4 2 4 3 2 6" xfId="6930"/>
    <cellStyle name="Normal 5 4 2 4 3 2 7" xfId="12469"/>
    <cellStyle name="Normal 5 4 2 4 3 3" xfId="1036"/>
    <cellStyle name="Normal 5 4 2 4 3 3 2" xfId="3566"/>
    <cellStyle name="Normal 5 4 2 4 3 3 2 2" xfId="9108"/>
    <cellStyle name="Normal 5 4 2 4 3 3 2 3" xfId="14647"/>
    <cellStyle name="Normal 5 4 2 4 3 3 3" xfId="4603"/>
    <cellStyle name="Normal 5 4 2 4 3 3 3 2" xfId="10142"/>
    <cellStyle name="Normal 5 4 2 4 3 3 3 3" xfId="15681"/>
    <cellStyle name="Normal 5 4 2 4 3 3 4" xfId="5538"/>
    <cellStyle name="Normal 5 4 2 4 3 3 4 2" xfId="11077"/>
    <cellStyle name="Normal 5 4 2 4 3 3 4 3" xfId="16616"/>
    <cellStyle name="Normal 5 4 2 4 3 3 5" xfId="2240"/>
    <cellStyle name="Normal 5 4 2 4 3 3 5 2" xfId="7786"/>
    <cellStyle name="Normal 5 4 2 4 3 3 5 3" xfId="13325"/>
    <cellStyle name="Normal 5 4 2 4 3 3 6" xfId="6581"/>
    <cellStyle name="Normal 5 4 2 4 3 3 7" xfId="12120"/>
    <cellStyle name="Normal 5 4 2 4 3 4" xfId="3202"/>
    <cellStyle name="Normal 5 4 2 4 3 4 2" xfId="8744"/>
    <cellStyle name="Normal 5 4 2 4 3 4 3" xfId="14283"/>
    <cellStyle name="Normal 5 4 2 4 3 5" xfId="4241"/>
    <cellStyle name="Normal 5 4 2 4 3 5 2" xfId="9780"/>
    <cellStyle name="Normal 5 4 2 4 3 5 3" xfId="15319"/>
    <cellStyle name="Normal 5 4 2 4 3 6" xfId="5202"/>
    <cellStyle name="Normal 5 4 2 4 3 6 2" xfId="10741"/>
    <cellStyle name="Normal 5 4 2 4 3 6 3" xfId="16280"/>
    <cellStyle name="Normal 5 4 2 4 3 7" xfId="1904"/>
    <cellStyle name="Normal 5 4 2 4 3 7 2" xfId="7450"/>
    <cellStyle name="Normal 5 4 2 4 3 7 3" xfId="12989"/>
    <cellStyle name="Normal 5 4 2 4 3 8" xfId="6245"/>
    <cellStyle name="Normal 5 4 2 4 3 9" xfId="11784"/>
    <cellStyle name="Normal 5 4 2 4 4" xfId="1213"/>
    <cellStyle name="Normal 5 4 2 4 4 2" xfId="3743"/>
    <cellStyle name="Normal 5 4 2 4 4 2 2" xfId="9285"/>
    <cellStyle name="Normal 5 4 2 4 4 2 3" xfId="14824"/>
    <cellStyle name="Normal 5 4 2 4 4 3" xfId="4780"/>
    <cellStyle name="Normal 5 4 2 4 4 3 2" xfId="10319"/>
    <cellStyle name="Normal 5 4 2 4 4 3 3" xfId="15858"/>
    <cellStyle name="Normal 5 4 2 4 4 4" xfId="5715"/>
    <cellStyle name="Normal 5 4 2 4 4 4 2" xfId="11254"/>
    <cellStyle name="Normal 5 4 2 4 4 4 3" xfId="16793"/>
    <cellStyle name="Normal 5 4 2 4 4 5" xfId="2417"/>
    <cellStyle name="Normal 5 4 2 4 4 5 2" xfId="7963"/>
    <cellStyle name="Normal 5 4 2 4 4 5 3" xfId="13502"/>
    <cellStyle name="Normal 5 4 2 4 4 6" xfId="6758"/>
    <cellStyle name="Normal 5 4 2 4 4 7" xfId="12297"/>
    <cellStyle name="Normal 5 4 2 4 5" xfId="868"/>
    <cellStyle name="Normal 5 4 2 4 5 2" xfId="3398"/>
    <cellStyle name="Normal 5 4 2 4 5 2 2" xfId="8940"/>
    <cellStyle name="Normal 5 4 2 4 5 2 3" xfId="14479"/>
    <cellStyle name="Normal 5 4 2 4 5 3" xfId="4435"/>
    <cellStyle name="Normal 5 4 2 4 5 3 2" xfId="9974"/>
    <cellStyle name="Normal 5 4 2 4 5 3 3" xfId="15513"/>
    <cellStyle name="Normal 5 4 2 4 5 4" xfId="5370"/>
    <cellStyle name="Normal 5 4 2 4 5 4 2" xfId="10909"/>
    <cellStyle name="Normal 5 4 2 4 5 4 3" xfId="16448"/>
    <cellStyle name="Normal 5 4 2 4 5 5" xfId="2072"/>
    <cellStyle name="Normal 5 4 2 4 5 5 2" xfId="7618"/>
    <cellStyle name="Normal 5 4 2 4 5 5 3" xfId="13157"/>
    <cellStyle name="Normal 5 4 2 4 5 6" xfId="6413"/>
    <cellStyle name="Normal 5 4 2 4 5 7" xfId="11952"/>
    <cellStyle name="Normal 5 4 2 4 6" xfId="1558"/>
    <cellStyle name="Normal 5 4 2 4 6 2" xfId="2763"/>
    <cellStyle name="Normal 5 4 2 4 6 2 2" xfId="8309"/>
    <cellStyle name="Normal 5 4 2 4 6 2 3" xfId="13848"/>
    <cellStyle name="Normal 5 4 2 4 6 3" xfId="7104"/>
    <cellStyle name="Normal 5 4 2 4 6 4" xfId="12643"/>
    <cellStyle name="Normal 5 4 2 4 7" xfId="2936"/>
    <cellStyle name="Normal 5 4 2 4 7 2" xfId="8480"/>
    <cellStyle name="Normal 5 4 2 4 7 3" xfId="14019"/>
    <cellStyle name="Normal 5 4 2 4 8" xfId="3056"/>
    <cellStyle name="Normal 5 4 2 4 8 2" xfId="8599"/>
    <cellStyle name="Normal 5 4 2 4 8 3" xfId="14138"/>
    <cellStyle name="Normal 5 4 2 4 9" xfId="4099"/>
    <cellStyle name="Normal 5 4 2 4 9 2" xfId="9640"/>
    <cellStyle name="Normal 5 4 2 4 9 3" xfId="15179"/>
    <cellStyle name="Normal 5 4 2 5" xfId="346"/>
    <cellStyle name="Normal 5 4 2 5 10" xfId="6079"/>
    <cellStyle name="Normal 5 4 2 5 10 2" xfId="17157"/>
    <cellStyle name="Normal 5 4 2 5 11" xfId="723"/>
    <cellStyle name="Normal 5 4 2 5 11 2" xfId="17319"/>
    <cellStyle name="Normal 5 4 2 5 12" xfId="11618"/>
    <cellStyle name="Normal 5 4 2 5 13" xfId="17486"/>
    <cellStyle name="Normal 5 4 2 5 14" xfId="17651"/>
    <cellStyle name="Normal 5 4 2 5 2" xfId="545"/>
    <cellStyle name="Normal 5 4 2 5 2 2" xfId="1386"/>
    <cellStyle name="Normal 5 4 2 5 2 2 2" xfId="3918"/>
    <cellStyle name="Normal 5 4 2 5 2 2 2 2" xfId="9460"/>
    <cellStyle name="Normal 5 4 2 5 2 2 2 3" xfId="14999"/>
    <cellStyle name="Normal 5 4 2 5 2 2 3" xfId="4955"/>
    <cellStyle name="Normal 5 4 2 5 2 2 3 2" xfId="10494"/>
    <cellStyle name="Normal 5 4 2 5 2 2 3 3" xfId="16033"/>
    <cellStyle name="Normal 5 4 2 5 2 2 4" xfId="5889"/>
    <cellStyle name="Normal 5 4 2 5 2 2 4 2" xfId="11428"/>
    <cellStyle name="Normal 5 4 2 5 2 2 4 3" xfId="16967"/>
    <cellStyle name="Normal 5 4 2 5 2 2 5" xfId="2591"/>
    <cellStyle name="Normal 5 4 2 5 2 2 5 2" xfId="8137"/>
    <cellStyle name="Normal 5 4 2 5 2 2 5 3" xfId="13676"/>
    <cellStyle name="Normal 5 4 2 5 2 2 6" xfId="6932"/>
    <cellStyle name="Normal 5 4 2 5 2 2 7" xfId="12471"/>
    <cellStyle name="Normal 5 4 2 5 2 3" xfId="1054"/>
    <cellStyle name="Normal 5 4 2 5 2 3 2" xfId="3584"/>
    <cellStyle name="Normal 5 4 2 5 2 3 2 2" xfId="9126"/>
    <cellStyle name="Normal 5 4 2 5 2 3 2 3" xfId="14665"/>
    <cellStyle name="Normal 5 4 2 5 2 3 3" xfId="4621"/>
    <cellStyle name="Normal 5 4 2 5 2 3 3 2" xfId="10160"/>
    <cellStyle name="Normal 5 4 2 5 2 3 3 3" xfId="15699"/>
    <cellStyle name="Normal 5 4 2 5 2 3 4" xfId="5556"/>
    <cellStyle name="Normal 5 4 2 5 2 3 4 2" xfId="11095"/>
    <cellStyle name="Normal 5 4 2 5 2 3 4 3" xfId="16634"/>
    <cellStyle name="Normal 5 4 2 5 2 3 5" xfId="2258"/>
    <cellStyle name="Normal 5 4 2 5 2 3 5 2" xfId="7804"/>
    <cellStyle name="Normal 5 4 2 5 2 3 5 3" xfId="13343"/>
    <cellStyle name="Normal 5 4 2 5 2 3 6" xfId="6599"/>
    <cellStyle name="Normal 5 4 2 5 2 3 7" xfId="12138"/>
    <cellStyle name="Normal 5 4 2 5 2 4" xfId="3204"/>
    <cellStyle name="Normal 5 4 2 5 2 4 2" xfId="8746"/>
    <cellStyle name="Normal 5 4 2 5 2 4 3" xfId="14285"/>
    <cellStyle name="Normal 5 4 2 5 2 5" xfId="4243"/>
    <cellStyle name="Normal 5 4 2 5 2 5 2" xfId="9782"/>
    <cellStyle name="Normal 5 4 2 5 2 5 3" xfId="15321"/>
    <cellStyle name="Normal 5 4 2 5 2 6" xfId="5204"/>
    <cellStyle name="Normal 5 4 2 5 2 6 2" xfId="10743"/>
    <cellStyle name="Normal 5 4 2 5 2 6 3" xfId="16282"/>
    <cellStyle name="Normal 5 4 2 5 2 7" xfId="1906"/>
    <cellStyle name="Normal 5 4 2 5 2 7 2" xfId="7452"/>
    <cellStyle name="Normal 5 4 2 5 2 7 3" xfId="12991"/>
    <cellStyle name="Normal 5 4 2 5 2 8" xfId="6247"/>
    <cellStyle name="Normal 5 4 2 5 2 9" xfId="11786"/>
    <cellStyle name="Normal 5 4 2 5 3" xfId="1231"/>
    <cellStyle name="Normal 5 4 2 5 3 2" xfId="3761"/>
    <cellStyle name="Normal 5 4 2 5 3 2 2" xfId="9303"/>
    <cellStyle name="Normal 5 4 2 5 3 2 3" xfId="14842"/>
    <cellStyle name="Normal 5 4 2 5 3 3" xfId="4798"/>
    <cellStyle name="Normal 5 4 2 5 3 3 2" xfId="10337"/>
    <cellStyle name="Normal 5 4 2 5 3 3 3" xfId="15876"/>
    <cellStyle name="Normal 5 4 2 5 3 4" xfId="5733"/>
    <cellStyle name="Normal 5 4 2 5 3 4 2" xfId="11272"/>
    <cellStyle name="Normal 5 4 2 5 3 4 3" xfId="16811"/>
    <cellStyle name="Normal 5 4 2 5 3 5" xfId="2435"/>
    <cellStyle name="Normal 5 4 2 5 3 5 2" xfId="7981"/>
    <cellStyle name="Normal 5 4 2 5 3 5 3" xfId="13520"/>
    <cellStyle name="Normal 5 4 2 5 3 6" xfId="6776"/>
    <cellStyle name="Normal 5 4 2 5 3 7" xfId="12315"/>
    <cellStyle name="Normal 5 4 2 5 4" xfId="870"/>
    <cellStyle name="Normal 5 4 2 5 4 2" xfId="3400"/>
    <cellStyle name="Normal 5 4 2 5 4 2 2" xfId="8942"/>
    <cellStyle name="Normal 5 4 2 5 4 2 3" xfId="14481"/>
    <cellStyle name="Normal 5 4 2 5 4 3" xfId="4437"/>
    <cellStyle name="Normal 5 4 2 5 4 3 2" xfId="9976"/>
    <cellStyle name="Normal 5 4 2 5 4 3 3" xfId="15515"/>
    <cellStyle name="Normal 5 4 2 5 4 4" xfId="5372"/>
    <cellStyle name="Normal 5 4 2 5 4 4 2" xfId="10911"/>
    <cellStyle name="Normal 5 4 2 5 4 4 3" xfId="16450"/>
    <cellStyle name="Normal 5 4 2 5 4 5" xfId="2074"/>
    <cellStyle name="Normal 5 4 2 5 4 5 2" xfId="7620"/>
    <cellStyle name="Normal 5 4 2 5 4 5 3" xfId="13159"/>
    <cellStyle name="Normal 5 4 2 5 4 6" xfId="6415"/>
    <cellStyle name="Normal 5 4 2 5 4 7" xfId="11954"/>
    <cellStyle name="Normal 5 4 2 5 5" xfId="1576"/>
    <cellStyle name="Normal 5 4 2 5 5 2" xfId="2781"/>
    <cellStyle name="Normal 5 4 2 5 5 2 2" xfId="8327"/>
    <cellStyle name="Normal 5 4 2 5 5 2 3" xfId="13866"/>
    <cellStyle name="Normal 5 4 2 5 5 3" xfId="7122"/>
    <cellStyle name="Normal 5 4 2 5 5 4" xfId="12661"/>
    <cellStyle name="Normal 5 4 2 5 6" xfId="2954"/>
    <cellStyle name="Normal 5 4 2 5 6 2" xfId="8498"/>
    <cellStyle name="Normal 5 4 2 5 6 3" xfId="14037"/>
    <cellStyle name="Normal 5 4 2 5 7" xfId="3064"/>
    <cellStyle name="Normal 5 4 2 5 7 2" xfId="8607"/>
    <cellStyle name="Normal 5 4 2 5 7 3" xfId="14146"/>
    <cellStyle name="Normal 5 4 2 5 8" xfId="4107"/>
    <cellStyle name="Normal 5 4 2 5 8 2" xfId="9648"/>
    <cellStyle name="Normal 5 4 2 5 8 3" xfId="15187"/>
    <cellStyle name="Normal 5 4 2 5 9" xfId="1738"/>
    <cellStyle name="Normal 5 4 2 5 9 2" xfId="7284"/>
    <cellStyle name="Normal 5 4 2 5 9 3" xfId="12823"/>
    <cellStyle name="Normal 5 4 2 6" xfId="347"/>
    <cellStyle name="Normal 5 4 2 6 10" xfId="6007"/>
    <cellStyle name="Normal 5 4 2 6 10 2" xfId="17085"/>
    <cellStyle name="Normal 5 4 2 6 11" xfId="651"/>
    <cellStyle name="Normal 5 4 2 6 11 2" xfId="17247"/>
    <cellStyle name="Normal 5 4 2 6 12" xfId="11546"/>
    <cellStyle name="Normal 5 4 2 6 13" xfId="17414"/>
    <cellStyle name="Normal 5 4 2 6 14" xfId="17579"/>
    <cellStyle name="Normal 5 4 2 6 2" xfId="546"/>
    <cellStyle name="Normal 5 4 2 6 2 2" xfId="1387"/>
    <cellStyle name="Normal 5 4 2 6 2 2 2" xfId="3919"/>
    <cellStyle name="Normal 5 4 2 6 2 2 2 2" xfId="9461"/>
    <cellStyle name="Normal 5 4 2 6 2 2 2 3" xfId="15000"/>
    <cellStyle name="Normal 5 4 2 6 2 2 3" xfId="4956"/>
    <cellStyle name="Normal 5 4 2 6 2 2 3 2" xfId="10495"/>
    <cellStyle name="Normal 5 4 2 6 2 2 3 3" xfId="16034"/>
    <cellStyle name="Normal 5 4 2 6 2 2 4" xfId="5890"/>
    <cellStyle name="Normal 5 4 2 6 2 2 4 2" xfId="11429"/>
    <cellStyle name="Normal 5 4 2 6 2 2 4 3" xfId="16968"/>
    <cellStyle name="Normal 5 4 2 6 2 2 5" xfId="2592"/>
    <cellStyle name="Normal 5 4 2 6 2 2 5 2" xfId="8138"/>
    <cellStyle name="Normal 5 4 2 6 2 2 5 3" xfId="13677"/>
    <cellStyle name="Normal 5 4 2 6 2 2 6" xfId="6933"/>
    <cellStyle name="Normal 5 4 2 6 2 2 7" xfId="12472"/>
    <cellStyle name="Normal 5 4 2 6 2 3" xfId="982"/>
    <cellStyle name="Normal 5 4 2 6 2 3 2" xfId="3512"/>
    <cellStyle name="Normal 5 4 2 6 2 3 2 2" xfId="9054"/>
    <cellStyle name="Normal 5 4 2 6 2 3 2 3" xfId="14593"/>
    <cellStyle name="Normal 5 4 2 6 2 3 3" xfId="4549"/>
    <cellStyle name="Normal 5 4 2 6 2 3 3 2" xfId="10088"/>
    <cellStyle name="Normal 5 4 2 6 2 3 3 3" xfId="15627"/>
    <cellStyle name="Normal 5 4 2 6 2 3 4" xfId="5484"/>
    <cellStyle name="Normal 5 4 2 6 2 3 4 2" xfId="11023"/>
    <cellStyle name="Normal 5 4 2 6 2 3 4 3" xfId="16562"/>
    <cellStyle name="Normal 5 4 2 6 2 3 5" xfId="2186"/>
    <cellStyle name="Normal 5 4 2 6 2 3 5 2" xfId="7732"/>
    <cellStyle name="Normal 5 4 2 6 2 3 5 3" xfId="13271"/>
    <cellStyle name="Normal 5 4 2 6 2 3 6" xfId="6527"/>
    <cellStyle name="Normal 5 4 2 6 2 3 7" xfId="12066"/>
    <cellStyle name="Normal 5 4 2 6 2 4" xfId="3205"/>
    <cellStyle name="Normal 5 4 2 6 2 4 2" xfId="8747"/>
    <cellStyle name="Normal 5 4 2 6 2 4 3" xfId="14286"/>
    <cellStyle name="Normal 5 4 2 6 2 5" xfId="4244"/>
    <cellStyle name="Normal 5 4 2 6 2 5 2" xfId="9783"/>
    <cellStyle name="Normal 5 4 2 6 2 5 3" xfId="15322"/>
    <cellStyle name="Normal 5 4 2 6 2 6" xfId="5205"/>
    <cellStyle name="Normal 5 4 2 6 2 6 2" xfId="10744"/>
    <cellStyle name="Normal 5 4 2 6 2 6 3" xfId="16283"/>
    <cellStyle name="Normal 5 4 2 6 2 7" xfId="1907"/>
    <cellStyle name="Normal 5 4 2 6 2 7 2" xfId="7453"/>
    <cellStyle name="Normal 5 4 2 6 2 7 3" xfId="12992"/>
    <cellStyle name="Normal 5 4 2 6 2 8" xfId="6248"/>
    <cellStyle name="Normal 5 4 2 6 2 9" xfId="11787"/>
    <cellStyle name="Normal 5 4 2 6 3" xfId="1159"/>
    <cellStyle name="Normal 5 4 2 6 3 2" xfId="3689"/>
    <cellStyle name="Normal 5 4 2 6 3 2 2" xfId="9231"/>
    <cellStyle name="Normal 5 4 2 6 3 2 3" xfId="14770"/>
    <cellStyle name="Normal 5 4 2 6 3 3" xfId="4726"/>
    <cellStyle name="Normal 5 4 2 6 3 3 2" xfId="10265"/>
    <cellStyle name="Normal 5 4 2 6 3 3 3" xfId="15804"/>
    <cellStyle name="Normal 5 4 2 6 3 4" xfId="5661"/>
    <cellStyle name="Normal 5 4 2 6 3 4 2" xfId="11200"/>
    <cellStyle name="Normal 5 4 2 6 3 4 3" xfId="16739"/>
    <cellStyle name="Normal 5 4 2 6 3 5" xfId="2363"/>
    <cellStyle name="Normal 5 4 2 6 3 5 2" xfId="7909"/>
    <cellStyle name="Normal 5 4 2 6 3 5 3" xfId="13448"/>
    <cellStyle name="Normal 5 4 2 6 3 6" xfId="6704"/>
    <cellStyle name="Normal 5 4 2 6 3 7" xfId="12243"/>
    <cellStyle name="Normal 5 4 2 6 4" xfId="871"/>
    <cellStyle name="Normal 5 4 2 6 4 2" xfId="3401"/>
    <cellStyle name="Normal 5 4 2 6 4 2 2" xfId="8943"/>
    <cellStyle name="Normal 5 4 2 6 4 2 3" xfId="14482"/>
    <cellStyle name="Normal 5 4 2 6 4 3" xfId="4438"/>
    <cellStyle name="Normal 5 4 2 6 4 3 2" xfId="9977"/>
    <cellStyle name="Normal 5 4 2 6 4 3 3" xfId="15516"/>
    <cellStyle name="Normal 5 4 2 6 4 4" xfId="5373"/>
    <cellStyle name="Normal 5 4 2 6 4 4 2" xfId="10912"/>
    <cellStyle name="Normal 5 4 2 6 4 4 3" xfId="16451"/>
    <cellStyle name="Normal 5 4 2 6 4 5" xfId="2075"/>
    <cellStyle name="Normal 5 4 2 6 4 5 2" xfId="7621"/>
    <cellStyle name="Normal 5 4 2 6 4 5 3" xfId="13160"/>
    <cellStyle name="Normal 5 4 2 6 4 6" xfId="6416"/>
    <cellStyle name="Normal 5 4 2 6 4 7" xfId="11955"/>
    <cellStyle name="Normal 5 4 2 6 5" xfId="1504"/>
    <cellStyle name="Normal 5 4 2 6 5 2" xfId="2709"/>
    <cellStyle name="Normal 5 4 2 6 5 2 2" xfId="8255"/>
    <cellStyle name="Normal 5 4 2 6 5 2 3" xfId="13794"/>
    <cellStyle name="Normal 5 4 2 6 5 3" xfId="7050"/>
    <cellStyle name="Normal 5 4 2 6 5 4" xfId="12589"/>
    <cellStyle name="Normal 5 4 2 6 6" xfId="2882"/>
    <cellStyle name="Normal 5 4 2 6 6 2" xfId="8426"/>
    <cellStyle name="Normal 5 4 2 6 6 3" xfId="13965"/>
    <cellStyle name="Normal 5 4 2 6 7" xfId="3097"/>
    <cellStyle name="Normal 5 4 2 6 7 2" xfId="8640"/>
    <cellStyle name="Normal 5 4 2 6 7 3" xfId="14179"/>
    <cellStyle name="Normal 5 4 2 6 8" xfId="4140"/>
    <cellStyle name="Normal 5 4 2 6 8 2" xfId="9681"/>
    <cellStyle name="Normal 5 4 2 6 8 3" xfId="15220"/>
    <cellStyle name="Normal 5 4 2 6 9" xfId="1666"/>
    <cellStyle name="Normal 5 4 2 6 9 2" xfId="7212"/>
    <cellStyle name="Normal 5 4 2 6 9 3" xfId="12751"/>
    <cellStyle name="Normal 5 4 2 7" xfId="460"/>
    <cellStyle name="Normal 5 4 2 7 2" xfId="1302"/>
    <cellStyle name="Normal 5 4 2 7 2 2" xfId="3833"/>
    <cellStyle name="Normal 5 4 2 7 2 2 2" xfId="9375"/>
    <cellStyle name="Normal 5 4 2 7 2 2 3" xfId="14914"/>
    <cellStyle name="Normal 5 4 2 7 2 3" xfId="4870"/>
    <cellStyle name="Normal 5 4 2 7 2 3 2" xfId="10409"/>
    <cellStyle name="Normal 5 4 2 7 2 3 3" xfId="15948"/>
    <cellStyle name="Normal 5 4 2 7 2 4" xfId="5805"/>
    <cellStyle name="Normal 5 4 2 7 2 4 2" xfId="11344"/>
    <cellStyle name="Normal 5 4 2 7 2 4 3" xfId="16883"/>
    <cellStyle name="Normal 5 4 2 7 2 5" xfId="2507"/>
    <cellStyle name="Normal 5 4 2 7 2 5 2" xfId="8053"/>
    <cellStyle name="Normal 5 4 2 7 2 5 3" xfId="13592"/>
    <cellStyle name="Normal 5 4 2 7 2 6" xfId="6848"/>
    <cellStyle name="Normal 5 4 2 7 2 7" xfId="12387"/>
    <cellStyle name="Normal 5 4 2 7 3" xfId="964"/>
    <cellStyle name="Normal 5 4 2 7 3 2" xfId="3494"/>
    <cellStyle name="Normal 5 4 2 7 3 2 2" xfId="9036"/>
    <cellStyle name="Normal 5 4 2 7 3 2 3" xfId="14575"/>
    <cellStyle name="Normal 5 4 2 7 3 3" xfId="4531"/>
    <cellStyle name="Normal 5 4 2 7 3 3 2" xfId="10070"/>
    <cellStyle name="Normal 5 4 2 7 3 3 3" xfId="15609"/>
    <cellStyle name="Normal 5 4 2 7 3 4" xfId="5466"/>
    <cellStyle name="Normal 5 4 2 7 3 4 2" xfId="11005"/>
    <cellStyle name="Normal 5 4 2 7 3 4 3" xfId="16544"/>
    <cellStyle name="Normal 5 4 2 7 3 5" xfId="2168"/>
    <cellStyle name="Normal 5 4 2 7 3 5 2" xfId="7714"/>
    <cellStyle name="Normal 5 4 2 7 3 5 3" xfId="13253"/>
    <cellStyle name="Normal 5 4 2 7 3 6" xfId="6509"/>
    <cellStyle name="Normal 5 4 2 7 3 7" xfId="12048"/>
    <cellStyle name="Normal 5 4 2 7 4" xfId="3110"/>
    <cellStyle name="Normal 5 4 2 7 4 2" xfId="8653"/>
    <cellStyle name="Normal 5 4 2 7 4 3" xfId="14192"/>
    <cellStyle name="Normal 5 4 2 7 5" xfId="4153"/>
    <cellStyle name="Normal 5 4 2 7 5 2" xfId="9694"/>
    <cellStyle name="Normal 5 4 2 7 5 3" xfId="15233"/>
    <cellStyle name="Normal 5 4 2 7 6" xfId="5120"/>
    <cellStyle name="Normal 5 4 2 7 6 2" xfId="10659"/>
    <cellStyle name="Normal 5 4 2 7 6 3" xfId="16198"/>
    <cellStyle name="Normal 5 4 2 7 7" xfId="1822"/>
    <cellStyle name="Normal 5 4 2 7 7 2" xfId="7368"/>
    <cellStyle name="Normal 5 4 2 7 7 3" xfId="12907"/>
    <cellStyle name="Normal 5 4 2 7 8" xfId="6163"/>
    <cellStyle name="Normal 5 4 2 7 9" xfId="11702"/>
    <cellStyle name="Normal 5 4 2 8" xfId="1141"/>
    <cellStyle name="Normal 5 4 2 8 2" xfId="3671"/>
    <cellStyle name="Normal 5 4 2 8 2 2" xfId="9213"/>
    <cellStyle name="Normal 5 4 2 8 2 3" xfId="14752"/>
    <cellStyle name="Normal 5 4 2 8 3" xfId="4708"/>
    <cellStyle name="Normal 5 4 2 8 3 2" xfId="10247"/>
    <cellStyle name="Normal 5 4 2 8 3 3" xfId="15786"/>
    <cellStyle name="Normal 5 4 2 8 4" xfId="5643"/>
    <cellStyle name="Normal 5 4 2 8 4 2" xfId="11182"/>
    <cellStyle name="Normal 5 4 2 8 4 3" xfId="16721"/>
    <cellStyle name="Normal 5 4 2 8 5" xfId="2345"/>
    <cellStyle name="Normal 5 4 2 8 5 2" xfId="7891"/>
    <cellStyle name="Normal 5 4 2 8 5 3" xfId="13430"/>
    <cellStyle name="Normal 5 4 2 8 6" xfId="6686"/>
    <cellStyle name="Normal 5 4 2 8 7" xfId="12225"/>
    <cellStyle name="Normal 5 4 2 9" xfId="863"/>
    <cellStyle name="Normal 5 4 2 9 2" xfId="3393"/>
    <cellStyle name="Normal 5 4 2 9 2 2" xfId="8935"/>
    <cellStyle name="Normal 5 4 2 9 2 3" xfId="14474"/>
    <cellStyle name="Normal 5 4 2 9 3" xfId="4430"/>
    <cellStyle name="Normal 5 4 2 9 3 2" xfId="9969"/>
    <cellStyle name="Normal 5 4 2 9 3 3" xfId="15508"/>
    <cellStyle name="Normal 5 4 2 9 4" xfId="5365"/>
    <cellStyle name="Normal 5 4 2 9 4 2" xfId="10904"/>
    <cellStyle name="Normal 5 4 2 9 4 3" xfId="16443"/>
    <cellStyle name="Normal 5 4 2 9 5" xfId="2067"/>
    <cellStyle name="Normal 5 4 2 9 5 2" xfId="7613"/>
    <cellStyle name="Normal 5 4 2 9 5 3" xfId="13152"/>
    <cellStyle name="Normal 5 4 2 9 6" xfId="6408"/>
    <cellStyle name="Normal 5 4 2 9 7" xfId="11947"/>
    <cellStyle name="Normal 5 4 20" xfId="17550"/>
    <cellStyle name="Normal 5 4 3" xfId="348"/>
    <cellStyle name="Normal 5 4 3 10" xfId="1691"/>
    <cellStyle name="Normal 5 4 3 10 2" xfId="7237"/>
    <cellStyle name="Normal 5 4 3 10 3" xfId="12776"/>
    <cellStyle name="Normal 5 4 3 11" xfId="6032"/>
    <cellStyle name="Normal 5 4 3 11 2" xfId="17110"/>
    <cellStyle name="Normal 5 4 3 12" xfId="676"/>
    <cellStyle name="Normal 5 4 3 12 2" xfId="17272"/>
    <cellStyle name="Normal 5 4 3 13" xfId="11571"/>
    <cellStyle name="Normal 5 4 3 14" xfId="17439"/>
    <cellStyle name="Normal 5 4 3 15" xfId="17604"/>
    <cellStyle name="Normal 5 4 3 2" xfId="349"/>
    <cellStyle name="Normal 5 4 3 2 10" xfId="6122"/>
    <cellStyle name="Normal 5 4 3 2 10 2" xfId="17200"/>
    <cellStyle name="Normal 5 4 3 2 11" xfId="766"/>
    <cellStyle name="Normal 5 4 3 2 11 2" xfId="17362"/>
    <cellStyle name="Normal 5 4 3 2 12" xfId="11661"/>
    <cellStyle name="Normal 5 4 3 2 13" xfId="17529"/>
    <cellStyle name="Normal 5 4 3 2 14" xfId="17694"/>
    <cellStyle name="Normal 5 4 3 2 2" xfId="548"/>
    <cellStyle name="Normal 5 4 3 2 2 2" xfId="1389"/>
    <cellStyle name="Normal 5 4 3 2 2 2 2" xfId="3921"/>
    <cellStyle name="Normal 5 4 3 2 2 2 2 2" xfId="9463"/>
    <cellStyle name="Normal 5 4 3 2 2 2 2 3" xfId="15002"/>
    <cellStyle name="Normal 5 4 3 2 2 2 3" xfId="4958"/>
    <cellStyle name="Normal 5 4 3 2 2 2 3 2" xfId="10497"/>
    <cellStyle name="Normal 5 4 3 2 2 2 3 3" xfId="16036"/>
    <cellStyle name="Normal 5 4 3 2 2 2 4" xfId="5892"/>
    <cellStyle name="Normal 5 4 3 2 2 2 4 2" xfId="11431"/>
    <cellStyle name="Normal 5 4 3 2 2 2 4 3" xfId="16970"/>
    <cellStyle name="Normal 5 4 3 2 2 2 5" xfId="2594"/>
    <cellStyle name="Normal 5 4 3 2 2 2 5 2" xfId="8140"/>
    <cellStyle name="Normal 5 4 3 2 2 2 5 3" xfId="13679"/>
    <cellStyle name="Normal 5 4 3 2 2 2 6" xfId="6935"/>
    <cellStyle name="Normal 5 4 3 2 2 2 7" xfId="12474"/>
    <cellStyle name="Normal 5 4 3 2 2 3" xfId="1097"/>
    <cellStyle name="Normal 5 4 3 2 2 3 2" xfId="3627"/>
    <cellStyle name="Normal 5 4 3 2 2 3 2 2" xfId="9169"/>
    <cellStyle name="Normal 5 4 3 2 2 3 2 3" xfId="14708"/>
    <cellStyle name="Normal 5 4 3 2 2 3 3" xfId="4664"/>
    <cellStyle name="Normal 5 4 3 2 2 3 3 2" xfId="10203"/>
    <cellStyle name="Normal 5 4 3 2 2 3 3 3" xfId="15742"/>
    <cellStyle name="Normal 5 4 3 2 2 3 4" xfId="5599"/>
    <cellStyle name="Normal 5 4 3 2 2 3 4 2" xfId="11138"/>
    <cellStyle name="Normal 5 4 3 2 2 3 4 3" xfId="16677"/>
    <cellStyle name="Normal 5 4 3 2 2 3 5" xfId="2301"/>
    <cellStyle name="Normal 5 4 3 2 2 3 5 2" xfId="7847"/>
    <cellStyle name="Normal 5 4 3 2 2 3 5 3" xfId="13386"/>
    <cellStyle name="Normal 5 4 3 2 2 3 6" xfId="6642"/>
    <cellStyle name="Normal 5 4 3 2 2 3 7" xfId="12181"/>
    <cellStyle name="Normal 5 4 3 2 2 4" xfId="3207"/>
    <cellStyle name="Normal 5 4 3 2 2 4 2" xfId="8749"/>
    <cellStyle name="Normal 5 4 3 2 2 4 3" xfId="14288"/>
    <cellStyle name="Normal 5 4 3 2 2 5" xfId="4246"/>
    <cellStyle name="Normal 5 4 3 2 2 5 2" xfId="9785"/>
    <cellStyle name="Normal 5 4 3 2 2 5 3" xfId="15324"/>
    <cellStyle name="Normal 5 4 3 2 2 6" xfId="5207"/>
    <cellStyle name="Normal 5 4 3 2 2 6 2" xfId="10746"/>
    <cellStyle name="Normal 5 4 3 2 2 6 3" xfId="16285"/>
    <cellStyle name="Normal 5 4 3 2 2 7" xfId="1909"/>
    <cellStyle name="Normal 5 4 3 2 2 7 2" xfId="7455"/>
    <cellStyle name="Normal 5 4 3 2 2 7 3" xfId="12994"/>
    <cellStyle name="Normal 5 4 3 2 2 8" xfId="6250"/>
    <cellStyle name="Normal 5 4 3 2 2 9" xfId="11789"/>
    <cellStyle name="Normal 5 4 3 2 3" xfId="1274"/>
    <cellStyle name="Normal 5 4 3 2 3 2" xfId="3804"/>
    <cellStyle name="Normal 5 4 3 2 3 2 2" xfId="9346"/>
    <cellStyle name="Normal 5 4 3 2 3 2 3" xfId="14885"/>
    <cellStyle name="Normal 5 4 3 2 3 3" xfId="4841"/>
    <cellStyle name="Normal 5 4 3 2 3 3 2" xfId="10380"/>
    <cellStyle name="Normal 5 4 3 2 3 3 3" xfId="15919"/>
    <cellStyle name="Normal 5 4 3 2 3 4" xfId="5776"/>
    <cellStyle name="Normal 5 4 3 2 3 4 2" xfId="11315"/>
    <cellStyle name="Normal 5 4 3 2 3 4 3" xfId="16854"/>
    <cellStyle name="Normal 5 4 3 2 3 5" xfId="2478"/>
    <cellStyle name="Normal 5 4 3 2 3 5 2" xfId="8024"/>
    <cellStyle name="Normal 5 4 3 2 3 5 3" xfId="13563"/>
    <cellStyle name="Normal 5 4 3 2 3 6" xfId="6819"/>
    <cellStyle name="Normal 5 4 3 2 3 7" xfId="12358"/>
    <cellStyle name="Normal 5 4 3 2 4" xfId="873"/>
    <cellStyle name="Normal 5 4 3 2 4 2" xfId="3403"/>
    <cellStyle name="Normal 5 4 3 2 4 2 2" xfId="8945"/>
    <cellStyle name="Normal 5 4 3 2 4 2 3" xfId="14484"/>
    <cellStyle name="Normal 5 4 3 2 4 3" xfId="4440"/>
    <cellStyle name="Normal 5 4 3 2 4 3 2" xfId="9979"/>
    <cellStyle name="Normal 5 4 3 2 4 3 3" xfId="15518"/>
    <cellStyle name="Normal 5 4 3 2 4 4" xfId="5375"/>
    <cellStyle name="Normal 5 4 3 2 4 4 2" xfId="10914"/>
    <cellStyle name="Normal 5 4 3 2 4 4 3" xfId="16453"/>
    <cellStyle name="Normal 5 4 3 2 4 5" xfId="2077"/>
    <cellStyle name="Normal 5 4 3 2 4 5 2" xfId="7623"/>
    <cellStyle name="Normal 5 4 3 2 4 5 3" xfId="13162"/>
    <cellStyle name="Normal 5 4 3 2 4 6" xfId="6418"/>
    <cellStyle name="Normal 5 4 3 2 4 7" xfId="11957"/>
    <cellStyle name="Normal 5 4 3 2 5" xfId="1619"/>
    <cellStyle name="Normal 5 4 3 2 5 2" xfId="2824"/>
    <cellStyle name="Normal 5 4 3 2 5 2 2" xfId="8370"/>
    <cellStyle name="Normal 5 4 3 2 5 2 3" xfId="13909"/>
    <cellStyle name="Normal 5 4 3 2 5 3" xfId="7165"/>
    <cellStyle name="Normal 5 4 3 2 5 4" xfId="12704"/>
    <cellStyle name="Normal 5 4 3 2 6" xfId="2997"/>
    <cellStyle name="Normal 5 4 3 2 6 2" xfId="8541"/>
    <cellStyle name="Normal 5 4 3 2 6 3" xfId="14080"/>
    <cellStyle name="Normal 5 4 3 2 7" xfId="4042"/>
    <cellStyle name="Normal 5 4 3 2 7 2" xfId="9584"/>
    <cellStyle name="Normal 5 4 3 2 7 3" xfId="15123"/>
    <cellStyle name="Normal 5 4 3 2 8" xfId="5079"/>
    <cellStyle name="Normal 5 4 3 2 8 2" xfId="10618"/>
    <cellStyle name="Normal 5 4 3 2 8 3" xfId="16157"/>
    <cellStyle name="Normal 5 4 3 2 9" xfId="1781"/>
    <cellStyle name="Normal 5 4 3 2 9 2" xfId="7327"/>
    <cellStyle name="Normal 5 4 3 2 9 3" xfId="12866"/>
    <cellStyle name="Normal 5 4 3 3" xfId="547"/>
    <cellStyle name="Normal 5 4 3 3 2" xfId="1388"/>
    <cellStyle name="Normal 5 4 3 3 2 2" xfId="3920"/>
    <cellStyle name="Normal 5 4 3 3 2 2 2" xfId="9462"/>
    <cellStyle name="Normal 5 4 3 3 2 2 3" xfId="15001"/>
    <cellStyle name="Normal 5 4 3 3 2 3" xfId="4957"/>
    <cellStyle name="Normal 5 4 3 3 2 3 2" xfId="10496"/>
    <cellStyle name="Normal 5 4 3 3 2 3 3" xfId="16035"/>
    <cellStyle name="Normal 5 4 3 3 2 4" xfId="5891"/>
    <cellStyle name="Normal 5 4 3 3 2 4 2" xfId="11430"/>
    <cellStyle name="Normal 5 4 3 3 2 4 3" xfId="16969"/>
    <cellStyle name="Normal 5 4 3 3 2 5" xfId="2593"/>
    <cellStyle name="Normal 5 4 3 3 2 5 2" xfId="8139"/>
    <cellStyle name="Normal 5 4 3 3 2 5 3" xfId="13678"/>
    <cellStyle name="Normal 5 4 3 3 2 6" xfId="6934"/>
    <cellStyle name="Normal 5 4 3 3 2 7" xfId="12473"/>
    <cellStyle name="Normal 5 4 3 3 3" xfId="1007"/>
    <cellStyle name="Normal 5 4 3 3 3 2" xfId="3537"/>
    <cellStyle name="Normal 5 4 3 3 3 2 2" xfId="9079"/>
    <cellStyle name="Normal 5 4 3 3 3 2 3" xfId="14618"/>
    <cellStyle name="Normal 5 4 3 3 3 3" xfId="4574"/>
    <cellStyle name="Normal 5 4 3 3 3 3 2" xfId="10113"/>
    <cellStyle name="Normal 5 4 3 3 3 3 3" xfId="15652"/>
    <cellStyle name="Normal 5 4 3 3 3 4" xfId="5509"/>
    <cellStyle name="Normal 5 4 3 3 3 4 2" xfId="11048"/>
    <cellStyle name="Normal 5 4 3 3 3 4 3" xfId="16587"/>
    <cellStyle name="Normal 5 4 3 3 3 5" xfId="2211"/>
    <cellStyle name="Normal 5 4 3 3 3 5 2" xfId="7757"/>
    <cellStyle name="Normal 5 4 3 3 3 5 3" xfId="13296"/>
    <cellStyle name="Normal 5 4 3 3 3 6" xfId="6552"/>
    <cellStyle name="Normal 5 4 3 3 3 7" xfId="12091"/>
    <cellStyle name="Normal 5 4 3 3 4" xfId="3206"/>
    <cellStyle name="Normal 5 4 3 3 4 2" xfId="8748"/>
    <cellStyle name="Normal 5 4 3 3 4 3" xfId="14287"/>
    <cellStyle name="Normal 5 4 3 3 5" xfId="4245"/>
    <cellStyle name="Normal 5 4 3 3 5 2" xfId="9784"/>
    <cellStyle name="Normal 5 4 3 3 5 3" xfId="15323"/>
    <cellStyle name="Normal 5 4 3 3 6" xfId="5206"/>
    <cellStyle name="Normal 5 4 3 3 6 2" xfId="10745"/>
    <cellStyle name="Normal 5 4 3 3 6 3" xfId="16284"/>
    <cellStyle name="Normal 5 4 3 3 7" xfId="1908"/>
    <cellStyle name="Normal 5 4 3 3 7 2" xfId="7454"/>
    <cellStyle name="Normal 5 4 3 3 7 3" xfId="12993"/>
    <cellStyle name="Normal 5 4 3 3 8" xfId="6249"/>
    <cellStyle name="Normal 5 4 3 3 9" xfId="11788"/>
    <cellStyle name="Normal 5 4 3 4" xfId="1184"/>
    <cellStyle name="Normal 5 4 3 4 2" xfId="3714"/>
    <cellStyle name="Normal 5 4 3 4 2 2" xfId="9256"/>
    <cellStyle name="Normal 5 4 3 4 2 3" xfId="14795"/>
    <cellStyle name="Normal 5 4 3 4 3" xfId="4751"/>
    <cellStyle name="Normal 5 4 3 4 3 2" xfId="10290"/>
    <cellStyle name="Normal 5 4 3 4 3 3" xfId="15829"/>
    <cellStyle name="Normal 5 4 3 4 4" xfId="5686"/>
    <cellStyle name="Normal 5 4 3 4 4 2" xfId="11225"/>
    <cellStyle name="Normal 5 4 3 4 4 3" xfId="16764"/>
    <cellStyle name="Normal 5 4 3 4 5" xfId="2388"/>
    <cellStyle name="Normal 5 4 3 4 5 2" xfId="7934"/>
    <cellStyle name="Normal 5 4 3 4 5 3" xfId="13473"/>
    <cellStyle name="Normal 5 4 3 4 6" xfId="6729"/>
    <cellStyle name="Normal 5 4 3 4 7" xfId="12268"/>
    <cellStyle name="Normal 5 4 3 5" xfId="872"/>
    <cellStyle name="Normal 5 4 3 5 2" xfId="3402"/>
    <cellStyle name="Normal 5 4 3 5 2 2" xfId="8944"/>
    <cellStyle name="Normal 5 4 3 5 2 3" xfId="14483"/>
    <cellStyle name="Normal 5 4 3 5 3" xfId="4439"/>
    <cellStyle name="Normal 5 4 3 5 3 2" xfId="9978"/>
    <cellStyle name="Normal 5 4 3 5 3 3" xfId="15517"/>
    <cellStyle name="Normal 5 4 3 5 4" xfId="5374"/>
    <cellStyle name="Normal 5 4 3 5 4 2" xfId="10913"/>
    <cellStyle name="Normal 5 4 3 5 4 3" xfId="16452"/>
    <cellStyle name="Normal 5 4 3 5 5" xfId="2076"/>
    <cellStyle name="Normal 5 4 3 5 5 2" xfId="7622"/>
    <cellStyle name="Normal 5 4 3 5 5 3" xfId="13161"/>
    <cellStyle name="Normal 5 4 3 5 6" xfId="6417"/>
    <cellStyle name="Normal 5 4 3 5 7" xfId="11956"/>
    <cellStyle name="Normal 5 4 3 6" xfId="1529"/>
    <cellStyle name="Normal 5 4 3 6 2" xfId="2734"/>
    <cellStyle name="Normal 5 4 3 6 2 2" xfId="8280"/>
    <cellStyle name="Normal 5 4 3 6 2 3" xfId="13819"/>
    <cellStyle name="Normal 5 4 3 6 3" xfId="7075"/>
    <cellStyle name="Normal 5 4 3 6 4" xfId="12614"/>
    <cellStyle name="Normal 5 4 3 7" xfId="2907"/>
    <cellStyle name="Normal 5 4 3 7 2" xfId="8451"/>
    <cellStyle name="Normal 5 4 3 7 3" xfId="13990"/>
    <cellStyle name="Normal 5 4 3 8" xfId="3091"/>
    <cellStyle name="Normal 5 4 3 8 2" xfId="8634"/>
    <cellStyle name="Normal 5 4 3 8 3" xfId="14173"/>
    <cellStyle name="Normal 5 4 3 9" xfId="4134"/>
    <cellStyle name="Normal 5 4 3 9 2" xfId="9675"/>
    <cellStyle name="Normal 5 4 3 9 3" xfId="15214"/>
    <cellStyle name="Normal 5 4 4" xfId="350"/>
    <cellStyle name="Normal 5 4 4 10" xfId="1673"/>
    <cellStyle name="Normal 5 4 4 10 2" xfId="7219"/>
    <cellStyle name="Normal 5 4 4 10 3" xfId="12758"/>
    <cellStyle name="Normal 5 4 4 11" xfId="6014"/>
    <cellStyle name="Normal 5 4 4 11 2" xfId="17092"/>
    <cellStyle name="Normal 5 4 4 12" xfId="658"/>
    <cellStyle name="Normal 5 4 4 12 2" xfId="17254"/>
    <cellStyle name="Normal 5 4 4 13" xfId="11553"/>
    <cellStyle name="Normal 5 4 4 14" xfId="17421"/>
    <cellStyle name="Normal 5 4 4 15" xfId="17586"/>
    <cellStyle name="Normal 5 4 4 2" xfId="351"/>
    <cellStyle name="Normal 5 4 4 2 10" xfId="6104"/>
    <cellStyle name="Normal 5 4 4 2 10 2" xfId="17182"/>
    <cellStyle name="Normal 5 4 4 2 11" xfId="748"/>
    <cellStyle name="Normal 5 4 4 2 11 2" xfId="17344"/>
    <cellStyle name="Normal 5 4 4 2 12" xfId="11643"/>
    <cellStyle name="Normal 5 4 4 2 13" xfId="17511"/>
    <cellStyle name="Normal 5 4 4 2 14" xfId="17676"/>
    <cellStyle name="Normal 5 4 4 2 2" xfId="550"/>
    <cellStyle name="Normal 5 4 4 2 2 2" xfId="1391"/>
    <cellStyle name="Normal 5 4 4 2 2 2 2" xfId="3923"/>
    <cellStyle name="Normal 5 4 4 2 2 2 2 2" xfId="9465"/>
    <cellStyle name="Normal 5 4 4 2 2 2 2 3" xfId="15004"/>
    <cellStyle name="Normal 5 4 4 2 2 2 3" xfId="4960"/>
    <cellStyle name="Normal 5 4 4 2 2 2 3 2" xfId="10499"/>
    <cellStyle name="Normal 5 4 4 2 2 2 3 3" xfId="16038"/>
    <cellStyle name="Normal 5 4 4 2 2 2 4" xfId="5894"/>
    <cellStyle name="Normal 5 4 4 2 2 2 4 2" xfId="11433"/>
    <cellStyle name="Normal 5 4 4 2 2 2 4 3" xfId="16972"/>
    <cellStyle name="Normal 5 4 4 2 2 2 5" xfId="2596"/>
    <cellStyle name="Normal 5 4 4 2 2 2 5 2" xfId="8142"/>
    <cellStyle name="Normal 5 4 4 2 2 2 5 3" xfId="13681"/>
    <cellStyle name="Normal 5 4 4 2 2 2 6" xfId="6937"/>
    <cellStyle name="Normal 5 4 4 2 2 2 7" xfId="12476"/>
    <cellStyle name="Normal 5 4 4 2 2 3" xfId="1079"/>
    <cellStyle name="Normal 5 4 4 2 2 3 2" xfId="3609"/>
    <cellStyle name="Normal 5 4 4 2 2 3 2 2" xfId="9151"/>
    <cellStyle name="Normal 5 4 4 2 2 3 2 3" xfId="14690"/>
    <cellStyle name="Normal 5 4 4 2 2 3 3" xfId="4646"/>
    <cellStyle name="Normal 5 4 4 2 2 3 3 2" xfId="10185"/>
    <cellStyle name="Normal 5 4 4 2 2 3 3 3" xfId="15724"/>
    <cellStyle name="Normal 5 4 4 2 2 3 4" xfId="5581"/>
    <cellStyle name="Normal 5 4 4 2 2 3 4 2" xfId="11120"/>
    <cellStyle name="Normal 5 4 4 2 2 3 4 3" xfId="16659"/>
    <cellStyle name="Normal 5 4 4 2 2 3 5" xfId="2283"/>
    <cellStyle name="Normal 5 4 4 2 2 3 5 2" xfId="7829"/>
    <cellStyle name="Normal 5 4 4 2 2 3 5 3" xfId="13368"/>
    <cellStyle name="Normal 5 4 4 2 2 3 6" xfId="6624"/>
    <cellStyle name="Normal 5 4 4 2 2 3 7" xfId="12163"/>
    <cellStyle name="Normal 5 4 4 2 2 4" xfId="3209"/>
    <cellStyle name="Normal 5 4 4 2 2 4 2" xfId="8751"/>
    <cellStyle name="Normal 5 4 4 2 2 4 3" xfId="14290"/>
    <cellStyle name="Normal 5 4 4 2 2 5" xfId="4248"/>
    <cellStyle name="Normal 5 4 4 2 2 5 2" xfId="9787"/>
    <cellStyle name="Normal 5 4 4 2 2 5 3" xfId="15326"/>
    <cellStyle name="Normal 5 4 4 2 2 6" xfId="5209"/>
    <cellStyle name="Normal 5 4 4 2 2 6 2" xfId="10748"/>
    <cellStyle name="Normal 5 4 4 2 2 6 3" xfId="16287"/>
    <cellStyle name="Normal 5 4 4 2 2 7" xfId="1911"/>
    <cellStyle name="Normal 5 4 4 2 2 7 2" xfId="7457"/>
    <cellStyle name="Normal 5 4 4 2 2 7 3" xfId="12996"/>
    <cellStyle name="Normal 5 4 4 2 2 8" xfId="6252"/>
    <cellStyle name="Normal 5 4 4 2 2 9" xfId="11791"/>
    <cellStyle name="Normal 5 4 4 2 3" xfId="1256"/>
    <cellStyle name="Normal 5 4 4 2 3 2" xfId="3786"/>
    <cellStyle name="Normal 5 4 4 2 3 2 2" xfId="9328"/>
    <cellStyle name="Normal 5 4 4 2 3 2 3" xfId="14867"/>
    <cellStyle name="Normal 5 4 4 2 3 3" xfId="4823"/>
    <cellStyle name="Normal 5 4 4 2 3 3 2" xfId="10362"/>
    <cellStyle name="Normal 5 4 4 2 3 3 3" xfId="15901"/>
    <cellStyle name="Normal 5 4 4 2 3 4" xfId="5758"/>
    <cellStyle name="Normal 5 4 4 2 3 4 2" xfId="11297"/>
    <cellStyle name="Normal 5 4 4 2 3 4 3" xfId="16836"/>
    <cellStyle name="Normal 5 4 4 2 3 5" xfId="2460"/>
    <cellStyle name="Normal 5 4 4 2 3 5 2" xfId="8006"/>
    <cellStyle name="Normal 5 4 4 2 3 5 3" xfId="13545"/>
    <cellStyle name="Normal 5 4 4 2 3 6" xfId="6801"/>
    <cellStyle name="Normal 5 4 4 2 3 7" xfId="12340"/>
    <cellStyle name="Normal 5 4 4 2 4" xfId="875"/>
    <cellStyle name="Normal 5 4 4 2 4 2" xfId="3405"/>
    <cellStyle name="Normal 5 4 4 2 4 2 2" xfId="8947"/>
    <cellStyle name="Normal 5 4 4 2 4 2 3" xfId="14486"/>
    <cellStyle name="Normal 5 4 4 2 4 3" xfId="4442"/>
    <cellStyle name="Normal 5 4 4 2 4 3 2" xfId="9981"/>
    <cellStyle name="Normal 5 4 4 2 4 3 3" xfId="15520"/>
    <cellStyle name="Normal 5 4 4 2 4 4" xfId="5377"/>
    <cellStyle name="Normal 5 4 4 2 4 4 2" xfId="10916"/>
    <cellStyle name="Normal 5 4 4 2 4 4 3" xfId="16455"/>
    <cellStyle name="Normal 5 4 4 2 4 5" xfId="2079"/>
    <cellStyle name="Normal 5 4 4 2 4 5 2" xfId="7625"/>
    <cellStyle name="Normal 5 4 4 2 4 5 3" xfId="13164"/>
    <cellStyle name="Normal 5 4 4 2 4 6" xfId="6420"/>
    <cellStyle name="Normal 5 4 4 2 4 7" xfId="11959"/>
    <cellStyle name="Normal 5 4 4 2 5" xfId="1601"/>
    <cellStyle name="Normal 5 4 4 2 5 2" xfId="2806"/>
    <cellStyle name="Normal 5 4 4 2 5 2 2" xfId="8352"/>
    <cellStyle name="Normal 5 4 4 2 5 2 3" xfId="13891"/>
    <cellStyle name="Normal 5 4 4 2 5 3" xfId="7147"/>
    <cellStyle name="Normal 5 4 4 2 5 4" xfId="12686"/>
    <cellStyle name="Normal 5 4 4 2 6" xfId="2979"/>
    <cellStyle name="Normal 5 4 4 2 6 2" xfId="8523"/>
    <cellStyle name="Normal 5 4 4 2 6 3" xfId="14062"/>
    <cellStyle name="Normal 5 4 4 2 7" xfId="4024"/>
    <cellStyle name="Normal 5 4 4 2 7 2" xfId="9566"/>
    <cellStyle name="Normal 5 4 4 2 7 3" xfId="15105"/>
    <cellStyle name="Normal 5 4 4 2 8" xfId="5061"/>
    <cellStyle name="Normal 5 4 4 2 8 2" xfId="10600"/>
    <cellStyle name="Normal 5 4 4 2 8 3" xfId="16139"/>
    <cellStyle name="Normal 5 4 4 2 9" xfId="1763"/>
    <cellStyle name="Normal 5 4 4 2 9 2" xfId="7309"/>
    <cellStyle name="Normal 5 4 4 2 9 3" xfId="12848"/>
    <cellStyle name="Normal 5 4 4 3" xfId="549"/>
    <cellStyle name="Normal 5 4 4 3 2" xfId="1390"/>
    <cellStyle name="Normal 5 4 4 3 2 2" xfId="3922"/>
    <cellStyle name="Normal 5 4 4 3 2 2 2" xfId="9464"/>
    <cellStyle name="Normal 5 4 4 3 2 2 3" xfId="15003"/>
    <cellStyle name="Normal 5 4 4 3 2 3" xfId="4959"/>
    <cellStyle name="Normal 5 4 4 3 2 3 2" xfId="10498"/>
    <cellStyle name="Normal 5 4 4 3 2 3 3" xfId="16037"/>
    <cellStyle name="Normal 5 4 4 3 2 4" xfId="5893"/>
    <cellStyle name="Normal 5 4 4 3 2 4 2" xfId="11432"/>
    <cellStyle name="Normal 5 4 4 3 2 4 3" xfId="16971"/>
    <cellStyle name="Normal 5 4 4 3 2 5" xfId="2595"/>
    <cellStyle name="Normal 5 4 4 3 2 5 2" xfId="8141"/>
    <cellStyle name="Normal 5 4 4 3 2 5 3" xfId="13680"/>
    <cellStyle name="Normal 5 4 4 3 2 6" xfId="6936"/>
    <cellStyle name="Normal 5 4 4 3 2 7" xfId="12475"/>
    <cellStyle name="Normal 5 4 4 3 3" xfId="989"/>
    <cellStyle name="Normal 5 4 4 3 3 2" xfId="3519"/>
    <cellStyle name="Normal 5 4 4 3 3 2 2" xfId="9061"/>
    <cellStyle name="Normal 5 4 4 3 3 2 3" xfId="14600"/>
    <cellStyle name="Normal 5 4 4 3 3 3" xfId="4556"/>
    <cellStyle name="Normal 5 4 4 3 3 3 2" xfId="10095"/>
    <cellStyle name="Normal 5 4 4 3 3 3 3" xfId="15634"/>
    <cellStyle name="Normal 5 4 4 3 3 4" xfId="5491"/>
    <cellStyle name="Normal 5 4 4 3 3 4 2" xfId="11030"/>
    <cellStyle name="Normal 5 4 4 3 3 4 3" xfId="16569"/>
    <cellStyle name="Normal 5 4 4 3 3 5" xfId="2193"/>
    <cellStyle name="Normal 5 4 4 3 3 5 2" xfId="7739"/>
    <cellStyle name="Normal 5 4 4 3 3 5 3" xfId="13278"/>
    <cellStyle name="Normal 5 4 4 3 3 6" xfId="6534"/>
    <cellStyle name="Normal 5 4 4 3 3 7" xfId="12073"/>
    <cellStyle name="Normal 5 4 4 3 4" xfId="3208"/>
    <cellStyle name="Normal 5 4 4 3 4 2" xfId="8750"/>
    <cellStyle name="Normal 5 4 4 3 4 3" xfId="14289"/>
    <cellStyle name="Normal 5 4 4 3 5" xfId="4247"/>
    <cellStyle name="Normal 5 4 4 3 5 2" xfId="9786"/>
    <cellStyle name="Normal 5 4 4 3 5 3" xfId="15325"/>
    <cellStyle name="Normal 5 4 4 3 6" xfId="5208"/>
    <cellStyle name="Normal 5 4 4 3 6 2" xfId="10747"/>
    <cellStyle name="Normal 5 4 4 3 6 3" xfId="16286"/>
    <cellStyle name="Normal 5 4 4 3 7" xfId="1910"/>
    <cellStyle name="Normal 5 4 4 3 7 2" xfId="7456"/>
    <cellStyle name="Normal 5 4 4 3 7 3" xfId="12995"/>
    <cellStyle name="Normal 5 4 4 3 8" xfId="6251"/>
    <cellStyle name="Normal 5 4 4 3 9" xfId="11790"/>
    <cellStyle name="Normal 5 4 4 4" xfId="1166"/>
    <cellStyle name="Normal 5 4 4 4 2" xfId="3696"/>
    <cellStyle name="Normal 5 4 4 4 2 2" xfId="9238"/>
    <cellStyle name="Normal 5 4 4 4 2 3" xfId="14777"/>
    <cellStyle name="Normal 5 4 4 4 3" xfId="4733"/>
    <cellStyle name="Normal 5 4 4 4 3 2" xfId="10272"/>
    <cellStyle name="Normal 5 4 4 4 3 3" xfId="15811"/>
    <cellStyle name="Normal 5 4 4 4 4" xfId="5668"/>
    <cellStyle name="Normal 5 4 4 4 4 2" xfId="11207"/>
    <cellStyle name="Normal 5 4 4 4 4 3" xfId="16746"/>
    <cellStyle name="Normal 5 4 4 4 5" xfId="2370"/>
    <cellStyle name="Normal 5 4 4 4 5 2" xfId="7916"/>
    <cellStyle name="Normal 5 4 4 4 5 3" xfId="13455"/>
    <cellStyle name="Normal 5 4 4 4 6" xfId="6711"/>
    <cellStyle name="Normal 5 4 4 4 7" xfId="12250"/>
    <cellStyle name="Normal 5 4 4 5" xfId="874"/>
    <cellStyle name="Normal 5 4 4 5 2" xfId="3404"/>
    <cellStyle name="Normal 5 4 4 5 2 2" xfId="8946"/>
    <cellStyle name="Normal 5 4 4 5 2 3" xfId="14485"/>
    <cellStyle name="Normal 5 4 4 5 3" xfId="4441"/>
    <cellStyle name="Normal 5 4 4 5 3 2" xfId="9980"/>
    <cellStyle name="Normal 5 4 4 5 3 3" xfId="15519"/>
    <cellStyle name="Normal 5 4 4 5 4" xfId="5376"/>
    <cellStyle name="Normal 5 4 4 5 4 2" xfId="10915"/>
    <cellStyle name="Normal 5 4 4 5 4 3" xfId="16454"/>
    <cellStyle name="Normal 5 4 4 5 5" xfId="2078"/>
    <cellStyle name="Normal 5 4 4 5 5 2" xfId="7624"/>
    <cellStyle name="Normal 5 4 4 5 5 3" xfId="13163"/>
    <cellStyle name="Normal 5 4 4 5 6" xfId="6419"/>
    <cellStyle name="Normal 5 4 4 5 7" xfId="11958"/>
    <cellStyle name="Normal 5 4 4 6" xfId="1511"/>
    <cellStyle name="Normal 5 4 4 6 2" xfId="2716"/>
    <cellStyle name="Normal 5 4 4 6 2 2" xfId="8262"/>
    <cellStyle name="Normal 5 4 4 6 2 3" xfId="13801"/>
    <cellStyle name="Normal 5 4 4 6 3" xfId="7057"/>
    <cellStyle name="Normal 5 4 4 6 4" xfId="12596"/>
    <cellStyle name="Normal 5 4 4 7" xfId="2889"/>
    <cellStyle name="Normal 5 4 4 7 2" xfId="8433"/>
    <cellStyle name="Normal 5 4 4 7 3" xfId="13972"/>
    <cellStyle name="Normal 5 4 4 8" xfId="3297"/>
    <cellStyle name="Normal 5 4 4 8 2" xfId="8839"/>
    <cellStyle name="Normal 5 4 4 8 3" xfId="14378"/>
    <cellStyle name="Normal 5 4 4 9" xfId="4336"/>
    <cellStyle name="Normal 5 4 4 9 2" xfId="9875"/>
    <cellStyle name="Normal 5 4 4 9 3" xfId="15414"/>
    <cellStyle name="Normal 5 4 5" xfId="352"/>
    <cellStyle name="Normal 5 4 5 10" xfId="1709"/>
    <cellStyle name="Normal 5 4 5 10 2" xfId="7255"/>
    <cellStyle name="Normal 5 4 5 10 3" xfId="12794"/>
    <cellStyle name="Normal 5 4 5 11" xfId="6050"/>
    <cellStyle name="Normal 5 4 5 11 2" xfId="17128"/>
    <cellStyle name="Normal 5 4 5 12" xfId="694"/>
    <cellStyle name="Normal 5 4 5 12 2" xfId="17290"/>
    <cellStyle name="Normal 5 4 5 13" xfId="11589"/>
    <cellStyle name="Normal 5 4 5 14" xfId="17457"/>
    <cellStyle name="Normal 5 4 5 15" xfId="17622"/>
    <cellStyle name="Normal 5 4 5 2" xfId="353"/>
    <cellStyle name="Normal 5 4 5 2 10" xfId="6086"/>
    <cellStyle name="Normal 5 4 5 2 10 2" xfId="17164"/>
    <cellStyle name="Normal 5 4 5 2 11" xfId="730"/>
    <cellStyle name="Normal 5 4 5 2 11 2" xfId="17326"/>
    <cellStyle name="Normal 5 4 5 2 12" xfId="11625"/>
    <cellStyle name="Normal 5 4 5 2 13" xfId="17493"/>
    <cellStyle name="Normal 5 4 5 2 14" xfId="17658"/>
    <cellStyle name="Normal 5 4 5 2 2" xfId="552"/>
    <cellStyle name="Normal 5 4 5 2 2 2" xfId="1393"/>
    <cellStyle name="Normal 5 4 5 2 2 2 2" xfId="3925"/>
    <cellStyle name="Normal 5 4 5 2 2 2 2 2" xfId="9467"/>
    <cellStyle name="Normal 5 4 5 2 2 2 2 3" xfId="15006"/>
    <cellStyle name="Normal 5 4 5 2 2 2 3" xfId="4962"/>
    <cellStyle name="Normal 5 4 5 2 2 2 3 2" xfId="10501"/>
    <cellStyle name="Normal 5 4 5 2 2 2 3 3" xfId="16040"/>
    <cellStyle name="Normal 5 4 5 2 2 2 4" xfId="5896"/>
    <cellStyle name="Normal 5 4 5 2 2 2 4 2" xfId="11435"/>
    <cellStyle name="Normal 5 4 5 2 2 2 4 3" xfId="16974"/>
    <cellStyle name="Normal 5 4 5 2 2 2 5" xfId="2598"/>
    <cellStyle name="Normal 5 4 5 2 2 2 5 2" xfId="8144"/>
    <cellStyle name="Normal 5 4 5 2 2 2 5 3" xfId="13683"/>
    <cellStyle name="Normal 5 4 5 2 2 2 6" xfId="6939"/>
    <cellStyle name="Normal 5 4 5 2 2 2 7" xfId="12478"/>
    <cellStyle name="Normal 5 4 5 2 2 3" xfId="1061"/>
    <cellStyle name="Normal 5 4 5 2 2 3 2" xfId="3591"/>
    <cellStyle name="Normal 5 4 5 2 2 3 2 2" xfId="9133"/>
    <cellStyle name="Normal 5 4 5 2 2 3 2 3" xfId="14672"/>
    <cellStyle name="Normal 5 4 5 2 2 3 3" xfId="4628"/>
    <cellStyle name="Normal 5 4 5 2 2 3 3 2" xfId="10167"/>
    <cellStyle name="Normal 5 4 5 2 2 3 3 3" xfId="15706"/>
    <cellStyle name="Normal 5 4 5 2 2 3 4" xfId="5563"/>
    <cellStyle name="Normal 5 4 5 2 2 3 4 2" xfId="11102"/>
    <cellStyle name="Normal 5 4 5 2 2 3 4 3" xfId="16641"/>
    <cellStyle name="Normal 5 4 5 2 2 3 5" xfId="2265"/>
    <cellStyle name="Normal 5 4 5 2 2 3 5 2" xfId="7811"/>
    <cellStyle name="Normal 5 4 5 2 2 3 5 3" xfId="13350"/>
    <cellStyle name="Normal 5 4 5 2 2 3 6" xfId="6606"/>
    <cellStyle name="Normal 5 4 5 2 2 3 7" xfId="12145"/>
    <cellStyle name="Normal 5 4 5 2 2 4" xfId="3211"/>
    <cellStyle name="Normal 5 4 5 2 2 4 2" xfId="8753"/>
    <cellStyle name="Normal 5 4 5 2 2 4 3" xfId="14292"/>
    <cellStyle name="Normal 5 4 5 2 2 5" xfId="4250"/>
    <cellStyle name="Normal 5 4 5 2 2 5 2" xfId="9789"/>
    <cellStyle name="Normal 5 4 5 2 2 5 3" xfId="15328"/>
    <cellStyle name="Normal 5 4 5 2 2 6" xfId="5211"/>
    <cellStyle name="Normal 5 4 5 2 2 6 2" xfId="10750"/>
    <cellStyle name="Normal 5 4 5 2 2 6 3" xfId="16289"/>
    <cellStyle name="Normal 5 4 5 2 2 7" xfId="1913"/>
    <cellStyle name="Normal 5 4 5 2 2 7 2" xfId="7459"/>
    <cellStyle name="Normal 5 4 5 2 2 7 3" xfId="12998"/>
    <cellStyle name="Normal 5 4 5 2 2 8" xfId="6254"/>
    <cellStyle name="Normal 5 4 5 2 2 9" xfId="11793"/>
    <cellStyle name="Normal 5 4 5 2 3" xfId="1238"/>
    <cellStyle name="Normal 5 4 5 2 3 2" xfId="3768"/>
    <cellStyle name="Normal 5 4 5 2 3 2 2" xfId="9310"/>
    <cellStyle name="Normal 5 4 5 2 3 2 3" xfId="14849"/>
    <cellStyle name="Normal 5 4 5 2 3 3" xfId="4805"/>
    <cellStyle name="Normal 5 4 5 2 3 3 2" xfId="10344"/>
    <cellStyle name="Normal 5 4 5 2 3 3 3" xfId="15883"/>
    <cellStyle name="Normal 5 4 5 2 3 4" xfId="5740"/>
    <cellStyle name="Normal 5 4 5 2 3 4 2" xfId="11279"/>
    <cellStyle name="Normal 5 4 5 2 3 4 3" xfId="16818"/>
    <cellStyle name="Normal 5 4 5 2 3 5" xfId="2442"/>
    <cellStyle name="Normal 5 4 5 2 3 5 2" xfId="7988"/>
    <cellStyle name="Normal 5 4 5 2 3 5 3" xfId="13527"/>
    <cellStyle name="Normal 5 4 5 2 3 6" xfId="6783"/>
    <cellStyle name="Normal 5 4 5 2 3 7" xfId="12322"/>
    <cellStyle name="Normal 5 4 5 2 4" xfId="877"/>
    <cellStyle name="Normal 5 4 5 2 4 2" xfId="3407"/>
    <cellStyle name="Normal 5 4 5 2 4 2 2" xfId="8949"/>
    <cellStyle name="Normal 5 4 5 2 4 2 3" xfId="14488"/>
    <cellStyle name="Normal 5 4 5 2 4 3" xfId="4444"/>
    <cellStyle name="Normal 5 4 5 2 4 3 2" xfId="9983"/>
    <cellStyle name="Normal 5 4 5 2 4 3 3" xfId="15522"/>
    <cellStyle name="Normal 5 4 5 2 4 4" xfId="5379"/>
    <cellStyle name="Normal 5 4 5 2 4 4 2" xfId="10918"/>
    <cellStyle name="Normal 5 4 5 2 4 4 3" xfId="16457"/>
    <cellStyle name="Normal 5 4 5 2 4 5" xfId="2081"/>
    <cellStyle name="Normal 5 4 5 2 4 5 2" xfId="7627"/>
    <cellStyle name="Normal 5 4 5 2 4 5 3" xfId="13166"/>
    <cellStyle name="Normal 5 4 5 2 4 6" xfId="6422"/>
    <cellStyle name="Normal 5 4 5 2 4 7" xfId="11961"/>
    <cellStyle name="Normal 5 4 5 2 5" xfId="1583"/>
    <cellStyle name="Normal 5 4 5 2 5 2" xfId="2788"/>
    <cellStyle name="Normal 5 4 5 2 5 2 2" xfId="8334"/>
    <cellStyle name="Normal 5 4 5 2 5 2 3" xfId="13873"/>
    <cellStyle name="Normal 5 4 5 2 5 3" xfId="7129"/>
    <cellStyle name="Normal 5 4 5 2 5 4" xfId="12668"/>
    <cellStyle name="Normal 5 4 5 2 6" xfId="2961"/>
    <cellStyle name="Normal 5 4 5 2 6 2" xfId="8505"/>
    <cellStyle name="Normal 5 4 5 2 6 3" xfId="14044"/>
    <cellStyle name="Normal 5 4 5 2 7" xfId="4006"/>
    <cellStyle name="Normal 5 4 5 2 7 2" xfId="9548"/>
    <cellStyle name="Normal 5 4 5 2 7 3" xfId="15087"/>
    <cellStyle name="Normal 5 4 5 2 8" xfId="5043"/>
    <cellStyle name="Normal 5 4 5 2 8 2" xfId="10582"/>
    <cellStyle name="Normal 5 4 5 2 8 3" xfId="16121"/>
    <cellStyle name="Normal 5 4 5 2 9" xfId="1745"/>
    <cellStyle name="Normal 5 4 5 2 9 2" xfId="7291"/>
    <cellStyle name="Normal 5 4 5 2 9 3" xfId="12830"/>
    <cellStyle name="Normal 5 4 5 3" xfId="551"/>
    <cellStyle name="Normal 5 4 5 3 2" xfId="1392"/>
    <cellStyle name="Normal 5 4 5 3 2 2" xfId="3924"/>
    <cellStyle name="Normal 5 4 5 3 2 2 2" xfId="9466"/>
    <cellStyle name="Normal 5 4 5 3 2 2 3" xfId="15005"/>
    <cellStyle name="Normal 5 4 5 3 2 3" xfId="4961"/>
    <cellStyle name="Normal 5 4 5 3 2 3 2" xfId="10500"/>
    <cellStyle name="Normal 5 4 5 3 2 3 3" xfId="16039"/>
    <cellStyle name="Normal 5 4 5 3 2 4" xfId="5895"/>
    <cellStyle name="Normal 5 4 5 3 2 4 2" xfId="11434"/>
    <cellStyle name="Normal 5 4 5 3 2 4 3" xfId="16973"/>
    <cellStyle name="Normal 5 4 5 3 2 5" xfId="2597"/>
    <cellStyle name="Normal 5 4 5 3 2 5 2" xfId="8143"/>
    <cellStyle name="Normal 5 4 5 3 2 5 3" xfId="13682"/>
    <cellStyle name="Normal 5 4 5 3 2 6" xfId="6938"/>
    <cellStyle name="Normal 5 4 5 3 2 7" xfId="12477"/>
    <cellStyle name="Normal 5 4 5 3 3" xfId="1025"/>
    <cellStyle name="Normal 5 4 5 3 3 2" xfId="3555"/>
    <cellStyle name="Normal 5 4 5 3 3 2 2" xfId="9097"/>
    <cellStyle name="Normal 5 4 5 3 3 2 3" xfId="14636"/>
    <cellStyle name="Normal 5 4 5 3 3 3" xfId="4592"/>
    <cellStyle name="Normal 5 4 5 3 3 3 2" xfId="10131"/>
    <cellStyle name="Normal 5 4 5 3 3 3 3" xfId="15670"/>
    <cellStyle name="Normal 5 4 5 3 3 4" xfId="5527"/>
    <cellStyle name="Normal 5 4 5 3 3 4 2" xfId="11066"/>
    <cellStyle name="Normal 5 4 5 3 3 4 3" xfId="16605"/>
    <cellStyle name="Normal 5 4 5 3 3 5" xfId="2229"/>
    <cellStyle name="Normal 5 4 5 3 3 5 2" xfId="7775"/>
    <cellStyle name="Normal 5 4 5 3 3 5 3" xfId="13314"/>
    <cellStyle name="Normal 5 4 5 3 3 6" xfId="6570"/>
    <cellStyle name="Normal 5 4 5 3 3 7" xfId="12109"/>
    <cellStyle name="Normal 5 4 5 3 4" xfId="3210"/>
    <cellStyle name="Normal 5 4 5 3 4 2" xfId="8752"/>
    <cellStyle name="Normal 5 4 5 3 4 3" xfId="14291"/>
    <cellStyle name="Normal 5 4 5 3 5" xfId="4249"/>
    <cellStyle name="Normal 5 4 5 3 5 2" xfId="9788"/>
    <cellStyle name="Normal 5 4 5 3 5 3" xfId="15327"/>
    <cellStyle name="Normal 5 4 5 3 6" xfId="5210"/>
    <cellStyle name="Normal 5 4 5 3 6 2" xfId="10749"/>
    <cellStyle name="Normal 5 4 5 3 6 3" xfId="16288"/>
    <cellStyle name="Normal 5 4 5 3 7" xfId="1912"/>
    <cellStyle name="Normal 5 4 5 3 7 2" xfId="7458"/>
    <cellStyle name="Normal 5 4 5 3 7 3" xfId="12997"/>
    <cellStyle name="Normal 5 4 5 3 8" xfId="6253"/>
    <cellStyle name="Normal 5 4 5 3 9" xfId="11792"/>
    <cellStyle name="Normal 5 4 5 4" xfId="1202"/>
    <cellStyle name="Normal 5 4 5 4 2" xfId="3732"/>
    <cellStyle name="Normal 5 4 5 4 2 2" xfId="9274"/>
    <cellStyle name="Normal 5 4 5 4 2 3" xfId="14813"/>
    <cellStyle name="Normal 5 4 5 4 3" xfId="4769"/>
    <cellStyle name="Normal 5 4 5 4 3 2" xfId="10308"/>
    <cellStyle name="Normal 5 4 5 4 3 3" xfId="15847"/>
    <cellStyle name="Normal 5 4 5 4 4" xfId="5704"/>
    <cellStyle name="Normal 5 4 5 4 4 2" xfId="11243"/>
    <cellStyle name="Normal 5 4 5 4 4 3" xfId="16782"/>
    <cellStyle name="Normal 5 4 5 4 5" xfId="2406"/>
    <cellStyle name="Normal 5 4 5 4 5 2" xfId="7952"/>
    <cellStyle name="Normal 5 4 5 4 5 3" xfId="13491"/>
    <cellStyle name="Normal 5 4 5 4 6" xfId="6747"/>
    <cellStyle name="Normal 5 4 5 4 7" xfId="12286"/>
    <cellStyle name="Normal 5 4 5 5" xfId="876"/>
    <cellStyle name="Normal 5 4 5 5 2" xfId="3406"/>
    <cellStyle name="Normal 5 4 5 5 2 2" xfId="8948"/>
    <cellStyle name="Normal 5 4 5 5 2 3" xfId="14487"/>
    <cellStyle name="Normal 5 4 5 5 3" xfId="4443"/>
    <cellStyle name="Normal 5 4 5 5 3 2" xfId="9982"/>
    <cellStyle name="Normal 5 4 5 5 3 3" xfId="15521"/>
    <cellStyle name="Normal 5 4 5 5 4" xfId="5378"/>
    <cellStyle name="Normal 5 4 5 5 4 2" xfId="10917"/>
    <cellStyle name="Normal 5 4 5 5 4 3" xfId="16456"/>
    <cellStyle name="Normal 5 4 5 5 5" xfId="2080"/>
    <cellStyle name="Normal 5 4 5 5 5 2" xfId="7626"/>
    <cellStyle name="Normal 5 4 5 5 5 3" xfId="13165"/>
    <cellStyle name="Normal 5 4 5 5 6" xfId="6421"/>
    <cellStyle name="Normal 5 4 5 5 7" xfId="11960"/>
    <cellStyle name="Normal 5 4 5 6" xfId="1547"/>
    <cellStyle name="Normal 5 4 5 6 2" xfId="2752"/>
    <cellStyle name="Normal 5 4 5 6 2 2" xfId="8298"/>
    <cellStyle name="Normal 5 4 5 6 2 3" xfId="13837"/>
    <cellStyle name="Normal 5 4 5 6 3" xfId="7093"/>
    <cellStyle name="Normal 5 4 5 6 4" xfId="12632"/>
    <cellStyle name="Normal 5 4 5 7" xfId="2925"/>
    <cellStyle name="Normal 5 4 5 7 2" xfId="8469"/>
    <cellStyle name="Normal 5 4 5 7 3" xfId="14008"/>
    <cellStyle name="Normal 5 4 5 8" xfId="3082"/>
    <cellStyle name="Normal 5 4 5 8 2" xfId="8625"/>
    <cellStyle name="Normal 5 4 5 8 3" xfId="14164"/>
    <cellStyle name="Normal 5 4 5 9" xfId="4125"/>
    <cellStyle name="Normal 5 4 5 9 2" xfId="9666"/>
    <cellStyle name="Normal 5 4 5 9 3" xfId="15205"/>
    <cellStyle name="Normal 5 4 6" xfId="354"/>
    <cellStyle name="Normal 5 4 6 10" xfId="6068"/>
    <cellStyle name="Normal 5 4 6 10 2" xfId="17146"/>
    <cellStyle name="Normal 5 4 6 11" xfId="712"/>
    <cellStyle name="Normal 5 4 6 11 2" xfId="17308"/>
    <cellStyle name="Normal 5 4 6 12" xfId="11607"/>
    <cellStyle name="Normal 5 4 6 13" xfId="17475"/>
    <cellStyle name="Normal 5 4 6 14" xfId="17640"/>
    <cellStyle name="Normal 5 4 6 2" xfId="553"/>
    <cellStyle name="Normal 5 4 6 2 2" xfId="1394"/>
    <cellStyle name="Normal 5 4 6 2 2 2" xfId="3926"/>
    <cellStyle name="Normal 5 4 6 2 2 2 2" xfId="9468"/>
    <cellStyle name="Normal 5 4 6 2 2 2 3" xfId="15007"/>
    <cellStyle name="Normal 5 4 6 2 2 3" xfId="4963"/>
    <cellStyle name="Normal 5 4 6 2 2 3 2" xfId="10502"/>
    <cellStyle name="Normal 5 4 6 2 2 3 3" xfId="16041"/>
    <cellStyle name="Normal 5 4 6 2 2 4" xfId="5897"/>
    <cellStyle name="Normal 5 4 6 2 2 4 2" xfId="11436"/>
    <cellStyle name="Normal 5 4 6 2 2 4 3" xfId="16975"/>
    <cellStyle name="Normal 5 4 6 2 2 5" xfId="2599"/>
    <cellStyle name="Normal 5 4 6 2 2 5 2" xfId="8145"/>
    <cellStyle name="Normal 5 4 6 2 2 5 3" xfId="13684"/>
    <cellStyle name="Normal 5 4 6 2 2 6" xfId="6940"/>
    <cellStyle name="Normal 5 4 6 2 2 7" xfId="12479"/>
    <cellStyle name="Normal 5 4 6 2 3" xfId="1043"/>
    <cellStyle name="Normal 5 4 6 2 3 2" xfId="3573"/>
    <cellStyle name="Normal 5 4 6 2 3 2 2" xfId="9115"/>
    <cellStyle name="Normal 5 4 6 2 3 2 3" xfId="14654"/>
    <cellStyle name="Normal 5 4 6 2 3 3" xfId="4610"/>
    <cellStyle name="Normal 5 4 6 2 3 3 2" xfId="10149"/>
    <cellStyle name="Normal 5 4 6 2 3 3 3" xfId="15688"/>
    <cellStyle name="Normal 5 4 6 2 3 4" xfId="5545"/>
    <cellStyle name="Normal 5 4 6 2 3 4 2" xfId="11084"/>
    <cellStyle name="Normal 5 4 6 2 3 4 3" xfId="16623"/>
    <cellStyle name="Normal 5 4 6 2 3 5" xfId="2247"/>
    <cellStyle name="Normal 5 4 6 2 3 5 2" xfId="7793"/>
    <cellStyle name="Normal 5 4 6 2 3 5 3" xfId="13332"/>
    <cellStyle name="Normal 5 4 6 2 3 6" xfId="6588"/>
    <cellStyle name="Normal 5 4 6 2 3 7" xfId="12127"/>
    <cellStyle name="Normal 5 4 6 2 4" xfId="3212"/>
    <cellStyle name="Normal 5 4 6 2 4 2" xfId="8754"/>
    <cellStyle name="Normal 5 4 6 2 4 3" xfId="14293"/>
    <cellStyle name="Normal 5 4 6 2 5" xfId="4251"/>
    <cellStyle name="Normal 5 4 6 2 5 2" xfId="9790"/>
    <cellStyle name="Normal 5 4 6 2 5 3" xfId="15329"/>
    <cellStyle name="Normal 5 4 6 2 6" xfId="5212"/>
    <cellStyle name="Normal 5 4 6 2 6 2" xfId="10751"/>
    <cellStyle name="Normal 5 4 6 2 6 3" xfId="16290"/>
    <cellStyle name="Normal 5 4 6 2 7" xfId="1914"/>
    <cellStyle name="Normal 5 4 6 2 7 2" xfId="7460"/>
    <cellStyle name="Normal 5 4 6 2 7 3" xfId="12999"/>
    <cellStyle name="Normal 5 4 6 2 8" xfId="6255"/>
    <cellStyle name="Normal 5 4 6 2 9" xfId="11794"/>
    <cellStyle name="Normal 5 4 6 3" xfId="1220"/>
    <cellStyle name="Normal 5 4 6 3 2" xfId="3750"/>
    <cellStyle name="Normal 5 4 6 3 2 2" xfId="9292"/>
    <cellStyle name="Normal 5 4 6 3 2 3" xfId="14831"/>
    <cellStyle name="Normal 5 4 6 3 3" xfId="4787"/>
    <cellStyle name="Normal 5 4 6 3 3 2" xfId="10326"/>
    <cellStyle name="Normal 5 4 6 3 3 3" xfId="15865"/>
    <cellStyle name="Normal 5 4 6 3 4" xfId="5722"/>
    <cellStyle name="Normal 5 4 6 3 4 2" xfId="11261"/>
    <cellStyle name="Normal 5 4 6 3 4 3" xfId="16800"/>
    <cellStyle name="Normal 5 4 6 3 5" xfId="2424"/>
    <cellStyle name="Normal 5 4 6 3 5 2" xfId="7970"/>
    <cellStyle name="Normal 5 4 6 3 5 3" xfId="13509"/>
    <cellStyle name="Normal 5 4 6 3 6" xfId="6765"/>
    <cellStyle name="Normal 5 4 6 3 7" xfId="12304"/>
    <cellStyle name="Normal 5 4 6 4" xfId="878"/>
    <cellStyle name="Normal 5 4 6 4 2" xfId="3408"/>
    <cellStyle name="Normal 5 4 6 4 2 2" xfId="8950"/>
    <cellStyle name="Normal 5 4 6 4 2 3" xfId="14489"/>
    <cellStyle name="Normal 5 4 6 4 3" xfId="4445"/>
    <cellStyle name="Normal 5 4 6 4 3 2" xfId="9984"/>
    <cellStyle name="Normal 5 4 6 4 3 3" xfId="15523"/>
    <cellStyle name="Normal 5 4 6 4 4" xfId="5380"/>
    <cellStyle name="Normal 5 4 6 4 4 2" xfId="10919"/>
    <cellStyle name="Normal 5 4 6 4 4 3" xfId="16458"/>
    <cellStyle name="Normal 5 4 6 4 5" xfId="2082"/>
    <cellStyle name="Normal 5 4 6 4 5 2" xfId="7628"/>
    <cellStyle name="Normal 5 4 6 4 5 3" xfId="13167"/>
    <cellStyle name="Normal 5 4 6 4 6" xfId="6423"/>
    <cellStyle name="Normal 5 4 6 4 7" xfId="11962"/>
    <cellStyle name="Normal 5 4 6 5" xfId="1565"/>
    <cellStyle name="Normal 5 4 6 5 2" xfId="2770"/>
    <cellStyle name="Normal 5 4 6 5 2 2" xfId="8316"/>
    <cellStyle name="Normal 5 4 6 5 2 3" xfId="13855"/>
    <cellStyle name="Normal 5 4 6 5 3" xfId="7111"/>
    <cellStyle name="Normal 5 4 6 5 4" xfId="12650"/>
    <cellStyle name="Normal 5 4 6 6" xfId="2943"/>
    <cellStyle name="Normal 5 4 6 6 2" xfId="8487"/>
    <cellStyle name="Normal 5 4 6 6 3" xfId="14026"/>
    <cellStyle name="Normal 5 4 6 7" xfId="3073"/>
    <cellStyle name="Normal 5 4 6 7 2" xfId="8616"/>
    <cellStyle name="Normal 5 4 6 7 3" xfId="14155"/>
    <cellStyle name="Normal 5 4 6 8" xfId="4116"/>
    <cellStyle name="Normal 5 4 6 8 2" xfId="9657"/>
    <cellStyle name="Normal 5 4 6 8 3" xfId="15196"/>
    <cellStyle name="Normal 5 4 6 9" xfId="1727"/>
    <cellStyle name="Normal 5 4 6 9 2" xfId="7273"/>
    <cellStyle name="Normal 5 4 6 9 3" xfId="12812"/>
    <cellStyle name="Normal 5 4 7" xfId="355"/>
    <cellStyle name="Normal 5 4 7 10" xfId="5996"/>
    <cellStyle name="Normal 5 4 7 10 2" xfId="17074"/>
    <cellStyle name="Normal 5 4 7 11" xfId="640"/>
    <cellStyle name="Normal 5 4 7 11 2" xfId="17236"/>
    <cellStyle name="Normal 5 4 7 12" xfId="11535"/>
    <cellStyle name="Normal 5 4 7 13" xfId="17403"/>
    <cellStyle name="Normal 5 4 7 14" xfId="17568"/>
    <cellStyle name="Normal 5 4 7 2" xfId="554"/>
    <cellStyle name="Normal 5 4 7 2 2" xfId="1395"/>
    <cellStyle name="Normal 5 4 7 2 2 2" xfId="3927"/>
    <cellStyle name="Normal 5 4 7 2 2 2 2" xfId="9469"/>
    <cellStyle name="Normal 5 4 7 2 2 2 3" xfId="15008"/>
    <cellStyle name="Normal 5 4 7 2 2 3" xfId="4964"/>
    <cellStyle name="Normal 5 4 7 2 2 3 2" xfId="10503"/>
    <cellStyle name="Normal 5 4 7 2 2 3 3" xfId="16042"/>
    <cellStyle name="Normal 5 4 7 2 2 4" xfId="5898"/>
    <cellStyle name="Normal 5 4 7 2 2 4 2" xfId="11437"/>
    <cellStyle name="Normal 5 4 7 2 2 4 3" xfId="16976"/>
    <cellStyle name="Normal 5 4 7 2 2 5" xfId="2600"/>
    <cellStyle name="Normal 5 4 7 2 2 5 2" xfId="8146"/>
    <cellStyle name="Normal 5 4 7 2 2 5 3" xfId="13685"/>
    <cellStyle name="Normal 5 4 7 2 2 6" xfId="6941"/>
    <cellStyle name="Normal 5 4 7 2 2 7" xfId="12480"/>
    <cellStyle name="Normal 5 4 7 2 3" xfId="971"/>
    <cellStyle name="Normal 5 4 7 2 3 2" xfId="3501"/>
    <cellStyle name="Normal 5 4 7 2 3 2 2" xfId="9043"/>
    <cellStyle name="Normal 5 4 7 2 3 2 3" xfId="14582"/>
    <cellStyle name="Normal 5 4 7 2 3 3" xfId="4538"/>
    <cellStyle name="Normal 5 4 7 2 3 3 2" xfId="10077"/>
    <cellStyle name="Normal 5 4 7 2 3 3 3" xfId="15616"/>
    <cellStyle name="Normal 5 4 7 2 3 4" xfId="5473"/>
    <cellStyle name="Normal 5 4 7 2 3 4 2" xfId="11012"/>
    <cellStyle name="Normal 5 4 7 2 3 4 3" xfId="16551"/>
    <cellStyle name="Normal 5 4 7 2 3 5" xfId="2175"/>
    <cellStyle name="Normal 5 4 7 2 3 5 2" xfId="7721"/>
    <cellStyle name="Normal 5 4 7 2 3 5 3" xfId="13260"/>
    <cellStyle name="Normal 5 4 7 2 3 6" xfId="6516"/>
    <cellStyle name="Normal 5 4 7 2 3 7" xfId="12055"/>
    <cellStyle name="Normal 5 4 7 2 4" xfId="3213"/>
    <cellStyle name="Normal 5 4 7 2 4 2" xfId="8755"/>
    <cellStyle name="Normal 5 4 7 2 4 3" xfId="14294"/>
    <cellStyle name="Normal 5 4 7 2 5" xfId="4252"/>
    <cellStyle name="Normal 5 4 7 2 5 2" xfId="9791"/>
    <cellStyle name="Normal 5 4 7 2 5 3" xfId="15330"/>
    <cellStyle name="Normal 5 4 7 2 6" xfId="5213"/>
    <cellStyle name="Normal 5 4 7 2 6 2" xfId="10752"/>
    <cellStyle name="Normal 5 4 7 2 6 3" xfId="16291"/>
    <cellStyle name="Normal 5 4 7 2 7" xfId="1915"/>
    <cellStyle name="Normal 5 4 7 2 7 2" xfId="7461"/>
    <cellStyle name="Normal 5 4 7 2 7 3" xfId="13000"/>
    <cellStyle name="Normal 5 4 7 2 8" xfId="6256"/>
    <cellStyle name="Normal 5 4 7 2 9" xfId="11795"/>
    <cellStyle name="Normal 5 4 7 3" xfId="1148"/>
    <cellStyle name="Normal 5 4 7 3 2" xfId="3678"/>
    <cellStyle name="Normal 5 4 7 3 2 2" xfId="9220"/>
    <cellStyle name="Normal 5 4 7 3 2 3" xfId="14759"/>
    <cellStyle name="Normal 5 4 7 3 3" xfId="4715"/>
    <cellStyle name="Normal 5 4 7 3 3 2" xfId="10254"/>
    <cellStyle name="Normal 5 4 7 3 3 3" xfId="15793"/>
    <cellStyle name="Normal 5 4 7 3 4" xfId="5650"/>
    <cellStyle name="Normal 5 4 7 3 4 2" xfId="11189"/>
    <cellStyle name="Normal 5 4 7 3 4 3" xfId="16728"/>
    <cellStyle name="Normal 5 4 7 3 5" xfId="2352"/>
    <cellStyle name="Normal 5 4 7 3 5 2" xfId="7898"/>
    <cellStyle name="Normal 5 4 7 3 5 3" xfId="13437"/>
    <cellStyle name="Normal 5 4 7 3 6" xfId="6693"/>
    <cellStyle name="Normal 5 4 7 3 7" xfId="12232"/>
    <cellStyle name="Normal 5 4 7 4" xfId="879"/>
    <cellStyle name="Normal 5 4 7 4 2" xfId="3409"/>
    <cellStyle name="Normal 5 4 7 4 2 2" xfId="8951"/>
    <cellStyle name="Normal 5 4 7 4 2 3" xfId="14490"/>
    <cellStyle name="Normal 5 4 7 4 3" xfId="4446"/>
    <cellStyle name="Normal 5 4 7 4 3 2" xfId="9985"/>
    <cellStyle name="Normal 5 4 7 4 3 3" xfId="15524"/>
    <cellStyle name="Normal 5 4 7 4 4" xfId="5381"/>
    <cellStyle name="Normal 5 4 7 4 4 2" xfId="10920"/>
    <cellStyle name="Normal 5 4 7 4 4 3" xfId="16459"/>
    <cellStyle name="Normal 5 4 7 4 5" xfId="2083"/>
    <cellStyle name="Normal 5 4 7 4 5 2" xfId="7629"/>
    <cellStyle name="Normal 5 4 7 4 5 3" xfId="13168"/>
    <cellStyle name="Normal 5 4 7 4 6" xfId="6424"/>
    <cellStyle name="Normal 5 4 7 4 7" xfId="11963"/>
    <cellStyle name="Normal 5 4 7 5" xfId="1493"/>
    <cellStyle name="Normal 5 4 7 5 2" xfId="2698"/>
    <cellStyle name="Normal 5 4 7 5 2 2" xfId="8244"/>
    <cellStyle name="Normal 5 4 7 5 2 3" xfId="13783"/>
    <cellStyle name="Normal 5 4 7 5 3" xfId="7039"/>
    <cellStyle name="Normal 5 4 7 5 4" xfId="12578"/>
    <cellStyle name="Normal 5 4 7 6" xfId="2871"/>
    <cellStyle name="Normal 5 4 7 6 2" xfId="8415"/>
    <cellStyle name="Normal 5 4 7 6 3" xfId="13954"/>
    <cellStyle name="Normal 5 4 7 7" xfId="2845"/>
    <cellStyle name="Normal 5 4 7 7 2" xfId="8391"/>
    <cellStyle name="Normal 5 4 7 7 3" xfId="13930"/>
    <cellStyle name="Normal 5 4 7 8" xfId="3301"/>
    <cellStyle name="Normal 5 4 7 8 2" xfId="8843"/>
    <cellStyle name="Normal 5 4 7 8 3" xfId="14382"/>
    <cellStyle name="Normal 5 4 7 9" xfId="1655"/>
    <cellStyle name="Normal 5 4 7 9 2" xfId="7201"/>
    <cellStyle name="Normal 5 4 7 9 3" xfId="12740"/>
    <cellStyle name="Normal 5 4 8" xfId="459"/>
    <cellStyle name="Normal 5 4 8 2" xfId="1301"/>
    <cellStyle name="Normal 5 4 8 2 2" xfId="3832"/>
    <cellStyle name="Normal 5 4 8 2 2 2" xfId="9374"/>
    <cellStyle name="Normal 5 4 8 2 2 3" xfId="14913"/>
    <cellStyle name="Normal 5 4 8 2 3" xfId="4869"/>
    <cellStyle name="Normal 5 4 8 2 3 2" xfId="10408"/>
    <cellStyle name="Normal 5 4 8 2 3 3" xfId="15947"/>
    <cellStyle name="Normal 5 4 8 2 4" xfId="5804"/>
    <cellStyle name="Normal 5 4 8 2 4 2" xfId="11343"/>
    <cellStyle name="Normal 5 4 8 2 4 3" xfId="16882"/>
    <cellStyle name="Normal 5 4 8 2 5" xfId="2506"/>
    <cellStyle name="Normal 5 4 8 2 5 2" xfId="8052"/>
    <cellStyle name="Normal 5 4 8 2 5 3" xfId="13591"/>
    <cellStyle name="Normal 5 4 8 2 6" xfId="6847"/>
    <cellStyle name="Normal 5 4 8 2 7" xfId="12386"/>
    <cellStyle name="Normal 5 4 8 3" xfId="953"/>
    <cellStyle name="Normal 5 4 8 3 2" xfId="3483"/>
    <cellStyle name="Normal 5 4 8 3 2 2" xfId="9025"/>
    <cellStyle name="Normal 5 4 8 3 2 3" xfId="14564"/>
    <cellStyle name="Normal 5 4 8 3 3" xfId="4520"/>
    <cellStyle name="Normal 5 4 8 3 3 2" xfId="10059"/>
    <cellStyle name="Normal 5 4 8 3 3 3" xfId="15598"/>
    <cellStyle name="Normal 5 4 8 3 4" xfId="5455"/>
    <cellStyle name="Normal 5 4 8 3 4 2" xfId="10994"/>
    <cellStyle name="Normal 5 4 8 3 4 3" xfId="16533"/>
    <cellStyle name="Normal 5 4 8 3 5" xfId="2157"/>
    <cellStyle name="Normal 5 4 8 3 5 2" xfId="7703"/>
    <cellStyle name="Normal 5 4 8 3 5 3" xfId="13242"/>
    <cellStyle name="Normal 5 4 8 3 6" xfId="6498"/>
    <cellStyle name="Normal 5 4 8 3 7" xfId="12037"/>
    <cellStyle name="Normal 5 4 8 4" xfId="3109"/>
    <cellStyle name="Normal 5 4 8 4 2" xfId="8652"/>
    <cellStyle name="Normal 5 4 8 4 3" xfId="14191"/>
    <cellStyle name="Normal 5 4 8 5" xfId="4152"/>
    <cellStyle name="Normal 5 4 8 5 2" xfId="9693"/>
    <cellStyle name="Normal 5 4 8 5 3" xfId="15232"/>
    <cellStyle name="Normal 5 4 8 6" xfId="5119"/>
    <cellStyle name="Normal 5 4 8 6 2" xfId="10658"/>
    <cellStyle name="Normal 5 4 8 6 3" xfId="16197"/>
    <cellStyle name="Normal 5 4 8 7" xfId="1821"/>
    <cellStyle name="Normal 5 4 8 7 2" xfId="7367"/>
    <cellStyle name="Normal 5 4 8 7 3" xfId="12906"/>
    <cellStyle name="Normal 5 4 8 8" xfId="6162"/>
    <cellStyle name="Normal 5 4 8 9" xfId="11701"/>
    <cellStyle name="Normal 5 4 9" xfId="1130"/>
    <cellStyle name="Normal 5 4 9 2" xfId="3660"/>
    <cellStyle name="Normal 5 4 9 2 2" xfId="9202"/>
    <cellStyle name="Normal 5 4 9 2 3" xfId="14741"/>
    <cellStyle name="Normal 5 4 9 3" xfId="4697"/>
    <cellStyle name="Normal 5 4 9 3 2" xfId="10236"/>
    <cellStyle name="Normal 5 4 9 3 3" xfId="15775"/>
    <cellStyle name="Normal 5 4 9 4" xfId="5632"/>
    <cellStyle name="Normal 5 4 9 4 2" xfId="11171"/>
    <cellStyle name="Normal 5 4 9 4 3" xfId="16710"/>
    <cellStyle name="Normal 5 4 9 5" xfId="2334"/>
    <cellStyle name="Normal 5 4 9 5 2" xfId="7880"/>
    <cellStyle name="Normal 5 4 9 5 3" xfId="13419"/>
    <cellStyle name="Normal 5 4 9 6" xfId="6675"/>
    <cellStyle name="Normal 5 4 9 7" xfId="12214"/>
    <cellStyle name="Normal 5 5" xfId="256"/>
    <cellStyle name="Normal 5 5 10" xfId="1481"/>
    <cellStyle name="Normal 5 5 10 2" xfId="2686"/>
    <cellStyle name="Normal 5 5 10 2 2" xfId="8232"/>
    <cellStyle name="Normal 5 5 10 2 3" xfId="13771"/>
    <cellStyle name="Normal 5 5 10 3" xfId="7027"/>
    <cellStyle name="Normal 5 5 10 4" xfId="12566"/>
    <cellStyle name="Normal 5 5 11" xfId="2859"/>
    <cellStyle name="Normal 5 5 11 2" xfId="8403"/>
    <cellStyle name="Normal 5 5 11 3" xfId="13942"/>
    <cellStyle name="Normal 5 5 12" xfId="3102"/>
    <cellStyle name="Normal 5 5 12 2" xfId="8645"/>
    <cellStyle name="Normal 5 5 12 3" xfId="14184"/>
    <cellStyle name="Normal 5 5 13" xfId="4145"/>
    <cellStyle name="Normal 5 5 13 2" xfId="9686"/>
    <cellStyle name="Normal 5 5 13 3" xfId="15225"/>
    <cellStyle name="Normal 5 5 14" xfId="1643"/>
    <cellStyle name="Normal 5 5 14 2" xfId="7189"/>
    <cellStyle name="Normal 5 5 14 3" xfId="12728"/>
    <cellStyle name="Normal 5 5 15" xfId="5984"/>
    <cellStyle name="Normal 5 5 15 2" xfId="17062"/>
    <cellStyle name="Normal 5 5 16" xfId="628"/>
    <cellStyle name="Normal 5 5 16 2" xfId="17224"/>
    <cellStyle name="Normal 5 5 17" xfId="11523"/>
    <cellStyle name="Normal 5 5 18" xfId="17391"/>
    <cellStyle name="Normal 5 5 19" xfId="17556"/>
    <cellStyle name="Normal 5 5 2" xfId="356"/>
    <cellStyle name="Normal 5 5 2 10" xfId="1697"/>
    <cellStyle name="Normal 5 5 2 10 2" xfId="7243"/>
    <cellStyle name="Normal 5 5 2 10 3" xfId="12782"/>
    <cellStyle name="Normal 5 5 2 11" xfId="6038"/>
    <cellStyle name="Normal 5 5 2 11 2" xfId="17116"/>
    <cellStyle name="Normal 5 5 2 12" xfId="682"/>
    <cellStyle name="Normal 5 5 2 12 2" xfId="17278"/>
    <cellStyle name="Normal 5 5 2 13" xfId="11577"/>
    <cellStyle name="Normal 5 5 2 14" xfId="17445"/>
    <cellStyle name="Normal 5 5 2 15" xfId="17610"/>
    <cellStyle name="Normal 5 5 2 2" xfId="357"/>
    <cellStyle name="Normal 5 5 2 2 10" xfId="6128"/>
    <cellStyle name="Normal 5 5 2 2 10 2" xfId="17206"/>
    <cellStyle name="Normal 5 5 2 2 11" xfId="772"/>
    <cellStyle name="Normal 5 5 2 2 11 2" xfId="17368"/>
    <cellStyle name="Normal 5 5 2 2 12" xfId="11667"/>
    <cellStyle name="Normal 5 5 2 2 13" xfId="17535"/>
    <cellStyle name="Normal 5 5 2 2 14" xfId="17700"/>
    <cellStyle name="Normal 5 5 2 2 2" xfId="556"/>
    <cellStyle name="Normal 5 5 2 2 2 2" xfId="1397"/>
    <cellStyle name="Normal 5 5 2 2 2 2 2" xfId="3929"/>
    <cellStyle name="Normal 5 5 2 2 2 2 2 2" xfId="9471"/>
    <cellStyle name="Normal 5 5 2 2 2 2 2 3" xfId="15010"/>
    <cellStyle name="Normal 5 5 2 2 2 2 3" xfId="4966"/>
    <cellStyle name="Normal 5 5 2 2 2 2 3 2" xfId="10505"/>
    <cellStyle name="Normal 5 5 2 2 2 2 3 3" xfId="16044"/>
    <cellStyle name="Normal 5 5 2 2 2 2 4" xfId="5900"/>
    <cellStyle name="Normal 5 5 2 2 2 2 4 2" xfId="11439"/>
    <cellStyle name="Normal 5 5 2 2 2 2 4 3" xfId="16978"/>
    <cellStyle name="Normal 5 5 2 2 2 2 5" xfId="2602"/>
    <cellStyle name="Normal 5 5 2 2 2 2 5 2" xfId="8148"/>
    <cellStyle name="Normal 5 5 2 2 2 2 5 3" xfId="13687"/>
    <cellStyle name="Normal 5 5 2 2 2 2 6" xfId="6943"/>
    <cellStyle name="Normal 5 5 2 2 2 2 7" xfId="12482"/>
    <cellStyle name="Normal 5 5 2 2 2 3" xfId="1103"/>
    <cellStyle name="Normal 5 5 2 2 2 3 2" xfId="3633"/>
    <cellStyle name="Normal 5 5 2 2 2 3 2 2" xfId="9175"/>
    <cellStyle name="Normal 5 5 2 2 2 3 2 3" xfId="14714"/>
    <cellStyle name="Normal 5 5 2 2 2 3 3" xfId="4670"/>
    <cellStyle name="Normal 5 5 2 2 2 3 3 2" xfId="10209"/>
    <cellStyle name="Normal 5 5 2 2 2 3 3 3" xfId="15748"/>
    <cellStyle name="Normal 5 5 2 2 2 3 4" xfId="5605"/>
    <cellStyle name="Normal 5 5 2 2 2 3 4 2" xfId="11144"/>
    <cellStyle name="Normal 5 5 2 2 2 3 4 3" xfId="16683"/>
    <cellStyle name="Normal 5 5 2 2 2 3 5" xfId="2307"/>
    <cellStyle name="Normal 5 5 2 2 2 3 5 2" xfId="7853"/>
    <cellStyle name="Normal 5 5 2 2 2 3 5 3" xfId="13392"/>
    <cellStyle name="Normal 5 5 2 2 2 3 6" xfId="6648"/>
    <cellStyle name="Normal 5 5 2 2 2 3 7" xfId="12187"/>
    <cellStyle name="Normal 5 5 2 2 2 4" xfId="3215"/>
    <cellStyle name="Normal 5 5 2 2 2 4 2" xfId="8757"/>
    <cellStyle name="Normal 5 5 2 2 2 4 3" xfId="14296"/>
    <cellStyle name="Normal 5 5 2 2 2 5" xfId="4254"/>
    <cellStyle name="Normal 5 5 2 2 2 5 2" xfId="9793"/>
    <cellStyle name="Normal 5 5 2 2 2 5 3" xfId="15332"/>
    <cellStyle name="Normal 5 5 2 2 2 6" xfId="5215"/>
    <cellStyle name="Normal 5 5 2 2 2 6 2" xfId="10754"/>
    <cellStyle name="Normal 5 5 2 2 2 6 3" xfId="16293"/>
    <cellStyle name="Normal 5 5 2 2 2 7" xfId="1917"/>
    <cellStyle name="Normal 5 5 2 2 2 7 2" xfId="7463"/>
    <cellStyle name="Normal 5 5 2 2 2 7 3" xfId="13002"/>
    <cellStyle name="Normal 5 5 2 2 2 8" xfId="6258"/>
    <cellStyle name="Normal 5 5 2 2 2 9" xfId="11797"/>
    <cellStyle name="Normal 5 5 2 2 3" xfId="1280"/>
    <cellStyle name="Normal 5 5 2 2 3 2" xfId="3810"/>
    <cellStyle name="Normal 5 5 2 2 3 2 2" xfId="9352"/>
    <cellStyle name="Normal 5 5 2 2 3 2 3" xfId="14891"/>
    <cellStyle name="Normal 5 5 2 2 3 3" xfId="4847"/>
    <cellStyle name="Normal 5 5 2 2 3 3 2" xfId="10386"/>
    <cellStyle name="Normal 5 5 2 2 3 3 3" xfId="15925"/>
    <cellStyle name="Normal 5 5 2 2 3 4" xfId="5782"/>
    <cellStyle name="Normal 5 5 2 2 3 4 2" xfId="11321"/>
    <cellStyle name="Normal 5 5 2 2 3 4 3" xfId="16860"/>
    <cellStyle name="Normal 5 5 2 2 3 5" xfId="2484"/>
    <cellStyle name="Normal 5 5 2 2 3 5 2" xfId="8030"/>
    <cellStyle name="Normal 5 5 2 2 3 5 3" xfId="13569"/>
    <cellStyle name="Normal 5 5 2 2 3 6" xfId="6825"/>
    <cellStyle name="Normal 5 5 2 2 3 7" xfId="12364"/>
    <cellStyle name="Normal 5 5 2 2 4" xfId="882"/>
    <cellStyle name="Normal 5 5 2 2 4 2" xfId="3412"/>
    <cellStyle name="Normal 5 5 2 2 4 2 2" xfId="8954"/>
    <cellStyle name="Normal 5 5 2 2 4 2 3" xfId="14493"/>
    <cellStyle name="Normal 5 5 2 2 4 3" xfId="4449"/>
    <cellStyle name="Normal 5 5 2 2 4 3 2" xfId="9988"/>
    <cellStyle name="Normal 5 5 2 2 4 3 3" xfId="15527"/>
    <cellStyle name="Normal 5 5 2 2 4 4" xfId="5384"/>
    <cellStyle name="Normal 5 5 2 2 4 4 2" xfId="10923"/>
    <cellStyle name="Normal 5 5 2 2 4 4 3" xfId="16462"/>
    <cellStyle name="Normal 5 5 2 2 4 5" xfId="2086"/>
    <cellStyle name="Normal 5 5 2 2 4 5 2" xfId="7632"/>
    <cellStyle name="Normal 5 5 2 2 4 5 3" xfId="13171"/>
    <cellStyle name="Normal 5 5 2 2 4 6" xfId="6427"/>
    <cellStyle name="Normal 5 5 2 2 4 7" xfId="11966"/>
    <cellStyle name="Normal 5 5 2 2 5" xfId="1625"/>
    <cellStyle name="Normal 5 5 2 2 5 2" xfId="2830"/>
    <cellStyle name="Normal 5 5 2 2 5 2 2" xfId="8376"/>
    <cellStyle name="Normal 5 5 2 2 5 2 3" xfId="13915"/>
    <cellStyle name="Normal 5 5 2 2 5 3" xfId="7171"/>
    <cellStyle name="Normal 5 5 2 2 5 4" xfId="12710"/>
    <cellStyle name="Normal 5 5 2 2 6" xfId="3003"/>
    <cellStyle name="Normal 5 5 2 2 6 2" xfId="8547"/>
    <cellStyle name="Normal 5 5 2 2 6 3" xfId="14086"/>
    <cellStyle name="Normal 5 5 2 2 7" xfId="4048"/>
    <cellStyle name="Normal 5 5 2 2 7 2" xfId="9590"/>
    <cellStyle name="Normal 5 5 2 2 7 3" xfId="15129"/>
    <cellStyle name="Normal 5 5 2 2 8" xfId="5085"/>
    <cellStyle name="Normal 5 5 2 2 8 2" xfId="10624"/>
    <cellStyle name="Normal 5 5 2 2 8 3" xfId="16163"/>
    <cellStyle name="Normal 5 5 2 2 9" xfId="1787"/>
    <cellStyle name="Normal 5 5 2 2 9 2" xfId="7333"/>
    <cellStyle name="Normal 5 5 2 2 9 3" xfId="12872"/>
    <cellStyle name="Normal 5 5 2 3" xfId="555"/>
    <cellStyle name="Normal 5 5 2 3 2" xfId="1396"/>
    <cellStyle name="Normal 5 5 2 3 2 2" xfId="3928"/>
    <cellStyle name="Normal 5 5 2 3 2 2 2" xfId="9470"/>
    <cellStyle name="Normal 5 5 2 3 2 2 3" xfId="15009"/>
    <cellStyle name="Normal 5 5 2 3 2 3" xfId="4965"/>
    <cellStyle name="Normal 5 5 2 3 2 3 2" xfId="10504"/>
    <cellStyle name="Normal 5 5 2 3 2 3 3" xfId="16043"/>
    <cellStyle name="Normal 5 5 2 3 2 4" xfId="5899"/>
    <cellStyle name="Normal 5 5 2 3 2 4 2" xfId="11438"/>
    <cellStyle name="Normal 5 5 2 3 2 4 3" xfId="16977"/>
    <cellStyle name="Normal 5 5 2 3 2 5" xfId="2601"/>
    <cellStyle name="Normal 5 5 2 3 2 5 2" xfId="8147"/>
    <cellStyle name="Normal 5 5 2 3 2 5 3" xfId="13686"/>
    <cellStyle name="Normal 5 5 2 3 2 6" xfId="6942"/>
    <cellStyle name="Normal 5 5 2 3 2 7" xfId="12481"/>
    <cellStyle name="Normal 5 5 2 3 3" xfId="1013"/>
    <cellStyle name="Normal 5 5 2 3 3 2" xfId="3543"/>
    <cellStyle name="Normal 5 5 2 3 3 2 2" xfId="9085"/>
    <cellStyle name="Normal 5 5 2 3 3 2 3" xfId="14624"/>
    <cellStyle name="Normal 5 5 2 3 3 3" xfId="4580"/>
    <cellStyle name="Normal 5 5 2 3 3 3 2" xfId="10119"/>
    <cellStyle name="Normal 5 5 2 3 3 3 3" xfId="15658"/>
    <cellStyle name="Normal 5 5 2 3 3 4" xfId="5515"/>
    <cellStyle name="Normal 5 5 2 3 3 4 2" xfId="11054"/>
    <cellStyle name="Normal 5 5 2 3 3 4 3" xfId="16593"/>
    <cellStyle name="Normal 5 5 2 3 3 5" xfId="2217"/>
    <cellStyle name="Normal 5 5 2 3 3 5 2" xfId="7763"/>
    <cellStyle name="Normal 5 5 2 3 3 5 3" xfId="13302"/>
    <cellStyle name="Normal 5 5 2 3 3 6" xfId="6558"/>
    <cellStyle name="Normal 5 5 2 3 3 7" xfId="12097"/>
    <cellStyle name="Normal 5 5 2 3 4" xfId="3214"/>
    <cellStyle name="Normal 5 5 2 3 4 2" xfId="8756"/>
    <cellStyle name="Normal 5 5 2 3 4 3" xfId="14295"/>
    <cellStyle name="Normal 5 5 2 3 5" xfId="4253"/>
    <cellStyle name="Normal 5 5 2 3 5 2" xfId="9792"/>
    <cellStyle name="Normal 5 5 2 3 5 3" xfId="15331"/>
    <cellStyle name="Normal 5 5 2 3 6" xfId="5214"/>
    <cellStyle name="Normal 5 5 2 3 6 2" xfId="10753"/>
    <cellStyle name="Normal 5 5 2 3 6 3" xfId="16292"/>
    <cellStyle name="Normal 5 5 2 3 7" xfId="1916"/>
    <cellStyle name="Normal 5 5 2 3 7 2" xfId="7462"/>
    <cellStyle name="Normal 5 5 2 3 7 3" xfId="13001"/>
    <cellStyle name="Normal 5 5 2 3 8" xfId="6257"/>
    <cellStyle name="Normal 5 5 2 3 9" xfId="11796"/>
    <cellStyle name="Normal 5 5 2 4" xfId="1190"/>
    <cellStyle name="Normal 5 5 2 4 2" xfId="3720"/>
    <cellStyle name="Normal 5 5 2 4 2 2" xfId="9262"/>
    <cellStyle name="Normal 5 5 2 4 2 3" xfId="14801"/>
    <cellStyle name="Normal 5 5 2 4 3" xfId="4757"/>
    <cellStyle name="Normal 5 5 2 4 3 2" xfId="10296"/>
    <cellStyle name="Normal 5 5 2 4 3 3" xfId="15835"/>
    <cellStyle name="Normal 5 5 2 4 4" xfId="5692"/>
    <cellStyle name="Normal 5 5 2 4 4 2" xfId="11231"/>
    <cellStyle name="Normal 5 5 2 4 4 3" xfId="16770"/>
    <cellStyle name="Normal 5 5 2 4 5" xfId="2394"/>
    <cellStyle name="Normal 5 5 2 4 5 2" xfId="7940"/>
    <cellStyle name="Normal 5 5 2 4 5 3" xfId="13479"/>
    <cellStyle name="Normal 5 5 2 4 6" xfId="6735"/>
    <cellStyle name="Normal 5 5 2 4 7" xfId="12274"/>
    <cellStyle name="Normal 5 5 2 5" xfId="881"/>
    <cellStyle name="Normal 5 5 2 5 2" xfId="3411"/>
    <cellStyle name="Normal 5 5 2 5 2 2" xfId="8953"/>
    <cellStyle name="Normal 5 5 2 5 2 3" xfId="14492"/>
    <cellStyle name="Normal 5 5 2 5 3" xfId="4448"/>
    <cellStyle name="Normal 5 5 2 5 3 2" xfId="9987"/>
    <cellStyle name="Normal 5 5 2 5 3 3" xfId="15526"/>
    <cellStyle name="Normal 5 5 2 5 4" xfId="5383"/>
    <cellStyle name="Normal 5 5 2 5 4 2" xfId="10922"/>
    <cellStyle name="Normal 5 5 2 5 4 3" xfId="16461"/>
    <cellStyle name="Normal 5 5 2 5 5" xfId="2085"/>
    <cellStyle name="Normal 5 5 2 5 5 2" xfId="7631"/>
    <cellStyle name="Normal 5 5 2 5 5 3" xfId="13170"/>
    <cellStyle name="Normal 5 5 2 5 6" xfId="6426"/>
    <cellStyle name="Normal 5 5 2 5 7" xfId="11965"/>
    <cellStyle name="Normal 5 5 2 6" xfId="1535"/>
    <cellStyle name="Normal 5 5 2 6 2" xfId="2740"/>
    <cellStyle name="Normal 5 5 2 6 2 2" xfId="8286"/>
    <cellStyle name="Normal 5 5 2 6 2 3" xfId="13825"/>
    <cellStyle name="Normal 5 5 2 6 3" xfId="7081"/>
    <cellStyle name="Normal 5 5 2 6 4" xfId="12620"/>
    <cellStyle name="Normal 5 5 2 7" xfId="2913"/>
    <cellStyle name="Normal 5 5 2 7 2" xfId="8457"/>
    <cellStyle name="Normal 5 5 2 7 3" xfId="13996"/>
    <cellStyle name="Normal 5 5 2 8" xfId="3088"/>
    <cellStyle name="Normal 5 5 2 8 2" xfId="8631"/>
    <cellStyle name="Normal 5 5 2 8 3" xfId="14170"/>
    <cellStyle name="Normal 5 5 2 9" xfId="4131"/>
    <cellStyle name="Normal 5 5 2 9 2" xfId="9672"/>
    <cellStyle name="Normal 5 5 2 9 3" xfId="15211"/>
    <cellStyle name="Normal 5 5 3" xfId="358"/>
    <cellStyle name="Normal 5 5 3 10" xfId="1679"/>
    <cellStyle name="Normal 5 5 3 10 2" xfId="7225"/>
    <cellStyle name="Normal 5 5 3 10 3" xfId="12764"/>
    <cellStyle name="Normal 5 5 3 11" xfId="6020"/>
    <cellStyle name="Normal 5 5 3 11 2" xfId="17098"/>
    <cellStyle name="Normal 5 5 3 12" xfId="664"/>
    <cellStyle name="Normal 5 5 3 12 2" xfId="17260"/>
    <cellStyle name="Normal 5 5 3 13" xfId="11559"/>
    <cellStyle name="Normal 5 5 3 14" xfId="17427"/>
    <cellStyle name="Normal 5 5 3 15" xfId="17592"/>
    <cellStyle name="Normal 5 5 3 2" xfId="359"/>
    <cellStyle name="Normal 5 5 3 2 10" xfId="6110"/>
    <cellStyle name="Normal 5 5 3 2 10 2" xfId="17188"/>
    <cellStyle name="Normal 5 5 3 2 11" xfId="754"/>
    <cellStyle name="Normal 5 5 3 2 11 2" xfId="17350"/>
    <cellStyle name="Normal 5 5 3 2 12" xfId="11649"/>
    <cellStyle name="Normal 5 5 3 2 13" xfId="17517"/>
    <cellStyle name="Normal 5 5 3 2 14" xfId="17682"/>
    <cellStyle name="Normal 5 5 3 2 2" xfId="558"/>
    <cellStyle name="Normal 5 5 3 2 2 2" xfId="1399"/>
    <cellStyle name="Normal 5 5 3 2 2 2 2" xfId="3931"/>
    <cellStyle name="Normal 5 5 3 2 2 2 2 2" xfId="9473"/>
    <cellStyle name="Normal 5 5 3 2 2 2 2 3" xfId="15012"/>
    <cellStyle name="Normal 5 5 3 2 2 2 3" xfId="4968"/>
    <cellStyle name="Normal 5 5 3 2 2 2 3 2" xfId="10507"/>
    <cellStyle name="Normal 5 5 3 2 2 2 3 3" xfId="16046"/>
    <cellStyle name="Normal 5 5 3 2 2 2 4" xfId="5902"/>
    <cellStyle name="Normal 5 5 3 2 2 2 4 2" xfId="11441"/>
    <cellStyle name="Normal 5 5 3 2 2 2 4 3" xfId="16980"/>
    <cellStyle name="Normal 5 5 3 2 2 2 5" xfId="2604"/>
    <cellStyle name="Normal 5 5 3 2 2 2 5 2" xfId="8150"/>
    <cellStyle name="Normal 5 5 3 2 2 2 5 3" xfId="13689"/>
    <cellStyle name="Normal 5 5 3 2 2 2 6" xfId="6945"/>
    <cellStyle name="Normal 5 5 3 2 2 2 7" xfId="12484"/>
    <cellStyle name="Normal 5 5 3 2 2 3" xfId="1085"/>
    <cellStyle name="Normal 5 5 3 2 2 3 2" xfId="3615"/>
    <cellStyle name="Normal 5 5 3 2 2 3 2 2" xfId="9157"/>
    <cellStyle name="Normal 5 5 3 2 2 3 2 3" xfId="14696"/>
    <cellStyle name="Normal 5 5 3 2 2 3 3" xfId="4652"/>
    <cellStyle name="Normal 5 5 3 2 2 3 3 2" xfId="10191"/>
    <cellStyle name="Normal 5 5 3 2 2 3 3 3" xfId="15730"/>
    <cellStyle name="Normal 5 5 3 2 2 3 4" xfId="5587"/>
    <cellStyle name="Normal 5 5 3 2 2 3 4 2" xfId="11126"/>
    <cellStyle name="Normal 5 5 3 2 2 3 4 3" xfId="16665"/>
    <cellStyle name="Normal 5 5 3 2 2 3 5" xfId="2289"/>
    <cellStyle name="Normal 5 5 3 2 2 3 5 2" xfId="7835"/>
    <cellStyle name="Normal 5 5 3 2 2 3 5 3" xfId="13374"/>
    <cellStyle name="Normal 5 5 3 2 2 3 6" xfId="6630"/>
    <cellStyle name="Normal 5 5 3 2 2 3 7" xfId="12169"/>
    <cellStyle name="Normal 5 5 3 2 2 4" xfId="3217"/>
    <cellStyle name="Normal 5 5 3 2 2 4 2" xfId="8759"/>
    <cellStyle name="Normal 5 5 3 2 2 4 3" xfId="14298"/>
    <cellStyle name="Normal 5 5 3 2 2 5" xfId="4256"/>
    <cellStyle name="Normal 5 5 3 2 2 5 2" xfId="9795"/>
    <cellStyle name="Normal 5 5 3 2 2 5 3" xfId="15334"/>
    <cellStyle name="Normal 5 5 3 2 2 6" xfId="5217"/>
    <cellStyle name="Normal 5 5 3 2 2 6 2" xfId="10756"/>
    <cellStyle name="Normal 5 5 3 2 2 6 3" xfId="16295"/>
    <cellStyle name="Normal 5 5 3 2 2 7" xfId="1919"/>
    <cellStyle name="Normal 5 5 3 2 2 7 2" xfId="7465"/>
    <cellStyle name="Normal 5 5 3 2 2 7 3" xfId="13004"/>
    <cellStyle name="Normal 5 5 3 2 2 8" xfId="6260"/>
    <cellStyle name="Normal 5 5 3 2 2 9" xfId="11799"/>
    <cellStyle name="Normal 5 5 3 2 3" xfId="1262"/>
    <cellStyle name="Normal 5 5 3 2 3 2" xfId="3792"/>
    <cellStyle name="Normal 5 5 3 2 3 2 2" xfId="9334"/>
    <cellStyle name="Normal 5 5 3 2 3 2 3" xfId="14873"/>
    <cellStyle name="Normal 5 5 3 2 3 3" xfId="4829"/>
    <cellStyle name="Normal 5 5 3 2 3 3 2" xfId="10368"/>
    <cellStyle name="Normal 5 5 3 2 3 3 3" xfId="15907"/>
    <cellStyle name="Normal 5 5 3 2 3 4" xfId="5764"/>
    <cellStyle name="Normal 5 5 3 2 3 4 2" xfId="11303"/>
    <cellStyle name="Normal 5 5 3 2 3 4 3" xfId="16842"/>
    <cellStyle name="Normal 5 5 3 2 3 5" xfId="2466"/>
    <cellStyle name="Normal 5 5 3 2 3 5 2" xfId="8012"/>
    <cellStyle name="Normal 5 5 3 2 3 5 3" xfId="13551"/>
    <cellStyle name="Normal 5 5 3 2 3 6" xfId="6807"/>
    <cellStyle name="Normal 5 5 3 2 3 7" xfId="12346"/>
    <cellStyle name="Normal 5 5 3 2 4" xfId="884"/>
    <cellStyle name="Normal 5 5 3 2 4 2" xfId="3414"/>
    <cellStyle name="Normal 5 5 3 2 4 2 2" xfId="8956"/>
    <cellStyle name="Normal 5 5 3 2 4 2 3" xfId="14495"/>
    <cellStyle name="Normal 5 5 3 2 4 3" xfId="4451"/>
    <cellStyle name="Normal 5 5 3 2 4 3 2" xfId="9990"/>
    <cellStyle name="Normal 5 5 3 2 4 3 3" xfId="15529"/>
    <cellStyle name="Normal 5 5 3 2 4 4" xfId="5386"/>
    <cellStyle name="Normal 5 5 3 2 4 4 2" xfId="10925"/>
    <cellStyle name="Normal 5 5 3 2 4 4 3" xfId="16464"/>
    <cellStyle name="Normal 5 5 3 2 4 5" xfId="2088"/>
    <cellStyle name="Normal 5 5 3 2 4 5 2" xfId="7634"/>
    <cellStyle name="Normal 5 5 3 2 4 5 3" xfId="13173"/>
    <cellStyle name="Normal 5 5 3 2 4 6" xfId="6429"/>
    <cellStyle name="Normal 5 5 3 2 4 7" xfId="11968"/>
    <cellStyle name="Normal 5 5 3 2 5" xfId="1607"/>
    <cellStyle name="Normal 5 5 3 2 5 2" xfId="2812"/>
    <cellStyle name="Normal 5 5 3 2 5 2 2" xfId="8358"/>
    <cellStyle name="Normal 5 5 3 2 5 2 3" xfId="13897"/>
    <cellStyle name="Normal 5 5 3 2 5 3" xfId="7153"/>
    <cellStyle name="Normal 5 5 3 2 5 4" xfId="12692"/>
    <cellStyle name="Normal 5 5 3 2 6" xfId="2985"/>
    <cellStyle name="Normal 5 5 3 2 6 2" xfId="8529"/>
    <cellStyle name="Normal 5 5 3 2 6 3" xfId="14068"/>
    <cellStyle name="Normal 5 5 3 2 7" xfId="4030"/>
    <cellStyle name="Normal 5 5 3 2 7 2" xfId="9572"/>
    <cellStyle name="Normal 5 5 3 2 7 3" xfId="15111"/>
    <cellStyle name="Normal 5 5 3 2 8" xfId="5067"/>
    <cellStyle name="Normal 5 5 3 2 8 2" xfId="10606"/>
    <cellStyle name="Normal 5 5 3 2 8 3" xfId="16145"/>
    <cellStyle name="Normal 5 5 3 2 9" xfId="1769"/>
    <cellStyle name="Normal 5 5 3 2 9 2" xfId="7315"/>
    <cellStyle name="Normal 5 5 3 2 9 3" xfId="12854"/>
    <cellStyle name="Normal 5 5 3 3" xfId="557"/>
    <cellStyle name="Normal 5 5 3 3 2" xfId="1398"/>
    <cellStyle name="Normal 5 5 3 3 2 2" xfId="3930"/>
    <cellStyle name="Normal 5 5 3 3 2 2 2" xfId="9472"/>
    <cellStyle name="Normal 5 5 3 3 2 2 3" xfId="15011"/>
    <cellStyle name="Normal 5 5 3 3 2 3" xfId="4967"/>
    <cellStyle name="Normal 5 5 3 3 2 3 2" xfId="10506"/>
    <cellStyle name="Normal 5 5 3 3 2 3 3" xfId="16045"/>
    <cellStyle name="Normal 5 5 3 3 2 4" xfId="5901"/>
    <cellStyle name="Normal 5 5 3 3 2 4 2" xfId="11440"/>
    <cellStyle name="Normal 5 5 3 3 2 4 3" xfId="16979"/>
    <cellStyle name="Normal 5 5 3 3 2 5" xfId="2603"/>
    <cellStyle name="Normal 5 5 3 3 2 5 2" xfId="8149"/>
    <cellStyle name="Normal 5 5 3 3 2 5 3" xfId="13688"/>
    <cellStyle name="Normal 5 5 3 3 2 6" xfId="6944"/>
    <cellStyle name="Normal 5 5 3 3 2 7" xfId="12483"/>
    <cellStyle name="Normal 5 5 3 3 3" xfId="995"/>
    <cellStyle name="Normal 5 5 3 3 3 2" xfId="3525"/>
    <cellStyle name="Normal 5 5 3 3 3 2 2" xfId="9067"/>
    <cellStyle name="Normal 5 5 3 3 3 2 3" xfId="14606"/>
    <cellStyle name="Normal 5 5 3 3 3 3" xfId="4562"/>
    <cellStyle name="Normal 5 5 3 3 3 3 2" xfId="10101"/>
    <cellStyle name="Normal 5 5 3 3 3 3 3" xfId="15640"/>
    <cellStyle name="Normal 5 5 3 3 3 4" xfId="5497"/>
    <cellStyle name="Normal 5 5 3 3 3 4 2" xfId="11036"/>
    <cellStyle name="Normal 5 5 3 3 3 4 3" xfId="16575"/>
    <cellStyle name="Normal 5 5 3 3 3 5" xfId="2199"/>
    <cellStyle name="Normal 5 5 3 3 3 5 2" xfId="7745"/>
    <cellStyle name="Normal 5 5 3 3 3 5 3" xfId="13284"/>
    <cellStyle name="Normal 5 5 3 3 3 6" xfId="6540"/>
    <cellStyle name="Normal 5 5 3 3 3 7" xfId="12079"/>
    <cellStyle name="Normal 5 5 3 3 4" xfId="3216"/>
    <cellStyle name="Normal 5 5 3 3 4 2" xfId="8758"/>
    <cellStyle name="Normal 5 5 3 3 4 3" xfId="14297"/>
    <cellStyle name="Normal 5 5 3 3 5" xfId="4255"/>
    <cellStyle name="Normal 5 5 3 3 5 2" xfId="9794"/>
    <cellStyle name="Normal 5 5 3 3 5 3" xfId="15333"/>
    <cellStyle name="Normal 5 5 3 3 6" xfId="5216"/>
    <cellStyle name="Normal 5 5 3 3 6 2" xfId="10755"/>
    <cellStyle name="Normal 5 5 3 3 6 3" xfId="16294"/>
    <cellStyle name="Normal 5 5 3 3 7" xfId="1918"/>
    <cellStyle name="Normal 5 5 3 3 7 2" xfId="7464"/>
    <cellStyle name="Normal 5 5 3 3 7 3" xfId="13003"/>
    <cellStyle name="Normal 5 5 3 3 8" xfId="6259"/>
    <cellStyle name="Normal 5 5 3 3 9" xfId="11798"/>
    <cellStyle name="Normal 5 5 3 4" xfId="1172"/>
    <cellStyle name="Normal 5 5 3 4 2" xfId="3702"/>
    <cellStyle name="Normal 5 5 3 4 2 2" xfId="9244"/>
    <cellStyle name="Normal 5 5 3 4 2 3" xfId="14783"/>
    <cellStyle name="Normal 5 5 3 4 3" xfId="4739"/>
    <cellStyle name="Normal 5 5 3 4 3 2" xfId="10278"/>
    <cellStyle name="Normal 5 5 3 4 3 3" xfId="15817"/>
    <cellStyle name="Normal 5 5 3 4 4" xfId="5674"/>
    <cellStyle name="Normal 5 5 3 4 4 2" xfId="11213"/>
    <cellStyle name="Normal 5 5 3 4 4 3" xfId="16752"/>
    <cellStyle name="Normal 5 5 3 4 5" xfId="2376"/>
    <cellStyle name="Normal 5 5 3 4 5 2" xfId="7922"/>
    <cellStyle name="Normal 5 5 3 4 5 3" xfId="13461"/>
    <cellStyle name="Normal 5 5 3 4 6" xfId="6717"/>
    <cellStyle name="Normal 5 5 3 4 7" xfId="12256"/>
    <cellStyle name="Normal 5 5 3 5" xfId="883"/>
    <cellStyle name="Normal 5 5 3 5 2" xfId="3413"/>
    <cellStyle name="Normal 5 5 3 5 2 2" xfId="8955"/>
    <cellStyle name="Normal 5 5 3 5 2 3" xfId="14494"/>
    <cellStyle name="Normal 5 5 3 5 3" xfId="4450"/>
    <cellStyle name="Normal 5 5 3 5 3 2" xfId="9989"/>
    <cellStyle name="Normal 5 5 3 5 3 3" xfId="15528"/>
    <cellStyle name="Normal 5 5 3 5 4" xfId="5385"/>
    <cellStyle name="Normal 5 5 3 5 4 2" xfId="10924"/>
    <cellStyle name="Normal 5 5 3 5 4 3" xfId="16463"/>
    <cellStyle name="Normal 5 5 3 5 5" xfId="2087"/>
    <cellStyle name="Normal 5 5 3 5 5 2" xfId="7633"/>
    <cellStyle name="Normal 5 5 3 5 5 3" xfId="13172"/>
    <cellStyle name="Normal 5 5 3 5 6" xfId="6428"/>
    <cellStyle name="Normal 5 5 3 5 7" xfId="11967"/>
    <cellStyle name="Normal 5 5 3 6" xfId="1517"/>
    <cellStyle name="Normal 5 5 3 6 2" xfId="2722"/>
    <cellStyle name="Normal 5 5 3 6 2 2" xfId="8268"/>
    <cellStyle name="Normal 5 5 3 6 2 3" xfId="13807"/>
    <cellStyle name="Normal 5 5 3 6 3" xfId="7063"/>
    <cellStyle name="Normal 5 5 3 6 4" xfId="12602"/>
    <cellStyle name="Normal 5 5 3 7" xfId="2895"/>
    <cellStyle name="Normal 5 5 3 7 2" xfId="8439"/>
    <cellStyle name="Normal 5 5 3 7 3" xfId="13978"/>
    <cellStyle name="Normal 5 5 3 8" xfId="3303"/>
    <cellStyle name="Normal 5 5 3 8 2" xfId="8845"/>
    <cellStyle name="Normal 5 5 3 8 3" xfId="14384"/>
    <cellStyle name="Normal 5 5 3 9" xfId="4340"/>
    <cellStyle name="Normal 5 5 3 9 2" xfId="9879"/>
    <cellStyle name="Normal 5 5 3 9 3" xfId="15418"/>
    <cellStyle name="Normal 5 5 4" xfId="360"/>
    <cellStyle name="Normal 5 5 4 10" xfId="1715"/>
    <cellStyle name="Normal 5 5 4 10 2" xfId="7261"/>
    <cellStyle name="Normal 5 5 4 10 3" xfId="12800"/>
    <cellStyle name="Normal 5 5 4 11" xfId="6056"/>
    <cellStyle name="Normal 5 5 4 11 2" xfId="17134"/>
    <cellStyle name="Normal 5 5 4 12" xfId="700"/>
    <cellStyle name="Normal 5 5 4 12 2" xfId="17296"/>
    <cellStyle name="Normal 5 5 4 13" xfId="11595"/>
    <cellStyle name="Normal 5 5 4 14" xfId="17463"/>
    <cellStyle name="Normal 5 5 4 15" xfId="17628"/>
    <cellStyle name="Normal 5 5 4 2" xfId="361"/>
    <cellStyle name="Normal 5 5 4 2 10" xfId="6092"/>
    <cellStyle name="Normal 5 5 4 2 10 2" xfId="17170"/>
    <cellStyle name="Normal 5 5 4 2 11" xfId="736"/>
    <cellStyle name="Normal 5 5 4 2 11 2" xfId="17332"/>
    <cellStyle name="Normal 5 5 4 2 12" xfId="11631"/>
    <cellStyle name="Normal 5 5 4 2 13" xfId="17499"/>
    <cellStyle name="Normal 5 5 4 2 14" xfId="17664"/>
    <cellStyle name="Normal 5 5 4 2 2" xfId="560"/>
    <cellStyle name="Normal 5 5 4 2 2 2" xfId="1401"/>
    <cellStyle name="Normal 5 5 4 2 2 2 2" xfId="3933"/>
    <cellStyle name="Normal 5 5 4 2 2 2 2 2" xfId="9475"/>
    <cellStyle name="Normal 5 5 4 2 2 2 2 3" xfId="15014"/>
    <cellStyle name="Normal 5 5 4 2 2 2 3" xfId="4970"/>
    <cellStyle name="Normal 5 5 4 2 2 2 3 2" xfId="10509"/>
    <cellStyle name="Normal 5 5 4 2 2 2 3 3" xfId="16048"/>
    <cellStyle name="Normal 5 5 4 2 2 2 4" xfId="5904"/>
    <cellStyle name="Normal 5 5 4 2 2 2 4 2" xfId="11443"/>
    <cellStyle name="Normal 5 5 4 2 2 2 4 3" xfId="16982"/>
    <cellStyle name="Normal 5 5 4 2 2 2 5" xfId="2606"/>
    <cellStyle name="Normal 5 5 4 2 2 2 5 2" xfId="8152"/>
    <cellStyle name="Normal 5 5 4 2 2 2 5 3" xfId="13691"/>
    <cellStyle name="Normal 5 5 4 2 2 2 6" xfId="6947"/>
    <cellStyle name="Normal 5 5 4 2 2 2 7" xfId="12486"/>
    <cellStyle name="Normal 5 5 4 2 2 3" xfId="1067"/>
    <cellStyle name="Normal 5 5 4 2 2 3 2" xfId="3597"/>
    <cellStyle name="Normal 5 5 4 2 2 3 2 2" xfId="9139"/>
    <cellStyle name="Normal 5 5 4 2 2 3 2 3" xfId="14678"/>
    <cellStyle name="Normal 5 5 4 2 2 3 3" xfId="4634"/>
    <cellStyle name="Normal 5 5 4 2 2 3 3 2" xfId="10173"/>
    <cellStyle name="Normal 5 5 4 2 2 3 3 3" xfId="15712"/>
    <cellStyle name="Normal 5 5 4 2 2 3 4" xfId="5569"/>
    <cellStyle name="Normal 5 5 4 2 2 3 4 2" xfId="11108"/>
    <cellStyle name="Normal 5 5 4 2 2 3 4 3" xfId="16647"/>
    <cellStyle name="Normal 5 5 4 2 2 3 5" xfId="2271"/>
    <cellStyle name="Normal 5 5 4 2 2 3 5 2" xfId="7817"/>
    <cellStyle name="Normal 5 5 4 2 2 3 5 3" xfId="13356"/>
    <cellStyle name="Normal 5 5 4 2 2 3 6" xfId="6612"/>
    <cellStyle name="Normal 5 5 4 2 2 3 7" xfId="12151"/>
    <cellStyle name="Normal 5 5 4 2 2 4" xfId="3219"/>
    <cellStyle name="Normal 5 5 4 2 2 4 2" xfId="8761"/>
    <cellStyle name="Normal 5 5 4 2 2 4 3" xfId="14300"/>
    <cellStyle name="Normal 5 5 4 2 2 5" xfId="4258"/>
    <cellStyle name="Normal 5 5 4 2 2 5 2" xfId="9797"/>
    <cellStyle name="Normal 5 5 4 2 2 5 3" xfId="15336"/>
    <cellStyle name="Normal 5 5 4 2 2 6" xfId="5219"/>
    <cellStyle name="Normal 5 5 4 2 2 6 2" xfId="10758"/>
    <cellStyle name="Normal 5 5 4 2 2 6 3" xfId="16297"/>
    <cellStyle name="Normal 5 5 4 2 2 7" xfId="1921"/>
    <cellStyle name="Normal 5 5 4 2 2 7 2" xfId="7467"/>
    <cellStyle name="Normal 5 5 4 2 2 7 3" xfId="13006"/>
    <cellStyle name="Normal 5 5 4 2 2 8" xfId="6262"/>
    <cellStyle name="Normal 5 5 4 2 2 9" xfId="11801"/>
    <cellStyle name="Normal 5 5 4 2 3" xfId="1244"/>
    <cellStyle name="Normal 5 5 4 2 3 2" xfId="3774"/>
    <cellStyle name="Normal 5 5 4 2 3 2 2" xfId="9316"/>
    <cellStyle name="Normal 5 5 4 2 3 2 3" xfId="14855"/>
    <cellStyle name="Normal 5 5 4 2 3 3" xfId="4811"/>
    <cellStyle name="Normal 5 5 4 2 3 3 2" xfId="10350"/>
    <cellStyle name="Normal 5 5 4 2 3 3 3" xfId="15889"/>
    <cellStyle name="Normal 5 5 4 2 3 4" xfId="5746"/>
    <cellStyle name="Normal 5 5 4 2 3 4 2" xfId="11285"/>
    <cellStyle name="Normal 5 5 4 2 3 4 3" xfId="16824"/>
    <cellStyle name="Normal 5 5 4 2 3 5" xfId="2448"/>
    <cellStyle name="Normal 5 5 4 2 3 5 2" xfId="7994"/>
    <cellStyle name="Normal 5 5 4 2 3 5 3" xfId="13533"/>
    <cellStyle name="Normal 5 5 4 2 3 6" xfId="6789"/>
    <cellStyle name="Normal 5 5 4 2 3 7" xfId="12328"/>
    <cellStyle name="Normal 5 5 4 2 4" xfId="886"/>
    <cellStyle name="Normal 5 5 4 2 4 2" xfId="3416"/>
    <cellStyle name="Normal 5 5 4 2 4 2 2" xfId="8958"/>
    <cellStyle name="Normal 5 5 4 2 4 2 3" xfId="14497"/>
    <cellStyle name="Normal 5 5 4 2 4 3" xfId="4453"/>
    <cellStyle name="Normal 5 5 4 2 4 3 2" xfId="9992"/>
    <cellStyle name="Normal 5 5 4 2 4 3 3" xfId="15531"/>
    <cellStyle name="Normal 5 5 4 2 4 4" xfId="5388"/>
    <cellStyle name="Normal 5 5 4 2 4 4 2" xfId="10927"/>
    <cellStyle name="Normal 5 5 4 2 4 4 3" xfId="16466"/>
    <cellStyle name="Normal 5 5 4 2 4 5" xfId="2090"/>
    <cellStyle name="Normal 5 5 4 2 4 5 2" xfId="7636"/>
    <cellStyle name="Normal 5 5 4 2 4 5 3" xfId="13175"/>
    <cellStyle name="Normal 5 5 4 2 4 6" xfId="6431"/>
    <cellStyle name="Normal 5 5 4 2 4 7" xfId="11970"/>
    <cellStyle name="Normal 5 5 4 2 5" xfId="1589"/>
    <cellStyle name="Normal 5 5 4 2 5 2" xfId="2794"/>
    <cellStyle name="Normal 5 5 4 2 5 2 2" xfId="8340"/>
    <cellStyle name="Normal 5 5 4 2 5 2 3" xfId="13879"/>
    <cellStyle name="Normal 5 5 4 2 5 3" xfId="7135"/>
    <cellStyle name="Normal 5 5 4 2 5 4" xfId="12674"/>
    <cellStyle name="Normal 5 5 4 2 6" xfId="2967"/>
    <cellStyle name="Normal 5 5 4 2 6 2" xfId="8511"/>
    <cellStyle name="Normal 5 5 4 2 6 3" xfId="14050"/>
    <cellStyle name="Normal 5 5 4 2 7" xfId="4012"/>
    <cellStyle name="Normal 5 5 4 2 7 2" xfId="9554"/>
    <cellStyle name="Normal 5 5 4 2 7 3" xfId="15093"/>
    <cellStyle name="Normal 5 5 4 2 8" xfId="5049"/>
    <cellStyle name="Normal 5 5 4 2 8 2" xfId="10588"/>
    <cellStyle name="Normal 5 5 4 2 8 3" xfId="16127"/>
    <cellStyle name="Normal 5 5 4 2 9" xfId="1751"/>
    <cellStyle name="Normal 5 5 4 2 9 2" xfId="7297"/>
    <cellStyle name="Normal 5 5 4 2 9 3" xfId="12836"/>
    <cellStyle name="Normal 5 5 4 3" xfId="559"/>
    <cellStyle name="Normal 5 5 4 3 2" xfId="1400"/>
    <cellStyle name="Normal 5 5 4 3 2 2" xfId="3932"/>
    <cellStyle name="Normal 5 5 4 3 2 2 2" xfId="9474"/>
    <cellStyle name="Normal 5 5 4 3 2 2 3" xfId="15013"/>
    <cellStyle name="Normal 5 5 4 3 2 3" xfId="4969"/>
    <cellStyle name="Normal 5 5 4 3 2 3 2" xfId="10508"/>
    <cellStyle name="Normal 5 5 4 3 2 3 3" xfId="16047"/>
    <cellStyle name="Normal 5 5 4 3 2 4" xfId="5903"/>
    <cellStyle name="Normal 5 5 4 3 2 4 2" xfId="11442"/>
    <cellStyle name="Normal 5 5 4 3 2 4 3" xfId="16981"/>
    <cellStyle name="Normal 5 5 4 3 2 5" xfId="2605"/>
    <cellStyle name="Normal 5 5 4 3 2 5 2" xfId="8151"/>
    <cellStyle name="Normal 5 5 4 3 2 5 3" xfId="13690"/>
    <cellStyle name="Normal 5 5 4 3 2 6" xfId="6946"/>
    <cellStyle name="Normal 5 5 4 3 2 7" xfId="12485"/>
    <cellStyle name="Normal 5 5 4 3 3" xfId="1031"/>
    <cellStyle name="Normal 5 5 4 3 3 2" xfId="3561"/>
    <cellStyle name="Normal 5 5 4 3 3 2 2" xfId="9103"/>
    <cellStyle name="Normal 5 5 4 3 3 2 3" xfId="14642"/>
    <cellStyle name="Normal 5 5 4 3 3 3" xfId="4598"/>
    <cellStyle name="Normal 5 5 4 3 3 3 2" xfId="10137"/>
    <cellStyle name="Normal 5 5 4 3 3 3 3" xfId="15676"/>
    <cellStyle name="Normal 5 5 4 3 3 4" xfId="5533"/>
    <cellStyle name="Normal 5 5 4 3 3 4 2" xfId="11072"/>
    <cellStyle name="Normal 5 5 4 3 3 4 3" xfId="16611"/>
    <cellStyle name="Normal 5 5 4 3 3 5" xfId="2235"/>
    <cellStyle name="Normal 5 5 4 3 3 5 2" xfId="7781"/>
    <cellStyle name="Normal 5 5 4 3 3 5 3" xfId="13320"/>
    <cellStyle name="Normal 5 5 4 3 3 6" xfId="6576"/>
    <cellStyle name="Normal 5 5 4 3 3 7" xfId="12115"/>
    <cellStyle name="Normal 5 5 4 3 4" xfId="3218"/>
    <cellStyle name="Normal 5 5 4 3 4 2" xfId="8760"/>
    <cellStyle name="Normal 5 5 4 3 4 3" xfId="14299"/>
    <cellStyle name="Normal 5 5 4 3 5" xfId="4257"/>
    <cellStyle name="Normal 5 5 4 3 5 2" xfId="9796"/>
    <cellStyle name="Normal 5 5 4 3 5 3" xfId="15335"/>
    <cellStyle name="Normal 5 5 4 3 6" xfId="5218"/>
    <cellStyle name="Normal 5 5 4 3 6 2" xfId="10757"/>
    <cellStyle name="Normal 5 5 4 3 6 3" xfId="16296"/>
    <cellStyle name="Normal 5 5 4 3 7" xfId="1920"/>
    <cellStyle name="Normal 5 5 4 3 7 2" xfId="7466"/>
    <cellStyle name="Normal 5 5 4 3 7 3" xfId="13005"/>
    <cellStyle name="Normal 5 5 4 3 8" xfId="6261"/>
    <cellStyle name="Normal 5 5 4 3 9" xfId="11800"/>
    <cellStyle name="Normal 5 5 4 4" xfId="1208"/>
    <cellStyle name="Normal 5 5 4 4 2" xfId="3738"/>
    <cellStyle name="Normal 5 5 4 4 2 2" xfId="9280"/>
    <cellStyle name="Normal 5 5 4 4 2 3" xfId="14819"/>
    <cellStyle name="Normal 5 5 4 4 3" xfId="4775"/>
    <cellStyle name="Normal 5 5 4 4 3 2" xfId="10314"/>
    <cellStyle name="Normal 5 5 4 4 3 3" xfId="15853"/>
    <cellStyle name="Normal 5 5 4 4 4" xfId="5710"/>
    <cellStyle name="Normal 5 5 4 4 4 2" xfId="11249"/>
    <cellStyle name="Normal 5 5 4 4 4 3" xfId="16788"/>
    <cellStyle name="Normal 5 5 4 4 5" xfId="2412"/>
    <cellStyle name="Normal 5 5 4 4 5 2" xfId="7958"/>
    <cellStyle name="Normal 5 5 4 4 5 3" xfId="13497"/>
    <cellStyle name="Normal 5 5 4 4 6" xfId="6753"/>
    <cellStyle name="Normal 5 5 4 4 7" xfId="12292"/>
    <cellStyle name="Normal 5 5 4 5" xfId="885"/>
    <cellStyle name="Normal 5 5 4 5 2" xfId="3415"/>
    <cellStyle name="Normal 5 5 4 5 2 2" xfId="8957"/>
    <cellStyle name="Normal 5 5 4 5 2 3" xfId="14496"/>
    <cellStyle name="Normal 5 5 4 5 3" xfId="4452"/>
    <cellStyle name="Normal 5 5 4 5 3 2" xfId="9991"/>
    <cellStyle name="Normal 5 5 4 5 3 3" xfId="15530"/>
    <cellStyle name="Normal 5 5 4 5 4" xfId="5387"/>
    <cellStyle name="Normal 5 5 4 5 4 2" xfId="10926"/>
    <cellStyle name="Normal 5 5 4 5 4 3" xfId="16465"/>
    <cellStyle name="Normal 5 5 4 5 5" xfId="2089"/>
    <cellStyle name="Normal 5 5 4 5 5 2" xfId="7635"/>
    <cellStyle name="Normal 5 5 4 5 5 3" xfId="13174"/>
    <cellStyle name="Normal 5 5 4 5 6" xfId="6430"/>
    <cellStyle name="Normal 5 5 4 5 7" xfId="11969"/>
    <cellStyle name="Normal 5 5 4 6" xfId="1553"/>
    <cellStyle name="Normal 5 5 4 6 2" xfId="2758"/>
    <cellStyle name="Normal 5 5 4 6 2 2" xfId="8304"/>
    <cellStyle name="Normal 5 5 4 6 2 3" xfId="13843"/>
    <cellStyle name="Normal 5 5 4 6 3" xfId="7099"/>
    <cellStyle name="Normal 5 5 4 6 4" xfId="12638"/>
    <cellStyle name="Normal 5 5 4 7" xfId="2931"/>
    <cellStyle name="Normal 5 5 4 7 2" xfId="8475"/>
    <cellStyle name="Normal 5 5 4 7 3" xfId="14014"/>
    <cellStyle name="Normal 5 5 4 8" xfId="3079"/>
    <cellStyle name="Normal 5 5 4 8 2" xfId="8622"/>
    <cellStyle name="Normal 5 5 4 8 3" xfId="14161"/>
    <cellStyle name="Normal 5 5 4 9" xfId="4122"/>
    <cellStyle name="Normal 5 5 4 9 2" xfId="9663"/>
    <cellStyle name="Normal 5 5 4 9 3" xfId="15202"/>
    <cellStyle name="Normal 5 5 5" xfId="362"/>
    <cellStyle name="Normal 5 5 5 10" xfId="6074"/>
    <cellStyle name="Normal 5 5 5 10 2" xfId="17152"/>
    <cellStyle name="Normal 5 5 5 11" xfId="718"/>
    <cellStyle name="Normal 5 5 5 11 2" xfId="17314"/>
    <cellStyle name="Normal 5 5 5 12" xfId="11613"/>
    <cellStyle name="Normal 5 5 5 13" xfId="17481"/>
    <cellStyle name="Normal 5 5 5 14" xfId="17646"/>
    <cellStyle name="Normal 5 5 5 2" xfId="561"/>
    <cellStyle name="Normal 5 5 5 2 2" xfId="1402"/>
    <cellStyle name="Normal 5 5 5 2 2 2" xfId="3934"/>
    <cellStyle name="Normal 5 5 5 2 2 2 2" xfId="9476"/>
    <cellStyle name="Normal 5 5 5 2 2 2 3" xfId="15015"/>
    <cellStyle name="Normal 5 5 5 2 2 3" xfId="4971"/>
    <cellStyle name="Normal 5 5 5 2 2 3 2" xfId="10510"/>
    <cellStyle name="Normal 5 5 5 2 2 3 3" xfId="16049"/>
    <cellStyle name="Normal 5 5 5 2 2 4" xfId="5905"/>
    <cellStyle name="Normal 5 5 5 2 2 4 2" xfId="11444"/>
    <cellStyle name="Normal 5 5 5 2 2 4 3" xfId="16983"/>
    <cellStyle name="Normal 5 5 5 2 2 5" xfId="2607"/>
    <cellStyle name="Normal 5 5 5 2 2 5 2" xfId="8153"/>
    <cellStyle name="Normal 5 5 5 2 2 5 3" xfId="13692"/>
    <cellStyle name="Normal 5 5 5 2 2 6" xfId="6948"/>
    <cellStyle name="Normal 5 5 5 2 2 7" xfId="12487"/>
    <cellStyle name="Normal 5 5 5 2 3" xfId="1049"/>
    <cellStyle name="Normal 5 5 5 2 3 2" xfId="3579"/>
    <cellStyle name="Normal 5 5 5 2 3 2 2" xfId="9121"/>
    <cellStyle name="Normal 5 5 5 2 3 2 3" xfId="14660"/>
    <cellStyle name="Normal 5 5 5 2 3 3" xfId="4616"/>
    <cellStyle name="Normal 5 5 5 2 3 3 2" xfId="10155"/>
    <cellStyle name="Normal 5 5 5 2 3 3 3" xfId="15694"/>
    <cellStyle name="Normal 5 5 5 2 3 4" xfId="5551"/>
    <cellStyle name="Normal 5 5 5 2 3 4 2" xfId="11090"/>
    <cellStyle name="Normal 5 5 5 2 3 4 3" xfId="16629"/>
    <cellStyle name="Normal 5 5 5 2 3 5" xfId="2253"/>
    <cellStyle name="Normal 5 5 5 2 3 5 2" xfId="7799"/>
    <cellStyle name="Normal 5 5 5 2 3 5 3" xfId="13338"/>
    <cellStyle name="Normal 5 5 5 2 3 6" xfId="6594"/>
    <cellStyle name="Normal 5 5 5 2 3 7" xfId="12133"/>
    <cellStyle name="Normal 5 5 5 2 4" xfId="3220"/>
    <cellStyle name="Normal 5 5 5 2 4 2" xfId="8762"/>
    <cellStyle name="Normal 5 5 5 2 4 3" xfId="14301"/>
    <cellStyle name="Normal 5 5 5 2 5" xfId="4259"/>
    <cellStyle name="Normal 5 5 5 2 5 2" xfId="9798"/>
    <cellStyle name="Normal 5 5 5 2 5 3" xfId="15337"/>
    <cellStyle name="Normal 5 5 5 2 6" xfId="5220"/>
    <cellStyle name="Normal 5 5 5 2 6 2" xfId="10759"/>
    <cellStyle name="Normal 5 5 5 2 6 3" xfId="16298"/>
    <cellStyle name="Normal 5 5 5 2 7" xfId="1922"/>
    <cellStyle name="Normal 5 5 5 2 7 2" xfId="7468"/>
    <cellStyle name="Normal 5 5 5 2 7 3" xfId="13007"/>
    <cellStyle name="Normal 5 5 5 2 8" xfId="6263"/>
    <cellStyle name="Normal 5 5 5 2 9" xfId="11802"/>
    <cellStyle name="Normal 5 5 5 3" xfId="1226"/>
    <cellStyle name="Normal 5 5 5 3 2" xfId="3756"/>
    <cellStyle name="Normal 5 5 5 3 2 2" xfId="9298"/>
    <cellStyle name="Normal 5 5 5 3 2 3" xfId="14837"/>
    <cellStyle name="Normal 5 5 5 3 3" xfId="4793"/>
    <cellStyle name="Normal 5 5 5 3 3 2" xfId="10332"/>
    <cellStyle name="Normal 5 5 5 3 3 3" xfId="15871"/>
    <cellStyle name="Normal 5 5 5 3 4" xfId="5728"/>
    <cellStyle name="Normal 5 5 5 3 4 2" xfId="11267"/>
    <cellStyle name="Normal 5 5 5 3 4 3" xfId="16806"/>
    <cellStyle name="Normal 5 5 5 3 5" xfId="2430"/>
    <cellStyle name="Normal 5 5 5 3 5 2" xfId="7976"/>
    <cellStyle name="Normal 5 5 5 3 5 3" xfId="13515"/>
    <cellStyle name="Normal 5 5 5 3 6" xfId="6771"/>
    <cellStyle name="Normal 5 5 5 3 7" xfId="12310"/>
    <cellStyle name="Normal 5 5 5 4" xfId="887"/>
    <cellStyle name="Normal 5 5 5 4 2" xfId="3417"/>
    <cellStyle name="Normal 5 5 5 4 2 2" xfId="8959"/>
    <cellStyle name="Normal 5 5 5 4 2 3" xfId="14498"/>
    <cellStyle name="Normal 5 5 5 4 3" xfId="4454"/>
    <cellStyle name="Normal 5 5 5 4 3 2" xfId="9993"/>
    <cellStyle name="Normal 5 5 5 4 3 3" xfId="15532"/>
    <cellStyle name="Normal 5 5 5 4 4" xfId="5389"/>
    <cellStyle name="Normal 5 5 5 4 4 2" xfId="10928"/>
    <cellStyle name="Normal 5 5 5 4 4 3" xfId="16467"/>
    <cellStyle name="Normal 5 5 5 4 5" xfId="2091"/>
    <cellStyle name="Normal 5 5 5 4 5 2" xfId="7637"/>
    <cellStyle name="Normal 5 5 5 4 5 3" xfId="13176"/>
    <cellStyle name="Normal 5 5 5 4 6" xfId="6432"/>
    <cellStyle name="Normal 5 5 5 4 7" xfId="11971"/>
    <cellStyle name="Normal 5 5 5 5" xfId="1571"/>
    <cellStyle name="Normal 5 5 5 5 2" xfId="2776"/>
    <cellStyle name="Normal 5 5 5 5 2 2" xfId="8322"/>
    <cellStyle name="Normal 5 5 5 5 2 3" xfId="13861"/>
    <cellStyle name="Normal 5 5 5 5 3" xfId="7117"/>
    <cellStyle name="Normal 5 5 5 5 4" xfId="12656"/>
    <cellStyle name="Normal 5 5 5 6" xfId="2949"/>
    <cellStyle name="Normal 5 5 5 6 2" xfId="8493"/>
    <cellStyle name="Normal 5 5 5 6 3" xfId="14032"/>
    <cellStyle name="Normal 5 5 5 7" xfId="3069"/>
    <cellStyle name="Normal 5 5 5 7 2" xfId="8612"/>
    <cellStyle name="Normal 5 5 5 7 3" xfId="14151"/>
    <cellStyle name="Normal 5 5 5 8" xfId="4112"/>
    <cellStyle name="Normal 5 5 5 8 2" xfId="9653"/>
    <cellStyle name="Normal 5 5 5 8 3" xfId="15192"/>
    <cellStyle name="Normal 5 5 5 9" xfId="1733"/>
    <cellStyle name="Normal 5 5 5 9 2" xfId="7279"/>
    <cellStyle name="Normal 5 5 5 9 3" xfId="12818"/>
    <cellStyle name="Normal 5 5 6" xfId="363"/>
    <cellStyle name="Normal 5 5 6 10" xfId="6002"/>
    <cellStyle name="Normal 5 5 6 10 2" xfId="17080"/>
    <cellStyle name="Normal 5 5 6 11" xfId="646"/>
    <cellStyle name="Normal 5 5 6 11 2" xfId="17242"/>
    <cellStyle name="Normal 5 5 6 12" xfId="11541"/>
    <cellStyle name="Normal 5 5 6 13" xfId="17409"/>
    <cellStyle name="Normal 5 5 6 14" xfId="17574"/>
    <cellStyle name="Normal 5 5 6 2" xfId="562"/>
    <cellStyle name="Normal 5 5 6 2 2" xfId="1403"/>
    <cellStyle name="Normal 5 5 6 2 2 2" xfId="3935"/>
    <cellStyle name="Normal 5 5 6 2 2 2 2" xfId="9477"/>
    <cellStyle name="Normal 5 5 6 2 2 2 3" xfId="15016"/>
    <cellStyle name="Normal 5 5 6 2 2 3" xfId="4972"/>
    <cellStyle name="Normal 5 5 6 2 2 3 2" xfId="10511"/>
    <cellStyle name="Normal 5 5 6 2 2 3 3" xfId="16050"/>
    <cellStyle name="Normal 5 5 6 2 2 4" xfId="5906"/>
    <cellStyle name="Normal 5 5 6 2 2 4 2" xfId="11445"/>
    <cellStyle name="Normal 5 5 6 2 2 4 3" xfId="16984"/>
    <cellStyle name="Normal 5 5 6 2 2 5" xfId="2608"/>
    <cellStyle name="Normal 5 5 6 2 2 5 2" xfId="8154"/>
    <cellStyle name="Normal 5 5 6 2 2 5 3" xfId="13693"/>
    <cellStyle name="Normal 5 5 6 2 2 6" xfId="6949"/>
    <cellStyle name="Normal 5 5 6 2 2 7" xfId="12488"/>
    <cellStyle name="Normal 5 5 6 2 3" xfId="977"/>
    <cellStyle name="Normal 5 5 6 2 3 2" xfId="3507"/>
    <cellStyle name="Normal 5 5 6 2 3 2 2" xfId="9049"/>
    <cellStyle name="Normal 5 5 6 2 3 2 3" xfId="14588"/>
    <cellStyle name="Normal 5 5 6 2 3 3" xfId="4544"/>
    <cellStyle name="Normal 5 5 6 2 3 3 2" xfId="10083"/>
    <cellStyle name="Normal 5 5 6 2 3 3 3" xfId="15622"/>
    <cellStyle name="Normal 5 5 6 2 3 4" xfId="5479"/>
    <cellStyle name="Normal 5 5 6 2 3 4 2" xfId="11018"/>
    <cellStyle name="Normal 5 5 6 2 3 4 3" xfId="16557"/>
    <cellStyle name="Normal 5 5 6 2 3 5" xfId="2181"/>
    <cellStyle name="Normal 5 5 6 2 3 5 2" xfId="7727"/>
    <cellStyle name="Normal 5 5 6 2 3 5 3" xfId="13266"/>
    <cellStyle name="Normal 5 5 6 2 3 6" xfId="6522"/>
    <cellStyle name="Normal 5 5 6 2 3 7" xfId="12061"/>
    <cellStyle name="Normal 5 5 6 2 4" xfId="3221"/>
    <cellStyle name="Normal 5 5 6 2 4 2" xfId="8763"/>
    <cellStyle name="Normal 5 5 6 2 4 3" xfId="14302"/>
    <cellStyle name="Normal 5 5 6 2 5" xfId="4260"/>
    <cellStyle name="Normal 5 5 6 2 5 2" xfId="9799"/>
    <cellStyle name="Normal 5 5 6 2 5 3" xfId="15338"/>
    <cellStyle name="Normal 5 5 6 2 6" xfId="5221"/>
    <cellStyle name="Normal 5 5 6 2 6 2" xfId="10760"/>
    <cellStyle name="Normal 5 5 6 2 6 3" xfId="16299"/>
    <cellStyle name="Normal 5 5 6 2 7" xfId="1923"/>
    <cellStyle name="Normal 5 5 6 2 7 2" xfId="7469"/>
    <cellStyle name="Normal 5 5 6 2 7 3" xfId="13008"/>
    <cellStyle name="Normal 5 5 6 2 8" xfId="6264"/>
    <cellStyle name="Normal 5 5 6 2 9" xfId="11803"/>
    <cellStyle name="Normal 5 5 6 3" xfId="1154"/>
    <cellStyle name="Normal 5 5 6 3 2" xfId="3684"/>
    <cellStyle name="Normal 5 5 6 3 2 2" xfId="9226"/>
    <cellStyle name="Normal 5 5 6 3 2 3" xfId="14765"/>
    <cellStyle name="Normal 5 5 6 3 3" xfId="4721"/>
    <cellStyle name="Normal 5 5 6 3 3 2" xfId="10260"/>
    <cellStyle name="Normal 5 5 6 3 3 3" xfId="15799"/>
    <cellStyle name="Normal 5 5 6 3 4" xfId="5656"/>
    <cellStyle name="Normal 5 5 6 3 4 2" xfId="11195"/>
    <cellStyle name="Normal 5 5 6 3 4 3" xfId="16734"/>
    <cellStyle name="Normal 5 5 6 3 5" xfId="2358"/>
    <cellStyle name="Normal 5 5 6 3 5 2" xfId="7904"/>
    <cellStyle name="Normal 5 5 6 3 5 3" xfId="13443"/>
    <cellStyle name="Normal 5 5 6 3 6" xfId="6699"/>
    <cellStyle name="Normal 5 5 6 3 7" xfId="12238"/>
    <cellStyle name="Normal 5 5 6 4" xfId="888"/>
    <cellStyle name="Normal 5 5 6 4 2" xfId="3418"/>
    <cellStyle name="Normal 5 5 6 4 2 2" xfId="8960"/>
    <cellStyle name="Normal 5 5 6 4 2 3" xfId="14499"/>
    <cellStyle name="Normal 5 5 6 4 3" xfId="4455"/>
    <cellStyle name="Normal 5 5 6 4 3 2" xfId="9994"/>
    <cellStyle name="Normal 5 5 6 4 3 3" xfId="15533"/>
    <cellStyle name="Normal 5 5 6 4 4" xfId="5390"/>
    <cellStyle name="Normal 5 5 6 4 4 2" xfId="10929"/>
    <cellStyle name="Normal 5 5 6 4 4 3" xfId="16468"/>
    <cellStyle name="Normal 5 5 6 4 5" xfId="2092"/>
    <cellStyle name="Normal 5 5 6 4 5 2" xfId="7638"/>
    <cellStyle name="Normal 5 5 6 4 5 3" xfId="13177"/>
    <cellStyle name="Normal 5 5 6 4 6" xfId="6433"/>
    <cellStyle name="Normal 5 5 6 4 7" xfId="11972"/>
    <cellStyle name="Normal 5 5 6 5" xfId="1499"/>
    <cellStyle name="Normal 5 5 6 5 2" xfId="2704"/>
    <cellStyle name="Normal 5 5 6 5 2 2" xfId="8250"/>
    <cellStyle name="Normal 5 5 6 5 2 3" xfId="13789"/>
    <cellStyle name="Normal 5 5 6 5 3" xfId="7045"/>
    <cellStyle name="Normal 5 5 6 5 4" xfId="12584"/>
    <cellStyle name="Normal 5 5 6 6" xfId="2877"/>
    <cellStyle name="Normal 5 5 6 6 2" xfId="8421"/>
    <cellStyle name="Normal 5 5 6 6 3" xfId="13960"/>
    <cellStyle name="Normal 5 5 6 7" xfId="3294"/>
    <cellStyle name="Normal 5 5 6 7 2" xfId="8836"/>
    <cellStyle name="Normal 5 5 6 7 3" xfId="14375"/>
    <cellStyle name="Normal 5 5 6 8" xfId="4333"/>
    <cellStyle name="Normal 5 5 6 8 2" xfId="9872"/>
    <cellStyle name="Normal 5 5 6 8 3" xfId="15411"/>
    <cellStyle name="Normal 5 5 6 9" xfId="1661"/>
    <cellStyle name="Normal 5 5 6 9 2" xfId="7207"/>
    <cellStyle name="Normal 5 5 6 9 3" xfId="12746"/>
    <cellStyle name="Normal 5 5 7" xfId="461"/>
    <cellStyle name="Normal 5 5 7 2" xfId="1303"/>
    <cellStyle name="Normal 5 5 7 2 2" xfId="3834"/>
    <cellStyle name="Normal 5 5 7 2 2 2" xfId="9376"/>
    <cellStyle name="Normal 5 5 7 2 2 3" xfId="14915"/>
    <cellStyle name="Normal 5 5 7 2 3" xfId="4871"/>
    <cellStyle name="Normal 5 5 7 2 3 2" xfId="10410"/>
    <cellStyle name="Normal 5 5 7 2 3 3" xfId="15949"/>
    <cellStyle name="Normal 5 5 7 2 4" xfId="5806"/>
    <cellStyle name="Normal 5 5 7 2 4 2" xfId="11345"/>
    <cellStyle name="Normal 5 5 7 2 4 3" xfId="16884"/>
    <cellStyle name="Normal 5 5 7 2 5" xfId="2508"/>
    <cellStyle name="Normal 5 5 7 2 5 2" xfId="8054"/>
    <cellStyle name="Normal 5 5 7 2 5 3" xfId="13593"/>
    <cellStyle name="Normal 5 5 7 2 6" xfId="6849"/>
    <cellStyle name="Normal 5 5 7 2 7" xfId="12388"/>
    <cellStyle name="Normal 5 5 7 3" xfId="959"/>
    <cellStyle name="Normal 5 5 7 3 2" xfId="3489"/>
    <cellStyle name="Normal 5 5 7 3 2 2" xfId="9031"/>
    <cellStyle name="Normal 5 5 7 3 2 3" xfId="14570"/>
    <cellStyle name="Normal 5 5 7 3 3" xfId="4526"/>
    <cellStyle name="Normal 5 5 7 3 3 2" xfId="10065"/>
    <cellStyle name="Normal 5 5 7 3 3 3" xfId="15604"/>
    <cellStyle name="Normal 5 5 7 3 4" xfId="5461"/>
    <cellStyle name="Normal 5 5 7 3 4 2" xfId="11000"/>
    <cellStyle name="Normal 5 5 7 3 4 3" xfId="16539"/>
    <cellStyle name="Normal 5 5 7 3 5" xfId="2163"/>
    <cellStyle name="Normal 5 5 7 3 5 2" xfId="7709"/>
    <cellStyle name="Normal 5 5 7 3 5 3" xfId="13248"/>
    <cellStyle name="Normal 5 5 7 3 6" xfId="6504"/>
    <cellStyle name="Normal 5 5 7 3 7" xfId="12043"/>
    <cellStyle name="Normal 5 5 7 4" xfId="3111"/>
    <cellStyle name="Normal 5 5 7 4 2" xfId="8654"/>
    <cellStyle name="Normal 5 5 7 4 3" xfId="14193"/>
    <cellStyle name="Normal 5 5 7 5" xfId="4154"/>
    <cellStyle name="Normal 5 5 7 5 2" xfId="9695"/>
    <cellStyle name="Normal 5 5 7 5 3" xfId="15234"/>
    <cellStyle name="Normal 5 5 7 6" xfId="5121"/>
    <cellStyle name="Normal 5 5 7 6 2" xfId="10660"/>
    <cellStyle name="Normal 5 5 7 6 3" xfId="16199"/>
    <cellStyle name="Normal 5 5 7 7" xfId="1823"/>
    <cellStyle name="Normal 5 5 7 7 2" xfId="7369"/>
    <cellStyle name="Normal 5 5 7 7 3" xfId="12908"/>
    <cellStyle name="Normal 5 5 7 8" xfId="6164"/>
    <cellStyle name="Normal 5 5 7 9" xfId="11703"/>
    <cellStyle name="Normal 5 5 8" xfId="1136"/>
    <cellStyle name="Normal 5 5 8 2" xfId="3666"/>
    <cellStyle name="Normal 5 5 8 2 2" xfId="9208"/>
    <cellStyle name="Normal 5 5 8 2 3" xfId="14747"/>
    <cellStyle name="Normal 5 5 8 3" xfId="4703"/>
    <cellStyle name="Normal 5 5 8 3 2" xfId="10242"/>
    <cellStyle name="Normal 5 5 8 3 3" xfId="15781"/>
    <cellStyle name="Normal 5 5 8 4" xfId="5638"/>
    <cellStyle name="Normal 5 5 8 4 2" xfId="11177"/>
    <cellStyle name="Normal 5 5 8 4 3" xfId="16716"/>
    <cellStyle name="Normal 5 5 8 5" xfId="2340"/>
    <cellStyle name="Normal 5 5 8 5 2" xfId="7886"/>
    <cellStyle name="Normal 5 5 8 5 3" xfId="13425"/>
    <cellStyle name="Normal 5 5 8 6" xfId="6681"/>
    <cellStyle name="Normal 5 5 8 7" xfId="12220"/>
    <cellStyle name="Normal 5 5 9" xfId="880"/>
    <cellStyle name="Normal 5 5 9 2" xfId="3410"/>
    <cellStyle name="Normal 5 5 9 2 2" xfId="8952"/>
    <cellStyle name="Normal 5 5 9 2 3" xfId="14491"/>
    <cellStyle name="Normal 5 5 9 3" xfId="4447"/>
    <cellStyle name="Normal 5 5 9 3 2" xfId="9986"/>
    <cellStyle name="Normal 5 5 9 3 3" xfId="15525"/>
    <cellStyle name="Normal 5 5 9 4" xfId="5382"/>
    <cellStyle name="Normal 5 5 9 4 2" xfId="10921"/>
    <cellStyle name="Normal 5 5 9 4 3" xfId="16460"/>
    <cellStyle name="Normal 5 5 9 5" xfId="2084"/>
    <cellStyle name="Normal 5 5 9 5 2" xfId="7630"/>
    <cellStyle name="Normal 5 5 9 5 3" xfId="13169"/>
    <cellStyle name="Normal 5 5 9 6" xfId="6425"/>
    <cellStyle name="Normal 5 5 9 7" xfId="11964"/>
    <cellStyle name="Normal 5 6" xfId="364"/>
    <cellStyle name="Normal 5 6 10" xfId="1688"/>
    <cellStyle name="Normal 5 6 10 2" xfId="7234"/>
    <cellStyle name="Normal 5 6 10 3" xfId="12773"/>
    <cellStyle name="Normal 5 6 11" xfId="6029"/>
    <cellStyle name="Normal 5 6 11 2" xfId="17107"/>
    <cellStyle name="Normal 5 6 12" xfId="673"/>
    <cellStyle name="Normal 5 6 12 2" xfId="17269"/>
    <cellStyle name="Normal 5 6 13" xfId="11568"/>
    <cellStyle name="Normal 5 6 14" xfId="17436"/>
    <cellStyle name="Normal 5 6 15" xfId="17601"/>
    <cellStyle name="Normal 5 6 2" xfId="365"/>
    <cellStyle name="Normal 5 6 2 10" xfId="6119"/>
    <cellStyle name="Normal 5 6 2 10 2" xfId="17197"/>
    <cellStyle name="Normal 5 6 2 11" xfId="763"/>
    <cellStyle name="Normal 5 6 2 11 2" xfId="17359"/>
    <cellStyle name="Normal 5 6 2 12" xfId="11658"/>
    <cellStyle name="Normal 5 6 2 13" xfId="17526"/>
    <cellStyle name="Normal 5 6 2 14" xfId="17691"/>
    <cellStyle name="Normal 5 6 2 2" xfId="564"/>
    <cellStyle name="Normal 5 6 2 2 2" xfId="1405"/>
    <cellStyle name="Normal 5 6 2 2 2 2" xfId="3937"/>
    <cellStyle name="Normal 5 6 2 2 2 2 2" xfId="9479"/>
    <cellStyle name="Normal 5 6 2 2 2 2 3" xfId="15018"/>
    <cellStyle name="Normal 5 6 2 2 2 3" xfId="4974"/>
    <cellStyle name="Normal 5 6 2 2 2 3 2" xfId="10513"/>
    <cellStyle name="Normal 5 6 2 2 2 3 3" xfId="16052"/>
    <cellStyle name="Normal 5 6 2 2 2 4" xfId="5908"/>
    <cellStyle name="Normal 5 6 2 2 2 4 2" xfId="11447"/>
    <cellStyle name="Normal 5 6 2 2 2 4 3" xfId="16986"/>
    <cellStyle name="Normal 5 6 2 2 2 5" xfId="2610"/>
    <cellStyle name="Normal 5 6 2 2 2 5 2" xfId="8156"/>
    <cellStyle name="Normal 5 6 2 2 2 5 3" xfId="13695"/>
    <cellStyle name="Normal 5 6 2 2 2 6" xfId="6951"/>
    <cellStyle name="Normal 5 6 2 2 2 7" xfId="12490"/>
    <cellStyle name="Normal 5 6 2 2 3" xfId="1094"/>
    <cellStyle name="Normal 5 6 2 2 3 2" xfId="3624"/>
    <cellStyle name="Normal 5 6 2 2 3 2 2" xfId="9166"/>
    <cellStyle name="Normal 5 6 2 2 3 2 3" xfId="14705"/>
    <cellStyle name="Normal 5 6 2 2 3 3" xfId="4661"/>
    <cellStyle name="Normal 5 6 2 2 3 3 2" xfId="10200"/>
    <cellStyle name="Normal 5 6 2 2 3 3 3" xfId="15739"/>
    <cellStyle name="Normal 5 6 2 2 3 4" xfId="5596"/>
    <cellStyle name="Normal 5 6 2 2 3 4 2" xfId="11135"/>
    <cellStyle name="Normal 5 6 2 2 3 4 3" xfId="16674"/>
    <cellStyle name="Normal 5 6 2 2 3 5" xfId="2298"/>
    <cellStyle name="Normal 5 6 2 2 3 5 2" xfId="7844"/>
    <cellStyle name="Normal 5 6 2 2 3 5 3" xfId="13383"/>
    <cellStyle name="Normal 5 6 2 2 3 6" xfId="6639"/>
    <cellStyle name="Normal 5 6 2 2 3 7" xfId="12178"/>
    <cellStyle name="Normal 5 6 2 2 4" xfId="3223"/>
    <cellStyle name="Normal 5 6 2 2 4 2" xfId="8765"/>
    <cellStyle name="Normal 5 6 2 2 4 3" xfId="14304"/>
    <cellStyle name="Normal 5 6 2 2 5" xfId="4262"/>
    <cellStyle name="Normal 5 6 2 2 5 2" xfId="9801"/>
    <cellStyle name="Normal 5 6 2 2 5 3" xfId="15340"/>
    <cellStyle name="Normal 5 6 2 2 6" xfId="5223"/>
    <cellStyle name="Normal 5 6 2 2 6 2" xfId="10762"/>
    <cellStyle name="Normal 5 6 2 2 6 3" xfId="16301"/>
    <cellStyle name="Normal 5 6 2 2 7" xfId="1925"/>
    <cellStyle name="Normal 5 6 2 2 7 2" xfId="7471"/>
    <cellStyle name="Normal 5 6 2 2 7 3" xfId="13010"/>
    <cellStyle name="Normal 5 6 2 2 8" xfId="6266"/>
    <cellStyle name="Normal 5 6 2 2 9" xfId="11805"/>
    <cellStyle name="Normal 5 6 2 3" xfId="1271"/>
    <cellStyle name="Normal 5 6 2 3 2" xfId="3801"/>
    <cellStyle name="Normal 5 6 2 3 2 2" xfId="9343"/>
    <cellStyle name="Normal 5 6 2 3 2 3" xfId="14882"/>
    <cellStyle name="Normal 5 6 2 3 3" xfId="4838"/>
    <cellStyle name="Normal 5 6 2 3 3 2" xfId="10377"/>
    <cellStyle name="Normal 5 6 2 3 3 3" xfId="15916"/>
    <cellStyle name="Normal 5 6 2 3 4" xfId="5773"/>
    <cellStyle name="Normal 5 6 2 3 4 2" xfId="11312"/>
    <cellStyle name="Normal 5 6 2 3 4 3" xfId="16851"/>
    <cellStyle name="Normal 5 6 2 3 5" xfId="2475"/>
    <cellStyle name="Normal 5 6 2 3 5 2" xfId="8021"/>
    <cellStyle name="Normal 5 6 2 3 5 3" xfId="13560"/>
    <cellStyle name="Normal 5 6 2 3 6" xfId="6816"/>
    <cellStyle name="Normal 5 6 2 3 7" xfId="12355"/>
    <cellStyle name="Normal 5 6 2 4" xfId="890"/>
    <cellStyle name="Normal 5 6 2 4 2" xfId="3420"/>
    <cellStyle name="Normal 5 6 2 4 2 2" xfId="8962"/>
    <cellStyle name="Normal 5 6 2 4 2 3" xfId="14501"/>
    <cellStyle name="Normal 5 6 2 4 3" xfId="4457"/>
    <cellStyle name="Normal 5 6 2 4 3 2" xfId="9996"/>
    <cellStyle name="Normal 5 6 2 4 3 3" xfId="15535"/>
    <cellStyle name="Normal 5 6 2 4 4" xfId="5392"/>
    <cellStyle name="Normal 5 6 2 4 4 2" xfId="10931"/>
    <cellStyle name="Normal 5 6 2 4 4 3" xfId="16470"/>
    <cellStyle name="Normal 5 6 2 4 5" xfId="2094"/>
    <cellStyle name="Normal 5 6 2 4 5 2" xfId="7640"/>
    <cellStyle name="Normal 5 6 2 4 5 3" xfId="13179"/>
    <cellStyle name="Normal 5 6 2 4 6" xfId="6435"/>
    <cellStyle name="Normal 5 6 2 4 7" xfId="11974"/>
    <cellStyle name="Normal 5 6 2 5" xfId="1616"/>
    <cellStyle name="Normal 5 6 2 5 2" xfId="2821"/>
    <cellStyle name="Normal 5 6 2 5 2 2" xfId="8367"/>
    <cellStyle name="Normal 5 6 2 5 2 3" xfId="13906"/>
    <cellStyle name="Normal 5 6 2 5 3" xfId="7162"/>
    <cellStyle name="Normal 5 6 2 5 4" xfId="12701"/>
    <cellStyle name="Normal 5 6 2 6" xfId="2994"/>
    <cellStyle name="Normal 5 6 2 6 2" xfId="8538"/>
    <cellStyle name="Normal 5 6 2 6 3" xfId="14077"/>
    <cellStyle name="Normal 5 6 2 7" xfId="4039"/>
    <cellStyle name="Normal 5 6 2 7 2" xfId="9581"/>
    <cellStyle name="Normal 5 6 2 7 3" xfId="15120"/>
    <cellStyle name="Normal 5 6 2 8" xfId="5076"/>
    <cellStyle name="Normal 5 6 2 8 2" xfId="10615"/>
    <cellStyle name="Normal 5 6 2 8 3" xfId="16154"/>
    <cellStyle name="Normal 5 6 2 9" xfId="1778"/>
    <cellStyle name="Normal 5 6 2 9 2" xfId="7324"/>
    <cellStyle name="Normal 5 6 2 9 3" xfId="12863"/>
    <cellStyle name="Normal 5 6 3" xfId="563"/>
    <cellStyle name="Normal 5 6 3 2" xfId="1404"/>
    <cellStyle name="Normal 5 6 3 2 2" xfId="3936"/>
    <cellStyle name="Normal 5 6 3 2 2 2" xfId="9478"/>
    <cellStyle name="Normal 5 6 3 2 2 3" xfId="15017"/>
    <cellStyle name="Normal 5 6 3 2 3" xfId="4973"/>
    <cellStyle name="Normal 5 6 3 2 3 2" xfId="10512"/>
    <cellStyle name="Normal 5 6 3 2 3 3" xfId="16051"/>
    <cellStyle name="Normal 5 6 3 2 4" xfId="5907"/>
    <cellStyle name="Normal 5 6 3 2 4 2" xfId="11446"/>
    <cellStyle name="Normal 5 6 3 2 4 3" xfId="16985"/>
    <cellStyle name="Normal 5 6 3 2 5" xfId="2609"/>
    <cellStyle name="Normal 5 6 3 2 5 2" xfId="8155"/>
    <cellStyle name="Normal 5 6 3 2 5 3" xfId="13694"/>
    <cellStyle name="Normal 5 6 3 2 6" xfId="6950"/>
    <cellStyle name="Normal 5 6 3 2 7" xfId="12489"/>
    <cellStyle name="Normal 5 6 3 3" xfId="1004"/>
    <cellStyle name="Normal 5 6 3 3 2" xfId="3534"/>
    <cellStyle name="Normal 5 6 3 3 2 2" xfId="9076"/>
    <cellStyle name="Normal 5 6 3 3 2 3" xfId="14615"/>
    <cellStyle name="Normal 5 6 3 3 3" xfId="4571"/>
    <cellStyle name="Normal 5 6 3 3 3 2" xfId="10110"/>
    <cellStyle name="Normal 5 6 3 3 3 3" xfId="15649"/>
    <cellStyle name="Normal 5 6 3 3 4" xfId="5506"/>
    <cellStyle name="Normal 5 6 3 3 4 2" xfId="11045"/>
    <cellStyle name="Normal 5 6 3 3 4 3" xfId="16584"/>
    <cellStyle name="Normal 5 6 3 3 5" xfId="2208"/>
    <cellStyle name="Normal 5 6 3 3 5 2" xfId="7754"/>
    <cellStyle name="Normal 5 6 3 3 5 3" xfId="13293"/>
    <cellStyle name="Normal 5 6 3 3 6" xfId="6549"/>
    <cellStyle name="Normal 5 6 3 3 7" xfId="12088"/>
    <cellStyle name="Normal 5 6 3 4" xfId="3222"/>
    <cellStyle name="Normal 5 6 3 4 2" xfId="8764"/>
    <cellStyle name="Normal 5 6 3 4 3" xfId="14303"/>
    <cellStyle name="Normal 5 6 3 5" xfId="4261"/>
    <cellStyle name="Normal 5 6 3 5 2" xfId="9800"/>
    <cellStyle name="Normal 5 6 3 5 3" xfId="15339"/>
    <cellStyle name="Normal 5 6 3 6" xfId="5222"/>
    <cellStyle name="Normal 5 6 3 6 2" xfId="10761"/>
    <cellStyle name="Normal 5 6 3 6 3" xfId="16300"/>
    <cellStyle name="Normal 5 6 3 7" xfId="1924"/>
    <cellStyle name="Normal 5 6 3 7 2" xfId="7470"/>
    <cellStyle name="Normal 5 6 3 7 3" xfId="13009"/>
    <cellStyle name="Normal 5 6 3 8" xfId="6265"/>
    <cellStyle name="Normal 5 6 3 9" xfId="11804"/>
    <cellStyle name="Normal 5 6 4" xfId="1181"/>
    <cellStyle name="Normal 5 6 4 2" xfId="3711"/>
    <cellStyle name="Normal 5 6 4 2 2" xfId="9253"/>
    <cellStyle name="Normal 5 6 4 2 3" xfId="14792"/>
    <cellStyle name="Normal 5 6 4 3" xfId="4748"/>
    <cellStyle name="Normal 5 6 4 3 2" xfId="10287"/>
    <cellStyle name="Normal 5 6 4 3 3" xfId="15826"/>
    <cellStyle name="Normal 5 6 4 4" xfId="5683"/>
    <cellStyle name="Normal 5 6 4 4 2" xfId="11222"/>
    <cellStyle name="Normal 5 6 4 4 3" xfId="16761"/>
    <cellStyle name="Normal 5 6 4 5" xfId="2385"/>
    <cellStyle name="Normal 5 6 4 5 2" xfId="7931"/>
    <cellStyle name="Normal 5 6 4 5 3" xfId="13470"/>
    <cellStyle name="Normal 5 6 4 6" xfId="6726"/>
    <cellStyle name="Normal 5 6 4 7" xfId="12265"/>
    <cellStyle name="Normal 5 6 5" xfId="889"/>
    <cellStyle name="Normal 5 6 5 2" xfId="3419"/>
    <cellStyle name="Normal 5 6 5 2 2" xfId="8961"/>
    <cellStyle name="Normal 5 6 5 2 3" xfId="14500"/>
    <cellStyle name="Normal 5 6 5 3" xfId="4456"/>
    <cellStyle name="Normal 5 6 5 3 2" xfId="9995"/>
    <cellStyle name="Normal 5 6 5 3 3" xfId="15534"/>
    <cellStyle name="Normal 5 6 5 4" xfId="5391"/>
    <cellStyle name="Normal 5 6 5 4 2" xfId="10930"/>
    <cellStyle name="Normal 5 6 5 4 3" xfId="16469"/>
    <cellStyle name="Normal 5 6 5 5" xfId="2093"/>
    <cellStyle name="Normal 5 6 5 5 2" xfId="7639"/>
    <cellStyle name="Normal 5 6 5 5 3" xfId="13178"/>
    <cellStyle name="Normal 5 6 5 6" xfId="6434"/>
    <cellStyle name="Normal 5 6 5 7" xfId="11973"/>
    <cellStyle name="Normal 5 6 6" xfId="1526"/>
    <cellStyle name="Normal 5 6 6 2" xfId="2731"/>
    <cellStyle name="Normal 5 6 6 2 2" xfId="8277"/>
    <cellStyle name="Normal 5 6 6 2 3" xfId="13816"/>
    <cellStyle name="Normal 5 6 6 3" xfId="7072"/>
    <cellStyle name="Normal 5 6 6 4" xfId="12611"/>
    <cellStyle name="Normal 5 6 7" xfId="2904"/>
    <cellStyle name="Normal 5 6 7 2" xfId="8448"/>
    <cellStyle name="Normal 5 6 7 3" xfId="13987"/>
    <cellStyle name="Normal 5 6 8" xfId="3093"/>
    <cellStyle name="Normal 5 6 8 2" xfId="8636"/>
    <cellStyle name="Normal 5 6 8 3" xfId="14175"/>
    <cellStyle name="Normal 5 6 9" xfId="4136"/>
    <cellStyle name="Normal 5 6 9 2" xfId="9677"/>
    <cellStyle name="Normal 5 6 9 3" xfId="15216"/>
    <cellStyle name="Normal 5 7" xfId="366"/>
    <cellStyle name="Normal 5 7 10" xfId="1670"/>
    <cellStyle name="Normal 5 7 10 2" xfId="7216"/>
    <cellStyle name="Normal 5 7 10 3" xfId="12755"/>
    <cellStyle name="Normal 5 7 11" xfId="6011"/>
    <cellStyle name="Normal 5 7 11 2" xfId="17089"/>
    <cellStyle name="Normal 5 7 12" xfId="655"/>
    <cellStyle name="Normal 5 7 12 2" xfId="17251"/>
    <cellStyle name="Normal 5 7 13" xfId="11550"/>
    <cellStyle name="Normal 5 7 14" xfId="17418"/>
    <cellStyle name="Normal 5 7 15" xfId="17583"/>
    <cellStyle name="Normal 5 7 2" xfId="367"/>
    <cellStyle name="Normal 5 7 2 10" xfId="6101"/>
    <cellStyle name="Normal 5 7 2 10 2" xfId="17179"/>
    <cellStyle name="Normal 5 7 2 11" xfId="745"/>
    <cellStyle name="Normal 5 7 2 11 2" xfId="17341"/>
    <cellStyle name="Normal 5 7 2 12" xfId="11640"/>
    <cellStyle name="Normal 5 7 2 13" xfId="17508"/>
    <cellStyle name="Normal 5 7 2 14" xfId="17673"/>
    <cellStyle name="Normal 5 7 2 2" xfId="566"/>
    <cellStyle name="Normal 5 7 2 2 2" xfId="1407"/>
    <cellStyle name="Normal 5 7 2 2 2 2" xfId="3939"/>
    <cellStyle name="Normal 5 7 2 2 2 2 2" xfId="9481"/>
    <cellStyle name="Normal 5 7 2 2 2 2 3" xfId="15020"/>
    <cellStyle name="Normal 5 7 2 2 2 3" xfId="4976"/>
    <cellStyle name="Normal 5 7 2 2 2 3 2" xfId="10515"/>
    <cellStyle name="Normal 5 7 2 2 2 3 3" xfId="16054"/>
    <cellStyle name="Normal 5 7 2 2 2 4" xfId="5910"/>
    <cellStyle name="Normal 5 7 2 2 2 4 2" xfId="11449"/>
    <cellStyle name="Normal 5 7 2 2 2 4 3" xfId="16988"/>
    <cellStyle name="Normal 5 7 2 2 2 5" xfId="2612"/>
    <cellStyle name="Normal 5 7 2 2 2 5 2" xfId="8158"/>
    <cellStyle name="Normal 5 7 2 2 2 5 3" xfId="13697"/>
    <cellStyle name="Normal 5 7 2 2 2 6" xfId="6953"/>
    <cellStyle name="Normal 5 7 2 2 2 7" xfId="12492"/>
    <cellStyle name="Normal 5 7 2 2 3" xfId="1076"/>
    <cellStyle name="Normal 5 7 2 2 3 2" xfId="3606"/>
    <cellStyle name="Normal 5 7 2 2 3 2 2" xfId="9148"/>
    <cellStyle name="Normal 5 7 2 2 3 2 3" xfId="14687"/>
    <cellStyle name="Normal 5 7 2 2 3 3" xfId="4643"/>
    <cellStyle name="Normal 5 7 2 2 3 3 2" xfId="10182"/>
    <cellStyle name="Normal 5 7 2 2 3 3 3" xfId="15721"/>
    <cellStyle name="Normal 5 7 2 2 3 4" xfId="5578"/>
    <cellStyle name="Normal 5 7 2 2 3 4 2" xfId="11117"/>
    <cellStyle name="Normal 5 7 2 2 3 4 3" xfId="16656"/>
    <cellStyle name="Normal 5 7 2 2 3 5" xfId="2280"/>
    <cellStyle name="Normal 5 7 2 2 3 5 2" xfId="7826"/>
    <cellStyle name="Normal 5 7 2 2 3 5 3" xfId="13365"/>
    <cellStyle name="Normal 5 7 2 2 3 6" xfId="6621"/>
    <cellStyle name="Normal 5 7 2 2 3 7" xfId="12160"/>
    <cellStyle name="Normal 5 7 2 2 4" xfId="3225"/>
    <cellStyle name="Normal 5 7 2 2 4 2" xfId="8767"/>
    <cellStyle name="Normal 5 7 2 2 4 3" xfId="14306"/>
    <cellStyle name="Normal 5 7 2 2 5" xfId="4264"/>
    <cellStyle name="Normal 5 7 2 2 5 2" xfId="9803"/>
    <cellStyle name="Normal 5 7 2 2 5 3" xfId="15342"/>
    <cellStyle name="Normal 5 7 2 2 6" xfId="5225"/>
    <cellStyle name="Normal 5 7 2 2 6 2" xfId="10764"/>
    <cellStyle name="Normal 5 7 2 2 6 3" xfId="16303"/>
    <cellStyle name="Normal 5 7 2 2 7" xfId="1927"/>
    <cellStyle name="Normal 5 7 2 2 7 2" xfId="7473"/>
    <cellStyle name="Normal 5 7 2 2 7 3" xfId="13012"/>
    <cellStyle name="Normal 5 7 2 2 8" xfId="6268"/>
    <cellStyle name="Normal 5 7 2 2 9" xfId="11807"/>
    <cellStyle name="Normal 5 7 2 3" xfId="1253"/>
    <cellStyle name="Normal 5 7 2 3 2" xfId="3783"/>
    <cellStyle name="Normal 5 7 2 3 2 2" xfId="9325"/>
    <cellStyle name="Normal 5 7 2 3 2 3" xfId="14864"/>
    <cellStyle name="Normal 5 7 2 3 3" xfId="4820"/>
    <cellStyle name="Normal 5 7 2 3 3 2" xfId="10359"/>
    <cellStyle name="Normal 5 7 2 3 3 3" xfId="15898"/>
    <cellStyle name="Normal 5 7 2 3 4" xfId="5755"/>
    <cellStyle name="Normal 5 7 2 3 4 2" xfId="11294"/>
    <cellStyle name="Normal 5 7 2 3 4 3" xfId="16833"/>
    <cellStyle name="Normal 5 7 2 3 5" xfId="2457"/>
    <cellStyle name="Normal 5 7 2 3 5 2" xfId="8003"/>
    <cellStyle name="Normal 5 7 2 3 5 3" xfId="13542"/>
    <cellStyle name="Normal 5 7 2 3 6" xfId="6798"/>
    <cellStyle name="Normal 5 7 2 3 7" xfId="12337"/>
    <cellStyle name="Normal 5 7 2 4" xfId="892"/>
    <cellStyle name="Normal 5 7 2 4 2" xfId="3422"/>
    <cellStyle name="Normal 5 7 2 4 2 2" xfId="8964"/>
    <cellStyle name="Normal 5 7 2 4 2 3" xfId="14503"/>
    <cellStyle name="Normal 5 7 2 4 3" xfId="4459"/>
    <cellStyle name="Normal 5 7 2 4 3 2" xfId="9998"/>
    <cellStyle name="Normal 5 7 2 4 3 3" xfId="15537"/>
    <cellStyle name="Normal 5 7 2 4 4" xfId="5394"/>
    <cellStyle name="Normal 5 7 2 4 4 2" xfId="10933"/>
    <cellStyle name="Normal 5 7 2 4 4 3" xfId="16472"/>
    <cellStyle name="Normal 5 7 2 4 5" xfId="2096"/>
    <cellStyle name="Normal 5 7 2 4 5 2" xfId="7642"/>
    <cellStyle name="Normal 5 7 2 4 5 3" xfId="13181"/>
    <cellStyle name="Normal 5 7 2 4 6" xfId="6437"/>
    <cellStyle name="Normal 5 7 2 4 7" xfId="11976"/>
    <cellStyle name="Normal 5 7 2 5" xfId="1598"/>
    <cellStyle name="Normal 5 7 2 5 2" xfId="2803"/>
    <cellStyle name="Normal 5 7 2 5 2 2" xfId="8349"/>
    <cellStyle name="Normal 5 7 2 5 2 3" xfId="13888"/>
    <cellStyle name="Normal 5 7 2 5 3" xfId="7144"/>
    <cellStyle name="Normal 5 7 2 5 4" xfId="12683"/>
    <cellStyle name="Normal 5 7 2 6" xfId="2976"/>
    <cellStyle name="Normal 5 7 2 6 2" xfId="8520"/>
    <cellStyle name="Normal 5 7 2 6 3" xfId="14059"/>
    <cellStyle name="Normal 5 7 2 7" xfId="4021"/>
    <cellStyle name="Normal 5 7 2 7 2" xfId="9563"/>
    <cellStyle name="Normal 5 7 2 7 3" xfId="15102"/>
    <cellStyle name="Normal 5 7 2 8" xfId="5058"/>
    <cellStyle name="Normal 5 7 2 8 2" xfId="10597"/>
    <cellStyle name="Normal 5 7 2 8 3" xfId="16136"/>
    <cellStyle name="Normal 5 7 2 9" xfId="1760"/>
    <cellStyle name="Normal 5 7 2 9 2" xfId="7306"/>
    <cellStyle name="Normal 5 7 2 9 3" xfId="12845"/>
    <cellStyle name="Normal 5 7 3" xfId="565"/>
    <cellStyle name="Normal 5 7 3 2" xfId="1406"/>
    <cellStyle name="Normal 5 7 3 2 2" xfId="3938"/>
    <cellStyle name="Normal 5 7 3 2 2 2" xfId="9480"/>
    <cellStyle name="Normal 5 7 3 2 2 3" xfId="15019"/>
    <cellStyle name="Normal 5 7 3 2 3" xfId="4975"/>
    <cellStyle name="Normal 5 7 3 2 3 2" xfId="10514"/>
    <cellStyle name="Normal 5 7 3 2 3 3" xfId="16053"/>
    <cellStyle name="Normal 5 7 3 2 4" xfId="5909"/>
    <cellStyle name="Normal 5 7 3 2 4 2" xfId="11448"/>
    <cellStyle name="Normal 5 7 3 2 4 3" xfId="16987"/>
    <cellStyle name="Normal 5 7 3 2 5" xfId="2611"/>
    <cellStyle name="Normal 5 7 3 2 5 2" xfId="8157"/>
    <cellStyle name="Normal 5 7 3 2 5 3" xfId="13696"/>
    <cellStyle name="Normal 5 7 3 2 6" xfId="6952"/>
    <cellStyle name="Normal 5 7 3 2 7" xfId="12491"/>
    <cellStyle name="Normal 5 7 3 3" xfId="986"/>
    <cellStyle name="Normal 5 7 3 3 2" xfId="3516"/>
    <cellStyle name="Normal 5 7 3 3 2 2" xfId="9058"/>
    <cellStyle name="Normal 5 7 3 3 2 3" xfId="14597"/>
    <cellStyle name="Normal 5 7 3 3 3" xfId="4553"/>
    <cellStyle name="Normal 5 7 3 3 3 2" xfId="10092"/>
    <cellStyle name="Normal 5 7 3 3 3 3" xfId="15631"/>
    <cellStyle name="Normal 5 7 3 3 4" xfId="5488"/>
    <cellStyle name="Normal 5 7 3 3 4 2" xfId="11027"/>
    <cellStyle name="Normal 5 7 3 3 4 3" xfId="16566"/>
    <cellStyle name="Normal 5 7 3 3 5" xfId="2190"/>
    <cellStyle name="Normal 5 7 3 3 5 2" xfId="7736"/>
    <cellStyle name="Normal 5 7 3 3 5 3" xfId="13275"/>
    <cellStyle name="Normal 5 7 3 3 6" xfId="6531"/>
    <cellStyle name="Normal 5 7 3 3 7" xfId="12070"/>
    <cellStyle name="Normal 5 7 3 4" xfId="3224"/>
    <cellStyle name="Normal 5 7 3 4 2" xfId="8766"/>
    <cellStyle name="Normal 5 7 3 4 3" xfId="14305"/>
    <cellStyle name="Normal 5 7 3 5" xfId="4263"/>
    <cellStyle name="Normal 5 7 3 5 2" xfId="9802"/>
    <cellStyle name="Normal 5 7 3 5 3" xfId="15341"/>
    <cellStyle name="Normal 5 7 3 6" xfId="5224"/>
    <cellStyle name="Normal 5 7 3 6 2" xfId="10763"/>
    <cellStyle name="Normal 5 7 3 6 3" xfId="16302"/>
    <cellStyle name="Normal 5 7 3 7" xfId="1926"/>
    <cellStyle name="Normal 5 7 3 7 2" xfId="7472"/>
    <cellStyle name="Normal 5 7 3 7 3" xfId="13011"/>
    <cellStyle name="Normal 5 7 3 8" xfId="6267"/>
    <cellStyle name="Normal 5 7 3 9" xfId="11806"/>
    <cellStyle name="Normal 5 7 4" xfId="1163"/>
    <cellStyle name="Normal 5 7 4 2" xfId="3693"/>
    <cellStyle name="Normal 5 7 4 2 2" xfId="9235"/>
    <cellStyle name="Normal 5 7 4 2 3" xfId="14774"/>
    <cellStyle name="Normal 5 7 4 3" xfId="4730"/>
    <cellStyle name="Normal 5 7 4 3 2" xfId="10269"/>
    <cellStyle name="Normal 5 7 4 3 3" xfId="15808"/>
    <cellStyle name="Normal 5 7 4 4" xfId="5665"/>
    <cellStyle name="Normal 5 7 4 4 2" xfId="11204"/>
    <cellStyle name="Normal 5 7 4 4 3" xfId="16743"/>
    <cellStyle name="Normal 5 7 4 5" xfId="2367"/>
    <cellStyle name="Normal 5 7 4 5 2" xfId="7913"/>
    <cellStyle name="Normal 5 7 4 5 3" xfId="13452"/>
    <cellStyle name="Normal 5 7 4 6" xfId="6708"/>
    <cellStyle name="Normal 5 7 4 7" xfId="12247"/>
    <cellStyle name="Normal 5 7 5" xfId="891"/>
    <cellStyle name="Normal 5 7 5 2" xfId="3421"/>
    <cellStyle name="Normal 5 7 5 2 2" xfId="8963"/>
    <cellStyle name="Normal 5 7 5 2 3" xfId="14502"/>
    <cellStyle name="Normal 5 7 5 3" xfId="4458"/>
    <cellStyle name="Normal 5 7 5 3 2" xfId="9997"/>
    <cellStyle name="Normal 5 7 5 3 3" xfId="15536"/>
    <cellStyle name="Normal 5 7 5 4" xfId="5393"/>
    <cellStyle name="Normal 5 7 5 4 2" xfId="10932"/>
    <cellStyle name="Normal 5 7 5 4 3" xfId="16471"/>
    <cellStyle name="Normal 5 7 5 5" xfId="2095"/>
    <cellStyle name="Normal 5 7 5 5 2" xfId="7641"/>
    <cellStyle name="Normal 5 7 5 5 3" xfId="13180"/>
    <cellStyle name="Normal 5 7 5 6" xfId="6436"/>
    <cellStyle name="Normal 5 7 5 7" xfId="11975"/>
    <cellStyle name="Normal 5 7 6" xfId="1508"/>
    <cellStyle name="Normal 5 7 6 2" xfId="2713"/>
    <cellStyle name="Normal 5 7 6 2 2" xfId="8259"/>
    <cellStyle name="Normal 5 7 6 2 3" xfId="13798"/>
    <cellStyle name="Normal 5 7 6 3" xfId="7054"/>
    <cellStyle name="Normal 5 7 6 4" xfId="12593"/>
    <cellStyle name="Normal 5 7 7" xfId="2886"/>
    <cellStyle name="Normal 5 7 7 2" xfId="8430"/>
    <cellStyle name="Normal 5 7 7 3" xfId="13969"/>
    <cellStyle name="Normal 5 7 8" xfId="3298"/>
    <cellStyle name="Normal 5 7 8 2" xfId="8840"/>
    <cellStyle name="Normal 5 7 8 3" xfId="14379"/>
    <cellStyle name="Normal 5 7 9" xfId="4337"/>
    <cellStyle name="Normal 5 7 9 2" xfId="9876"/>
    <cellStyle name="Normal 5 7 9 3" xfId="15415"/>
    <cellStyle name="Normal 5 8" xfId="368"/>
    <cellStyle name="Normal 5 8 10" xfId="1706"/>
    <cellStyle name="Normal 5 8 10 2" xfId="7252"/>
    <cellStyle name="Normal 5 8 10 3" xfId="12791"/>
    <cellStyle name="Normal 5 8 11" xfId="6047"/>
    <cellStyle name="Normal 5 8 11 2" xfId="17125"/>
    <cellStyle name="Normal 5 8 12" xfId="691"/>
    <cellStyle name="Normal 5 8 12 2" xfId="17287"/>
    <cellStyle name="Normal 5 8 13" xfId="11586"/>
    <cellStyle name="Normal 5 8 14" xfId="17454"/>
    <cellStyle name="Normal 5 8 15" xfId="17619"/>
    <cellStyle name="Normal 5 8 2" xfId="369"/>
    <cellStyle name="Normal 5 8 2 10" xfId="6083"/>
    <cellStyle name="Normal 5 8 2 10 2" xfId="17161"/>
    <cellStyle name="Normal 5 8 2 11" xfId="727"/>
    <cellStyle name="Normal 5 8 2 11 2" xfId="17323"/>
    <cellStyle name="Normal 5 8 2 12" xfId="11622"/>
    <cellStyle name="Normal 5 8 2 13" xfId="17490"/>
    <cellStyle name="Normal 5 8 2 14" xfId="17655"/>
    <cellStyle name="Normal 5 8 2 2" xfId="568"/>
    <cellStyle name="Normal 5 8 2 2 2" xfId="1409"/>
    <cellStyle name="Normal 5 8 2 2 2 2" xfId="3941"/>
    <cellStyle name="Normal 5 8 2 2 2 2 2" xfId="9483"/>
    <cellStyle name="Normal 5 8 2 2 2 2 3" xfId="15022"/>
    <cellStyle name="Normal 5 8 2 2 2 3" xfId="4978"/>
    <cellStyle name="Normal 5 8 2 2 2 3 2" xfId="10517"/>
    <cellStyle name="Normal 5 8 2 2 2 3 3" xfId="16056"/>
    <cellStyle name="Normal 5 8 2 2 2 4" xfId="5912"/>
    <cellStyle name="Normal 5 8 2 2 2 4 2" xfId="11451"/>
    <cellStyle name="Normal 5 8 2 2 2 4 3" xfId="16990"/>
    <cellStyle name="Normal 5 8 2 2 2 5" xfId="2614"/>
    <cellStyle name="Normal 5 8 2 2 2 5 2" xfId="8160"/>
    <cellStyle name="Normal 5 8 2 2 2 5 3" xfId="13699"/>
    <cellStyle name="Normal 5 8 2 2 2 6" xfId="6955"/>
    <cellStyle name="Normal 5 8 2 2 2 7" xfId="12494"/>
    <cellStyle name="Normal 5 8 2 2 3" xfId="1058"/>
    <cellStyle name="Normal 5 8 2 2 3 2" xfId="3588"/>
    <cellStyle name="Normal 5 8 2 2 3 2 2" xfId="9130"/>
    <cellStyle name="Normal 5 8 2 2 3 2 3" xfId="14669"/>
    <cellStyle name="Normal 5 8 2 2 3 3" xfId="4625"/>
    <cellStyle name="Normal 5 8 2 2 3 3 2" xfId="10164"/>
    <cellStyle name="Normal 5 8 2 2 3 3 3" xfId="15703"/>
    <cellStyle name="Normal 5 8 2 2 3 4" xfId="5560"/>
    <cellStyle name="Normal 5 8 2 2 3 4 2" xfId="11099"/>
    <cellStyle name="Normal 5 8 2 2 3 4 3" xfId="16638"/>
    <cellStyle name="Normal 5 8 2 2 3 5" xfId="2262"/>
    <cellStyle name="Normal 5 8 2 2 3 5 2" xfId="7808"/>
    <cellStyle name="Normal 5 8 2 2 3 5 3" xfId="13347"/>
    <cellStyle name="Normal 5 8 2 2 3 6" xfId="6603"/>
    <cellStyle name="Normal 5 8 2 2 3 7" xfId="12142"/>
    <cellStyle name="Normal 5 8 2 2 4" xfId="3227"/>
    <cellStyle name="Normal 5 8 2 2 4 2" xfId="8769"/>
    <cellStyle name="Normal 5 8 2 2 4 3" xfId="14308"/>
    <cellStyle name="Normal 5 8 2 2 5" xfId="4266"/>
    <cellStyle name="Normal 5 8 2 2 5 2" xfId="9805"/>
    <cellStyle name="Normal 5 8 2 2 5 3" xfId="15344"/>
    <cellStyle name="Normal 5 8 2 2 6" xfId="5227"/>
    <cellStyle name="Normal 5 8 2 2 6 2" xfId="10766"/>
    <cellStyle name="Normal 5 8 2 2 6 3" xfId="16305"/>
    <cellStyle name="Normal 5 8 2 2 7" xfId="1929"/>
    <cellStyle name="Normal 5 8 2 2 7 2" xfId="7475"/>
    <cellStyle name="Normal 5 8 2 2 7 3" xfId="13014"/>
    <cellStyle name="Normal 5 8 2 2 8" xfId="6270"/>
    <cellStyle name="Normal 5 8 2 2 9" xfId="11809"/>
    <cellStyle name="Normal 5 8 2 3" xfId="1235"/>
    <cellStyle name="Normal 5 8 2 3 2" xfId="3765"/>
    <cellStyle name="Normal 5 8 2 3 2 2" xfId="9307"/>
    <cellStyle name="Normal 5 8 2 3 2 3" xfId="14846"/>
    <cellStyle name="Normal 5 8 2 3 3" xfId="4802"/>
    <cellStyle name="Normal 5 8 2 3 3 2" xfId="10341"/>
    <cellStyle name="Normal 5 8 2 3 3 3" xfId="15880"/>
    <cellStyle name="Normal 5 8 2 3 4" xfId="5737"/>
    <cellStyle name="Normal 5 8 2 3 4 2" xfId="11276"/>
    <cellStyle name="Normal 5 8 2 3 4 3" xfId="16815"/>
    <cellStyle name="Normal 5 8 2 3 5" xfId="2439"/>
    <cellStyle name="Normal 5 8 2 3 5 2" xfId="7985"/>
    <cellStyle name="Normal 5 8 2 3 5 3" xfId="13524"/>
    <cellStyle name="Normal 5 8 2 3 6" xfId="6780"/>
    <cellStyle name="Normal 5 8 2 3 7" xfId="12319"/>
    <cellStyle name="Normal 5 8 2 4" xfId="894"/>
    <cellStyle name="Normal 5 8 2 4 2" xfId="3424"/>
    <cellStyle name="Normal 5 8 2 4 2 2" xfId="8966"/>
    <cellStyle name="Normal 5 8 2 4 2 3" xfId="14505"/>
    <cellStyle name="Normal 5 8 2 4 3" xfId="4461"/>
    <cellStyle name="Normal 5 8 2 4 3 2" xfId="10000"/>
    <cellStyle name="Normal 5 8 2 4 3 3" xfId="15539"/>
    <cellStyle name="Normal 5 8 2 4 4" xfId="5396"/>
    <cellStyle name="Normal 5 8 2 4 4 2" xfId="10935"/>
    <cellStyle name="Normal 5 8 2 4 4 3" xfId="16474"/>
    <cellStyle name="Normal 5 8 2 4 5" xfId="2098"/>
    <cellStyle name="Normal 5 8 2 4 5 2" xfId="7644"/>
    <cellStyle name="Normal 5 8 2 4 5 3" xfId="13183"/>
    <cellStyle name="Normal 5 8 2 4 6" xfId="6439"/>
    <cellStyle name="Normal 5 8 2 4 7" xfId="11978"/>
    <cellStyle name="Normal 5 8 2 5" xfId="1580"/>
    <cellStyle name="Normal 5 8 2 5 2" xfId="2785"/>
    <cellStyle name="Normal 5 8 2 5 2 2" xfId="8331"/>
    <cellStyle name="Normal 5 8 2 5 2 3" xfId="13870"/>
    <cellStyle name="Normal 5 8 2 5 3" xfId="7126"/>
    <cellStyle name="Normal 5 8 2 5 4" xfId="12665"/>
    <cellStyle name="Normal 5 8 2 6" xfId="2958"/>
    <cellStyle name="Normal 5 8 2 6 2" xfId="8502"/>
    <cellStyle name="Normal 5 8 2 6 3" xfId="14041"/>
    <cellStyle name="Normal 5 8 2 7" xfId="3060"/>
    <cellStyle name="Normal 5 8 2 7 2" xfId="8603"/>
    <cellStyle name="Normal 5 8 2 7 3" xfId="14142"/>
    <cellStyle name="Normal 5 8 2 8" xfId="4103"/>
    <cellStyle name="Normal 5 8 2 8 2" xfId="9644"/>
    <cellStyle name="Normal 5 8 2 8 3" xfId="15183"/>
    <cellStyle name="Normal 5 8 2 9" xfId="1742"/>
    <cellStyle name="Normal 5 8 2 9 2" xfId="7288"/>
    <cellStyle name="Normal 5 8 2 9 3" xfId="12827"/>
    <cellStyle name="Normal 5 8 3" xfId="567"/>
    <cellStyle name="Normal 5 8 3 2" xfId="1408"/>
    <cellStyle name="Normal 5 8 3 2 2" xfId="3940"/>
    <cellStyle name="Normal 5 8 3 2 2 2" xfId="9482"/>
    <cellStyle name="Normal 5 8 3 2 2 3" xfId="15021"/>
    <cellStyle name="Normal 5 8 3 2 3" xfId="4977"/>
    <cellStyle name="Normal 5 8 3 2 3 2" xfId="10516"/>
    <cellStyle name="Normal 5 8 3 2 3 3" xfId="16055"/>
    <cellStyle name="Normal 5 8 3 2 4" xfId="5911"/>
    <cellStyle name="Normal 5 8 3 2 4 2" xfId="11450"/>
    <cellStyle name="Normal 5 8 3 2 4 3" xfId="16989"/>
    <cellStyle name="Normal 5 8 3 2 5" xfId="2613"/>
    <cellStyle name="Normal 5 8 3 2 5 2" xfId="8159"/>
    <cellStyle name="Normal 5 8 3 2 5 3" xfId="13698"/>
    <cellStyle name="Normal 5 8 3 2 6" xfId="6954"/>
    <cellStyle name="Normal 5 8 3 2 7" xfId="12493"/>
    <cellStyle name="Normal 5 8 3 3" xfId="1022"/>
    <cellStyle name="Normal 5 8 3 3 2" xfId="3552"/>
    <cellStyle name="Normal 5 8 3 3 2 2" xfId="9094"/>
    <cellStyle name="Normal 5 8 3 3 2 3" xfId="14633"/>
    <cellStyle name="Normal 5 8 3 3 3" xfId="4589"/>
    <cellStyle name="Normal 5 8 3 3 3 2" xfId="10128"/>
    <cellStyle name="Normal 5 8 3 3 3 3" xfId="15667"/>
    <cellStyle name="Normal 5 8 3 3 4" xfId="5524"/>
    <cellStyle name="Normal 5 8 3 3 4 2" xfId="11063"/>
    <cellStyle name="Normal 5 8 3 3 4 3" xfId="16602"/>
    <cellStyle name="Normal 5 8 3 3 5" xfId="2226"/>
    <cellStyle name="Normal 5 8 3 3 5 2" xfId="7772"/>
    <cellStyle name="Normal 5 8 3 3 5 3" xfId="13311"/>
    <cellStyle name="Normal 5 8 3 3 6" xfId="6567"/>
    <cellStyle name="Normal 5 8 3 3 7" xfId="12106"/>
    <cellStyle name="Normal 5 8 3 4" xfId="3226"/>
    <cellStyle name="Normal 5 8 3 4 2" xfId="8768"/>
    <cellStyle name="Normal 5 8 3 4 3" xfId="14307"/>
    <cellStyle name="Normal 5 8 3 5" xfId="4265"/>
    <cellStyle name="Normal 5 8 3 5 2" xfId="9804"/>
    <cellStyle name="Normal 5 8 3 5 3" xfId="15343"/>
    <cellStyle name="Normal 5 8 3 6" xfId="5226"/>
    <cellStyle name="Normal 5 8 3 6 2" xfId="10765"/>
    <cellStyle name="Normal 5 8 3 6 3" xfId="16304"/>
    <cellStyle name="Normal 5 8 3 7" xfId="1928"/>
    <cellStyle name="Normal 5 8 3 7 2" xfId="7474"/>
    <cellStyle name="Normal 5 8 3 7 3" xfId="13013"/>
    <cellStyle name="Normal 5 8 3 8" xfId="6269"/>
    <cellStyle name="Normal 5 8 3 9" xfId="11808"/>
    <cellStyle name="Normal 5 8 4" xfId="1199"/>
    <cellStyle name="Normal 5 8 4 2" xfId="3729"/>
    <cellStyle name="Normal 5 8 4 2 2" xfId="9271"/>
    <cellStyle name="Normal 5 8 4 2 3" xfId="14810"/>
    <cellStyle name="Normal 5 8 4 3" xfId="4766"/>
    <cellStyle name="Normal 5 8 4 3 2" xfId="10305"/>
    <cellStyle name="Normal 5 8 4 3 3" xfId="15844"/>
    <cellStyle name="Normal 5 8 4 4" xfId="5701"/>
    <cellStyle name="Normal 5 8 4 4 2" xfId="11240"/>
    <cellStyle name="Normal 5 8 4 4 3" xfId="16779"/>
    <cellStyle name="Normal 5 8 4 5" xfId="2403"/>
    <cellStyle name="Normal 5 8 4 5 2" xfId="7949"/>
    <cellStyle name="Normal 5 8 4 5 3" xfId="13488"/>
    <cellStyle name="Normal 5 8 4 6" xfId="6744"/>
    <cellStyle name="Normal 5 8 4 7" xfId="12283"/>
    <cellStyle name="Normal 5 8 5" xfId="893"/>
    <cellStyle name="Normal 5 8 5 2" xfId="3423"/>
    <cellStyle name="Normal 5 8 5 2 2" xfId="8965"/>
    <cellStyle name="Normal 5 8 5 2 3" xfId="14504"/>
    <cellStyle name="Normal 5 8 5 3" xfId="4460"/>
    <cellStyle name="Normal 5 8 5 3 2" xfId="9999"/>
    <cellStyle name="Normal 5 8 5 3 3" xfId="15538"/>
    <cellStyle name="Normal 5 8 5 4" xfId="5395"/>
    <cellStyle name="Normal 5 8 5 4 2" xfId="10934"/>
    <cellStyle name="Normal 5 8 5 4 3" xfId="16473"/>
    <cellStyle name="Normal 5 8 5 5" xfId="2097"/>
    <cellStyle name="Normal 5 8 5 5 2" xfId="7643"/>
    <cellStyle name="Normal 5 8 5 5 3" xfId="13182"/>
    <cellStyle name="Normal 5 8 5 6" xfId="6438"/>
    <cellStyle name="Normal 5 8 5 7" xfId="11977"/>
    <cellStyle name="Normal 5 8 6" xfId="1544"/>
    <cellStyle name="Normal 5 8 6 2" xfId="2749"/>
    <cellStyle name="Normal 5 8 6 2 2" xfId="8295"/>
    <cellStyle name="Normal 5 8 6 2 3" xfId="13834"/>
    <cellStyle name="Normal 5 8 6 3" xfId="7090"/>
    <cellStyle name="Normal 5 8 6 4" xfId="12629"/>
    <cellStyle name="Normal 5 8 7" xfId="2922"/>
    <cellStyle name="Normal 5 8 7 2" xfId="8466"/>
    <cellStyle name="Normal 5 8 7 3" xfId="14005"/>
    <cellStyle name="Normal 5 8 8" xfId="3023"/>
    <cellStyle name="Normal 5 8 8 2" xfId="8567"/>
    <cellStyle name="Normal 5 8 8 3" xfId="14106"/>
    <cellStyle name="Normal 5 8 9" xfId="4067"/>
    <cellStyle name="Normal 5 8 9 2" xfId="9609"/>
    <cellStyle name="Normal 5 8 9 3" xfId="15148"/>
    <cellStyle name="Normal 5 9" xfId="370"/>
    <cellStyle name="Normal 5 9 10" xfId="6065"/>
    <cellStyle name="Normal 5 9 10 2" xfId="17143"/>
    <cellStyle name="Normal 5 9 11" xfId="709"/>
    <cellStyle name="Normal 5 9 11 2" xfId="17305"/>
    <cellStyle name="Normal 5 9 12" xfId="11604"/>
    <cellStyle name="Normal 5 9 13" xfId="17472"/>
    <cellStyle name="Normal 5 9 14" xfId="17637"/>
    <cellStyle name="Normal 5 9 2" xfId="569"/>
    <cellStyle name="Normal 5 9 2 2" xfId="1410"/>
    <cellStyle name="Normal 5 9 2 2 2" xfId="3942"/>
    <cellStyle name="Normal 5 9 2 2 2 2" xfId="9484"/>
    <cellStyle name="Normal 5 9 2 2 2 3" xfId="15023"/>
    <cellStyle name="Normal 5 9 2 2 3" xfId="4979"/>
    <cellStyle name="Normal 5 9 2 2 3 2" xfId="10518"/>
    <cellStyle name="Normal 5 9 2 2 3 3" xfId="16057"/>
    <cellStyle name="Normal 5 9 2 2 4" xfId="5913"/>
    <cellStyle name="Normal 5 9 2 2 4 2" xfId="11452"/>
    <cellStyle name="Normal 5 9 2 2 4 3" xfId="16991"/>
    <cellStyle name="Normal 5 9 2 2 5" xfId="2615"/>
    <cellStyle name="Normal 5 9 2 2 5 2" xfId="8161"/>
    <cellStyle name="Normal 5 9 2 2 5 3" xfId="13700"/>
    <cellStyle name="Normal 5 9 2 2 6" xfId="6956"/>
    <cellStyle name="Normal 5 9 2 2 7" xfId="12495"/>
    <cellStyle name="Normal 5 9 2 3" xfId="1040"/>
    <cellStyle name="Normal 5 9 2 3 2" xfId="3570"/>
    <cellStyle name="Normal 5 9 2 3 2 2" xfId="9112"/>
    <cellStyle name="Normal 5 9 2 3 2 3" xfId="14651"/>
    <cellStyle name="Normal 5 9 2 3 3" xfId="4607"/>
    <cellStyle name="Normal 5 9 2 3 3 2" xfId="10146"/>
    <cellStyle name="Normal 5 9 2 3 3 3" xfId="15685"/>
    <cellStyle name="Normal 5 9 2 3 4" xfId="5542"/>
    <cellStyle name="Normal 5 9 2 3 4 2" xfId="11081"/>
    <cellStyle name="Normal 5 9 2 3 4 3" xfId="16620"/>
    <cellStyle name="Normal 5 9 2 3 5" xfId="2244"/>
    <cellStyle name="Normal 5 9 2 3 5 2" xfId="7790"/>
    <cellStyle name="Normal 5 9 2 3 5 3" xfId="13329"/>
    <cellStyle name="Normal 5 9 2 3 6" xfId="6585"/>
    <cellStyle name="Normal 5 9 2 3 7" xfId="12124"/>
    <cellStyle name="Normal 5 9 2 4" xfId="3228"/>
    <cellStyle name="Normal 5 9 2 4 2" xfId="8770"/>
    <cellStyle name="Normal 5 9 2 4 3" xfId="14309"/>
    <cellStyle name="Normal 5 9 2 5" xfId="4267"/>
    <cellStyle name="Normal 5 9 2 5 2" xfId="9806"/>
    <cellStyle name="Normal 5 9 2 5 3" xfId="15345"/>
    <cellStyle name="Normal 5 9 2 6" xfId="5228"/>
    <cellStyle name="Normal 5 9 2 6 2" xfId="10767"/>
    <cellStyle name="Normal 5 9 2 6 3" xfId="16306"/>
    <cellStyle name="Normal 5 9 2 7" xfId="1930"/>
    <cellStyle name="Normal 5 9 2 7 2" xfId="7476"/>
    <cellStyle name="Normal 5 9 2 7 3" xfId="13015"/>
    <cellStyle name="Normal 5 9 2 8" xfId="6271"/>
    <cellStyle name="Normal 5 9 2 9" xfId="11810"/>
    <cellStyle name="Normal 5 9 3" xfId="1217"/>
    <cellStyle name="Normal 5 9 3 2" xfId="3747"/>
    <cellStyle name="Normal 5 9 3 2 2" xfId="9289"/>
    <cellStyle name="Normal 5 9 3 2 3" xfId="14828"/>
    <cellStyle name="Normal 5 9 3 3" xfId="4784"/>
    <cellStyle name="Normal 5 9 3 3 2" xfId="10323"/>
    <cellStyle name="Normal 5 9 3 3 3" xfId="15862"/>
    <cellStyle name="Normal 5 9 3 4" xfId="5719"/>
    <cellStyle name="Normal 5 9 3 4 2" xfId="11258"/>
    <cellStyle name="Normal 5 9 3 4 3" xfId="16797"/>
    <cellStyle name="Normal 5 9 3 5" xfId="2421"/>
    <cellStyle name="Normal 5 9 3 5 2" xfId="7967"/>
    <cellStyle name="Normal 5 9 3 5 3" xfId="13506"/>
    <cellStyle name="Normal 5 9 3 6" xfId="6762"/>
    <cellStyle name="Normal 5 9 3 7" xfId="12301"/>
    <cellStyle name="Normal 5 9 4" xfId="895"/>
    <cellStyle name="Normal 5 9 4 2" xfId="3425"/>
    <cellStyle name="Normal 5 9 4 2 2" xfId="8967"/>
    <cellStyle name="Normal 5 9 4 2 3" xfId="14506"/>
    <cellStyle name="Normal 5 9 4 3" xfId="4462"/>
    <cellStyle name="Normal 5 9 4 3 2" xfId="10001"/>
    <cellStyle name="Normal 5 9 4 3 3" xfId="15540"/>
    <cellStyle name="Normal 5 9 4 4" xfId="5397"/>
    <cellStyle name="Normal 5 9 4 4 2" xfId="10936"/>
    <cellStyle name="Normal 5 9 4 4 3" xfId="16475"/>
    <cellStyle name="Normal 5 9 4 5" xfId="2099"/>
    <cellStyle name="Normal 5 9 4 5 2" xfId="7645"/>
    <cellStyle name="Normal 5 9 4 5 3" xfId="13184"/>
    <cellStyle name="Normal 5 9 4 6" xfId="6440"/>
    <cellStyle name="Normal 5 9 4 7" xfId="11979"/>
    <cellStyle name="Normal 5 9 5" xfId="1562"/>
    <cellStyle name="Normal 5 9 5 2" xfId="2767"/>
    <cellStyle name="Normal 5 9 5 2 2" xfId="8313"/>
    <cellStyle name="Normal 5 9 5 2 3" xfId="13852"/>
    <cellStyle name="Normal 5 9 5 3" xfId="7108"/>
    <cellStyle name="Normal 5 9 5 4" xfId="12647"/>
    <cellStyle name="Normal 5 9 6" xfId="2940"/>
    <cellStyle name="Normal 5 9 6 2" xfId="8484"/>
    <cellStyle name="Normal 5 9 6 3" xfId="14023"/>
    <cellStyle name="Normal 5 9 7" xfId="3048"/>
    <cellStyle name="Normal 5 9 7 2" xfId="8591"/>
    <cellStyle name="Normal 5 9 7 3" xfId="14130"/>
    <cellStyle name="Normal 5 9 8" xfId="4091"/>
    <cellStyle name="Normal 5 9 8 2" xfId="9632"/>
    <cellStyle name="Normal 5 9 8 3" xfId="15171"/>
    <cellStyle name="Normal 5 9 9" xfId="1724"/>
    <cellStyle name="Normal 5 9 9 2" xfId="7270"/>
    <cellStyle name="Normal 5 9 9 3" xfId="12809"/>
    <cellStyle name="Normal 6" xfId="155"/>
    <cellStyle name="Normal 6 2" xfId="156"/>
    <cellStyle name="Normal 6 2 2" xfId="157"/>
    <cellStyle name="Normal 6 3" xfId="158"/>
    <cellStyle name="Normal 6 3 2" xfId="159"/>
    <cellStyle name="Normal 6 3 2 2" xfId="160"/>
    <cellStyle name="Normal 6 3 3" xfId="2850"/>
    <cellStyle name="Normal 6 3 4" xfId="3026"/>
    <cellStyle name="Normal 6 3 5" xfId="4070"/>
    <cellStyle name="Normal 6 3 6" xfId="17383"/>
    <cellStyle name="Normal 6 3 7" xfId="17548"/>
    <cellStyle name="Normal 6 4" xfId="2846"/>
    <cellStyle name="Normal 6 5" xfId="3127"/>
    <cellStyle name="Normal 6 6" xfId="4167"/>
    <cellStyle name="Normal 6 7" xfId="17381"/>
    <cellStyle name="Normal 6 8" xfId="17546"/>
    <cellStyle name="Normal 7" xfId="161"/>
    <cellStyle name="Normal 7 10" xfId="462"/>
    <cellStyle name="Normal 7 10 2" xfId="1304"/>
    <cellStyle name="Normal 7 10 2 2" xfId="3835"/>
    <cellStyle name="Normal 7 10 2 2 2" xfId="9377"/>
    <cellStyle name="Normal 7 10 2 2 3" xfId="14916"/>
    <cellStyle name="Normal 7 10 2 3" xfId="4872"/>
    <cellStyle name="Normal 7 10 2 3 2" xfId="10411"/>
    <cellStyle name="Normal 7 10 2 3 3" xfId="15950"/>
    <cellStyle name="Normal 7 10 2 4" xfId="5807"/>
    <cellStyle name="Normal 7 10 2 4 2" xfId="11346"/>
    <cellStyle name="Normal 7 10 2 4 3" xfId="16885"/>
    <cellStyle name="Normal 7 10 2 5" xfId="2509"/>
    <cellStyle name="Normal 7 10 2 5 2" xfId="8055"/>
    <cellStyle name="Normal 7 10 2 5 3" xfId="13594"/>
    <cellStyle name="Normal 7 10 2 6" xfId="6850"/>
    <cellStyle name="Normal 7 10 2 7" xfId="12389"/>
    <cellStyle name="Normal 7 10 3" xfId="951"/>
    <cellStyle name="Normal 7 10 3 2" xfId="3481"/>
    <cellStyle name="Normal 7 10 3 2 2" xfId="9023"/>
    <cellStyle name="Normal 7 10 3 2 3" xfId="14562"/>
    <cellStyle name="Normal 7 10 3 3" xfId="4518"/>
    <cellStyle name="Normal 7 10 3 3 2" xfId="10057"/>
    <cellStyle name="Normal 7 10 3 3 3" xfId="15596"/>
    <cellStyle name="Normal 7 10 3 4" xfId="5453"/>
    <cellStyle name="Normal 7 10 3 4 2" xfId="10992"/>
    <cellStyle name="Normal 7 10 3 4 3" xfId="16531"/>
    <cellStyle name="Normal 7 10 3 5" xfId="2155"/>
    <cellStyle name="Normal 7 10 3 5 2" xfId="7701"/>
    <cellStyle name="Normal 7 10 3 5 3" xfId="13240"/>
    <cellStyle name="Normal 7 10 3 6" xfId="6496"/>
    <cellStyle name="Normal 7 10 3 7" xfId="12035"/>
    <cellStyle name="Normal 7 10 4" xfId="3112"/>
    <cellStyle name="Normal 7 10 4 2" xfId="8655"/>
    <cellStyle name="Normal 7 10 4 3" xfId="14194"/>
    <cellStyle name="Normal 7 10 5" xfId="4155"/>
    <cellStyle name="Normal 7 10 5 2" xfId="9696"/>
    <cellStyle name="Normal 7 10 5 3" xfId="15235"/>
    <cellStyle name="Normal 7 10 6" xfId="5122"/>
    <cellStyle name="Normal 7 10 6 2" xfId="10661"/>
    <cellStyle name="Normal 7 10 6 3" xfId="16200"/>
    <cellStyle name="Normal 7 10 7" xfId="1824"/>
    <cellStyle name="Normal 7 10 7 2" xfId="7370"/>
    <cellStyle name="Normal 7 10 7 3" xfId="12909"/>
    <cellStyle name="Normal 7 10 8" xfId="6165"/>
    <cellStyle name="Normal 7 10 9" xfId="11704"/>
    <cellStyle name="Normal 7 11" xfId="1128"/>
    <cellStyle name="Normal 7 11 2" xfId="3658"/>
    <cellStyle name="Normal 7 11 2 2" xfId="9200"/>
    <cellStyle name="Normal 7 11 2 3" xfId="14739"/>
    <cellStyle name="Normal 7 11 3" xfId="4695"/>
    <cellStyle name="Normal 7 11 3 2" xfId="10234"/>
    <cellStyle name="Normal 7 11 3 3" xfId="15773"/>
    <cellStyle name="Normal 7 11 4" xfId="5630"/>
    <cellStyle name="Normal 7 11 4 2" xfId="11169"/>
    <cellStyle name="Normal 7 11 4 3" xfId="16708"/>
    <cellStyle name="Normal 7 11 5" xfId="2332"/>
    <cellStyle name="Normal 7 11 5 2" xfId="7878"/>
    <cellStyle name="Normal 7 11 5 3" xfId="13417"/>
    <cellStyle name="Normal 7 11 6" xfId="6673"/>
    <cellStyle name="Normal 7 11 7" xfId="12212"/>
    <cellStyle name="Normal 7 12" xfId="896"/>
    <cellStyle name="Normal 7 12 2" xfId="3426"/>
    <cellStyle name="Normal 7 12 2 2" xfId="8968"/>
    <cellStyle name="Normal 7 12 2 3" xfId="14507"/>
    <cellStyle name="Normal 7 12 3" xfId="4463"/>
    <cellStyle name="Normal 7 12 3 2" xfId="10002"/>
    <cellStyle name="Normal 7 12 3 3" xfId="15541"/>
    <cellStyle name="Normal 7 12 4" xfId="5398"/>
    <cellStyle name="Normal 7 12 4 2" xfId="10937"/>
    <cellStyle name="Normal 7 12 4 3" xfId="16476"/>
    <cellStyle name="Normal 7 12 5" xfId="2100"/>
    <cellStyle name="Normal 7 12 5 2" xfId="7646"/>
    <cellStyle name="Normal 7 12 5 3" xfId="13185"/>
    <cellStyle name="Normal 7 12 6" xfId="6441"/>
    <cellStyle name="Normal 7 12 7" xfId="11980"/>
    <cellStyle name="Normal 7 13" xfId="1473"/>
    <cellStyle name="Normal 7 13 2" xfId="2678"/>
    <cellStyle name="Normal 7 13 2 2" xfId="8224"/>
    <cellStyle name="Normal 7 13 2 3" xfId="13763"/>
    <cellStyle name="Normal 7 13 3" xfId="7019"/>
    <cellStyle name="Normal 7 13 4" xfId="12558"/>
    <cellStyle name="Normal 7 14" xfId="2849"/>
    <cellStyle name="Normal 7 14 2" xfId="8394"/>
    <cellStyle name="Normal 7 14 3" xfId="13933"/>
    <cellStyle name="Normal 7 15" xfId="3124"/>
    <cellStyle name="Normal 7 15 2" xfId="8667"/>
    <cellStyle name="Normal 7 15 3" xfId="14206"/>
    <cellStyle name="Normal 7 16" xfId="4166"/>
    <cellStyle name="Normal 7 16 2" xfId="9707"/>
    <cellStyle name="Normal 7 16 3" xfId="15246"/>
    <cellStyle name="Normal 7 17" xfId="1635"/>
    <cellStyle name="Normal 7 17 2" xfId="7181"/>
    <cellStyle name="Normal 7 17 3" xfId="12720"/>
    <cellStyle name="Normal 7 18" xfId="5976"/>
    <cellStyle name="Normal 7 18 2" xfId="17054"/>
    <cellStyle name="Normal 7 19" xfId="620"/>
    <cellStyle name="Normal 7 19 2" xfId="17216"/>
    <cellStyle name="Normal 7 2" xfId="162"/>
    <cellStyle name="Normal 7 2 10" xfId="897"/>
    <cellStyle name="Normal 7 2 10 2" xfId="3427"/>
    <cellStyle name="Normal 7 2 10 2 2" xfId="8969"/>
    <cellStyle name="Normal 7 2 10 2 3" xfId="14508"/>
    <cellStyle name="Normal 7 2 10 3" xfId="4464"/>
    <cellStyle name="Normal 7 2 10 3 2" xfId="10003"/>
    <cellStyle name="Normal 7 2 10 3 3" xfId="15542"/>
    <cellStyle name="Normal 7 2 10 4" xfId="5399"/>
    <cellStyle name="Normal 7 2 10 4 2" xfId="10938"/>
    <cellStyle name="Normal 7 2 10 4 3" xfId="16477"/>
    <cellStyle name="Normal 7 2 10 5" xfId="2101"/>
    <cellStyle name="Normal 7 2 10 5 2" xfId="7647"/>
    <cellStyle name="Normal 7 2 10 5 3" xfId="13186"/>
    <cellStyle name="Normal 7 2 10 6" xfId="6442"/>
    <cellStyle name="Normal 7 2 10 7" xfId="11981"/>
    <cellStyle name="Normal 7 2 11" xfId="1479"/>
    <cellStyle name="Normal 7 2 11 2" xfId="2684"/>
    <cellStyle name="Normal 7 2 11 2 2" xfId="8230"/>
    <cellStyle name="Normal 7 2 11 2 3" xfId="13769"/>
    <cellStyle name="Normal 7 2 11 3" xfId="7025"/>
    <cellStyle name="Normal 7 2 11 4" xfId="12564"/>
    <cellStyle name="Normal 7 2 12" xfId="2857"/>
    <cellStyle name="Normal 7 2 12 2" xfId="8401"/>
    <cellStyle name="Normal 7 2 12 3" xfId="13940"/>
    <cellStyle name="Normal 7 2 13" xfId="2848"/>
    <cellStyle name="Normal 7 2 13 2" xfId="8393"/>
    <cellStyle name="Normal 7 2 13 3" xfId="13932"/>
    <cellStyle name="Normal 7 2 14" xfId="3125"/>
    <cellStyle name="Normal 7 2 14 2" xfId="8668"/>
    <cellStyle name="Normal 7 2 14 3" xfId="14207"/>
    <cellStyle name="Normal 7 2 15" xfId="1641"/>
    <cellStyle name="Normal 7 2 15 2" xfId="7187"/>
    <cellStyle name="Normal 7 2 15 3" xfId="12726"/>
    <cellStyle name="Normal 7 2 16" xfId="5982"/>
    <cellStyle name="Normal 7 2 16 2" xfId="17060"/>
    <cellStyle name="Normal 7 2 17" xfId="626"/>
    <cellStyle name="Normal 7 2 17 2" xfId="17222"/>
    <cellStyle name="Normal 7 2 18" xfId="11521"/>
    <cellStyle name="Normal 7 2 19" xfId="17389"/>
    <cellStyle name="Normal 7 2 2" xfId="257"/>
    <cellStyle name="Normal 7 2 2 10" xfId="1488"/>
    <cellStyle name="Normal 7 2 2 10 2" xfId="2693"/>
    <cellStyle name="Normal 7 2 2 10 2 2" xfId="8239"/>
    <cellStyle name="Normal 7 2 2 10 2 3" xfId="13778"/>
    <cellStyle name="Normal 7 2 2 10 3" xfId="7034"/>
    <cellStyle name="Normal 7 2 2 10 4" xfId="12573"/>
    <cellStyle name="Normal 7 2 2 11" xfId="2866"/>
    <cellStyle name="Normal 7 2 2 11 2" xfId="8410"/>
    <cellStyle name="Normal 7 2 2 11 3" xfId="13949"/>
    <cellStyle name="Normal 7 2 2 12" xfId="3101"/>
    <cellStyle name="Normal 7 2 2 12 2" xfId="8644"/>
    <cellStyle name="Normal 7 2 2 12 3" xfId="14183"/>
    <cellStyle name="Normal 7 2 2 13" xfId="4144"/>
    <cellStyle name="Normal 7 2 2 13 2" xfId="9685"/>
    <cellStyle name="Normal 7 2 2 13 3" xfId="15224"/>
    <cellStyle name="Normal 7 2 2 14" xfId="1650"/>
    <cellStyle name="Normal 7 2 2 14 2" xfId="7196"/>
    <cellStyle name="Normal 7 2 2 14 3" xfId="12735"/>
    <cellStyle name="Normal 7 2 2 15" xfId="5991"/>
    <cellStyle name="Normal 7 2 2 15 2" xfId="17069"/>
    <cellStyle name="Normal 7 2 2 16" xfId="635"/>
    <cellStyle name="Normal 7 2 2 16 2" xfId="17231"/>
    <cellStyle name="Normal 7 2 2 17" xfId="11530"/>
    <cellStyle name="Normal 7 2 2 18" xfId="17398"/>
    <cellStyle name="Normal 7 2 2 19" xfId="17563"/>
    <cellStyle name="Normal 7 2 2 2" xfId="371"/>
    <cellStyle name="Normal 7 2 2 2 10" xfId="1704"/>
    <cellStyle name="Normal 7 2 2 2 10 2" xfId="7250"/>
    <cellStyle name="Normal 7 2 2 2 10 3" xfId="12789"/>
    <cellStyle name="Normal 7 2 2 2 11" xfId="6045"/>
    <cellStyle name="Normal 7 2 2 2 11 2" xfId="17123"/>
    <cellStyle name="Normal 7 2 2 2 12" xfId="689"/>
    <cellStyle name="Normal 7 2 2 2 12 2" xfId="17285"/>
    <cellStyle name="Normal 7 2 2 2 13" xfId="11584"/>
    <cellStyle name="Normal 7 2 2 2 14" xfId="17452"/>
    <cellStyle name="Normal 7 2 2 2 15" xfId="17617"/>
    <cellStyle name="Normal 7 2 2 2 2" xfId="372"/>
    <cellStyle name="Normal 7 2 2 2 2 10" xfId="6135"/>
    <cellStyle name="Normal 7 2 2 2 2 10 2" xfId="17213"/>
    <cellStyle name="Normal 7 2 2 2 2 11" xfId="779"/>
    <cellStyle name="Normal 7 2 2 2 2 11 2" xfId="17375"/>
    <cellStyle name="Normal 7 2 2 2 2 12" xfId="11674"/>
    <cellStyle name="Normal 7 2 2 2 2 13" xfId="17542"/>
    <cellStyle name="Normal 7 2 2 2 2 14" xfId="17707"/>
    <cellStyle name="Normal 7 2 2 2 2 2" xfId="571"/>
    <cellStyle name="Normal 7 2 2 2 2 2 2" xfId="1412"/>
    <cellStyle name="Normal 7 2 2 2 2 2 2 2" xfId="3944"/>
    <cellStyle name="Normal 7 2 2 2 2 2 2 2 2" xfId="9486"/>
    <cellStyle name="Normal 7 2 2 2 2 2 2 2 3" xfId="15025"/>
    <cellStyle name="Normal 7 2 2 2 2 2 2 3" xfId="4981"/>
    <cellStyle name="Normal 7 2 2 2 2 2 2 3 2" xfId="10520"/>
    <cellStyle name="Normal 7 2 2 2 2 2 2 3 3" xfId="16059"/>
    <cellStyle name="Normal 7 2 2 2 2 2 2 4" xfId="5915"/>
    <cellStyle name="Normal 7 2 2 2 2 2 2 4 2" xfId="11454"/>
    <cellStyle name="Normal 7 2 2 2 2 2 2 4 3" xfId="16993"/>
    <cellStyle name="Normal 7 2 2 2 2 2 2 5" xfId="2617"/>
    <cellStyle name="Normal 7 2 2 2 2 2 2 5 2" xfId="8163"/>
    <cellStyle name="Normal 7 2 2 2 2 2 2 5 3" xfId="13702"/>
    <cellStyle name="Normal 7 2 2 2 2 2 2 6" xfId="6958"/>
    <cellStyle name="Normal 7 2 2 2 2 2 2 7" xfId="12497"/>
    <cellStyle name="Normal 7 2 2 2 2 2 3" xfId="1110"/>
    <cellStyle name="Normal 7 2 2 2 2 2 3 2" xfId="3640"/>
    <cellStyle name="Normal 7 2 2 2 2 2 3 2 2" xfId="9182"/>
    <cellStyle name="Normal 7 2 2 2 2 2 3 2 3" xfId="14721"/>
    <cellStyle name="Normal 7 2 2 2 2 2 3 3" xfId="4677"/>
    <cellStyle name="Normal 7 2 2 2 2 2 3 3 2" xfId="10216"/>
    <cellStyle name="Normal 7 2 2 2 2 2 3 3 3" xfId="15755"/>
    <cellStyle name="Normal 7 2 2 2 2 2 3 4" xfId="5612"/>
    <cellStyle name="Normal 7 2 2 2 2 2 3 4 2" xfId="11151"/>
    <cellStyle name="Normal 7 2 2 2 2 2 3 4 3" xfId="16690"/>
    <cellStyle name="Normal 7 2 2 2 2 2 3 5" xfId="2314"/>
    <cellStyle name="Normal 7 2 2 2 2 2 3 5 2" xfId="7860"/>
    <cellStyle name="Normal 7 2 2 2 2 2 3 5 3" xfId="13399"/>
    <cellStyle name="Normal 7 2 2 2 2 2 3 6" xfId="6655"/>
    <cellStyle name="Normal 7 2 2 2 2 2 3 7" xfId="12194"/>
    <cellStyle name="Normal 7 2 2 2 2 2 4" xfId="3230"/>
    <cellStyle name="Normal 7 2 2 2 2 2 4 2" xfId="8772"/>
    <cellStyle name="Normal 7 2 2 2 2 2 4 3" xfId="14311"/>
    <cellStyle name="Normal 7 2 2 2 2 2 5" xfId="4269"/>
    <cellStyle name="Normal 7 2 2 2 2 2 5 2" xfId="9808"/>
    <cellStyle name="Normal 7 2 2 2 2 2 5 3" xfId="15347"/>
    <cellStyle name="Normal 7 2 2 2 2 2 6" xfId="5230"/>
    <cellStyle name="Normal 7 2 2 2 2 2 6 2" xfId="10769"/>
    <cellStyle name="Normal 7 2 2 2 2 2 6 3" xfId="16308"/>
    <cellStyle name="Normal 7 2 2 2 2 2 7" xfId="1932"/>
    <cellStyle name="Normal 7 2 2 2 2 2 7 2" xfId="7478"/>
    <cellStyle name="Normal 7 2 2 2 2 2 7 3" xfId="13017"/>
    <cellStyle name="Normal 7 2 2 2 2 2 8" xfId="6273"/>
    <cellStyle name="Normal 7 2 2 2 2 2 9" xfId="11812"/>
    <cellStyle name="Normal 7 2 2 2 2 3" xfId="1287"/>
    <cellStyle name="Normal 7 2 2 2 2 3 2" xfId="3817"/>
    <cellStyle name="Normal 7 2 2 2 2 3 2 2" xfId="9359"/>
    <cellStyle name="Normal 7 2 2 2 2 3 2 3" xfId="14898"/>
    <cellStyle name="Normal 7 2 2 2 2 3 3" xfId="4854"/>
    <cellStyle name="Normal 7 2 2 2 2 3 3 2" xfId="10393"/>
    <cellStyle name="Normal 7 2 2 2 2 3 3 3" xfId="15932"/>
    <cellStyle name="Normal 7 2 2 2 2 3 4" xfId="5789"/>
    <cellStyle name="Normal 7 2 2 2 2 3 4 2" xfId="11328"/>
    <cellStyle name="Normal 7 2 2 2 2 3 4 3" xfId="16867"/>
    <cellStyle name="Normal 7 2 2 2 2 3 5" xfId="2491"/>
    <cellStyle name="Normal 7 2 2 2 2 3 5 2" xfId="8037"/>
    <cellStyle name="Normal 7 2 2 2 2 3 5 3" xfId="13576"/>
    <cellStyle name="Normal 7 2 2 2 2 3 6" xfId="6832"/>
    <cellStyle name="Normal 7 2 2 2 2 3 7" xfId="12371"/>
    <cellStyle name="Normal 7 2 2 2 2 4" xfId="900"/>
    <cellStyle name="Normal 7 2 2 2 2 4 2" xfId="3430"/>
    <cellStyle name="Normal 7 2 2 2 2 4 2 2" xfId="8972"/>
    <cellStyle name="Normal 7 2 2 2 2 4 2 3" xfId="14511"/>
    <cellStyle name="Normal 7 2 2 2 2 4 3" xfId="4467"/>
    <cellStyle name="Normal 7 2 2 2 2 4 3 2" xfId="10006"/>
    <cellStyle name="Normal 7 2 2 2 2 4 3 3" xfId="15545"/>
    <cellStyle name="Normal 7 2 2 2 2 4 4" xfId="5402"/>
    <cellStyle name="Normal 7 2 2 2 2 4 4 2" xfId="10941"/>
    <cellStyle name="Normal 7 2 2 2 2 4 4 3" xfId="16480"/>
    <cellStyle name="Normal 7 2 2 2 2 4 5" xfId="2104"/>
    <cellStyle name="Normal 7 2 2 2 2 4 5 2" xfId="7650"/>
    <cellStyle name="Normal 7 2 2 2 2 4 5 3" xfId="13189"/>
    <cellStyle name="Normal 7 2 2 2 2 4 6" xfId="6445"/>
    <cellStyle name="Normal 7 2 2 2 2 4 7" xfId="11984"/>
    <cellStyle name="Normal 7 2 2 2 2 5" xfId="1632"/>
    <cellStyle name="Normal 7 2 2 2 2 5 2" xfId="2837"/>
    <cellStyle name="Normal 7 2 2 2 2 5 2 2" xfId="8383"/>
    <cellStyle name="Normal 7 2 2 2 2 5 2 3" xfId="13922"/>
    <cellStyle name="Normal 7 2 2 2 2 5 3" xfId="7178"/>
    <cellStyle name="Normal 7 2 2 2 2 5 4" xfId="12717"/>
    <cellStyle name="Normal 7 2 2 2 2 6" xfId="3010"/>
    <cellStyle name="Normal 7 2 2 2 2 6 2" xfId="8554"/>
    <cellStyle name="Normal 7 2 2 2 2 6 3" xfId="14093"/>
    <cellStyle name="Normal 7 2 2 2 2 7" xfId="4055"/>
    <cellStyle name="Normal 7 2 2 2 2 7 2" xfId="9597"/>
    <cellStyle name="Normal 7 2 2 2 2 7 3" xfId="15136"/>
    <cellStyle name="Normal 7 2 2 2 2 8" xfId="5092"/>
    <cellStyle name="Normal 7 2 2 2 2 8 2" xfId="10631"/>
    <cellStyle name="Normal 7 2 2 2 2 8 3" xfId="16170"/>
    <cellStyle name="Normal 7 2 2 2 2 9" xfId="1794"/>
    <cellStyle name="Normal 7 2 2 2 2 9 2" xfId="7340"/>
    <cellStyle name="Normal 7 2 2 2 2 9 3" xfId="12879"/>
    <cellStyle name="Normal 7 2 2 2 3" xfId="570"/>
    <cellStyle name="Normal 7 2 2 2 3 2" xfId="1411"/>
    <cellStyle name="Normal 7 2 2 2 3 2 2" xfId="3943"/>
    <cellStyle name="Normal 7 2 2 2 3 2 2 2" xfId="9485"/>
    <cellStyle name="Normal 7 2 2 2 3 2 2 3" xfId="15024"/>
    <cellStyle name="Normal 7 2 2 2 3 2 3" xfId="4980"/>
    <cellStyle name="Normal 7 2 2 2 3 2 3 2" xfId="10519"/>
    <cellStyle name="Normal 7 2 2 2 3 2 3 3" xfId="16058"/>
    <cellStyle name="Normal 7 2 2 2 3 2 4" xfId="5914"/>
    <cellStyle name="Normal 7 2 2 2 3 2 4 2" xfId="11453"/>
    <cellStyle name="Normal 7 2 2 2 3 2 4 3" xfId="16992"/>
    <cellStyle name="Normal 7 2 2 2 3 2 5" xfId="2616"/>
    <cellStyle name="Normal 7 2 2 2 3 2 5 2" xfId="8162"/>
    <cellStyle name="Normal 7 2 2 2 3 2 5 3" xfId="13701"/>
    <cellStyle name="Normal 7 2 2 2 3 2 6" xfId="6957"/>
    <cellStyle name="Normal 7 2 2 2 3 2 7" xfId="12496"/>
    <cellStyle name="Normal 7 2 2 2 3 3" xfId="1020"/>
    <cellStyle name="Normal 7 2 2 2 3 3 2" xfId="3550"/>
    <cellStyle name="Normal 7 2 2 2 3 3 2 2" xfId="9092"/>
    <cellStyle name="Normal 7 2 2 2 3 3 2 3" xfId="14631"/>
    <cellStyle name="Normal 7 2 2 2 3 3 3" xfId="4587"/>
    <cellStyle name="Normal 7 2 2 2 3 3 3 2" xfId="10126"/>
    <cellStyle name="Normal 7 2 2 2 3 3 3 3" xfId="15665"/>
    <cellStyle name="Normal 7 2 2 2 3 3 4" xfId="5522"/>
    <cellStyle name="Normal 7 2 2 2 3 3 4 2" xfId="11061"/>
    <cellStyle name="Normal 7 2 2 2 3 3 4 3" xfId="16600"/>
    <cellStyle name="Normal 7 2 2 2 3 3 5" xfId="2224"/>
    <cellStyle name="Normal 7 2 2 2 3 3 5 2" xfId="7770"/>
    <cellStyle name="Normal 7 2 2 2 3 3 5 3" xfId="13309"/>
    <cellStyle name="Normal 7 2 2 2 3 3 6" xfId="6565"/>
    <cellStyle name="Normal 7 2 2 2 3 3 7" xfId="12104"/>
    <cellStyle name="Normal 7 2 2 2 3 4" xfId="3229"/>
    <cellStyle name="Normal 7 2 2 2 3 4 2" xfId="8771"/>
    <cellStyle name="Normal 7 2 2 2 3 4 3" xfId="14310"/>
    <cellStyle name="Normal 7 2 2 2 3 5" xfId="4268"/>
    <cellStyle name="Normal 7 2 2 2 3 5 2" xfId="9807"/>
    <cellStyle name="Normal 7 2 2 2 3 5 3" xfId="15346"/>
    <cellStyle name="Normal 7 2 2 2 3 6" xfId="5229"/>
    <cellStyle name="Normal 7 2 2 2 3 6 2" xfId="10768"/>
    <cellStyle name="Normal 7 2 2 2 3 6 3" xfId="16307"/>
    <cellStyle name="Normal 7 2 2 2 3 7" xfId="1931"/>
    <cellStyle name="Normal 7 2 2 2 3 7 2" xfId="7477"/>
    <cellStyle name="Normal 7 2 2 2 3 7 3" xfId="13016"/>
    <cellStyle name="Normal 7 2 2 2 3 8" xfId="6272"/>
    <cellStyle name="Normal 7 2 2 2 3 9" xfId="11811"/>
    <cellStyle name="Normal 7 2 2 2 4" xfId="1197"/>
    <cellStyle name="Normal 7 2 2 2 4 2" xfId="3727"/>
    <cellStyle name="Normal 7 2 2 2 4 2 2" xfId="9269"/>
    <cellStyle name="Normal 7 2 2 2 4 2 3" xfId="14808"/>
    <cellStyle name="Normal 7 2 2 2 4 3" xfId="4764"/>
    <cellStyle name="Normal 7 2 2 2 4 3 2" xfId="10303"/>
    <cellStyle name="Normal 7 2 2 2 4 3 3" xfId="15842"/>
    <cellStyle name="Normal 7 2 2 2 4 4" xfId="5699"/>
    <cellStyle name="Normal 7 2 2 2 4 4 2" xfId="11238"/>
    <cellStyle name="Normal 7 2 2 2 4 4 3" xfId="16777"/>
    <cellStyle name="Normal 7 2 2 2 4 5" xfId="2401"/>
    <cellStyle name="Normal 7 2 2 2 4 5 2" xfId="7947"/>
    <cellStyle name="Normal 7 2 2 2 4 5 3" xfId="13486"/>
    <cellStyle name="Normal 7 2 2 2 4 6" xfId="6742"/>
    <cellStyle name="Normal 7 2 2 2 4 7" xfId="12281"/>
    <cellStyle name="Normal 7 2 2 2 5" xfId="899"/>
    <cellStyle name="Normal 7 2 2 2 5 2" xfId="3429"/>
    <cellStyle name="Normal 7 2 2 2 5 2 2" xfId="8971"/>
    <cellStyle name="Normal 7 2 2 2 5 2 3" xfId="14510"/>
    <cellStyle name="Normal 7 2 2 2 5 3" xfId="4466"/>
    <cellStyle name="Normal 7 2 2 2 5 3 2" xfId="10005"/>
    <cellStyle name="Normal 7 2 2 2 5 3 3" xfId="15544"/>
    <cellStyle name="Normal 7 2 2 2 5 4" xfId="5401"/>
    <cellStyle name="Normal 7 2 2 2 5 4 2" xfId="10940"/>
    <cellStyle name="Normal 7 2 2 2 5 4 3" xfId="16479"/>
    <cellStyle name="Normal 7 2 2 2 5 5" xfId="2103"/>
    <cellStyle name="Normal 7 2 2 2 5 5 2" xfId="7649"/>
    <cellStyle name="Normal 7 2 2 2 5 5 3" xfId="13188"/>
    <cellStyle name="Normal 7 2 2 2 5 6" xfId="6444"/>
    <cellStyle name="Normal 7 2 2 2 5 7" xfId="11983"/>
    <cellStyle name="Normal 7 2 2 2 6" xfId="1542"/>
    <cellStyle name="Normal 7 2 2 2 6 2" xfId="2747"/>
    <cellStyle name="Normal 7 2 2 2 6 2 2" xfId="8293"/>
    <cellStyle name="Normal 7 2 2 2 6 2 3" xfId="13832"/>
    <cellStyle name="Normal 7 2 2 2 6 3" xfId="7088"/>
    <cellStyle name="Normal 7 2 2 2 6 4" xfId="12627"/>
    <cellStyle name="Normal 7 2 2 2 7" xfId="2920"/>
    <cellStyle name="Normal 7 2 2 2 7 2" xfId="8464"/>
    <cellStyle name="Normal 7 2 2 2 7 3" xfId="14003"/>
    <cellStyle name="Normal 7 2 2 2 8" xfId="3027"/>
    <cellStyle name="Normal 7 2 2 2 8 2" xfId="8570"/>
    <cellStyle name="Normal 7 2 2 2 8 3" xfId="14109"/>
    <cellStyle name="Normal 7 2 2 2 9" xfId="4071"/>
    <cellStyle name="Normal 7 2 2 2 9 2" xfId="9612"/>
    <cellStyle name="Normal 7 2 2 2 9 3" xfId="15151"/>
    <cellStyle name="Normal 7 2 2 3" xfId="373"/>
    <cellStyle name="Normal 7 2 2 3 10" xfId="1686"/>
    <cellStyle name="Normal 7 2 2 3 10 2" xfId="7232"/>
    <cellStyle name="Normal 7 2 2 3 10 3" xfId="12771"/>
    <cellStyle name="Normal 7 2 2 3 11" xfId="6027"/>
    <cellStyle name="Normal 7 2 2 3 11 2" xfId="17105"/>
    <cellStyle name="Normal 7 2 2 3 12" xfId="671"/>
    <cellStyle name="Normal 7 2 2 3 12 2" xfId="17267"/>
    <cellStyle name="Normal 7 2 2 3 13" xfId="11566"/>
    <cellStyle name="Normal 7 2 2 3 14" xfId="17434"/>
    <cellStyle name="Normal 7 2 2 3 15" xfId="17599"/>
    <cellStyle name="Normal 7 2 2 3 2" xfId="374"/>
    <cellStyle name="Normal 7 2 2 3 2 10" xfId="6117"/>
    <cellStyle name="Normal 7 2 2 3 2 10 2" xfId="17195"/>
    <cellStyle name="Normal 7 2 2 3 2 11" xfId="761"/>
    <cellStyle name="Normal 7 2 2 3 2 11 2" xfId="17357"/>
    <cellStyle name="Normal 7 2 2 3 2 12" xfId="11656"/>
    <cellStyle name="Normal 7 2 2 3 2 13" xfId="17524"/>
    <cellStyle name="Normal 7 2 2 3 2 14" xfId="17689"/>
    <cellStyle name="Normal 7 2 2 3 2 2" xfId="573"/>
    <cellStyle name="Normal 7 2 2 3 2 2 2" xfId="1414"/>
    <cellStyle name="Normal 7 2 2 3 2 2 2 2" xfId="3946"/>
    <cellStyle name="Normal 7 2 2 3 2 2 2 2 2" xfId="9488"/>
    <cellStyle name="Normal 7 2 2 3 2 2 2 2 3" xfId="15027"/>
    <cellStyle name="Normal 7 2 2 3 2 2 2 3" xfId="4983"/>
    <cellStyle name="Normal 7 2 2 3 2 2 2 3 2" xfId="10522"/>
    <cellStyle name="Normal 7 2 2 3 2 2 2 3 3" xfId="16061"/>
    <cellStyle name="Normal 7 2 2 3 2 2 2 4" xfId="5917"/>
    <cellStyle name="Normal 7 2 2 3 2 2 2 4 2" xfId="11456"/>
    <cellStyle name="Normal 7 2 2 3 2 2 2 4 3" xfId="16995"/>
    <cellStyle name="Normal 7 2 2 3 2 2 2 5" xfId="2619"/>
    <cellStyle name="Normal 7 2 2 3 2 2 2 5 2" xfId="8165"/>
    <cellStyle name="Normal 7 2 2 3 2 2 2 5 3" xfId="13704"/>
    <cellStyle name="Normal 7 2 2 3 2 2 2 6" xfId="6960"/>
    <cellStyle name="Normal 7 2 2 3 2 2 2 7" xfId="12499"/>
    <cellStyle name="Normal 7 2 2 3 2 2 3" xfId="1092"/>
    <cellStyle name="Normal 7 2 2 3 2 2 3 2" xfId="3622"/>
    <cellStyle name="Normal 7 2 2 3 2 2 3 2 2" xfId="9164"/>
    <cellStyle name="Normal 7 2 2 3 2 2 3 2 3" xfId="14703"/>
    <cellStyle name="Normal 7 2 2 3 2 2 3 3" xfId="4659"/>
    <cellStyle name="Normal 7 2 2 3 2 2 3 3 2" xfId="10198"/>
    <cellStyle name="Normal 7 2 2 3 2 2 3 3 3" xfId="15737"/>
    <cellStyle name="Normal 7 2 2 3 2 2 3 4" xfId="5594"/>
    <cellStyle name="Normal 7 2 2 3 2 2 3 4 2" xfId="11133"/>
    <cellStyle name="Normal 7 2 2 3 2 2 3 4 3" xfId="16672"/>
    <cellStyle name="Normal 7 2 2 3 2 2 3 5" xfId="2296"/>
    <cellStyle name="Normal 7 2 2 3 2 2 3 5 2" xfId="7842"/>
    <cellStyle name="Normal 7 2 2 3 2 2 3 5 3" xfId="13381"/>
    <cellStyle name="Normal 7 2 2 3 2 2 3 6" xfId="6637"/>
    <cellStyle name="Normal 7 2 2 3 2 2 3 7" xfId="12176"/>
    <cellStyle name="Normal 7 2 2 3 2 2 4" xfId="3232"/>
    <cellStyle name="Normal 7 2 2 3 2 2 4 2" xfId="8774"/>
    <cellStyle name="Normal 7 2 2 3 2 2 4 3" xfId="14313"/>
    <cellStyle name="Normal 7 2 2 3 2 2 5" xfId="4271"/>
    <cellStyle name="Normal 7 2 2 3 2 2 5 2" xfId="9810"/>
    <cellStyle name="Normal 7 2 2 3 2 2 5 3" xfId="15349"/>
    <cellStyle name="Normal 7 2 2 3 2 2 6" xfId="5232"/>
    <cellStyle name="Normal 7 2 2 3 2 2 6 2" xfId="10771"/>
    <cellStyle name="Normal 7 2 2 3 2 2 6 3" xfId="16310"/>
    <cellStyle name="Normal 7 2 2 3 2 2 7" xfId="1934"/>
    <cellStyle name="Normal 7 2 2 3 2 2 7 2" xfId="7480"/>
    <cellStyle name="Normal 7 2 2 3 2 2 7 3" xfId="13019"/>
    <cellStyle name="Normal 7 2 2 3 2 2 8" xfId="6275"/>
    <cellStyle name="Normal 7 2 2 3 2 2 9" xfId="11814"/>
    <cellStyle name="Normal 7 2 2 3 2 3" xfId="1269"/>
    <cellStyle name="Normal 7 2 2 3 2 3 2" xfId="3799"/>
    <cellStyle name="Normal 7 2 2 3 2 3 2 2" xfId="9341"/>
    <cellStyle name="Normal 7 2 2 3 2 3 2 3" xfId="14880"/>
    <cellStyle name="Normal 7 2 2 3 2 3 3" xfId="4836"/>
    <cellStyle name="Normal 7 2 2 3 2 3 3 2" xfId="10375"/>
    <cellStyle name="Normal 7 2 2 3 2 3 3 3" xfId="15914"/>
    <cellStyle name="Normal 7 2 2 3 2 3 4" xfId="5771"/>
    <cellStyle name="Normal 7 2 2 3 2 3 4 2" xfId="11310"/>
    <cellStyle name="Normal 7 2 2 3 2 3 4 3" xfId="16849"/>
    <cellStyle name="Normal 7 2 2 3 2 3 5" xfId="2473"/>
    <cellStyle name="Normal 7 2 2 3 2 3 5 2" xfId="8019"/>
    <cellStyle name="Normal 7 2 2 3 2 3 5 3" xfId="13558"/>
    <cellStyle name="Normal 7 2 2 3 2 3 6" xfId="6814"/>
    <cellStyle name="Normal 7 2 2 3 2 3 7" xfId="12353"/>
    <cellStyle name="Normal 7 2 2 3 2 4" xfId="902"/>
    <cellStyle name="Normal 7 2 2 3 2 4 2" xfId="3432"/>
    <cellStyle name="Normal 7 2 2 3 2 4 2 2" xfId="8974"/>
    <cellStyle name="Normal 7 2 2 3 2 4 2 3" xfId="14513"/>
    <cellStyle name="Normal 7 2 2 3 2 4 3" xfId="4469"/>
    <cellStyle name="Normal 7 2 2 3 2 4 3 2" xfId="10008"/>
    <cellStyle name="Normal 7 2 2 3 2 4 3 3" xfId="15547"/>
    <cellStyle name="Normal 7 2 2 3 2 4 4" xfId="5404"/>
    <cellStyle name="Normal 7 2 2 3 2 4 4 2" xfId="10943"/>
    <cellStyle name="Normal 7 2 2 3 2 4 4 3" xfId="16482"/>
    <cellStyle name="Normal 7 2 2 3 2 4 5" xfId="2106"/>
    <cellStyle name="Normal 7 2 2 3 2 4 5 2" xfId="7652"/>
    <cellStyle name="Normal 7 2 2 3 2 4 5 3" xfId="13191"/>
    <cellStyle name="Normal 7 2 2 3 2 4 6" xfId="6447"/>
    <cellStyle name="Normal 7 2 2 3 2 4 7" xfId="11986"/>
    <cellStyle name="Normal 7 2 2 3 2 5" xfId="1614"/>
    <cellStyle name="Normal 7 2 2 3 2 5 2" xfId="2819"/>
    <cellStyle name="Normal 7 2 2 3 2 5 2 2" xfId="8365"/>
    <cellStyle name="Normal 7 2 2 3 2 5 2 3" xfId="13904"/>
    <cellStyle name="Normal 7 2 2 3 2 5 3" xfId="7160"/>
    <cellStyle name="Normal 7 2 2 3 2 5 4" xfId="12699"/>
    <cellStyle name="Normal 7 2 2 3 2 6" xfId="2992"/>
    <cellStyle name="Normal 7 2 2 3 2 6 2" xfId="8536"/>
    <cellStyle name="Normal 7 2 2 3 2 6 3" xfId="14075"/>
    <cellStyle name="Normal 7 2 2 3 2 7" xfId="4037"/>
    <cellStyle name="Normal 7 2 2 3 2 7 2" xfId="9579"/>
    <cellStyle name="Normal 7 2 2 3 2 7 3" xfId="15118"/>
    <cellStyle name="Normal 7 2 2 3 2 8" xfId="5074"/>
    <cellStyle name="Normal 7 2 2 3 2 8 2" xfId="10613"/>
    <cellStyle name="Normal 7 2 2 3 2 8 3" xfId="16152"/>
    <cellStyle name="Normal 7 2 2 3 2 9" xfId="1776"/>
    <cellStyle name="Normal 7 2 2 3 2 9 2" xfId="7322"/>
    <cellStyle name="Normal 7 2 2 3 2 9 3" xfId="12861"/>
    <cellStyle name="Normal 7 2 2 3 3" xfId="572"/>
    <cellStyle name="Normal 7 2 2 3 3 2" xfId="1413"/>
    <cellStyle name="Normal 7 2 2 3 3 2 2" xfId="3945"/>
    <cellStyle name="Normal 7 2 2 3 3 2 2 2" xfId="9487"/>
    <cellStyle name="Normal 7 2 2 3 3 2 2 3" xfId="15026"/>
    <cellStyle name="Normal 7 2 2 3 3 2 3" xfId="4982"/>
    <cellStyle name="Normal 7 2 2 3 3 2 3 2" xfId="10521"/>
    <cellStyle name="Normal 7 2 2 3 3 2 3 3" xfId="16060"/>
    <cellStyle name="Normal 7 2 2 3 3 2 4" xfId="5916"/>
    <cellStyle name="Normal 7 2 2 3 3 2 4 2" xfId="11455"/>
    <cellStyle name="Normal 7 2 2 3 3 2 4 3" xfId="16994"/>
    <cellStyle name="Normal 7 2 2 3 3 2 5" xfId="2618"/>
    <cellStyle name="Normal 7 2 2 3 3 2 5 2" xfId="8164"/>
    <cellStyle name="Normal 7 2 2 3 3 2 5 3" xfId="13703"/>
    <cellStyle name="Normal 7 2 2 3 3 2 6" xfId="6959"/>
    <cellStyle name="Normal 7 2 2 3 3 2 7" xfId="12498"/>
    <cellStyle name="Normal 7 2 2 3 3 3" xfId="1002"/>
    <cellStyle name="Normal 7 2 2 3 3 3 2" xfId="3532"/>
    <cellStyle name="Normal 7 2 2 3 3 3 2 2" xfId="9074"/>
    <cellStyle name="Normal 7 2 2 3 3 3 2 3" xfId="14613"/>
    <cellStyle name="Normal 7 2 2 3 3 3 3" xfId="4569"/>
    <cellStyle name="Normal 7 2 2 3 3 3 3 2" xfId="10108"/>
    <cellStyle name="Normal 7 2 2 3 3 3 3 3" xfId="15647"/>
    <cellStyle name="Normal 7 2 2 3 3 3 4" xfId="5504"/>
    <cellStyle name="Normal 7 2 2 3 3 3 4 2" xfId="11043"/>
    <cellStyle name="Normal 7 2 2 3 3 3 4 3" xfId="16582"/>
    <cellStyle name="Normal 7 2 2 3 3 3 5" xfId="2206"/>
    <cellStyle name="Normal 7 2 2 3 3 3 5 2" xfId="7752"/>
    <cellStyle name="Normal 7 2 2 3 3 3 5 3" xfId="13291"/>
    <cellStyle name="Normal 7 2 2 3 3 3 6" xfId="6547"/>
    <cellStyle name="Normal 7 2 2 3 3 3 7" xfId="12086"/>
    <cellStyle name="Normal 7 2 2 3 3 4" xfId="3231"/>
    <cellStyle name="Normal 7 2 2 3 3 4 2" xfId="8773"/>
    <cellStyle name="Normal 7 2 2 3 3 4 3" xfId="14312"/>
    <cellStyle name="Normal 7 2 2 3 3 5" xfId="4270"/>
    <cellStyle name="Normal 7 2 2 3 3 5 2" xfId="9809"/>
    <cellStyle name="Normal 7 2 2 3 3 5 3" xfId="15348"/>
    <cellStyle name="Normal 7 2 2 3 3 6" xfId="5231"/>
    <cellStyle name="Normal 7 2 2 3 3 6 2" xfId="10770"/>
    <cellStyle name="Normal 7 2 2 3 3 6 3" xfId="16309"/>
    <cellStyle name="Normal 7 2 2 3 3 7" xfId="1933"/>
    <cellStyle name="Normal 7 2 2 3 3 7 2" xfId="7479"/>
    <cellStyle name="Normal 7 2 2 3 3 7 3" xfId="13018"/>
    <cellStyle name="Normal 7 2 2 3 3 8" xfId="6274"/>
    <cellStyle name="Normal 7 2 2 3 3 9" xfId="11813"/>
    <cellStyle name="Normal 7 2 2 3 4" xfId="1179"/>
    <cellStyle name="Normal 7 2 2 3 4 2" xfId="3709"/>
    <cellStyle name="Normal 7 2 2 3 4 2 2" xfId="9251"/>
    <cellStyle name="Normal 7 2 2 3 4 2 3" xfId="14790"/>
    <cellStyle name="Normal 7 2 2 3 4 3" xfId="4746"/>
    <cellStyle name="Normal 7 2 2 3 4 3 2" xfId="10285"/>
    <cellStyle name="Normal 7 2 2 3 4 3 3" xfId="15824"/>
    <cellStyle name="Normal 7 2 2 3 4 4" xfId="5681"/>
    <cellStyle name="Normal 7 2 2 3 4 4 2" xfId="11220"/>
    <cellStyle name="Normal 7 2 2 3 4 4 3" xfId="16759"/>
    <cellStyle name="Normal 7 2 2 3 4 5" xfId="2383"/>
    <cellStyle name="Normal 7 2 2 3 4 5 2" xfId="7929"/>
    <cellStyle name="Normal 7 2 2 3 4 5 3" xfId="13468"/>
    <cellStyle name="Normal 7 2 2 3 4 6" xfId="6724"/>
    <cellStyle name="Normal 7 2 2 3 4 7" xfId="12263"/>
    <cellStyle name="Normal 7 2 2 3 5" xfId="901"/>
    <cellStyle name="Normal 7 2 2 3 5 2" xfId="3431"/>
    <cellStyle name="Normal 7 2 2 3 5 2 2" xfId="8973"/>
    <cellStyle name="Normal 7 2 2 3 5 2 3" xfId="14512"/>
    <cellStyle name="Normal 7 2 2 3 5 3" xfId="4468"/>
    <cellStyle name="Normal 7 2 2 3 5 3 2" xfId="10007"/>
    <cellStyle name="Normal 7 2 2 3 5 3 3" xfId="15546"/>
    <cellStyle name="Normal 7 2 2 3 5 4" xfId="5403"/>
    <cellStyle name="Normal 7 2 2 3 5 4 2" xfId="10942"/>
    <cellStyle name="Normal 7 2 2 3 5 4 3" xfId="16481"/>
    <cellStyle name="Normal 7 2 2 3 5 5" xfId="2105"/>
    <cellStyle name="Normal 7 2 2 3 5 5 2" xfId="7651"/>
    <cellStyle name="Normal 7 2 2 3 5 5 3" xfId="13190"/>
    <cellStyle name="Normal 7 2 2 3 5 6" xfId="6446"/>
    <cellStyle name="Normal 7 2 2 3 5 7" xfId="11985"/>
    <cellStyle name="Normal 7 2 2 3 6" xfId="1524"/>
    <cellStyle name="Normal 7 2 2 3 6 2" xfId="2729"/>
    <cellStyle name="Normal 7 2 2 3 6 2 2" xfId="8275"/>
    <cellStyle name="Normal 7 2 2 3 6 2 3" xfId="13814"/>
    <cellStyle name="Normal 7 2 2 3 6 3" xfId="7070"/>
    <cellStyle name="Normal 7 2 2 3 6 4" xfId="12609"/>
    <cellStyle name="Normal 7 2 2 3 7" xfId="2902"/>
    <cellStyle name="Normal 7 2 2 3 7 2" xfId="8446"/>
    <cellStyle name="Normal 7 2 2 3 7 3" xfId="13985"/>
    <cellStyle name="Normal 7 2 2 3 8" xfId="3314"/>
    <cellStyle name="Normal 7 2 2 3 8 2" xfId="8856"/>
    <cellStyle name="Normal 7 2 2 3 8 3" xfId="14395"/>
    <cellStyle name="Normal 7 2 2 3 9" xfId="4351"/>
    <cellStyle name="Normal 7 2 2 3 9 2" xfId="9890"/>
    <cellStyle name="Normal 7 2 2 3 9 3" xfId="15429"/>
    <cellStyle name="Normal 7 2 2 4" xfId="375"/>
    <cellStyle name="Normal 7 2 2 4 10" xfId="1722"/>
    <cellStyle name="Normal 7 2 2 4 10 2" xfId="7268"/>
    <cellStyle name="Normal 7 2 2 4 10 3" xfId="12807"/>
    <cellStyle name="Normal 7 2 2 4 11" xfId="6063"/>
    <cellStyle name="Normal 7 2 2 4 11 2" xfId="17141"/>
    <cellStyle name="Normal 7 2 2 4 12" xfId="707"/>
    <cellStyle name="Normal 7 2 2 4 12 2" xfId="17303"/>
    <cellStyle name="Normal 7 2 2 4 13" xfId="11602"/>
    <cellStyle name="Normal 7 2 2 4 14" xfId="17470"/>
    <cellStyle name="Normal 7 2 2 4 15" xfId="17635"/>
    <cellStyle name="Normal 7 2 2 4 2" xfId="376"/>
    <cellStyle name="Normal 7 2 2 4 2 10" xfId="6099"/>
    <cellStyle name="Normal 7 2 2 4 2 10 2" xfId="17177"/>
    <cellStyle name="Normal 7 2 2 4 2 11" xfId="743"/>
    <cellStyle name="Normal 7 2 2 4 2 11 2" xfId="17339"/>
    <cellStyle name="Normal 7 2 2 4 2 12" xfId="11638"/>
    <cellStyle name="Normal 7 2 2 4 2 13" xfId="17506"/>
    <cellStyle name="Normal 7 2 2 4 2 14" xfId="17671"/>
    <cellStyle name="Normal 7 2 2 4 2 2" xfId="575"/>
    <cellStyle name="Normal 7 2 2 4 2 2 2" xfId="1416"/>
    <cellStyle name="Normal 7 2 2 4 2 2 2 2" xfId="3948"/>
    <cellStyle name="Normal 7 2 2 4 2 2 2 2 2" xfId="9490"/>
    <cellStyle name="Normal 7 2 2 4 2 2 2 2 3" xfId="15029"/>
    <cellStyle name="Normal 7 2 2 4 2 2 2 3" xfId="4985"/>
    <cellStyle name="Normal 7 2 2 4 2 2 2 3 2" xfId="10524"/>
    <cellStyle name="Normal 7 2 2 4 2 2 2 3 3" xfId="16063"/>
    <cellStyle name="Normal 7 2 2 4 2 2 2 4" xfId="5919"/>
    <cellStyle name="Normal 7 2 2 4 2 2 2 4 2" xfId="11458"/>
    <cellStyle name="Normal 7 2 2 4 2 2 2 4 3" xfId="16997"/>
    <cellStyle name="Normal 7 2 2 4 2 2 2 5" xfId="2621"/>
    <cellStyle name="Normal 7 2 2 4 2 2 2 5 2" xfId="8167"/>
    <cellStyle name="Normal 7 2 2 4 2 2 2 5 3" xfId="13706"/>
    <cellStyle name="Normal 7 2 2 4 2 2 2 6" xfId="6962"/>
    <cellStyle name="Normal 7 2 2 4 2 2 2 7" xfId="12501"/>
    <cellStyle name="Normal 7 2 2 4 2 2 3" xfId="1074"/>
    <cellStyle name="Normal 7 2 2 4 2 2 3 2" xfId="3604"/>
    <cellStyle name="Normal 7 2 2 4 2 2 3 2 2" xfId="9146"/>
    <cellStyle name="Normal 7 2 2 4 2 2 3 2 3" xfId="14685"/>
    <cellStyle name="Normal 7 2 2 4 2 2 3 3" xfId="4641"/>
    <cellStyle name="Normal 7 2 2 4 2 2 3 3 2" xfId="10180"/>
    <cellStyle name="Normal 7 2 2 4 2 2 3 3 3" xfId="15719"/>
    <cellStyle name="Normal 7 2 2 4 2 2 3 4" xfId="5576"/>
    <cellStyle name="Normal 7 2 2 4 2 2 3 4 2" xfId="11115"/>
    <cellStyle name="Normal 7 2 2 4 2 2 3 4 3" xfId="16654"/>
    <cellStyle name="Normal 7 2 2 4 2 2 3 5" xfId="2278"/>
    <cellStyle name="Normal 7 2 2 4 2 2 3 5 2" xfId="7824"/>
    <cellStyle name="Normal 7 2 2 4 2 2 3 5 3" xfId="13363"/>
    <cellStyle name="Normal 7 2 2 4 2 2 3 6" xfId="6619"/>
    <cellStyle name="Normal 7 2 2 4 2 2 3 7" xfId="12158"/>
    <cellStyle name="Normal 7 2 2 4 2 2 4" xfId="3234"/>
    <cellStyle name="Normal 7 2 2 4 2 2 4 2" xfId="8776"/>
    <cellStyle name="Normal 7 2 2 4 2 2 4 3" xfId="14315"/>
    <cellStyle name="Normal 7 2 2 4 2 2 5" xfId="4273"/>
    <cellStyle name="Normal 7 2 2 4 2 2 5 2" xfId="9812"/>
    <cellStyle name="Normal 7 2 2 4 2 2 5 3" xfId="15351"/>
    <cellStyle name="Normal 7 2 2 4 2 2 6" xfId="5234"/>
    <cellStyle name="Normal 7 2 2 4 2 2 6 2" xfId="10773"/>
    <cellStyle name="Normal 7 2 2 4 2 2 6 3" xfId="16312"/>
    <cellStyle name="Normal 7 2 2 4 2 2 7" xfId="1936"/>
    <cellStyle name="Normal 7 2 2 4 2 2 7 2" xfId="7482"/>
    <cellStyle name="Normal 7 2 2 4 2 2 7 3" xfId="13021"/>
    <cellStyle name="Normal 7 2 2 4 2 2 8" xfId="6277"/>
    <cellStyle name="Normal 7 2 2 4 2 2 9" xfId="11816"/>
    <cellStyle name="Normal 7 2 2 4 2 3" xfId="1251"/>
    <cellStyle name="Normal 7 2 2 4 2 3 2" xfId="3781"/>
    <cellStyle name="Normal 7 2 2 4 2 3 2 2" xfId="9323"/>
    <cellStyle name="Normal 7 2 2 4 2 3 2 3" xfId="14862"/>
    <cellStyle name="Normal 7 2 2 4 2 3 3" xfId="4818"/>
    <cellStyle name="Normal 7 2 2 4 2 3 3 2" xfId="10357"/>
    <cellStyle name="Normal 7 2 2 4 2 3 3 3" xfId="15896"/>
    <cellStyle name="Normal 7 2 2 4 2 3 4" xfId="5753"/>
    <cellStyle name="Normal 7 2 2 4 2 3 4 2" xfId="11292"/>
    <cellStyle name="Normal 7 2 2 4 2 3 4 3" xfId="16831"/>
    <cellStyle name="Normal 7 2 2 4 2 3 5" xfId="2455"/>
    <cellStyle name="Normal 7 2 2 4 2 3 5 2" xfId="8001"/>
    <cellStyle name="Normal 7 2 2 4 2 3 5 3" xfId="13540"/>
    <cellStyle name="Normal 7 2 2 4 2 3 6" xfId="6796"/>
    <cellStyle name="Normal 7 2 2 4 2 3 7" xfId="12335"/>
    <cellStyle name="Normal 7 2 2 4 2 4" xfId="904"/>
    <cellStyle name="Normal 7 2 2 4 2 4 2" xfId="3434"/>
    <cellStyle name="Normal 7 2 2 4 2 4 2 2" xfId="8976"/>
    <cellStyle name="Normal 7 2 2 4 2 4 2 3" xfId="14515"/>
    <cellStyle name="Normal 7 2 2 4 2 4 3" xfId="4471"/>
    <cellStyle name="Normal 7 2 2 4 2 4 3 2" xfId="10010"/>
    <cellStyle name="Normal 7 2 2 4 2 4 3 3" xfId="15549"/>
    <cellStyle name="Normal 7 2 2 4 2 4 4" xfId="5406"/>
    <cellStyle name="Normal 7 2 2 4 2 4 4 2" xfId="10945"/>
    <cellStyle name="Normal 7 2 2 4 2 4 4 3" xfId="16484"/>
    <cellStyle name="Normal 7 2 2 4 2 4 5" xfId="2108"/>
    <cellStyle name="Normal 7 2 2 4 2 4 5 2" xfId="7654"/>
    <cellStyle name="Normal 7 2 2 4 2 4 5 3" xfId="13193"/>
    <cellStyle name="Normal 7 2 2 4 2 4 6" xfId="6449"/>
    <cellStyle name="Normal 7 2 2 4 2 4 7" xfId="11988"/>
    <cellStyle name="Normal 7 2 2 4 2 5" xfId="1596"/>
    <cellStyle name="Normal 7 2 2 4 2 5 2" xfId="2801"/>
    <cellStyle name="Normal 7 2 2 4 2 5 2 2" xfId="8347"/>
    <cellStyle name="Normal 7 2 2 4 2 5 2 3" xfId="13886"/>
    <cellStyle name="Normal 7 2 2 4 2 5 3" xfId="7142"/>
    <cellStyle name="Normal 7 2 2 4 2 5 4" xfId="12681"/>
    <cellStyle name="Normal 7 2 2 4 2 6" xfId="2974"/>
    <cellStyle name="Normal 7 2 2 4 2 6 2" xfId="8518"/>
    <cellStyle name="Normal 7 2 2 4 2 6 3" xfId="14057"/>
    <cellStyle name="Normal 7 2 2 4 2 7" xfId="4019"/>
    <cellStyle name="Normal 7 2 2 4 2 7 2" xfId="9561"/>
    <cellStyle name="Normal 7 2 2 4 2 7 3" xfId="15100"/>
    <cellStyle name="Normal 7 2 2 4 2 8" xfId="5056"/>
    <cellStyle name="Normal 7 2 2 4 2 8 2" xfId="10595"/>
    <cellStyle name="Normal 7 2 2 4 2 8 3" xfId="16134"/>
    <cellStyle name="Normal 7 2 2 4 2 9" xfId="1758"/>
    <cellStyle name="Normal 7 2 2 4 2 9 2" xfId="7304"/>
    <cellStyle name="Normal 7 2 2 4 2 9 3" xfId="12843"/>
    <cellStyle name="Normal 7 2 2 4 3" xfId="574"/>
    <cellStyle name="Normal 7 2 2 4 3 2" xfId="1415"/>
    <cellStyle name="Normal 7 2 2 4 3 2 2" xfId="3947"/>
    <cellStyle name="Normal 7 2 2 4 3 2 2 2" xfId="9489"/>
    <cellStyle name="Normal 7 2 2 4 3 2 2 3" xfId="15028"/>
    <cellStyle name="Normal 7 2 2 4 3 2 3" xfId="4984"/>
    <cellStyle name="Normal 7 2 2 4 3 2 3 2" xfId="10523"/>
    <cellStyle name="Normal 7 2 2 4 3 2 3 3" xfId="16062"/>
    <cellStyle name="Normal 7 2 2 4 3 2 4" xfId="5918"/>
    <cellStyle name="Normal 7 2 2 4 3 2 4 2" xfId="11457"/>
    <cellStyle name="Normal 7 2 2 4 3 2 4 3" xfId="16996"/>
    <cellStyle name="Normal 7 2 2 4 3 2 5" xfId="2620"/>
    <cellStyle name="Normal 7 2 2 4 3 2 5 2" xfId="8166"/>
    <cellStyle name="Normal 7 2 2 4 3 2 5 3" xfId="13705"/>
    <cellStyle name="Normal 7 2 2 4 3 2 6" xfId="6961"/>
    <cellStyle name="Normal 7 2 2 4 3 2 7" xfId="12500"/>
    <cellStyle name="Normal 7 2 2 4 3 3" xfId="1038"/>
    <cellStyle name="Normal 7 2 2 4 3 3 2" xfId="3568"/>
    <cellStyle name="Normal 7 2 2 4 3 3 2 2" xfId="9110"/>
    <cellStyle name="Normal 7 2 2 4 3 3 2 3" xfId="14649"/>
    <cellStyle name="Normal 7 2 2 4 3 3 3" xfId="4605"/>
    <cellStyle name="Normal 7 2 2 4 3 3 3 2" xfId="10144"/>
    <cellStyle name="Normal 7 2 2 4 3 3 3 3" xfId="15683"/>
    <cellStyle name="Normal 7 2 2 4 3 3 4" xfId="5540"/>
    <cellStyle name="Normal 7 2 2 4 3 3 4 2" xfId="11079"/>
    <cellStyle name="Normal 7 2 2 4 3 3 4 3" xfId="16618"/>
    <cellStyle name="Normal 7 2 2 4 3 3 5" xfId="2242"/>
    <cellStyle name="Normal 7 2 2 4 3 3 5 2" xfId="7788"/>
    <cellStyle name="Normal 7 2 2 4 3 3 5 3" xfId="13327"/>
    <cellStyle name="Normal 7 2 2 4 3 3 6" xfId="6583"/>
    <cellStyle name="Normal 7 2 2 4 3 3 7" xfId="12122"/>
    <cellStyle name="Normal 7 2 2 4 3 4" xfId="3233"/>
    <cellStyle name="Normal 7 2 2 4 3 4 2" xfId="8775"/>
    <cellStyle name="Normal 7 2 2 4 3 4 3" xfId="14314"/>
    <cellStyle name="Normal 7 2 2 4 3 5" xfId="4272"/>
    <cellStyle name="Normal 7 2 2 4 3 5 2" xfId="9811"/>
    <cellStyle name="Normal 7 2 2 4 3 5 3" xfId="15350"/>
    <cellStyle name="Normal 7 2 2 4 3 6" xfId="5233"/>
    <cellStyle name="Normal 7 2 2 4 3 6 2" xfId="10772"/>
    <cellStyle name="Normal 7 2 2 4 3 6 3" xfId="16311"/>
    <cellStyle name="Normal 7 2 2 4 3 7" xfId="1935"/>
    <cellStyle name="Normal 7 2 2 4 3 7 2" xfId="7481"/>
    <cellStyle name="Normal 7 2 2 4 3 7 3" xfId="13020"/>
    <cellStyle name="Normal 7 2 2 4 3 8" xfId="6276"/>
    <cellStyle name="Normal 7 2 2 4 3 9" xfId="11815"/>
    <cellStyle name="Normal 7 2 2 4 4" xfId="1215"/>
    <cellStyle name="Normal 7 2 2 4 4 2" xfId="3745"/>
    <cellStyle name="Normal 7 2 2 4 4 2 2" xfId="9287"/>
    <cellStyle name="Normal 7 2 2 4 4 2 3" xfId="14826"/>
    <cellStyle name="Normal 7 2 2 4 4 3" xfId="4782"/>
    <cellStyle name="Normal 7 2 2 4 4 3 2" xfId="10321"/>
    <cellStyle name="Normal 7 2 2 4 4 3 3" xfId="15860"/>
    <cellStyle name="Normal 7 2 2 4 4 4" xfId="5717"/>
    <cellStyle name="Normal 7 2 2 4 4 4 2" xfId="11256"/>
    <cellStyle name="Normal 7 2 2 4 4 4 3" xfId="16795"/>
    <cellStyle name="Normal 7 2 2 4 4 5" xfId="2419"/>
    <cellStyle name="Normal 7 2 2 4 4 5 2" xfId="7965"/>
    <cellStyle name="Normal 7 2 2 4 4 5 3" xfId="13504"/>
    <cellStyle name="Normal 7 2 2 4 4 6" xfId="6760"/>
    <cellStyle name="Normal 7 2 2 4 4 7" xfId="12299"/>
    <cellStyle name="Normal 7 2 2 4 5" xfId="903"/>
    <cellStyle name="Normal 7 2 2 4 5 2" xfId="3433"/>
    <cellStyle name="Normal 7 2 2 4 5 2 2" xfId="8975"/>
    <cellStyle name="Normal 7 2 2 4 5 2 3" xfId="14514"/>
    <cellStyle name="Normal 7 2 2 4 5 3" xfId="4470"/>
    <cellStyle name="Normal 7 2 2 4 5 3 2" xfId="10009"/>
    <cellStyle name="Normal 7 2 2 4 5 3 3" xfId="15548"/>
    <cellStyle name="Normal 7 2 2 4 5 4" xfId="5405"/>
    <cellStyle name="Normal 7 2 2 4 5 4 2" xfId="10944"/>
    <cellStyle name="Normal 7 2 2 4 5 4 3" xfId="16483"/>
    <cellStyle name="Normal 7 2 2 4 5 5" xfId="2107"/>
    <cellStyle name="Normal 7 2 2 4 5 5 2" xfId="7653"/>
    <cellStyle name="Normal 7 2 2 4 5 5 3" xfId="13192"/>
    <cellStyle name="Normal 7 2 2 4 5 6" xfId="6448"/>
    <cellStyle name="Normal 7 2 2 4 5 7" xfId="11987"/>
    <cellStyle name="Normal 7 2 2 4 6" xfId="1560"/>
    <cellStyle name="Normal 7 2 2 4 6 2" xfId="2765"/>
    <cellStyle name="Normal 7 2 2 4 6 2 2" xfId="8311"/>
    <cellStyle name="Normal 7 2 2 4 6 2 3" xfId="13850"/>
    <cellStyle name="Normal 7 2 2 4 6 3" xfId="7106"/>
    <cellStyle name="Normal 7 2 2 4 6 4" xfId="12645"/>
    <cellStyle name="Normal 7 2 2 4 7" xfId="2938"/>
    <cellStyle name="Normal 7 2 2 4 7 2" xfId="8482"/>
    <cellStyle name="Normal 7 2 2 4 7 3" xfId="14021"/>
    <cellStyle name="Normal 7 2 2 4 8" xfId="3052"/>
    <cellStyle name="Normal 7 2 2 4 8 2" xfId="8595"/>
    <cellStyle name="Normal 7 2 2 4 8 3" xfId="14134"/>
    <cellStyle name="Normal 7 2 2 4 9" xfId="4095"/>
    <cellStyle name="Normal 7 2 2 4 9 2" xfId="9636"/>
    <cellStyle name="Normal 7 2 2 4 9 3" xfId="15175"/>
    <cellStyle name="Normal 7 2 2 5" xfId="377"/>
    <cellStyle name="Normal 7 2 2 5 10" xfId="6081"/>
    <cellStyle name="Normal 7 2 2 5 10 2" xfId="17159"/>
    <cellStyle name="Normal 7 2 2 5 11" xfId="725"/>
    <cellStyle name="Normal 7 2 2 5 11 2" xfId="17321"/>
    <cellStyle name="Normal 7 2 2 5 12" xfId="11620"/>
    <cellStyle name="Normal 7 2 2 5 13" xfId="17488"/>
    <cellStyle name="Normal 7 2 2 5 14" xfId="17653"/>
    <cellStyle name="Normal 7 2 2 5 2" xfId="576"/>
    <cellStyle name="Normal 7 2 2 5 2 2" xfId="1417"/>
    <cellStyle name="Normal 7 2 2 5 2 2 2" xfId="3949"/>
    <cellStyle name="Normal 7 2 2 5 2 2 2 2" xfId="9491"/>
    <cellStyle name="Normal 7 2 2 5 2 2 2 3" xfId="15030"/>
    <cellStyle name="Normal 7 2 2 5 2 2 3" xfId="4986"/>
    <cellStyle name="Normal 7 2 2 5 2 2 3 2" xfId="10525"/>
    <cellStyle name="Normal 7 2 2 5 2 2 3 3" xfId="16064"/>
    <cellStyle name="Normal 7 2 2 5 2 2 4" xfId="5920"/>
    <cellStyle name="Normal 7 2 2 5 2 2 4 2" xfId="11459"/>
    <cellStyle name="Normal 7 2 2 5 2 2 4 3" xfId="16998"/>
    <cellStyle name="Normal 7 2 2 5 2 2 5" xfId="2622"/>
    <cellStyle name="Normal 7 2 2 5 2 2 5 2" xfId="8168"/>
    <cellStyle name="Normal 7 2 2 5 2 2 5 3" xfId="13707"/>
    <cellStyle name="Normal 7 2 2 5 2 2 6" xfId="6963"/>
    <cellStyle name="Normal 7 2 2 5 2 2 7" xfId="12502"/>
    <cellStyle name="Normal 7 2 2 5 2 3" xfId="1056"/>
    <cellStyle name="Normal 7 2 2 5 2 3 2" xfId="3586"/>
    <cellStyle name="Normal 7 2 2 5 2 3 2 2" xfId="9128"/>
    <cellStyle name="Normal 7 2 2 5 2 3 2 3" xfId="14667"/>
    <cellStyle name="Normal 7 2 2 5 2 3 3" xfId="4623"/>
    <cellStyle name="Normal 7 2 2 5 2 3 3 2" xfId="10162"/>
    <cellStyle name="Normal 7 2 2 5 2 3 3 3" xfId="15701"/>
    <cellStyle name="Normal 7 2 2 5 2 3 4" xfId="5558"/>
    <cellStyle name="Normal 7 2 2 5 2 3 4 2" xfId="11097"/>
    <cellStyle name="Normal 7 2 2 5 2 3 4 3" xfId="16636"/>
    <cellStyle name="Normal 7 2 2 5 2 3 5" xfId="2260"/>
    <cellStyle name="Normal 7 2 2 5 2 3 5 2" xfId="7806"/>
    <cellStyle name="Normal 7 2 2 5 2 3 5 3" xfId="13345"/>
    <cellStyle name="Normal 7 2 2 5 2 3 6" xfId="6601"/>
    <cellStyle name="Normal 7 2 2 5 2 3 7" xfId="12140"/>
    <cellStyle name="Normal 7 2 2 5 2 4" xfId="3235"/>
    <cellStyle name="Normal 7 2 2 5 2 4 2" xfId="8777"/>
    <cellStyle name="Normal 7 2 2 5 2 4 3" xfId="14316"/>
    <cellStyle name="Normal 7 2 2 5 2 5" xfId="4274"/>
    <cellStyle name="Normal 7 2 2 5 2 5 2" xfId="9813"/>
    <cellStyle name="Normal 7 2 2 5 2 5 3" xfId="15352"/>
    <cellStyle name="Normal 7 2 2 5 2 6" xfId="5235"/>
    <cellStyle name="Normal 7 2 2 5 2 6 2" xfId="10774"/>
    <cellStyle name="Normal 7 2 2 5 2 6 3" xfId="16313"/>
    <cellStyle name="Normal 7 2 2 5 2 7" xfId="1937"/>
    <cellStyle name="Normal 7 2 2 5 2 7 2" xfId="7483"/>
    <cellStyle name="Normal 7 2 2 5 2 7 3" xfId="13022"/>
    <cellStyle name="Normal 7 2 2 5 2 8" xfId="6278"/>
    <cellStyle name="Normal 7 2 2 5 2 9" xfId="11817"/>
    <cellStyle name="Normal 7 2 2 5 3" xfId="1233"/>
    <cellStyle name="Normal 7 2 2 5 3 2" xfId="3763"/>
    <cellStyle name="Normal 7 2 2 5 3 2 2" xfId="9305"/>
    <cellStyle name="Normal 7 2 2 5 3 2 3" xfId="14844"/>
    <cellStyle name="Normal 7 2 2 5 3 3" xfId="4800"/>
    <cellStyle name="Normal 7 2 2 5 3 3 2" xfId="10339"/>
    <cellStyle name="Normal 7 2 2 5 3 3 3" xfId="15878"/>
    <cellStyle name="Normal 7 2 2 5 3 4" xfId="5735"/>
    <cellStyle name="Normal 7 2 2 5 3 4 2" xfId="11274"/>
    <cellStyle name="Normal 7 2 2 5 3 4 3" xfId="16813"/>
    <cellStyle name="Normal 7 2 2 5 3 5" xfId="2437"/>
    <cellStyle name="Normal 7 2 2 5 3 5 2" xfId="7983"/>
    <cellStyle name="Normal 7 2 2 5 3 5 3" xfId="13522"/>
    <cellStyle name="Normal 7 2 2 5 3 6" xfId="6778"/>
    <cellStyle name="Normal 7 2 2 5 3 7" xfId="12317"/>
    <cellStyle name="Normal 7 2 2 5 4" xfId="905"/>
    <cellStyle name="Normal 7 2 2 5 4 2" xfId="3435"/>
    <cellStyle name="Normal 7 2 2 5 4 2 2" xfId="8977"/>
    <cellStyle name="Normal 7 2 2 5 4 2 3" xfId="14516"/>
    <cellStyle name="Normal 7 2 2 5 4 3" xfId="4472"/>
    <cellStyle name="Normal 7 2 2 5 4 3 2" xfId="10011"/>
    <cellStyle name="Normal 7 2 2 5 4 3 3" xfId="15550"/>
    <cellStyle name="Normal 7 2 2 5 4 4" xfId="5407"/>
    <cellStyle name="Normal 7 2 2 5 4 4 2" xfId="10946"/>
    <cellStyle name="Normal 7 2 2 5 4 4 3" xfId="16485"/>
    <cellStyle name="Normal 7 2 2 5 4 5" xfId="2109"/>
    <cellStyle name="Normal 7 2 2 5 4 5 2" xfId="7655"/>
    <cellStyle name="Normal 7 2 2 5 4 5 3" xfId="13194"/>
    <cellStyle name="Normal 7 2 2 5 4 6" xfId="6450"/>
    <cellStyle name="Normal 7 2 2 5 4 7" xfId="11989"/>
    <cellStyle name="Normal 7 2 2 5 5" xfId="1578"/>
    <cellStyle name="Normal 7 2 2 5 5 2" xfId="2783"/>
    <cellStyle name="Normal 7 2 2 5 5 2 2" xfId="8329"/>
    <cellStyle name="Normal 7 2 2 5 5 2 3" xfId="13868"/>
    <cellStyle name="Normal 7 2 2 5 5 3" xfId="7124"/>
    <cellStyle name="Normal 7 2 2 5 5 4" xfId="12663"/>
    <cellStyle name="Normal 7 2 2 5 6" xfId="2956"/>
    <cellStyle name="Normal 7 2 2 5 6 2" xfId="8500"/>
    <cellStyle name="Normal 7 2 2 5 6 3" xfId="14039"/>
    <cellStyle name="Normal 7 2 2 5 7" xfId="3062"/>
    <cellStyle name="Normal 7 2 2 5 7 2" xfId="8605"/>
    <cellStyle name="Normal 7 2 2 5 7 3" xfId="14144"/>
    <cellStyle name="Normal 7 2 2 5 8" xfId="4105"/>
    <cellStyle name="Normal 7 2 2 5 8 2" xfId="9646"/>
    <cellStyle name="Normal 7 2 2 5 8 3" xfId="15185"/>
    <cellStyle name="Normal 7 2 2 5 9" xfId="1740"/>
    <cellStyle name="Normal 7 2 2 5 9 2" xfId="7286"/>
    <cellStyle name="Normal 7 2 2 5 9 3" xfId="12825"/>
    <cellStyle name="Normal 7 2 2 6" xfId="378"/>
    <cellStyle name="Normal 7 2 2 6 10" xfId="6009"/>
    <cellStyle name="Normal 7 2 2 6 10 2" xfId="17087"/>
    <cellStyle name="Normal 7 2 2 6 11" xfId="653"/>
    <cellStyle name="Normal 7 2 2 6 11 2" xfId="17249"/>
    <cellStyle name="Normal 7 2 2 6 12" xfId="11548"/>
    <cellStyle name="Normal 7 2 2 6 13" xfId="17416"/>
    <cellStyle name="Normal 7 2 2 6 14" xfId="17581"/>
    <cellStyle name="Normal 7 2 2 6 2" xfId="577"/>
    <cellStyle name="Normal 7 2 2 6 2 2" xfId="1418"/>
    <cellStyle name="Normal 7 2 2 6 2 2 2" xfId="3950"/>
    <cellStyle name="Normal 7 2 2 6 2 2 2 2" xfId="9492"/>
    <cellStyle name="Normal 7 2 2 6 2 2 2 3" xfId="15031"/>
    <cellStyle name="Normal 7 2 2 6 2 2 3" xfId="4987"/>
    <cellStyle name="Normal 7 2 2 6 2 2 3 2" xfId="10526"/>
    <cellStyle name="Normal 7 2 2 6 2 2 3 3" xfId="16065"/>
    <cellStyle name="Normal 7 2 2 6 2 2 4" xfId="5921"/>
    <cellStyle name="Normal 7 2 2 6 2 2 4 2" xfId="11460"/>
    <cellStyle name="Normal 7 2 2 6 2 2 4 3" xfId="16999"/>
    <cellStyle name="Normal 7 2 2 6 2 2 5" xfId="2623"/>
    <cellStyle name="Normal 7 2 2 6 2 2 5 2" xfId="8169"/>
    <cellStyle name="Normal 7 2 2 6 2 2 5 3" xfId="13708"/>
    <cellStyle name="Normal 7 2 2 6 2 2 6" xfId="6964"/>
    <cellStyle name="Normal 7 2 2 6 2 2 7" xfId="12503"/>
    <cellStyle name="Normal 7 2 2 6 2 3" xfId="984"/>
    <cellStyle name="Normal 7 2 2 6 2 3 2" xfId="3514"/>
    <cellStyle name="Normal 7 2 2 6 2 3 2 2" xfId="9056"/>
    <cellStyle name="Normal 7 2 2 6 2 3 2 3" xfId="14595"/>
    <cellStyle name="Normal 7 2 2 6 2 3 3" xfId="4551"/>
    <cellStyle name="Normal 7 2 2 6 2 3 3 2" xfId="10090"/>
    <cellStyle name="Normal 7 2 2 6 2 3 3 3" xfId="15629"/>
    <cellStyle name="Normal 7 2 2 6 2 3 4" xfId="5486"/>
    <cellStyle name="Normal 7 2 2 6 2 3 4 2" xfId="11025"/>
    <cellStyle name="Normal 7 2 2 6 2 3 4 3" xfId="16564"/>
    <cellStyle name="Normal 7 2 2 6 2 3 5" xfId="2188"/>
    <cellStyle name="Normal 7 2 2 6 2 3 5 2" xfId="7734"/>
    <cellStyle name="Normal 7 2 2 6 2 3 5 3" xfId="13273"/>
    <cellStyle name="Normal 7 2 2 6 2 3 6" xfId="6529"/>
    <cellStyle name="Normal 7 2 2 6 2 3 7" xfId="12068"/>
    <cellStyle name="Normal 7 2 2 6 2 4" xfId="3236"/>
    <cellStyle name="Normal 7 2 2 6 2 4 2" xfId="8778"/>
    <cellStyle name="Normal 7 2 2 6 2 4 3" xfId="14317"/>
    <cellStyle name="Normal 7 2 2 6 2 5" xfId="4275"/>
    <cellStyle name="Normal 7 2 2 6 2 5 2" xfId="9814"/>
    <cellStyle name="Normal 7 2 2 6 2 5 3" xfId="15353"/>
    <cellStyle name="Normal 7 2 2 6 2 6" xfId="5236"/>
    <cellStyle name="Normal 7 2 2 6 2 6 2" xfId="10775"/>
    <cellStyle name="Normal 7 2 2 6 2 6 3" xfId="16314"/>
    <cellStyle name="Normal 7 2 2 6 2 7" xfId="1938"/>
    <cellStyle name="Normal 7 2 2 6 2 7 2" xfId="7484"/>
    <cellStyle name="Normal 7 2 2 6 2 7 3" xfId="13023"/>
    <cellStyle name="Normal 7 2 2 6 2 8" xfId="6279"/>
    <cellStyle name="Normal 7 2 2 6 2 9" xfId="11818"/>
    <cellStyle name="Normal 7 2 2 6 3" xfId="1161"/>
    <cellStyle name="Normal 7 2 2 6 3 2" xfId="3691"/>
    <cellStyle name="Normal 7 2 2 6 3 2 2" xfId="9233"/>
    <cellStyle name="Normal 7 2 2 6 3 2 3" xfId="14772"/>
    <cellStyle name="Normal 7 2 2 6 3 3" xfId="4728"/>
    <cellStyle name="Normal 7 2 2 6 3 3 2" xfId="10267"/>
    <cellStyle name="Normal 7 2 2 6 3 3 3" xfId="15806"/>
    <cellStyle name="Normal 7 2 2 6 3 4" xfId="5663"/>
    <cellStyle name="Normal 7 2 2 6 3 4 2" xfId="11202"/>
    <cellStyle name="Normal 7 2 2 6 3 4 3" xfId="16741"/>
    <cellStyle name="Normal 7 2 2 6 3 5" xfId="2365"/>
    <cellStyle name="Normal 7 2 2 6 3 5 2" xfId="7911"/>
    <cellStyle name="Normal 7 2 2 6 3 5 3" xfId="13450"/>
    <cellStyle name="Normal 7 2 2 6 3 6" xfId="6706"/>
    <cellStyle name="Normal 7 2 2 6 3 7" xfId="12245"/>
    <cellStyle name="Normal 7 2 2 6 4" xfId="906"/>
    <cellStyle name="Normal 7 2 2 6 4 2" xfId="3436"/>
    <cellStyle name="Normal 7 2 2 6 4 2 2" xfId="8978"/>
    <cellStyle name="Normal 7 2 2 6 4 2 3" xfId="14517"/>
    <cellStyle name="Normal 7 2 2 6 4 3" xfId="4473"/>
    <cellStyle name="Normal 7 2 2 6 4 3 2" xfId="10012"/>
    <cellStyle name="Normal 7 2 2 6 4 3 3" xfId="15551"/>
    <cellStyle name="Normal 7 2 2 6 4 4" xfId="5408"/>
    <cellStyle name="Normal 7 2 2 6 4 4 2" xfId="10947"/>
    <cellStyle name="Normal 7 2 2 6 4 4 3" xfId="16486"/>
    <cellStyle name="Normal 7 2 2 6 4 5" xfId="2110"/>
    <cellStyle name="Normal 7 2 2 6 4 5 2" xfId="7656"/>
    <cellStyle name="Normal 7 2 2 6 4 5 3" xfId="13195"/>
    <cellStyle name="Normal 7 2 2 6 4 6" xfId="6451"/>
    <cellStyle name="Normal 7 2 2 6 4 7" xfId="11990"/>
    <cellStyle name="Normal 7 2 2 6 5" xfId="1506"/>
    <cellStyle name="Normal 7 2 2 6 5 2" xfId="2711"/>
    <cellStyle name="Normal 7 2 2 6 5 2 2" xfId="8257"/>
    <cellStyle name="Normal 7 2 2 6 5 2 3" xfId="13796"/>
    <cellStyle name="Normal 7 2 2 6 5 3" xfId="7052"/>
    <cellStyle name="Normal 7 2 2 6 5 4" xfId="12591"/>
    <cellStyle name="Normal 7 2 2 6 6" xfId="2884"/>
    <cellStyle name="Normal 7 2 2 6 6 2" xfId="8428"/>
    <cellStyle name="Normal 7 2 2 6 6 3" xfId="13967"/>
    <cellStyle name="Normal 7 2 2 6 7" xfId="3024"/>
    <cellStyle name="Normal 7 2 2 6 7 2" xfId="8568"/>
    <cellStyle name="Normal 7 2 2 6 7 3" xfId="14107"/>
    <cellStyle name="Normal 7 2 2 6 8" xfId="4068"/>
    <cellStyle name="Normal 7 2 2 6 8 2" xfId="9610"/>
    <cellStyle name="Normal 7 2 2 6 8 3" xfId="15149"/>
    <cellStyle name="Normal 7 2 2 6 9" xfId="1668"/>
    <cellStyle name="Normal 7 2 2 6 9 2" xfId="7214"/>
    <cellStyle name="Normal 7 2 2 6 9 3" xfId="12753"/>
    <cellStyle name="Normal 7 2 2 7" xfId="464"/>
    <cellStyle name="Normal 7 2 2 7 2" xfId="1306"/>
    <cellStyle name="Normal 7 2 2 7 2 2" xfId="3837"/>
    <cellStyle name="Normal 7 2 2 7 2 2 2" xfId="9379"/>
    <cellStyle name="Normal 7 2 2 7 2 2 3" xfId="14918"/>
    <cellStyle name="Normal 7 2 2 7 2 3" xfId="4874"/>
    <cellStyle name="Normal 7 2 2 7 2 3 2" xfId="10413"/>
    <cellStyle name="Normal 7 2 2 7 2 3 3" xfId="15952"/>
    <cellStyle name="Normal 7 2 2 7 2 4" xfId="5809"/>
    <cellStyle name="Normal 7 2 2 7 2 4 2" xfId="11348"/>
    <cellStyle name="Normal 7 2 2 7 2 4 3" xfId="16887"/>
    <cellStyle name="Normal 7 2 2 7 2 5" xfId="2511"/>
    <cellStyle name="Normal 7 2 2 7 2 5 2" xfId="8057"/>
    <cellStyle name="Normal 7 2 2 7 2 5 3" xfId="13596"/>
    <cellStyle name="Normal 7 2 2 7 2 6" xfId="6852"/>
    <cellStyle name="Normal 7 2 2 7 2 7" xfId="12391"/>
    <cellStyle name="Normal 7 2 2 7 3" xfId="966"/>
    <cellStyle name="Normal 7 2 2 7 3 2" xfId="3496"/>
    <cellStyle name="Normal 7 2 2 7 3 2 2" xfId="9038"/>
    <cellStyle name="Normal 7 2 2 7 3 2 3" xfId="14577"/>
    <cellStyle name="Normal 7 2 2 7 3 3" xfId="4533"/>
    <cellStyle name="Normal 7 2 2 7 3 3 2" xfId="10072"/>
    <cellStyle name="Normal 7 2 2 7 3 3 3" xfId="15611"/>
    <cellStyle name="Normal 7 2 2 7 3 4" xfId="5468"/>
    <cellStyle name="Normal 7 2 2 7 3 4 2" xfId="11007"/>
    <cellStyle name="Normal 7 2 2 7 3 4 3" xfId="16546"/>
    <cellStyle name="Normal 7 2 2 7 3 5" xfId="2170"/>
    <cellStyle name="Normal 7 2 2 7 3 5 2" xfId="7716"/>
    <cellStyle name="Normal 7 2 2 7 3 5 3" xfId="13255"/>
    <cellStyle name="Normal 7 2 2 7 3 6" xfId="6511"/>
    <cellStyle name="Normal 7 2 2 7 3 7" xfId="12050"/>
    <cellStyle name="Normal 7 2 2 7 4" xfId="3114"/>
    <cellStyle name="Normal 7 2 2 7 4 2" xfId="8657"/>
    <cellStyle name="Normal 7 2 2 7 4 3" xfId="14196"/>
    <cellStyle name="Normal 7 2 2 7 5" xfId="4157"/>
    <cellStyle name="Normal 7 2 2 7 5 2" xfId="9698"/>
    <cellStyle name="Normal 7 2 2 7 5 3" xfId="15237"/>
    <cellStyle name="Normal 7 2 2 7 6" xfId="5124"/>
    <cellStyle name="Normal 7 2 2 7 6 2" xfId="10663"/>
    <cellStyle name="Normal 7 2 2 7 6 3" xfId="16202"/>
    <cellStyle name="Normal 7 2 2 7 7" xfId="1826"/>
    <cellStyle name="Normal 7 2 2 7 7 2" xfId="7372"/>
    <cellStyle name="Normal 7 2 2 7 7 3" xfId="12911"/>
    <cellStyle name="Normal 7 2 2 7 8" xfId="6167"/>
    <cellStyle name="Normal 7 2 2 7 9" xfId="11706"/>
    <cellStyle name="Normal 7 2 2 8" xfId="1143"/>
    <cellStyle name="Normal 7 2 2 8 2" xfId="3673"/>
    <cellStyle name="Normal 7 2 2 8 2 2" xfId="9215"/>
    <cellStyle name="Normal 7 2 2 8 2 3" xfId="14754"/>
    <cellStyle name="Normal 7 2 2 8 3" xfId="4710"/>
    <cellStyle name="Normal 7 2 2 8 3 2" xfId="10249"/>
    <cellStyle name="Normal 7 2 2 8 3 3" xfId="15788"/>
    <cellStyle name="Normal 7 2 2 8 4" xfId="5645"/>
    <cellStyle name="Normal 7 2 2 8 4 2" xfId="11184"/>
    <cellStyle name="Normal 7 2 2 8 4 3" xfId="16723"/>
    <cellStyle name="Normal 7 2 2 8 5" xfId="2347"/>
    <cellStyle name="Normal 7 2 2 8 5 2" xfId="7893"/>
    <cellStyle name="Normal 7 2 2 8 5 3" xfId="13432"/>
    <cellStyle name="Normal 7 2 2 8 6" xfId="6688"/>
    <cellStyle name="Normal 7 2 2 8 7" xfId="12227"/>
    <cellStyle name="Normal 7 2 2 9" xfId="898"/>
    <cellStyle name="Normal 7 2 2 9 2" xfId="3428"/>
    <cellStyle name="Normal 7 2 2 9 2 2" xfId="8970"/>
    <cellStyle name="Normal 7 2 2 9 2 3" xfId="14509"/>
    <cellStyle name="Normal 7 2 2 9 3" xfId="4465"/>
    <cellStyle name="Normal 7 2 2 9 3 2" xfId="10004"/>
    <cellStyle name="Normal 7 2 2 9 3 3" xfId="15543"/>
    <cellStyle name="Normal 7 2 2 9 4" xfId="5400"/>
    <cellStyle name="Normal 7 2 2 9 4 2" xfId="10939"/>
    <cellStyle name="Normal 7 2 2 9 4 3" xfId="16478"/>
    <cellStyle name="Normal 7 2 2 9 5" xfId="2102"/>
    <cellStyle name="Normal 7 2 2 9 5 2" xfId="7648"/>
    <cellStyle name="Normal 7 2 2 9 5 3" xfId="13187"/>
    <cellStyle name="Normal 7 2 2 9 6" xfId="6443"/>
    <cellStyle name="Normal 7 2 2 9 7" xfId="11982"/>
    <cellStyle name="Normal 7 2 20" xfId="17554"/>
    <cellStyle name="Normal 7 2 3" xfId="379"/>
    <cellStyle name="Normal 7 2 3 10" xfId="1695"/>
    <cellStyle name="Normal 7 2 3 10 2" xfId="7241"/>
    <cellStyle name="Normal 7 2 3 10 3" xfId="12780"/>
    <cellStyle name="Normal 7 2 3 11" xfId="6036"/>
    <cellStyle name="Normal 7 2 3 11 2" xfId="17114"/>
    <cellStyle name="Normal 7 2 3 12" xfId="680"/>
    <cellStyle name="Normal 7 2 3 12 2" xfId="17276"/>
    <cellStyle name="Normal 7 2 3 13" xfId="11575"/>
    <cellStyle name="Normal 7 2 3 14" xfId="17443"/>
    <cellStyle name="Normal 7 2 3 15" xfId="17608"/>
    <cellStyle name="Normal 7 2 3 2" xfId="380"/>
    <cellStyle name="Normal 7 2 3 2 10" xfId="6126"/>
    <cellStyle name="Normal 7 2 3 2 10 2" xfId="17204"/>
    <cellStyle name="Normal 7 2 3 2 11" xfId="770"/>
    <cellStyle name="Normal 7 2 3 2 11 2" xfId="17366"/>
    <cellStyle name="Normal 7 2 3 2 12" xfId="11665"/>
    <cellStyle name="Normal 7 2 3 2 13" xfId="17533"/>
    <cellStyle name="Normal 7 2 3 2 14" xfId="17698"/>
    <cellStyle name="Normal 7 2 3 2 2" xfId="579"/>
    <cellStyle name="Normal 7 2 3 2 2 2" xfId="1420"/>
    <cellStyle name="Normal 7 2 3 2 2 2 2" xfId="3952"/>
    <cellStyle name="Normal 7 2 3 2 2 2 2 2" xfId="9494"/>
    <cellStyle name="Normal 7 2 3 2 2 2 2 3" xfId="15033"/>
    <cellStyle name="Normal 7 2 3 2 2 2 3" xfId="4989"/>
    <cellStyle name="Normal 7 2 3 2 2 2 3 2" xfId="10528"/>
    <cellStyle name="Normal 7 2 3 2 2 2 3 3" xfId="16067"/>
    <cellStyle name="Normal 7 2 3 2 2 2 4" xfId="5923"/>
    <cellStyle name="Normal 7 2 3 2 2 2 4 2" xfId="11462"/>
    <cellStyle name="Normal 7 2 3 2 2 2 4 3" xfId="17001"/>
    <cellStyle name="Normal 7 2 3 2 2 2 5" xfId="2625"/>
    <cellStyle name="Normal 7 2 3 2 2 2 5 2" xfId="8171"/>
    <cellStyle name="Normal 7 2 3 2 2 2 5 3" xfId="13710"/>
    <cellStyle name="Normal 7 2 3 2 2 2 6" xfId="6966"/>
    <cellStyle name="Normal 7 2 3 2 2 2 7" xfId="12505"/>
    <cellStyle name="Normal 7 2 3 2 2 3" xfId="1101"/>
    <cellStyle name="Normal 7 2 3 2 2 3 2" xfId="3631"/>
    <cellStyle name="Normal 7 2 3 2 2 3 2 2" xfId="9173"/>
    <cellStyle name="Normal 7 2 3 2 2 3 2 3" xfId="14712"/>
    <cellStyle name="Normal 7 2 3 2 2 3 3" xfId="4668"/>
    <cellStyle name="Normal 7 2 3 2 2 3 3 2" xfId="10207"/>
    <cellStyle name="Normal 7 2 3 2 2 3 3 3" xfId="15746"/>
    <cellStyle name="Normal 7 2 3 2 2 3 4" xfId="5603"/>
    <cellStyle name="Normal 7 2 3 2 2 3 4 2" xfId="11142"/>
    <cellStyle name="Normal 7 2 3 2 2 3 4 3" xfId="16681"/>
    <cellStyle name="Normal 7 2 3 2 2 3 5" xfId="2305"/>
    <cellStyle name="Normal 7 2 3 2 2 3 5 2" xfId="7851"/>
    <cellStyle name="Normal 7 2 3 2 2 3 5 3" xfId="13390"/>
    <cellStyle name="Normal 7 2 3 2 2 3 6" xfId="6646"/>
    <cellStyle name="Normal 7 2 3 2 2 3 7" xfId="12185"/>
    <cellStyle name="Normal 7 2 3 2 2 4" xfId="3238"/>
    <cellStyle name="Normal 7 2 3 2 2 4 2" xfId="8780"/>
    <cellStyle name="Normal 7 2 3 2 2 4 3" xfId="14319"/>
    <cellStyle name="Normal 7 2 3 2 2 5" xfId="4277"/>
    <cellStyle name="Normal 7 2 3 2 2 5 2" xfId="9816"/>
    <cellStyle name="Normal 7 2 3 2 2 5 3" xfId="15355"/>
    <cellStyle name="Normal 7 2 3 2 2 6" xfId="5238"/>
    <cellStyle name="Normal 7 2 3 2 2 6 2" xfId="10777"/>
    <cellStyle name="Normal 7 2 3 2 2 6 3" xfId="16316"/>
    <cellStyle name="Normal 7 2 3 2 2 7" xfId="1940"/>
    <cellStyle name="Normal 7 2 3 2 2 7 2" xfId="7486"/>
    <cellStyle name="Normal 7 2 3 2 2 7 3" xfId="13025"/>
    <cellStyle name="Normal 7 2 3 2 2 8" xfId="6281"/>
    <cellStyle name="Normal 7 2 3 2 2 9" xfId="11820"/>
    <cellStyle name="Normal 7 2 3 2 3" xfId="1278"/>
    <cellStyle name="Normal 7 2 3 2 3 2" xfId="3808"/>
    <cellStyle name="Normal 7 2 3 2 3 2 2" xfId="9350"/>
    <cellStyle name="Normal 7 2 3 2 3 2 3" xfId="14889"/>
    <cellStyle name="Normal 7 2 3 2 3 3" xfId="4845"/>
    <cellStyle name="Normal 7 2 3 2 3 3 2" xfId="10384"/>
    <cellStyle name="Normal 7 2 3 2 3 3 3" xfId="15923"/>
    <cellStyle name="Normal 7 2 3 2 3 4" xfId="5780"/>
    <cellStyle name="Normal 7 2 3 2 3 4 2" xfId="11319"/>
    <cellStyle name="Normal 7 2 3 2 3 4 3" xfId="16858"/>
    <cellStyle name="Normal 7 2 3 2 3 5" xfId="2482"/>
    <cellStyle name="Normal 7 2 3 2 3 5 2" xfId="8028"/>
    <cellStyle name="Normal 7 2 3 2 3 5 3" xfId="13567"/>
    <cellStyle name="Normal 7 2 3 2 3 6" xfId="6823"/>
    <cellStyle name="Normal 7 2 3 2 3 7" xfId="12362"/>
    <cellStyle name="Normal 7 2 3 2 4" xfId="908"/>
    <cellStyle name="Normal 7 2 3 2 4 2" xfId="3438"/>
    <cellStyle name="Normal 7 2 3 2 4 2 2" xfId="8980"/>
    <cellStyle name="Normal 7 2 3 2 4 2 3" xfId="14519"/>
    <cellStyle name="Normal 7 2 3 2 4 3" xfId="4475"/>
    <cellStyle name="Normal 7 2 3 2 4 3 2" xfId="10014"/>
    <cellStyle name="Normal 7 2 3 2 4 3 3" xfId="15553"/>
    <cellStyle name="Normal 7 2 3 2 4 4" xfId="5410"/>
    <cellStyle name="Normal 7 2 3 2 4 4 2" xfId="10949"/>
    <cellStyle name="Normal 7 2 3 2 4 4 3" xfId="16488"/>
    <cellStyle name="Normal 7 2 3 2 4 5" xfId="2112"/>
    <cellStyle name="Normal 7 2 3 2 4 5 2" xfId="7658"/>
    <cellStyle name="Normal 7 2 3 2 4 5 3" xfId="13197"/>
    <cellStyle name="Normal 7 2 3 2 4 6" xfId="6453"/>
    <cellStyle name="Normal 7 2 3 2 4 7" xfId="11992"/>
    <cellStyle name="Normal 7 2 3 2 5" xfId="1623"/>
    <cellStyle name="Normal 7 2 3 2 5 2" xfId="2828"/>
    <cellStyle name="Normal 7 2 3 2 5 2 2" xfId="8374"/>
    <cellStyle name="Normal 7 2 3 2 5 2 3" xfId="13913"/>
    <cellStyle name="Normal 7 2 3 2 5 3" xfId="7169"/>
    <cellStyle name="Normal 7 2 3 2 5 4" xfId="12708"/>
    <cellStyle name="Normal 7 2 3 2 6" xfId="3001"/>
    <cellStyle name="Normal 7 2 3 2 6 2" xfId="8545"/>
    <cellStyle name="Normal 7 2 3 2 6 3" xfId="14084"/>
    <cellStyle name="Normal 7 2 3 2 7" xfId="4046"/>
    <cellStyle name="Normal 7 2 3 2 7 2" xfId="9588"/>
    <cellStyle name="Normal 7 2 3 2 7 3" xfId="15127"/>
    <cellStyle name="Normal 7 2 3 2 8" xfId="5083"/>
    <cellStyle name="Normal 7 2 3 2 8 2" xfId="10622"/>
    <cellStyle name="Normal 7 2 3 2 8 3" xfId="16161"/>
    <cellStyle name="Normal 7 2 3 2 9" xfId="1785"/>
    <cellStyle name="Normal 7 2 3 2 9 2" xfId="7331"/>
    <cellStyle name="Normal 7 2 3 2 9 3" xfId="12870"/>
    <cellStyle name="Normal 7 2 3 3" xfId="578"/>
    <cellStyle name="Normal 7 2 3 3 2" xfId="1419"/>
    <cellStyle name="Normal 7 2 3 3 2 2" xfId="3951"/>
    <cellStyle name="Normal 7 2 3 3 2 2 2" xfId="9493"/>
    <cellStyle name="Normal 7 2 3 3 2 2 3" xfId="15032"/>
    <cellStyle name="Normal 7 2 3 3 2 3" xfId="4988"/>
    <cellStyle name="Normal 7 2 3 3 2 3 2" xfId="10527"/>
    <cellStyle name="Normal 7 2 3 3 2 3 3" xfId="16066"/>
    <cellStyle name="Normal 7 2 3 3 2 4" xfId="5922"/>
    <cellStyle name="Normal 7 2 3 3 2 4 2" xfId="11461"/>
    <cellStyle name="Normal 7 2 3 3 2 4 3" xfId="17000"/>
    <cellStyle name="Normal 7 2 3 3 2 5" xfId="2624"/>
    <cellStyle name="Normal 7 2 3 3 2 5 2" xfId="8170"/>
    <cellStyle name="Normal 7 2 3 3 2 5 3" xfId="13709"/>
    <cellStyle name="Normal 7 2 3 3 2 6" xfId="6965"/>
    <cellStyle name="Normal 7 2 3 3 2 7" xfId="12504"/>
    <cellStyle name="Normal 7 2 3 3 3" xfId="1011"/>
    <cellStyle name="Normal 7 2 3 3 3 2" xfId="3541"/>
    <cellStyle name="Normal 7 2 3 3 3 2 2" xfId="9083"/>
    <cellStyle name="Normal 7 2 3 3 3 2 3" xfId="14622"/>
    <cellStyle name="Normal 7 2 3 3 3 3" xfId="4578"/>
    <cellStyle name="Normal 7 2 3 3 3 3 2" xfId="10117"/>
    <cellStyle name="Normal 7 2 3 3 3 3 3" xfId="15656"/>
    <cellStyle name="Normal 7 2 3 3 3 4" xfId="5513"/>
    <cellStyle name="Normal 7 2 3 3 3 4 2" xfId="11052"/>
    <cellStyle name="Normal 7 2 3 3 3 4 3" xfId="16591"/>
    <cellStyle name="Normal 7 2 3 3 3 5" xfId="2215"/>
    <cellStyle name="Normal 7 2 3 3 3 5 2" xfId="7761"/>
    <cellStyle name="Normal 7 2 3 3 3 5 3" xfId="13300"/>
    <cellStyle name="Normal 7 2 3 3 3 6" xfId="6556"/>
    <cellStyle name="Normal 7 2 3 3 3 7" xfId="12095"/>
    <cellStyle name="Normal 7 2 3 3 4" xfId="3237"/>
    <cellStyle name="Normal 7 2 3 3 4 2" xfId="8779"/>
    <cellStyle name="Normal 7 2 3 3 4 3" xfId="14318"/>
    <cellStyle name="Normal 7 2 3 3 5" xfId="4276"/>
    <cellStyle name="Normal 7 2 3 3 5 2" xfId="9815"/>
    <cellStyle name="Normal 7 2 3 3 5 3" xfId="15354"/>
    <cellStyle name="Normal 7 2 3 3 6" xfId="5237"/>
    <cellStyle name="Normal 7 2 3 3 6 2" xfId="10776"/>
    <cellStyle name="Normal 7 2 3 3 6 3" xfId="16315"/>
    <cellStyle name="Normal 7 2 3 3 7" xfId="1939"/>
    <cellStyle name="Normal 7 2 3 3 7 2" xfId="7485"/>
    <cellStyle name="Normal 7 2 3 3 7 3" xfId="13024"/>
    <cellStyle name="Normal 7 2 3 3 8" xfId="6280"/>
    <cellStyle name="Normal 7 2 3 3 9" xfId="11819"/>
    <cellStyle name="Normal 7 2 3 4" xfId="1188"/>
    <cellStyle name="Normal 7 2 3 4 2" xfId="3718"/>
    <cellStyle name="Normal 7 2 3 4 2 2" xfId="9260"/>
    <cellStyle name="Normal 7 2 3 4 2 3" xfId="14799"/>
    <cellStyle name="Normal 7 2 3 4 3" xfId="4755"/>
    <cellStyle name="Normal 7 2 3 4 3 2" xfId="10294"/>
    <cellStyle name="Normal 7 2 3 4 3 3" xfId="15833"/>
    <cellStyle name="Normal 7 2 3 4 4" xfId="5690"/>
    <cellStyle name="Normal 7 2 3 4 4 2" xfId="11229"/>
    <cellStyle name="Normal 7 2 3 4 4 3" xfId="16768"/>
    <cellStyle name="Normal 7 2 3 4 5" xfId="2392"/>
    <cellStyle name="Normal 7 2 3 4 5 2" xfId="7938"/>
    <cellStyle name="Normal 7 2 3 4 5 3" xfId="13477"/>
    <cellStyle name="Normal 7 2 3 4 6" xfId="6733"/>
    <cellStyle name="Normal 7 2 3 4 7" xfId="12272"/>
    <cellStyle name="Normal 7 2 3 5" xfId="907"/>
    <cellStyle name="Normal 7 2 3 5 2" xfId="3437"/>
    <cellStyle name="Normal 7 2 3 5 2 2" xfId="8979"/>
    <cellStyle name="Normal 7 2 3 5 2 3" xfId="14518"/>
    <cellStyle name="Normal 7 2 3 5 3" xfId="4474"/>
    <cellStyle name="Normal 7 2 3 5 3 2" xfId="10013"/>
    <cellStyle name="Normal 7 2 3 5 3 3" xfId="15552"/>
    <cellStyle name="Normal 7 2 3 5 4" xfId="5409"/>
    <cellStyle name="Normal 7 2 3 5 4 2" xfId="10948"/>
    <cellStyle name="Normal 7 2 3 5 4 3" xfId="16487"/>
    <cellStyle name="Normal 7 2 3 5 5" xfId="2111"/>
    <cellStyle name="Normal 7 2 3 5 5 2" xfId="7657"/>
    <cellStyle name="Normal 7 2 3 5 5 3" xfId="13196"/>
    <cellStyle name="Normal 7 2 3 5 6" xfId="6452"/>
    <cellStyle name="Normal 7 2 3 5 7" xfId="11991"/>
    <cellStyle name="Normal 7 2 3 6" xfId="1533"/>
    <cellStyle name="Normal 7 2 3 6 2" xfId="2738"/>
    <cellStyle name="Normal 7 2 3 6 2 2" xfId="8284"/>
    <cellStyle name="Normal 7 2 3 6 2 3" xfId="13823"/>
    <cellStyle name="Normal 7 2 3 6 3" xfId="7079"/>
    <cellStyle name="Normal 7 2 3 6 4" xfId="12618"/>
    <cellStyle name="Normal 7 2 3 7" xfId="2911"/>
    <cellStyle name="Normal 7 2 3 7 2" xfId="8455"/>
    <cellStyle name="Normal 7 2 3 7 3" xfId="13994"/>
    <cellStyle name="Normal 7 2 3 8" xfId="3089"/>
    <cellStyle name="Normal 7 2 3 8 2" xfId="8632"/>
    <cellStyle name="Normal 7 2 3 8 3" xfId="14171"/>
    <cellStyle name="Normal 7 2 3 9" xfId="4132"/>
    <cellStyle name="Normal 7 2 3 9 2" xfId="9673"/>
    <cellStyle name="Normal 7 2 3 9 3" xfId="15212"/>
    <cellStyle name="Normal 7 2 4" xfId="381"/>
    <cellStyle name="Normal 7 2 4 10" xfId="1677"/>
    <cellStyle name="Normal 7 2 4 10 2" xfId="7223"/>
    <cellStyle name="Normal 7 2 4 10 3" xfId="12762"/>
    <cellStyle name="Normal 7 2 4 11" xfId="6018"/>
    <cellStyle name="Normal 7 2 4 11 2" xfId="17096"/>
    <cellStyle name="Normal 7 2 4 12" xfId="662"/>
    <cellStyle name="Normal 7 2 4 12 2" xfId="17258"/>
    <cellStyle name="Normal 7 2 4 13" xfId="11557"/>
    <cellStyle name="Normal 7 2 4 14" xfId="17425"/>
    <cellStyle name="Normal 7 2 4 15" xfId="17590"/>
    <cellStyle name="Normal 7 2 4 2" xfId="382"/>
    <cellStyle name="Normal 7 2 4 2 10" xfId="6108"/>
    <cellStyle name="Normal 7 2 4 2 10 2" xfId="17186"/>
    <cellStyle name="Normal 7 2 4 2 11" xfId="752"/>
    <cellStyle name="Normal 7 2 4 2 11 2" xfId="17348"/>
    <cellStyle name="Normal 7 2 4 2 12" xfId="11647"/>
    <cellStyle name="Normal 7 2 4 2 13" xfId="17515"/>
    <cellStyle name="Normal 7 2 4 2 14" xfId="17680"/>
    <cellStyle name="Normal 7 2 4 2 2" xfId="581"/>
    <cellStyle name="Normal 7 2 4 2 2 2" xfId="1422"/>
    <cellStyle name="Normal 7 2 4 2 2 2 2" xfId="3954"/>
    <cellStyle name="Normal 7 2 4 2 2 2 2 2" xfId="9496"/>
    <cellStyle name="Normal 7 2 4 2 2 2 2 3" xfId="15035"/>
    <cellStyle name="Normal 7 2 4 2 2 2 3" xfId="4991"/>
    <cellStyle name="Normal 7 2 4 2 2 2 3 2" xfId="10530"/>
    <cellStyle name="Normal 7 2 4 2 2 2 3 3" xfId="16069"/>
    <cellStyle name="Normal 7 2 4 2 2 2 4" xfId="5925"/>
    <cellStyle name="Normal 7 2 4 2 2 2 4 2" xfId="11464"/>
    <cellStyle name="Normal 7 2 4 2 2 2 4 3" xfId="17003"/>
    <cellStyle name="Normal 7 2 4 2 2 2 5" xfId="2627"/>
    <cellStyle name="Normal 7 2 4 2 2 2 5 2" xfId="8173"/>
    <cellStyle name="Normal 7 2 4 2 2 2 5 3" xfId="13712"/>
    <cellStyle name="Normal 7 2 4 2 2 2 6" xfId="6968"/>
    <cellStyle name="Normal 7 2 4 2 2 2 7" xfId="12507"/>
    <cellStyle name="Normal 7 2 4 2 2 3" xfId="1083"/>
    <cellStyle name="Normal 7 2 4 2 2 3 2" xfId="3613"/>
    <cellStyle name="Normal 7 2 4 2 2 3 2 2" xfId="9155"/>
    <cellStyle name="Normal 7 2 4 2 2 3 2 3" xfId="14694"/>
    <cellStyle name="Normal 7 2 4 2 2 3 3" xfId="4650"/>
    <cellStyle name="Normal 7 2 4 2 2 3 3 2" xfId="10189"/>
    <cellStyle name="Normal 7 2 4 2 2 3 3 3" xfId="15728"/>
    <cellStyle name="Normal 7 2 4 2 2 3 4" xfId="5585"/>
    <cellStyle name="Normal 7 2 4 2 2 3 4 2" xfId="11124"/>
    <cellStyle name="Normal 7 2 4 2 2 3 4 3" xfId="16663"/>
    <cellStyle name="Normal 7 2 4 2 2 3 5" xfId="2287"/>
    <cellStyle name="Normal 7 2 4 2 2 3 5 2" xfId="7833"/>
    <cellStyle name="Normal 7 2 4 2 2 3 5 3" xfId="13372"/>
    <cellStyle name="Normal 7 2 4 2 2 3 6" xfId="6628"/>
    <cellStyle name="Normal 7 2 4 2 2 3 7" xfId="12167"/>
    <cellStyle name="Normal 7 2 4 2 2 4" xfId="3240"/>
    <cellStyle name="Normal 7 2 4 2 2 4 2" xfId="8782"/>
    <cellStyle name="Normal 7 2 4 2 2 4 3" xfId="14321"/>
    <cellStyle name="Normal 7 2 4 2 2 5" xfId="4279"/>
    <cellStyle name="Normal 7 2 4 2 2 5 2" xfId="9818"/>
    <cellStyle name="Normal 7 2 4 2 2 5 3" xfId="15357"/>
    <cellStyle name="Normal 7 2 4 2 2 6" xfId="5240"/>
    <cellStyle name="Normal 7 2 4 2 2 6 2" xfId="10779"/>
    <cellStyle name="Normal 7 2 4 2 2 6 3" xfId="16318"/>
    <cellStyle name="Normal 7 2 4 2 2 7" xfId="1942"/>
    <cellStyle name="Normal 7 2 4 2 2 7 2" xfId="7488"/>
    <cellStyle name="Normal 7 2 4 2 2 7 3" xfId="13027"/>
    <cellStyle name="Normal 7 2 4 2 2 8" xfId="6283"/>
    <cellStyle name="Normal 7 2 4 2 2 9" xfId="11822"/>
    <cellStyle name="Normal 7 2 4 2 3" xfId="1260"/>
    <cellStyle name="Normal 7 2 4 2 3 2" xfId="3790"/>
    <cellStyle name="Normal 7 2 4 2 3 2 2" xfId="9332"/>
    <cellStyle name="Normal 7 2 4 2 3 2 3" xfId="14871"/>
    <cellStyle name="Normal 7 2 4 2 3 3" xfId="4827"/>
    <cellStyle name="Normal 7 2 4 2 3 3 2" xfId="10366"/>
    <cellStyle name="Normal 7 2 4 2 3 3 3" xfId="15905"/>
    <cellStyle name="Normal 7 2 4 2 3 4" xfId="5762"/>
    <cellStyle name="Normal 7 2 4 2 3 4 2" xfId="11301"/>
    <cellStyle name="Normal 7 2 4 2 3 4 3" xfId="16840"/>
    <cellStyle name="Normal 7 2 4 2 3 5" xfId="2464"/>
    <cellStyle name="Normal 7 2 4 2 3 5 2" xfId="8010"/>
    <cellStyle name="Normal 7 2 4 2 3 5 3" xfId="13549"/>
    <cellStyle name="Normal 7 2 4 2 3 6" xfId="6805"/>
    <cellStyle name="Normal 7 2 4 2 3 7" xfId="12344"/>
    <cellStyle name="Normal 7 2 4 2 4" xfId="910"/>
    <cellStyle name="Normal 7 2 4 2 4 2" xfId="3440"/>
    <cellStyle name="Normal 7 2 4 2 4 2 2" xfId="8982"/>
    <cellStyle name="Normal 7 2 4 2 4 2 3" xfId="14521"/>
    <cellStyle name="Normal 7 2 4 2 4 3" xfId="4477"/>
    <cellStyle name="Normal 7 2 4 2 4 3 2" xfId="10016"/>
    <cellStyle name="Normal 7 2 4 2 4 3 3" xfId="15555"/>
    <cellStyle name="Normal 7 2 4 2 4 4" xfId="5412"/>
    <cellStyle name="Normal 7 2 4 2 4 4 2" xfId="10951"/>
    <cellStyle name="Normal 7 2 4 2 4 4 3" xfId="16490"/>
    <cellStyle name="Normal 7 2 4 2 4 5" xfId="2114"/>
    <cellStyle name="Normal 7 2 4 2 4 5 2" xfId="7660"/>
    <cellStyle name="Normal 7 2 4 2 4 5 3" xfId="13199"/>
    <cellStyle name="Normal 7 2 4 2 4 6" xfId="6455"/>
    <cellStyle name="Normal 7 2 4 2 4 7" xfId="11994"/>
    <cellStyle name="Normal 7 2 4 2 5" xfId="1605"/>
    <cellStyle name="Normal 7 2 4 2 5 2" xfId="2810"/>
    <cellStyle name="Normal 7 2 4 2 5 2 2" xfId="8356"/>
    <cellStyle name="Normal 7 2 4 2 5 2 3" xfId="13895"/>
    <cellStyle name="Normal 7 2 4 2 5 3" xfId="7151"/>
    <cellStyle name="Normal 7 2 4 2 5 4" xfId="12690"/>
    <cellStyle name="Normal 7 2 4 2 6" xfId="2983"/>
    <cellStyle name="Normal 7 2 4 2 6 2" xfId="8527"/>
    <cellStyle name="Normal 7 2 4 2 6 3" xfId="14066"/>
    <cellStyle name="Normal 7 2 4 2 7" xfId="4028"/>
    <cellStyle name="Normal 7 2 4 2 7 2" xfId="9570"/>
    <cellStyle name="Normal 7 2 4 2 7 3" xfId="15109"/>
    <cellStyle name="Normal 7 2 4 2 8" xfId="5065"/>
    <cellStyle name="Normal 7 2 4 2 8 2" xfId="10604"/>
    <cellStyle name="Normal 7 2 4 2 8 3" xfId="16143"/>
    <cellStyle name="Normal 7 2 4 2 9" xfId="1767"/>
    <cellStyle name="Normal 7 2 4 2 9 2" xfId="7313"/>
    <cellStyle name="Normal 7 2 4 2 9 3" xfId="12852"/>
    <cellStyle name="Normal 7 2 4 3" xfId="580"/>
    <cellStyle name="Normal 7 2 4 3 2" xfId="1421"/>
    <cellStyle name="Normal 7 2 4 3 2 2" xfId="3953"/>
    <cellStyle name="Normal 7 2 4 3 2 2 2" xfId="9495"/>
    <cellStyle name="Normal 7 2 4 3 2 2 3" xfId="15034"/>
    <cellStyle name="Normal 7 2 4 3 2 3" xfId="4990"/>
    <cellStyle name="Normal 7 2 4 3 2 3 2" xfId="10529"/>
    <cellStyle name="Normal 7 2 4 3 2 3 3" xfId="16068"/>
    <cellStyle name="Normal 7 2 4 3 2 4" xfId="5924"/>
    <cellStyle name="Normal 7 2 4 3 2 4 2" xfId="11463"/>
    <cellStyle name="Normal 7 2 4 3 2 4 3" xfId="17002"/>
    <cellStyle name="Normal 7 2 4 3 2 5" xfId="2626"/>
    <cellStyle name="Normal 7 2 4 3 2 5 2" xfId="8172"/>
    <cellStyle name="Normal 7 2 4 3 2 5 3" xfId="13711"/>
    <cellStyle name="Normal 7 2 4 3 2 6" xfId="6967"/>
    <cellStyle name="Normal 7 2 4 3 2 7" xfId="12506"/>
    <cellStyle name="Normal 7 2 4 3 3" xfId="993"/>
    <cellStyle name="Normal 7 2 4 3 3 2" xfId="3523"/>
    <cellStyle name="Normal 7 2 4 3 3 2 2" xfId="9065"/>
    <cellStyle name="Normal 7 2 4 3 3 2 3" xfId="14604"/>
    <cellStyle name="Normal 7 2 4 3 3 3" xfId="4560"/>
    <cellStyle name="Normal 7 2 4 3 3 3 2" xfId="10099"/>
    <cellStyle name="Normal 7 2 4 3 3 3 3" xfId="15638"/>
    <cellStyle name="Normal 7 2 4 3 3 4" xfId="5495"/>
    <cellStyle name="Normal 7 2 4 3 3 4 2" xfId="11034"/>
    <cellStyle name="Normal 7 2 4 3 3 4 3" xfId="16573"/>
    <cellStyle name="Normal 7 2 4 3 3 5" xfId="2197"/>
    <cellStyle name="Normal 7 2 4 3 3 5 2" xfId="7743"/>
    <cellStyle name="Normal 7 2 4 3 3 5 3" xfId="13282"/>
    <cellStyle name="Normal 7 2 4 3 3 6" xfId="6538"/>
    <cellStyle name="Normal 7 2 4 3 3 7" xfId="12077"/>
    <cellStyle name="Normal 7 2 4 3 4" xfId="3239"/>
    <cellStyle name="Normal 7 2 4 3 4 2" xfId="8781"/>
    <cellStyle name="Normal 7 2 4 3 4 3" xfId="14320"/>
    <cellStyle name="Normal 7 2 4 3 5" xfId="4278"/>
    <cellStyle name="Normal 7 2 4 3 5 2" xfId="9817"/>
    <cellStyle name="Normal 7 2 4 3 5 3" xfId="15356"/>
    <cellStyle name="Normal 7 2 4 3 6" xfId="5239"/>
    <cellStyle name="Normal 7 2 4 3 6 2" xfId="10778"/>
    <cellStyle name="Normal 7 2 4 3 6 3" xfId="16317"/>
    <cellStyle name="Normal 7 2 4 3 7" xfId="1941"/>
    <cellStyle name="Normal 7 2 4 3 7 2" xfId="7487"/>
    <cellStyle name="Normal 7 2 4 3 7 3" xfId="13026"/>
    <cellStyle name="Normal 7 2 4 3 8" xfId="6282"/>
    <cellStyle name="Normal 7 2 4 3 9" xfId="11821"/>
    <cellStyle name="Normal 7 2 4 4" xfId="1170"/>
    <cellStyle name="Normal 7 2 4 4 2" xfId="3700"/>
    <cellStyle name="Normal 7 2 4 4 2 2" xfId="9242"/>
    <cellStyle name="Normal 7 2 4 4 2 3" xfId="14781"/>
    <cellStyle name="Normal 7 2 4 4 3" xfId="4737"/>
    <cellStyle name="Normal 7 2 4 4 3 2" xfId="10276"/>
    <cellStyle name="Normal 7 2 4 4 3 3" xfId="15815"/>
    <cellStyle name="Normal 7 2 4 4 4" xfId="5672"/>
    <cellStyle name="Normal 7 2 4 4 4 2" xfId="11211"/>
    <cellStyle name="Normal 7 2 4 4 4 3" xfId="16750"/>
    <cellStyle name="Normal 7 2 4 4 5" xfId="2374"/>
    <cellStyle name="Normal 7 2 4 4 5 2" xfId="7920"/>
    <cellStyle name="Normal 7 2 4 4 5 3" xfId="13459"/>
    <cellStyle name="Normal 7 2 4 4 6" xfId="6715"/>
    <cellStyle name="Normal 7 2 4 4 7" xfId="12254"/>
    <cellStyle name="Normal 7 2 4 5" xfId="909"/>
    <cellStyle name="Normal 7 2 4 5 2" xfId="3439"/>
    <cellStyle name="Normal 7 2 4 5 2 2" xfId="8981"/>
    <cellStyle name="Normal 7 2 4 5 2 3" xfId="14520"/>
    <cellStyle name="Normal 7 2 4 5 3" xfId="4476"/>
    <cellStyle name="Normal 7 2 4 5 3 2" xfId="10015"/>
    <cellStyle name="Normal 7 2 4 5 3 3" xfId="15554"/>
    <cellStyle name="Normal 7 2 4 5 4" xfId="5411"/>
    <cellStyle name="Normal 7 2 4 5 4 2" xfId="10950"/>
    <cellStyle name="Normal 7 2 4 5 4 3" xfId="16489"/>
    <cellStyle name="Normal 7 2 4 5 5" xfId="2113"/>
    <cellStyle name="Normal 7 2 4 5 5 2" xfId="7659"/>
    <cellStyle name="Normal 7 2 4 5 5 3" xfId="13198"/>
    <cellStyle name="Normal 7 2 4 5 6" xfId="6454"/>
    <cellStyle name="Normal 7 2 4 5 7" xfId="11993"/>
    <cellStyle name="Normal 7 2 4 6" xfId="1515"/>
    <cellStyle name="Normal 7 2 4 6 2" xfId="2720"/>
    <cellStyle name="Normal 7 2 4 6 2 2" xfId="8266"/>
    <cellStyle name="Normal 7 2 4 6 2 3" xfId="13805"/>
    <cellStyle name="Normal 7 2 4 6 3" xfId="7061"/>
    <cellStyle name="Normal 7 2 4 6 4" xfId="12600"/>
    <cellStyle name="Normal 7 2 4 7" xfId="2893"/>
    <cellStyle name="Normal 7 2 4 7 2" xfId="8437"/>
    <cellStyle name="Normal 7 2 4 7 3" xfId="13976"/>
    <cellStyle name="Normal 7 2 4 8" xfId="3308"/>
    <cellStyle name="Normal 7 2 4 8 2" xfId="8850"/>
    <cellStyle name="Normal 7 2 4 8 3" xfId="14389"/>
    <cellStyle name="Normal 7 2 4 9" xfId="4345"/>
    <cellStyle name="Normal 7 2 4 9 2" xfId="9884"/>
    <cellStyle name="Normal 7 2 4 9 3" xfId="15423"/>
    <cellStyle name="Normal 7 2 5" xfId="383"/>
    <cellStyle name="Normal 7 2 5 10" xfId="1713"/>
    <cellStyle name="Normal 7 2 5 10 2" xfId="7259"/>
    <cellStyle name="Normal 7 2 5 10 3" xfId="12798"/>
    <cellStyle name="Normal 7 2 5 11" xfId="6054"/>
    <cellStyle name="Normal 7 2 5 11 2" xfId="17132"/>
    <cellStyle name="Normal 7 2 5 12" xfId="698"/>
    <cellStyle name="Normal 7 2 5 12 2" xfId="17294"/>
    <cellStyle name="Normal 7 2 5 13" xfId="11593"/>
    <cellStyle name="Normal 7 2 5 14" xfId="17461"/>
    <cellStyle name="Normal 7 2 5 15" xfId="17626"/>
    <cellStyle name="Normal 7 2 5 2" xfId="384"/>
    <cellStyle name="Normal 7 2 5 2 10" xfId="6090"/>
    <cellStyle name="Normal 7 2 5 2 10 2" xfId="17168"/>
    <cellStyle name="Normal 7 2 5 2 11" xfId="734"/>
    <cellStyle name="Normal 7 2 5 2 11 2" xfId="17330"/>
    <cellStyle name="Normal 7 2 5 2 12" xfId="11629"/>
    <cellStyle name="Normal 7 2 5 2 13" xfId="17497"/>
    <cellStyle name="Normal 7 2 5 2 14" xfId="17662"/>
    <cellStyle name="Normal 7 2 5 2 2" xfId="583"/>
    <cellStyle name="Normal 7 2 5 2 2 2" xfId="1424"/>
    <cellStyle name="Normal 7 2 5 2 2 2 2" xfId="3956"/>
    <cellStyle name="Normal 7 2 5 2 2 2 2 2" xfId="9498"/>
    <cellStyle name="Normal 7 2 5 2 2 2 2 3" xfId="15037"/>
    <cellStyle name="Normal 7 2 5 2 2 2 3" xfId="4993"/>
    <cellStyle name="Normal 7 2 5 2 2 2 3 2" xfId="10532"/>
    <cellStyle name="Normal 7 2 5 2 2 2 3 3" xfId="16071"/>
    <cellStyle name="Normal 7 2 5 2 2 2 4" xfId="5927"/>
    <cellStyle name="Normal 7 2 5 2 2 2 4 2" xfId="11466"/>
    <cellStyle name="Normal 7 2 5 2 2 2 4 3" xfId="17005"/>
    <cellStyle name="Normal 7 2 5 2 2 2 5" xfId="2629"/>
    <cellStyle name="Normal 7 2 5 2 2 2 5 2" xfId="8175"/>
    <cellStyle name="Normal 7 2 5 2 2 2 5 3" xfId="13714"/>
    <cellStyle name="Normal 7 2 5 2 2 2 6" xfId="6970"/>
    <cellStyle name="Normal 7 2 5 2 2 2 7" xfId="12509"/>
    <cellStyle name="Normal 7 2 5 2 2 3" xfId="1065"/>
    <cellStyle name="Normal 7 2 5 2 2 3 2" xfId="3595"/>
    <cellStyle name="Normal 7 2 5 2 2 3 2 2" xfId="9137"/>
    <cellStyle name="Normal 7 2 5 2 2 3 2 3" xfId="14676"/>
    <cellStyle name="Normal 7 2 5 2 2 3 3" xfId="4632"/>
    <cellStyle name="Normal 7 2 5 2 2 3 3 2" xfId="10171"/>
    <cellStyle name="Normal 7 2 5 2 2 3 3 3" xfId="15710"/>
    <cellStyle name="Normal 7 2 5 2 2 3 4" xfId="5567"/>
    <cellStyle name="Normal 7 2 5 2 2 3 4 2" xfId="11106"/>
    <cellStyle name="Normal 7 2 5 2 2 3 4 3" xfId="16645"/>
    <cellStyle name="Normal 7 2 5 2 2 3 5" xfId="2269"/>
    <cellStyle name="Normal 7 2 5 2 2 3 5 2" xfId="7815"/>
    <cellStyle name="Normal 7 2 5 2 2 3 5 3" xfId="13354"/>
    <cellStyle name="Normal 7 2 5 2 2 3 6" xfId="6610"/>
    <cellStyle name="Normal 7 2 5 2 2 3 7" xfId="12149"/>
    <cellStyle name="Normal 7 2 5 2 2 4" xfId="3242"/>
    <cellStyle name="Normal 7 2 5 2 2 4 2" xfId="8784"/>
    <cellStyle name="Normal 7 2 5 2 2 4 3" xfId="14323"/>
    <cellStyle name="Normal 7 2 5 2 2 5" xfId="4281"/>
    <cellStyle name="Normal 7 2 5 2 2 5 2" xfId="9820"/>
    <cellStyle name="Normal 7 2 5 2 2 5 3" xfId="15359"/>
    <cellStyle name="Normal 7 2 5 2 2 6" xfId="5242"/>
    <cellStyle name="Normal 7 2 5 2 2 6 2" xfId="10781"/>
    <cellStyle name="Normal 7 2 5 2 2 6 3" xfId="16320"/>
    <cellStyle name="Normal 7 2 5 2 2 7" xfId="1944"/>
    <cellStyle name="Normal 7 2 5 2 2 7 2" xfId="7490"/>
    <cellStyle name="Normal 7 2 5 2 2 7 3" xfId="13029"/>
    <cellStyle name="Normal 7 2 5 2 2 8" xfId="6285"/>
    <cellStyle name="Normal 7 2 5 2 2 9" xfId="11824"/>
    <cellStyle name="Normal 7 2 5 2 3" xfId="1242"/>
    <cellStyle name="Normal 7 2 5 2 3 2" xfId="3772"/>
    <cellStyle name="Normal 7 2 5 2 3 2 2" xfId="9314"/>
    <cellStyle name="Normal 7 2 5 2 3 2 3" xfId="14853"/>
    <cellStyle name="Normal 7 2 5 2 3 3" xfId="4809"/>
    <cellStyle name="Normal 7 2 5 2 3 3 2" xfId="10348"/>
    <cellStyle name="Normal 7 2 5 2 3 3 3" xfId="15887"/>
    <cellStyle name="Normal 7 2 5 2 3 4" xfId="5744"/>
    <cellStyle name="Normal 7 2 5 2 3 4 2" xfId="11283"/>
    <cellStyle name="Normal 7 2 5 2 3 4 3" xfId="16822"/>
    <cellStyle name="Normal 7 2 5 2 3 5" xfId="2446"/>
    <cellStyle name="Normal 7 2 5 2 3 5 2" xfId="7992"/>
    <cellStyle name="Normal 7 2 5 2 3 5 3" xfId="13531"/>
    <cellStyle name="Normal 7 2 5 2 3 6" xfId="6787"/>
    <cellStyle name="Normal 7 2 5 2 3 7" xfId="12326"/>
    <cellStyle name="Normal 7 2 5 2 4" xfId="912"/>
    <cellStyle name="Normal 7 2 5 2 4 2" xfId="3442"/>
    <cellStyle name="Normal 7 2 5 2 4 2 2" xfId="8984"/>
    <cellStyle name="Normal 7 2 5 2 4 2 3" xfId="14523"/>
    <cellStyle name="Normal 7 2 5 2 4 3" xfId="4479"/>
    <cellStyle name="Normal 7 2 5 2 4 3 2" xfId="10018"/>
    <cellStyle name="Normal 7 2 5 2 4 3 3" xfId="15557"/>
    <cellStyle name="Normal 7 2 5 2 4 4" xfId="5414"/>
    <cellStyle name="Normal 7 2 5 2 4 4 2" xfId="10953"/>
    <cellStyle name="Normal 7 2 5 2 4 4 3" xfId="16492"/>
    <cellStyle name="Normal 7 2 5 2 4 5" xfId="2116"/>
    <cellStyle name="Normal 7 2 5 2 4 5 2" xfId="7662"/>
    <cellStyle name="Normal 7 2 5 2 4 5 3" xfId="13201"/>
    <cellStyle name="Normal 7 2 5 2 4 6" xfId="6457"/>
    <cellStyle name="Normal 7 2 5 2 4 7" xfId="11996"/>
    <cellStyle name="Normal 7 2 5 2 5" xfId="1587"/>
    <cellStyle name="Normal 7 2 5 2 5 2" xfId="2792"/>
    <cellStyle name="Normal 7 2 5 2 5 2 2" xfId="8338"/>
    <cellStyle name="Normal 7 2 5 2 5 2 3" xfId="13877"/>
    <cellStyle name="Normal 7 2 5 2 5 3" xfId="7133"/>
    <cellStyle name="Normal 7 2 5 2 5 4" xfId="12672"/>
    <cellStyle name="Normal 7 2 5 2 6" xfId="2965"/>
    <cellStyle name="Normal 7 2 5 2 6 2" xfId="8509"/>
    <cellStyle name="Normal 7 2 5 2 6 3" xfId="14048"/>
    <cellStyle name="Normal 7 2 5 2 7" xfId="4010"/>
    <cellStyle name="Normal 7 2 5 2 7 2" xfId="9552"/>
    <cellStyle name="Normal 7 2 5 2 7 3" xfId="15091"/>
    <cellStyle name="Normal 7 2 5 2 8" xfId="5047"/>
    <cellStyle name="Normal 7 2 5 2 8 2" xfId="10586"/>
    <cellStyle name="Normal 7 2 5 2 8 3" xfId="16125"/>
    <cellStyle name="Normal 7 2 5 2 9" xfId="1749"/>
    <cellStyle name="Normal 7 2 5 2 9 2" xfId="7295"/>
    <cellStyle name="Normal 7 2 5 2 9 3" xfId="12834"/>
    <cellStyle name="Normal 7 2 5 3" xfId="582"/>
    <cellStyle name="Normal 7 2 5 3 2" xfId="1423"/>
    <cellStyle name="Normal 7 2 5 3 2 2" xfId="3955"/>
    <cellStyle name="Normal 7 2 5 3 2 2 2" xfId="9497"/>
    <cellStyle name="Normal 7 2 5 3 2 2 3" xfId="15036"/>
    <cellStyle name="Normal 7 2 5 3 2 3" xfId="4992"/>
    <cellStyle name="Normal 7 2 5 3 2 3 2" xfId="10531"/>
    <cellStyle name="Normal 7 2 5 3 2 3 3" xfId="16070"/>
    <cellStyle name="Normal 7 2 5 3 2 4" xfId="5926"/>
    <cellStyle name="Normal 7 2 5 3 2 4 2" xfId="11465"/>
    <cellStyle name="Normal 7 2 5 3 2 4 3" xfId="17004"/>
    <cellStyle name="Normal 7 2 5 3 2 5" xfId="2628"/>
    <cellStyle name="Normal 7 2 5 3 2 5 2" xfId="8174"/>
    <cellStyle name="Normal 7 2 5 3 2 5 3" xfId="13713"/>
    <cellStyle name="Normal 7 2 5 3 2 6" xfId="6969"/>
    <cellStyle name="Normal 7 2 5 3 2 7" xfId="12508"/>
    <cellStyle name="Normal 7 2 5 3 3" xfId="1029"/>
    <cellStyle name="Normal 7 2 5 3 3 2" xfId="3559"/>
    <cellStyle name="Normal 7 2 5 3 3 2 2" xfId="9101"/>
    <cellStyle name="Normal 7 2 5 3 3 2 3" xfId="14640"/>
    <cellStyle name="Normal 7 2 5 3 3 3" xfId="4596"/>
    <cellStyle name="Normal 7 2 5 3 3 3 2" xfId="10135"/>
    <cellStyle name="Normal 7 2 5 3 3 3 3" xfId="15674"/>
    <cellStyle name="Normal 7 2 5 3 3 4" xfId="5531"/>
    <cellStyle name="Normal 7 2 5 3 3 4 2" xfId="11070"/>
    <cellStyle name="Normal 7 2 5 3 3 4 3" xfId="16609"/>
    <cellStyle name="Normal 7 2 5 3 3 5" xfId="2233"/>
    <cellStyle name="Normal 7 2 5 3 3 5 2" xfId="7779"/>
    <cellStyle name="Normal 7 2 5 3 3 5 3" xfId="13318"/>
    <cellStyle name="Normal 7 2 5 3 3 6" xfId="6574"/>
    <cellStyle name="Normal 7 2 5 3 3 7" xfId="12113"/>
    <cellStyle name="Normal 7 2 5 3 4" xfId="3241"/>
    <cellStyle name="Normal 7 2 5 3 4 2" xfId="8783"/>
    <cellStyle name="Normal 7 2 5 3 4 3" xfId="14322"/>
    <cellStyle name="Normal 7 2 5 3 5" xfId="4280"/>
    <cellStyle name="Normal 7 2 5 3 5 2" xfId="9819"/>
    <cellStyle name="Normal 7 2 5 3 5 3" xfId="15358"/>
    <cellStyle name="Normal 7 2 5 3 6" xfId="5241"/>
    <cellStyle name="Normal 7 2 5 3 6 2" xfId="10780"/>
    <cellStyle name="Normal 7 2 5 3 6 3" xfId="16319"/>
    <cellStyle name="Normal 7 2 5 3 7" xfId="1943"/>
    <cellStyle name="Normal 7 2 5 3 7 2" xfId="7489"/>
    <cellStyle name="Normal 7 2 5 3 7 3" xfId="13028"/>
    <cellStyle name="Normal 7 2 5 3 8" xfId="6284"/>
    <cellStyle name="Normal 7 2 5 3 9" xfId="11823"/>
    <cellStyle name="Normal 7 2 5 4" xfId="1206"/>
    <cellStyle name="Normal 7 2 5 4 2" xfId="3736"/>
    <cellStyle name="Normal 7 2 5 4 2 2" xfId="9278"/>
    <cellStyle name="Normal 7 2 5 4 2 3" xfId="14817"/>
    <cellStyle name="Normal 7 2 5 4 3" xfId="4773"/>
    <cellStyle name="Normal 7 2 5 4 3 2" xfId="10312"/>
    <cellStyle name="Normal 7 2 5 4 3 3" xfId="15851"/>
    <cellStyle name="Normal 7 2 5 4 4" xfId="5708"/>
    <cellStyle name="Normal 7 2 5 4 4 2" xfId="11247"/>
    <cellStyle name="Normal 7 2 5 4 4 3" xfId="16786"/>
    <cellStyle name="Normal 7 2 5 4 5" xfId="2410"/>
    <cellStyle name="Normal 7 2 5 4 5 2" xfId="7956"/>
    <cellStyle name="Normal 7 2 5 4 5 3" xfId="13495"/>
    <cellStyle name="Normal 7 2 5 4 6" xfId="6751"/>
    <cellStyle name="Normal 7 2 5 4 7" xfId="12290"/>
    <cellStyle name="Normal 7 2 5 5" xfId="911"/>
    <cellStyle name="Normal 7 2 5 5 2" xfId="3441"/>
    <cellStyle name="Normal 7 2 5 5 2 2" xfId="8983"/>
    <cellStyle name="Normal 7 2 5 5 2 3" xfId="14522"/>
    <cellStyle name="Normal 7 2 5 5 3" xfId="4478"/>
    <cellStyle name="Normal 7 2 5 5 3 2" xfId="10017"/>
    <cellStyle name="Normal 7 2 5 5 3 3" xfId="15556"/>
    <cellStyle name="Normal 7 2 5 5 4" xfId="5413"/>
    <cellStyle name="Normal 7 2 5 5 4 2" xfId="10952"/>
    <cellStyle name="Normal 7 2 5 5 4 3" xfId="16491"/>
    <cellStyle name="Normal 7 2 5 5 5" xfId="2115"/>
    <cellStyle name="Normal 7 2 5 5 5 2" xfId="7661"/>
    <cellStyle name="Normal 7 2 5 5 5 3" xfId="13200"/>
    <cellStyle name="Normal 7 2 5 5 6" xfId="6456"/>
    <cellStyle name="Normal 7 2 5 5 7" xfId="11995"/>
    <cellStyle name="Normal 7 2 5 6" xfId="1551"/>
    <cellStyle name="Normal 7 2 5 6 2" xfId="2756"/>
    <cellStyle name="Normal 7 2 5 6 2 2" xfId="8302"/>
    <cellStyle name="Normal 7 2 5 6 2 3" xfId="13841"/>
    <cellStyle name="Normal 7 2 5 6 3" xfId="7097"/>
    <cellStyle name="Normal 7 2 5 6 4" xfId="12636"/>
    <cellStyle name="Normal 7 2 5 7" xfId="2929"/>
    <cellStyle name="Normal 7 2 5 7 2" xfId="8473"/>
    <cellStyle name="Normal 7 2 5 7 3" xfId="14012"/>
    <cellStyle name="Normal 7 2 5 8" xfId="3080"/>
    <cellStyle name="Normal 7 2 5 8 2" xfId="8623"/>
    <cellStyle name="Normal 7 2 5 8 3" xfId="14162"/>
    <cellStyle name="Normal 7 2 5 9" xfId="4123"/>
    <cellStyle name="Normal 7 2 5 9 2" xfId="9664"/>
    <cellStyle name="Normal 7 2 5 9 3" xfId="15203"/>
    <cellStyle name="Normal 7 2 6" xfId="385"/>
    <cellStyle name="Normal 7 2 6 10" xfId="6072"/>
    <cellStyle name="Normal 7 2 6 10 2" xfId="17150"/>
    <cellStyle name="Normal 7 2 6 11" xfId="716"/>
    <cellStyle name="Normal 7 2 6 11 2" xfId="17312"/>
    <cellStyle name="Normal 7 2 6 12" xfId="11611"/>
    <cellStyle name="Normal 7 2 6 13" xfId="17479"/>
    <cellStyle name="Normal 7 2 6 14" xfId="17644"/>
    <cellStyle name="Normal 7 2 6 2" xfId="584"/>
    <cellStyle name="Normal 7 2 6 2 2" xfId="1425"/>
    <cellStyle name="Normal 7 2 6 2 2 2" xfId="3957"/>
    <cellStyle name="Normal 7 2 6 2 2 2 2" xfId="9499"/>
    <cellStyle name="Normal 7 2 6 2 2 2 3" xfId="15038"/>
    <cellStyle name="Normal 7 2 6 2 2 3" xfId="4994"/>
    <cellStyle name="Normal 7 2 6 2 2 3 2" xfId="10533"/>
    <cellStyle name="Normal 7 2 6 2 2 3 3" xfId="16072"/>
    <cellStyle name="Normal 7 2 6 2 2 4" xfId="5928"/>
    <cellStyle name="Normal 7 2 6 2 2 4 2" xfId="11467"/>
    <cellStyle name="Normal 7 2 6 2 2 4 3" xfId="17006"/>
    <cellStyle name="Normal 7 2 6 2 2 5" xfId="2630"/>
    <cellStyle name="Normal 7 2 6 2 2 5 2" xfId="8176"/>
    <cellStyle name="Normal 7 2 6 2 2 5 3" xfId="13715"/>
    <cellStyle name="Normal 7 2 6 2 2 6" xfId="6971"/>
    <cellStyle name="Normal 7 2 6 2 2 7" xfId="12510"/>
    <cellStyle name="Normal 7 2 6 2 3" xfId="1047"/>
    <cellStyle name="Normal 7 2 6 2 3 2" xfId="3577"/>
    <cellStyle name="Normal 7 2 6 2 3 2 2" xfId="9119"/>
    <cellStyle name="Normal 7 2 6 2 3 2 3" xfId="14658"/>
    <cellStyle name="Normal 7 2 6 2 3 3" xfId="4614"/>
    <cellStyle name="Normal 7 2 6 2 3 3 2" xfId="10153"/>
    <cellStyle name="Normal 7 2 6 2 3 3 3" xfId="15692"/>
    <cellStyle name="Normal 7 2 6 2 3 4" xfId="5549"/>
    <cellStyle name="Normal 7 2 6 2 3 4 2" xfId="11088"/>
    <cellStyle name="Normal 7 2 6 2 3 4 3" xfId="16627"/>
    <cellStyle name="Normal 7 2 6 2 3 5" xfId="2251"/>
    <cellStyle name="Normal 7 2 6 2 3 5 2" xfId="7797"/>
    <cellStyle name="Normal 7 2 6 2 3 5 3" xfId="13336"/>
    <cellStyle name="Normal 7 2 6 2 3 6" xfId="6592"/>
    <cellStyle name="Normal 7 2 6 2 3 7" xfId="12131"/>
    <cellStyle name="Normal 7 2 6 2 4" xfId="3243"/>
    <cellStyle name="Normal 7 2 6 2 4 2" xfId="8785"/>
    <cellStyle name="Normal 7 2 6 2 4 3" xfId="14324"/>
    <cellStyle name="Normal 7 2 6 2 5" xfId="4282"/>
    <cellStyle name="Normal 7 2 6 2 5 2" xfId="9821"/>
    <cellStyle name="Normal 7 2 6 2 5 3" xfId="15360"/>
    <cellStyle name="Normal 7 2 6 2 6" xfId="5243"/>
    <cellStyle name="Normal 7 2 6 2 6 2" xfId="10782"/>
    <cellStyle name="Normal 7 2 6 2 6 3" xfId="16321"/>
    <cellStyle name="Normal 7 2 6 2 7" xfId="1945"/>
    <cellStyle name="Normal 7 2 6 2 7 2" xfId="7491"/>
    <cellStyle name="Normal 7 2 6 2 7 3" xfId="13030"/>
    <cellStyle name="Normal 7 2 6 2 8" xfId="6286"/>
    <cellStyle name="Normal 7 2 6 2 9" xfId="11825"/>
    <cellStyle name="Normal 7 2 6 3" xfId="1224"/>
    <cellStyle name="Normal 7 2 6 3 2" xfId="3754"/>
    <cellStyle name="Normal 7 2 6 3 2 2" xfId="9296"/>
    <cellStyle name="Normal 7 2 6 3 2 3" xfId="14835"/>
    <cellStyle name="Normal 7 2 6 3 3" xfId="4791"/>
    <cellStyle name="Normal 7 2 6 3 3 2" xfId="10330"/>
    <cellStyle name="Normal 7 2 6 3 3 3" xfId="15869"/>
    <cellStyle name="Normal 7 2 6 3 4" xfId="5726"/>
    <cellStyle name="Normal 7 2 6 3 4 2" xfId="11265"/>
    <cellStyle name="Normal 7 2 6 3 4 3" xfId="16804"/>
    <cellStyle name="Normal 7 2 6 3 5" xfId="2428"/>
    <cellStyle name="Normal 7 2 6 3 5 2" xfId="7974"/>
    <cellStyle name="Normal 7 2 6 3 5 3" xfId="13513"/>
    <cellStyle name="Normal 7 2 6 3 6" xfId="6769"/>
    <cellStyle name="Normal 7 2 6 3 7" xfId="12308"/>
    <cellStyle name="Normal 7 2 6 4" xfId="913"/>
    <cellStyle name="Normal 7 2 6 4 2" xfId="3443"/>
    <cellStyle name="Normal 7 2 6 4 2 2" xfId="8985"/>
    <cellStyle name="Normal 7 2 6 4 2 3" xfId="14524"/>
    <cellStyle name="Normal 7 2 6 4 3" xfId="4480"/>
    <cellStyle name="Normal 7 2 6 4 3 2" xfId="10019"/>
    <cellStyle name="Normal 7 2 6 4 3 3" xfId="15558"/>
    <cellStyle name="Normal 7 2 6 4 4" xfId="5415"/>
    <cellStyle name="Normal 7 2 6 4 4 2" xfId="10954"/>
    <cellStyle name="Normal 7 2 6 4 4 3" xfId="16493"/>
    <cellStyle name="Normal 7 2 6 4 5" xfId="2117"/>
    <cellStyle name="Normal 7 2 6 4 5 2" xfId="7663"/>
    <cellStyle name="Normal 7 2 6 4 5 3" xfId="13202"/>
    <cellStyle name="Normal 7 2 6 4 6" xfId="6458"/>
    <cellStyle name="Normal 7 2 6 4 7" xfId="11997"/>
    <cellStyle name="Normal 7 2 6 5" xfId="1569"/>
    <cellStyle name="Normal 7 2 6 5 2" xfId="2774"/>
    <cellStyle name="Normal 7 2 6 5 2 2" xfId="8320"/>
    <cellStyle name="Normal 7 2 6 5 2 3" xfId="13859"/>
    <cellStyle name="Normal 7 2 6 5 3" xfId="7115"/>
    <cellStyle name="Normal 7 2 6 5 4" xfId="12654"/>
    <cellStyle name="Normal 7 2 6 6" xfId="2947"/>
    <cellStyle name="Normal 7 2 6 6 2" xfId="8491"/>
    <cellStyle name="Normal 7 2 6 6 3" xfId="14030"/>
    <cellStyle name="Normal 7 2 6 7" xfId="3071"/>
    <cellStyle name="Normal 7 2 6 7 2" xfId="8614"/>
    <cellStyle name="Normal 7 2 6 7 3" xfId="14153"/>
    <cellStyle name="Normal 7 2 6 8" xfId="4114"/>
    <cellStyle name="Normal 7 2 6 8 2" xfId="9655"/>
    <cellStyle name="Normal 7 2 6 8 3" xfId="15194"/>
    <cellStyle name="Normal 7 2 6 9" xfId="1731"/>
    <cellStyle name="Normal 7 2 6 9 2" xfId="7277"/>
    <cellStyle name="Normal 7 2 6 9 3" xfId="12816"/>
    <cellStyle name="Normal 7 2 7" xfId="386"/>
    <cellStyle name="Normal 7 2 7 10" xfId="6000"/>
    <cellStyle name="Normal 7 2 7 10 2" xfId="17078"/>
    <cellStyle name="Normal 7 2 7 11" xfId="644"/>
    <cellStyle name="Normal 7 2 7 11 2" xfId="17240"/>
    <cellStyle name="Normal 7 2 7 12" xfId="11539"/>
    <cellStyle name="Normal 7 2 7 13" xfId="17407"/>
    <cellStyle name="Normal 7 2 7 14" xfId="17572"/>
    <cellStyle name="Normal 7 2 7 2" xfId="585"/>
    <cellStyle name="Normal 7 2 7 2 2" xfId="1426"/>
    <cellStyle name="Normal 7 2 7 2 2 2" xfId="3958"/>
    <cellStyle name="Normal 7 2 7 2 2 2 2" xfId="9500"/>
    <cellStyle name="Normal 7 2 7 2 2 2 3" xfId="15039"/>
    <cellStyle name="Normal 7 2 7 2 2 3" xfId="4995"/>
    <cellStyle name="Normal 7 2 7 2 2 3 2" xfId="10534"/>
    <cellStyle name="Normal 7 2 7 2 2 3 3" xfId="16073"/>
    <cellStyle name="Normal 7 2 7 2 2 4" xfId="5929"/>
    <cellStyle name="Normal 7 2 7 2 2 4 2" xfId="11468"/>
    <cellStyle name="Normal 7 2 7 2 2 4 3" xfId="17007"/>
    <cellStyle name="Normal 7 2 7 2 2 5" xfId="2631"/>
    <cellStyle name="Normal 7 2 7 2 2 5 2" xfId="8177"/>
    <cellStyle name="Normal 7 2 7 2 2 5 3" xfId="13716"/>
    <cellStyle name="Normal 7 2 7 2 2 6" xfId="6972"/>
    <cellStyle name="Normal 7 2 7 2 2 7" xfId="12511"/>
    <cellStyle name="Normal 7 2 7 2 3" xfId="975"/>
    <cellStyle name="Normal 7 2 7 2 3 2" xfId="3505"/>
    <cellStyle name="Normal 7 2 7 2 3 2 2" xfId="9047"/>
    <cellStyle name="Normal 7 2 7 2 3 2 3" xfId="14586"/>
    <cellStyle name="Normal 7 2 7 2 3 3" xfId="4542"/>
    <cellStyle name="Normal 7 2 7 2 3 3 2" xfId="10081"/>
    <cellStyle name="Normal 7 2 7 2 3 3 3" xfId="15620"/>
    <cellStyle name="Normal 7 2 7 2 3 4" xfId="5477"/>
    <cellStyle name="Normal 7 2 7 2 3 4 2" xfId="11016"/>
    <cellStyle name="Normal 7 2 7 2 3 4 3" xfId="16555"/>
    <cellStyle name="Normal 7 2 7 2 3 5" xfId="2179"/>
    <cellStyle name="Normal 7 2 7 2 3 5 2" xfId="7725"/>
    <cellStyle name="Normal 7 2 7 2 3 5 3" xfId="13264"/>
    <cellStyle name="Normal 7 2 7 2 3 6" xfId="6520"/>
    <cellStyle name="Normal 7 2 7 2 3 7" xfId="12059"/>
    <cellStyle name="Normal 7 2 7 2 4" xfId="3244"/>
    <cellStyle name="Normal 7 2 7 2 4 2" xfId="8786"/>
    <cellStyle name="Normal 7 2 7 2 4 3" xfId="14325"/>
    <cellStyle name="Normal 7 2 7 2 5" xfId="4283"/>
    <cellStyle name="Normal 7 2 7 2 5 2" xfId="9822"/>
    <cellStyle name="Normal 7 2 7 2 5 3" xfId="15361"/>
    <cellStyle name="Normal 7 2 7 2 6" xfId="5244"/>
    <cellStyle name="Normal 7 2 7 2 6 2" xfId="10783"/>
    <cellStyle name="Normal 7 2 7 2 6 3" xfId="16322"/>
    <cellStyle name="Normal 7 2 7 2 7" xfId="1946"/>
    <cellStyle name="Normal 7 2 7 2 7 2" xfId="7492"/>
    <cellStyle name="Normal 7 2 7 2 7 3" xfId="13031"/>
    <cellStyle name="Normal 7 2 7 2 8" xfId="6287"/>
    <cellStyle name="Normal 7 2 7 2 9" xfId="11826"/>
    <cellStyle name="Normal 7 2 7 3" xfId="1152"/>
    <cellStyle name="Normal 7 2 7 3 2" xfId="3682"/>
    <cellStyle name="Normal 7 2 7 3 2 2" xfId="9224"/>
    <cellStyle name="Normal 7 2 7 3 2 3" xfId="14763"/>
    <cellStyle name="Normal 7 2 7 3 3" xfId="4719"/>
    <cellStyle name="Normal 7 2 7 3 3 2" xfId="10258"/>
    <cellStyle name="Normal 7 2 7 3 3 3" xfId="15797"/>
    <cellStyle name="Normal 7 2 7 3 4" xfId="5654"/>
    <cellStyle name="Normal 7 2 7 3 4 2" xfId="11193"/>
    <cellStyle name="Normal 7 2 7 3 4 3" xfId="16732"/>
    <cellStyle name="Normal 7 2 7 3 5" xfId="2356"/>
    <cellStyle name="Normal 7 2 7 3 5 2" xfId="7902"/>
    <cellStyle name="Normal 7 2 7 3 5 3" xfId="13441"/>
    <cellStyle name="Normal 7 2 7 3 6" xfId="6697"/>
    <cellStyle name="Normal 7 2 7 3 7" xfId="12236"/>
    <cellStyle name="Normal 7 2 7 4" xfId="914"/>
    <cellStyle name="Normal 7 2 7 4 2" xfId="3444"/>
    <cellStyle name="Normal 7 2 7 4 2 2" xfId="8986"/>
    <cellStyle name="Normal 7 2 7 4 2 3" xfId="14525"/>
    <cellStyle name="Normal 7 2 7 4 3" xfId="4481"/>
    <cellStyle name="Normal 7 2 7 4 3 2" xfId="10020"/>
    <cellStyle name="Normal 7 2 7 4 3 3" xfId="15559"/>
    <cellStyle name="Normal 7 2 7 4 4" xfId="5416"/>
    <cellStyle name="Normal 7 2 7 4 4 2" xfId="10955"/>
    <cellStyle name="Normal 7 2 7 4 4 3" xfId="16494"/>
    <cellStyle name="Normal 7 2 7 4 5" xfId="2118"/>
    <cellStyle name="Normal 7 2 7 4 5 2" xfId="7664"/>
    <cellStyle name="Normal 7 2 7 4 5 3" xfId="13203"/>
    <cellStyle name="Normal 7 2 7 4 6" xfId="6459"/>
    <cellStyle name="Normal 7 2 7 4 7" xfId="11998"/>
    <cellStyle name="Normal 7 2 7 5" xfId="1497"/>
    <cellStyle name="Normal 7 2 7 5 2" xfId="2702"/>
    <cellStyle name="Normal 7 2 7 5 2 2" xfId="8248"/>
    <cellStyle name="Normal 7 2 7 5 2 3" xfId="13787"/>
    <cellStyle name="Normal 7 2 7 5 3" xfId="7043"/>
    <cellStyle name="Normal 7 2 7 5 4" xfId="12582"/>
    <cellStyle name="Normal 7 2 7 6" xfId="2875"/>
    <cellStyle name="Normal 7 2 7 6 2" xfId="8419"/>
    <cellStyle name="Normal 7 2 7 6 3" xfId="13958"/>
    <cellStyle name="Normal 7 2 7 7" xfId="2839"/>
    <cellStyle name="Normal 7 2 7 7 2" xfId="8385"/>
    <cellStyle name="Normal 7 2 7 7 3" xfId="13924"/>
    <cellStyle name="Normal 7 2 7 8" xfId="3030"/>
    <cellStyle name="Normal 7 2 7 8 2" xfId="8573"/>
    <cellStyle name="Normal 7 2 7 8 3" xfId="14112"/>
    <cellStyle name="Normal 7 2 7 9" xfId="1659"/>
    <cellStyle name="Normal 7 2 7 9 2" xfId="7205"/>
    <cellStyle name="Normal 7 2 7 9 3" xfId="12744"/>
    <cellStyle name="Normal 7 2 8" xfId="463"/>
    <cellStyle name="Normal 7 2 8 2" xfId="1305"/>
    <cellStyle name="Normal 7 2 8 2 2" xfId="3836"/>
    <cellStyle name="Normal 7 2 8 2 2 2" xfId="9378"/>
    <cellStyle name="Normal 7 2 8 2 2 3" xfId="14917"/>
    <cellStyle name="Normal 7 2 8 2 3" xfId="4873"/>
    <cellStyle name="Normal 7 2 8 2 3 2" xfId="10412"/>
    <cellStyle name="Normal 7 2 8 2 3 3" xfId="15951"/>
    <cellStyle name="Normal 7 2 8 2 4" xfId="5808"/>
    <cellStyle name="Normal 7 2 8 2 4 2" xfId="11347"/>
    <cellStyle name="Normal 7 2 8 2 4 3" xfId="16886"/>
    <cellStyle name="Normal 7 2 8 2 5" xfId="2510"/>
    <cellStyle name="Normal 7 2 8 2 5 2" xfId="8056"/>
    <cellStyle name="Normal 7 2 8 2 5 3" xfId="13595"/>
    <cellStyle name="Normal 7 2 8 2 6" xfId="6851"/>
    <cellStyle name="Normal 7 2 8 2 7" xfId="12390"/>
    <cellStyle name="Normal 7 2 8 3" xfId="957"/>
    <cellStyle name="Normal 7 2 8 3 2" xfId="3487"/>
    <cellStyle name="Normal 7 2 8 3 2 2" xfId="9029"/>
    <cellStyle name="Normal 7 2 8 3 2 3" xfId="14568"/>
    <cellStyle name="Normal 7 2 8 3 3" xfId="4524"/>
    <cellStyle name="Normal 7 2 8 3 3 2" xfId="10063"/>
    <cellStyle name="Normal 7 2 8 3 3 3" xfId="15602"/>
    <cellStyle name="Normal 7 2 8 3 4" xfId="5459"/>
    <cellStyle name="Normal 7 2 8 3 4 2" xfId="10998"/>
    <cellStyle name="Normal 7 2 8 3 4 3" xfId="16537"/>
    <cellStyle name="Normal 7 2 8 3 5" xfId="2161"/>
    <cellStyle name="Normal 7 2 8 3 5 2" xfId="7707"/>
    <cellStyle name="Normal 7 2 8 3 5 3" xfId="13246"/>
    <cellStyle name="Normal 7 2 8 3 6" xfId="6502"/>
    <cellStyle name="Normal 7 2 8 3 7" xfId="12041"/>
    <cellStyle name="Normal 7 2 8 4" xfId="3113"/>
    <cellStyle name="Normal 7 2 8 4 2" xfId="8656"/>
    <cellStyle name="Normal 7 2 8 4 3" xfId="14195"/>
    <cellStyle name="Normal 7 2 8 5" xfId="4156"/>
    <cellStyle name="Normal 7 2 8 5 2" xfId="9697"/>
    <cellStyle name="Normal 7 2 8 5 3" xfId="15236"/>
    <cellStyle name="Normal 7 2 8 6" xfId="5123"/>
    <cellStyle name="Normal 7 2 8 6 2" xfId="10662"/>
    <cellStyle name="Normal 7 2 8 6 3" xfId="16201"/>
    <cellStyle name="Normal 7 2 8 7" xfId="1825"/>
    <cellStyle name="Normal 7 2 8 7 2" xfId="7371"/>
    <cellStyle name="Normal 7 2 8 7 3" xfId="12910"/>
    <cellStyle name="Normal 7 2 8 8" xfId="6166"/>
    <cellStyle name="Normal 7 2 8 9" xfId="11705"/>
    <cellStyle name="Normal 7 2 9" xfId="1134"/>
    <cellStyle name="Normal 7 2 9 2" xfId="3664"/>
    <cellStyle name="Normal 7 2 9 2 2" xfId="9206"/>
    <cellStyle name="Normal 7 2 9 2 3" xfId="14745"/>
    <cellStyle name="Normal 7 2 9 3" xfId="4701"/>
    <cellStyle name="Normal 7 2 9 3 2" xfId="10240"/>
    <cellStyle name="Normal 7 2 9 3 3" xfId="15779"/>
    <cellStyle name="Normal 7 2 9 4" xfId="5636"/>
    <cellStyle name="Normal 7 2 9 4 2" xfId="11175"/>
    <cellStyle name="Normal 7 2 9 4 3" xfId="16714"/>
    <cellStyle name="Normal 7 2 9 5" xfId="2338"/>
    <cellStyle name="Normal 7 2 9 5 2" xfId="7884"/>
    <cellStyle name="Normal 7 2 9 5 3" xfId="13423"/>
    <cellStyle name="Normal 7 2 9 6" xfId="6679"/>
    <cellStyle name="Normal 7 2 9 7" xfId="12218"/>
    <cellStyle name="Normal 7 20" xfId="11515"/>
    <cellStyle name="Normal 7 21" xfId="17382"/>
    <cellStyle name="Normal 7 22" xfId="17544"/>
    <cellStyle name="Normal 7 3" xfId="258"/>
    <cellStyle name="Normal 7 3 10" xfId="915"/>
    <cellStyle name="Normal 7 3 10 2" xfId="3445"/>
    <cellStyle name="Normal 7 3 10 2 2" xfId="8987"/>
    <cellStyle name="Normal 7 3 10 2 3" xfId="14526"/>
    <cellStyle name="Normal 7 3 10 3" xfId="4482"/>
    <cellStyle name="Normal 7 3 10 3 2" xfId="10021"/>
    <cellStyle name="Normal 7 3 10 3 3" xfId="15560"/>
    <cellStyle name="Normal 7 3 10 4" xfId="5417"/>
    <cellStyle name="Normal 7 3 10 4 2" xfId="10956"/>
    <cellStyle name="Normal 7 3 10 4 3" xfId="16495"/>
    <cellStyle name="Normal 7 3 10 5" xfId="2119"/>
    <cellStyle name="Normal 7 3 10 5 2" xfId="7665"/>
    <cellStyle name="Normal 7 3 10 5 3" xfId="13204"/>
    <cellStyle name="Normal 7 3 10 6" xfId="6460"/>
    <cellStyle name="Normal 7 3 10 7" xfId="11999"/>
    <cellStyle name="Normal 7 3 11" xfId="1477"/>
    <cellStyle name="Normal 7 3 11 2" xfId="2682"/>
    <cellStyle name="Normal 7 3 11 2 2" xfId="8228"/>
    <cellStyle name="Normal 7 3 11 2 3" xfId="13767"/>
    <cellStyle name="Normal 7 3 11 3" xfId="7023"/>
    <cellStyle name="Normal 7 3 11 4" xfId="12562"/>
    <cellStyle name="Normal 7 3 12" xfId="2855"/>
    <cellStyle name="Normal 7 3 12 2" xfId="8399"/>
    <cellStyle name="Normal 7 3 12 3" xfId="13938"/>
    <cellStyle name="Normal 7 3 13" xfId="3118"/>
    <cellStyle name="Normal 7 3 13 2" xfId="8661"/>
    <cellStyle name="Normal 7 3 13 3" xfId="14200"/>
    <cellStyle name="Normal 7 3 14" xfId="4161"/>
    <cellStyle name="Normal 7 3 14 2" xfId="9702"/>
    <cellStyle name="Normal 7 3 14 3" xfId="15241"/>
    <cellStyle name="Normal 7 3 15" xfId="1639"/>
    <cellStyle name="Normal 7 3 15 2" xfId="7185"/>
    <cellStyle name="Normal 7 3 15 3" xfId="12724"/>
    <cellStyle name="Normal 7 3 16" xfId="5980"/>
    <cellStyle name="Normal 7 3 16 2" xfId="17058"/>
    <cellStyle name="Normal 7 3 17" xfId="624"/>
    <cellStyle name="Normal 7 3 17 2" xfId="17220"/>
    <cellStyle name="Normal 7 3 18" xfId="11519"/>
    <cellStyle name="Normal 7 3 19" xfId="17387"/>
    <cellStyle name="Normal 7 3 2" xfId="259"/>
    <cellStyle name="Normal 7 3 2 10" xfId="1489"/>
    <cellStyle name="Normal 7 3 2 10 2" xfId="2694"/>
    <cellStyle name="Normal 7 3 2 10 2 2" xfId="8240"/>
    <cellStyle name="Normal 7 3 2 10 2 3" xfId="13779"/>
    <cellStyle name="Normal 7 3 2 10 3" xfId="7035"/>
    <cellStyle name="Normal 7 3 2 10 4" xfId="12574"/>
    <cellStyle name="Normal 7 3 2 11" xfId="2867"/>
    <cellStyle name="Normal 7 3 2 11 2" xfId="8411"/>
    <cellStyle name="Normal 7 3 2 11 3" xfId="13950"/>
    <cellStyle name="Normal 7 3 2 12" xfId="2847"/>
    <cellStyle name="Normal 7 3 2 12 2" xfId="8392"/>
    <cellStyle name="Normal 7 3 2 12 3" xfId="13931"/>
    <cellStyle name="Normal 7 3 2 13" xfId="3126"/>
    <cellStyle name="Normal 7 3 2 13 2" xfId="8669"/>
    <cellStyle name="Normal 7 3 2 13 3" xfId="14208"/>
    <cellStyle name="Normal 7 3 2 14" xfId="1651"/>
    <cellStyle name="Normal 7 3 2 14 2" xfId="7197"/>
    <cellStyle name="Normal 7 3 2 14 3" xfId="12736"/>
    <cellStyle name="Normal 7 3 2 15" xfId="5992"/>
    <cellStyle name="Normal 7 3 2 15 2" xfId="17070"/>
    <cellStyle name="Normal 7 3 2 16" xfId="636"/>
    <cellStyle name="Normal 7 3 2 16 2" xfId="17232"/>
    <cellStyle name="Normal 7 3 2 17" xfId="11531"/>
    <cellStyle name="Normal 7 3 2 18" xfId="17399"/>
    <cellStyle name="Normal 7 3 2 19" xfId="17564"/>
    <cellStyle name="Normal 7 3 2 2" xfId="387"/>
    <cellStyle name="Normal 7 3 2 2 10" xfId="1705"/>
    <cellStyle name="Normal 7 3 2 2 10 2" xfId="7251"/>
    <cellStyle name="Normal 7 3 2 2 10 3" xfId="12790"/>
    <cellStyle name="Normal 7 3 2 2 11" xfId="6046"/>
    <cellStyle name="Normal 7 3 2 2 11 2" xfId="17124"/>
    <cellStyle name="Normal 7 3 2 2 12" xfId="690"/>
    <cellStyle name="Normal 7 3 2 2 12 2" xfId="17286"/>
    <cellStyle name="Normal 7 3 2 2 13" xfId="11585"/>
    <cellStyle name="Normal 7 3 2 2 14" xfId="17453"/>
    <cellStyle name="Normal 7 3 2 2 15" xfId="17618"/>
    <cellStyle name="Normal 7 3 2 2 2" xfId="388"/>
    <cellStyle name="Normal 7 3 2 2 2 10" xfId="6136"/>
    <cellStyle name="Normal 7 3 2 2 2 10 2" xfId="17214"/>
    <cellStyle name="Normal 7 3 2 2 2 11" xfId="780"/>
    <cellStyle name="Normal 7 3 2 2 2 11 2" xfId="17376"/>
    <cellStyle name="Normal 7 3 2 2 2 12" xfId="11675"/>
    <cellStyle name="Normal 7 3 2 2 2 13" xfId="17543"/>
    <cellStyle name="Normal 7 3 2 2 2 14" xfId="17708"/>
    <cellStyle name="Normal 7 3 2 2 2 2" xfId="587"/>
    <cellStyle name="Normal 7 3 2 2 2 2 2" xfId="1428"/>
    <cellStyle name="Normal 7 3 2 2 2 2 2 2" xfId="3960"/>
    <cellStyle name="Normal 7 3 2 2 2 2 2 2 2" xfId="9502"/>
    <cellStyle name="Normal 7 3 2 2 2 2 2 2 3" xfId="15041"/>
    <cellStyle name="Normal 7 3 2 2 2 2 2 3" xfId="4997"/>
    <cellStyle name="Normal 7 3 2 2 2 2 2 3 2" xfId="10536"/>
    <cellStyle name="Normal 7 3 2 2 2 2 2 3 3" xfId="16075"/>
    <cellStyle name="Normal 7 3 2 2 2 2 2 4" xfId="5931"/>
    <cellStyle name="Normal 7 3 2 2 2 2 2 4 2" xfId="11470"/>
    <cellStyle name="Normal 7 3 2 2 2 2 2 4 3" xfId="17009"/>
    <cellStyle name="Normal 7 3 2 2 2 2 2 5" xfId="2633"/>
    <cellStyle name="Normal 7 3 2 2 2 2 2 5 2" xfId="8179"/>
    <cellStyle name="Normal 7 3 2 2 2 2 2 5 3" xfId="13718"/>
    <cellStyle name="Normal 7 3 2 2 2 2 2 6" xfId="6974"/>
    <cellStyle name="Normal 7 3 2 2 2 2 2 7" xfId="12513"/>
    <cellStyle name="Normal 7 3 2 2 2 2 3" xfId="1111"/>
    <cellStyle name="Normal 7 3 2 2 2 2 3 2" xfId="3641"/>
    <cellStyle name="Normal 7 3 2 2 2 2 3 2 2" xfId="9183"/>
    <cellStyle name="Normal 7 3 2 2 2 2 3 2 3" xfId="14722"/>
    <cellStyle name="Normal 7 3 2 2 2 2 3 3" xfId="4678"/>
    <cellStyle name="Normal 7 3 2 2 2 2 3 3 2" xfId="10217"/>
    <cellStyle name="Normal 7 3 2 2 2 2 3 3 3" xfId="15756"/>
    <cellStyle name="Normal 7 3 2 2 2 2 3 4" xfId="5613"/>
    <cellStyle name="Normal 7 3 2 2 2 2 3 4 2" xfId="11152"/>
    <cellStyle name="Normal 7 3 2 2 2 2 3 4 3" xfId="16691"/>
    <cellStyle name="Normal 7 3 2 2 2 2 3 5" xfId="2315"/>
    <cellStyle name="Normal 7 3 2 2 2 2 3 5 2" xfId="7861"/>
    <cellStyle name="Normal 7 3 2 2 2 2 3 5 3" xfId="13400"/>
    <cellStyle name="Normal 7 3 2 2 2 2 3 6" xfId="6656"/>
    <cellStyle name="Normal 7 3 2 2 2 2 3 7" xfId="12195"/>
    <cellStyle name="Normal 7 3 2 2 2 2 4" xfId="3246"/>
    <cellStyle name="Normal 7 3 2 2 2 2 4 2" xfId="8788"/>
    <cellStyle name="Normal 7 3 2 2 2 2 4 3" xfId="14327"/>
    <cellStyle name="Normal 7 3 2 2 2 2 5" xfId="4285"/>
    <cellStyle name="Normal 7 3 2 2 2 2 5 2" xfId="9824"/>
    <cellStyle name="Normal 7 3 2 2 2 2 5 3" xfId="15363"/>
    <cellStyle name="Normal 7 3 2 2 2 2 6" xfId="5246"/>
    <cellStyle name="Normal 7 3 2 2 2 2 6 2" xfId="10785"/>
    <cellStyle name="Normal 7 3 2 2 2 2 6 3" xfId="16324"/>
    <cellStyle name="Normal 7 3 2 2 2 2 7" xfId="1948"/>
    <cellStyle name="Normal 7 3 2 2 2 2 7 2" xfId="7494"/>
    <cellStyle name="Normal 7 3 2 2 2 2 7 3" xfId="13033"/>
    <cellStyle name="Normal 7 3 2 2 2 2 8" xfId="6289"/>
    <cellStyle name="Normal 7 3 2 2 2 2 9" xfId="11828"/>
    <cellStyle name="Normal 7 3 2 2 2 3" xfId="1288"/>
    <cellStyle name="Normal 7 3 2 2 2 3 2" xfId="3818"/>
    <cellStyle name="Normal 7 3 2 2 2 3 2 2" xfId="9360"/>
    <cellStyle name="Normal 7 3 2 2 2 3 2 3" xfId="14899"/>
    <cellStyle name="Normal 7 3 2 2 2 3 3" xfId="4855"/>
    <cellStyle name="Normal 7 3 2 2 2 3 3 2" xfId="10394"/>
    <cellStyle name="Normal 7 3 2 2 2 3 3 3" xfId="15933"/>
    <cellStyle name="Normal 7 3 2 2 2 3 4" xfId="5790"/>
    <cellStyle name="Normal 7 3 2 2 2 3 4 2" xfId="11329"/>
    <cellStyle name="Normal 7 3 2 2 2 3 4 3" xfId="16868"/>
    <cellStyle name="Normal 7 3 2 2 2 3 5" xfId="2492"/>
    <cellStyle name="Normal 7 3 2 2 2 3 5 2" xfId="8038"/>
    <cellStyle name="Normal 7 3 2 2 2 3 5 3" xfId="13577"/>
    <cellStyle name="Normal 7 3 2 2 2 3 6" xfId="6833"/>
    <cellStyle name="Normal 7 3 2 2 2 3 7" xfId="12372"/>
    <cellStyle name="Normal 7 3 2 2 2 4" xfId="918"/>
    <cellStyle name="Normal 7 3 2 2 2 4 2" xfId="3448"/>
    <cellStyle name="Normal 7 3 2 2 2 4 2 2" xfId="8990"/>
    <cellStyle name="Normal 7 3 2 2 2 4 2 3" xfId="14529"/>
    <cellStyle name="Normal 7 3 2 2 2 4 3" xfId="4485"/>
    <cellStyle name="Normal 7 3 2 2 2 4 3 2" xfId="10024"/>
    <cellStyle name="Normal 7 3 2 2 2 4 3 3" xfId="15563"/>
    <cellStyle name="Normal 7 3 2 2 2 4 4" xfId="5420"/>
    <cellStyle name="Normal 7 3 2 2 2 4 4 2" xfId="10959"/>
    <cellStyle name="Normal 7 3 2 2 2 4 4 3" xfId="16498"/>
    <cellStyle name="Normal 7 3 2 2 2 4 5" xfId="2122"/>
    <cellStyle name="Normal 7 3 2 2 2 4 5 2" xfId="7668"/>
    <cellStyle name="Normal 7 3 2 2 2 4 5 3" xfId="13207"/>
    <cellStyle name="Normal 7 3 2 2 2 4 6" xfId="6463"/>
    <cellStyle name="Normal 7 3 2 2 2 4 7" xfId="12002"/>
    <cellStyle name="Normal 7 3 2 2 2 5" xfId="1633"/>
    <cellStyle name="Normal 7 3 2 2 2 5 2" xfId="2838"/>
    <cellStyle name="Normal 7 3 2 2 2 5 2 2" xfId="8384"/>
    <cellStyle name="Normal 7 3 2 2 2 5 2 3" xfId="13923"/>
    <cellStyle name="Normal 7 3 2 2 2 5 3" xfId="7179"/>
    <cellStyle name="Normal 7 3 2 2 2 5 4" xfId="12718"/>
    <cellStyle name="Normal 7 3 2 2 2 6" xfId="3011"/>
    <cellStyle name="Normal 7 3 2 2 2 6 2" xfId="8555"/>
    <cellStyle name="Normal 7 3 2 2 2 6 3" xfId="14094"/>
    <cellStyle name="Normal 7 3 2 2 2 7" xfId="4056"/>
    <cellStyle name="Normal 7 3 2 2 2 7 2" xfId="9598"/>
    <cellStyle name="Normal 7 3 2 2 2 7 3" xfId="15137"/>
    <cellStyle name="Normal 7 3 2 2 2 8" xfId="5093"/>
    <cellStyle name="Normal 7 3 2 2 2 8 2" xfId="10632"/>
    <cellStyle name="Normal 7 3 2 2 2 8 3" xfId="16171"/>
    <cellStyle name="Normal 7 3 2 2 2 9" xfId="1795"/>
    <cellStyle name="Normal 7 3 2 2 2 9 2" xfId="7341"/>
    <cellStyle name="Normal 7 3 2 2 2 9 3" xfId="12880"/>
    <cellStyle name="Normal 7 3 2 2 3" xfId="586"/>
    <cellStyle name="Normal 7 3 2 2 3 2" xfId="1427"/>
    <cellStyle name="Normal 7 3 2 2 3 2 2" xfId="3959"/>
    <cellStyle name="Normal 7 3 2 2 3 2 2 2" xfId="9501"/>
    <cellStyle name="Normal 7 3 2 2 3 2 2 3" xfId="15040"/>
    <cellStyle name="Normal 7 3 2 2 3 2 3" xfId="4996"/>
    <cellStyle name="Normal 7 3 2 2 3 2 3 2" xfId="10535"/>
    <cellStyle name="Normal 7 3 2 2 3 2 3 3" xfId="16074"/>
    <cellStyle name="Normal 7 3 2 2 3 2 4" xfId="5930"/>
    <cellStyle name="Normal 7 3 2 2 3 2 4 2" xfId="11469"/>
    <cellStyle name="Normal 7 3 2 2 3 2 4 3" xfId="17008"/>
    <cellStyle name="Normal 7 3 2 2 3 2 5" xfId="2632"/>
    <cellStyle name="Normal 7 3 2 2 3 2 5 2" xfId="8178"/>
    <cellStyle name="Normal 7 3 2 2 3 2 5 3" xfId="13717"/>
    <cellStyle name="Normal 7 3 2 2 3 2 6" xfId="6973"/>
    <cellStyle name="Normal 7 3 2 2 3 2 7" xfId="12512"/>
    <cellStyle name="Normal 7 3 2 2 3 3" xfId="1021"/>
    <cellStyle name="Normal 7 3 2 2 3 3 2" xfId="3551"/>
    <cellStyle name="Normal 7 3 2 2 3 3 2 2" xfId="9093"/>
    <cellStyle name="Normal 7 3 2 2 3 3 2 3" xfId="14632"/>
    <cellStyle name="Normal 7 3 2 2 3 3 3" xfId="4588"/>
    <cellStyle name="Normal 7 3 2 2 3 3 3 2" xfId="10127"/>
    <cellStyle name="Normal 7 3 2 2 3 3 3 3" xfId="15666"/>
    <cellStyle name="Normal 7 3 2 2 3 3 4" xfId="5523"/>
    <cellStyle name="Normal 7 3 2 2 3 3 4 2" xfId="11062"/>
    <cellStyle name="Normal 7 3 2 2 3 3 4 3" xfId="16601"/>
    <cellStyle name="Normal 7 3 2 2 3 3 5" xfId="2225"/>
    <cellStyle name="Normal 7 3 2 2 3 3 5 2" xfId="7771"/>
    <cellStyle name="Normal 7 3 2 2 3 3 5 3" xfId="13310"/>
    <cellStyle name="Normal 7 3 2 2 3 3 6" xfId="6566"/>
    <cellStyle name="Normal 7 3 2 2 3 3 7" xfId="12105"/>
    <cellStyle name="Normal 7 3 2 2 3 4" xfId="3245"/>
    <cellStyle name="Normal 7 3 2 2 3 4 2" xfId="8787"/>
    <cellStyle name="Normal 7 3 2 2 3 4 3" xfId="14326"/>
    <cellStyle name="Normal 7 3 2 2 3 5" xfId="4284"/>
    <cellStyle name="Normal 7 3 2 2 3 5 2" xfId="9823"/>
    <cellStyle name="Normal 7 3 2 2 3 5 3" xfId="15362"/>
    <cellStyle name="Normal 7 3 2 2 3 6" xfId="5245"/>
    <cellStyle name="Normal 7 3 2 2 3 6 2" xfId="10784"/>
    <cellStyle name="Normal 7 3 2 2 3 6 3" xfId="16323"/>
    <cellStyle name="Normal 7 3 2 2 3 7" xfId="1947"/>
    <cellStyle name="Normal 7 3 2 2 3 7 2" xfId="7493"/>
    <cellStyle name="Normal 7 3 2 2 3 7 3" xfId="13032"/>
    <cellStyle name="Normal 7 3 2 2 3 8" xfId="6288"/>
    <cellStyle name="Normal 7 3 2 2 3 9" xfId="11827"/>
    <cellStyle name="Normal 7 3 2 2 4" xfId="1198"/>
    <cellStyle name="Normal 7 3 2 2 4 2" xfId="3728"/>
    <cellStyle name="Normal 7 3 2 2 4 2 2" xfId="9270"/>
    <cellStyle name="Normal 7 3 2 2 4 2 3" xfId="14809"/>
    <cellStyle name="Normal 7 3 2 2 4 3" xfId="4765"/>
    <cellStyle name="Normal 7 3 2 2 4 3 2" xfId="10304"/>
    <cellStyle name="Normal 7 3 2 2 4 3 3" xfId="15843"/>
    <cellStyle name="Normal 7 3 2 2 4 4" xfId="5700"/>
    <cellStyle name="Normal 7 3 2 2 4 4 2" xfId="11239"/>
    <cellStyle name="Normal 7 3 2 2 4 4 3" xfId="16778"/>
    <cellStyle name="Normal 7 3 2 2 4 5" xfId="2402"/>
    <cellStyle name="Normal 7 3 2 2 4 5 2" xfId="7948"/>
    <cellStyle name="Normal 7 3 2 2 4 5 3" xfId="13487"/>
    <cellStyle name="Normal 7 3 2 2 4 6" xfId="6743"/>
    <cellStyle name="Normal 7 3 2 2 4 7" xfId="12282"/>
    <cellStyle name="Normal 7 3 2 2 5" xfId="917"/>
    <cellStyle name="Normal 7 3 2 2 5 2" xfId="3447"/>
    <cellStyle name="Normal 7 3 2 2 5 2 2" xfId="8989"/>
    <cellStyle name="Normal 7 3 2 2 5 2 3" xfId="14528"/>
    <cellStyle name="Normal 7 3 2 2 5 3" xfId="4484"/>
    <cellStyle name="Normal 7 3 2 2 5 3 2" xfId="10023"/>
    <cellStyle name="Normal 7 3 2 2 5 3 3" xfId="15562"/>
    <cellStyle name="Normal 7 3 2 2 5 4" xfId="5419"/>
    <cellStyle name="Normal 7 3 2 2 5 4 2" xfId="10958"/>
    <cellStyle name="Normal 7 3 2 2 5 4 3" xfId="16497"/>
    <cellStyle name="Normal 7 3 2 2 5 5" xfId="2121"/>
    <cellStyle name="Normal 7 3 2 2 5 5 2" xfId="7667"/>
    <cellStyle name="Normal 7 3 2 2 5 5 3" xfId="13206"/>
    <cellStyle name="Normal 7 3 2 2 5 6" xfId="6462"/>
    <cellStyle name="Normal 7 3 2 2 5 7" xfId="12001"/>
    <cellStyle name="Normal 7 3 2 2 6" xfId="1543"/>
    <cellStyle name="Normal 7 3 2 2 6 2" xfId="2748"/>
    <cellStyle name="Normal 7 3 2 2 6 2 2" xfId="8294"/>
    <cellStyle name="Normal 7 3 2 2 6 2 3" xfId="13833"/>
    <cellStyle name="Normal 7 3 2 2 6 3" xfId="7089"/>
    <cellStyle name="Normal 7 3 2 2 6 4" xfId="12628"/>
    <cellStyle name="Normal 7 3 2 2 7" xfId="2921"/>
    <cellStyle name="Normal 7 3 2 2 7 2" xfId="8465"/>
    <cellStyle name="Normal 7 3 2 2 7 3" xfId="14004"/>
    <cellStyle name="Normal 7 3 2 2 8" xfId="3084"/>
    <cellStyle name="Normal 7 3 2 2 8 2" xfId="8627"/>
    <cellStyle name="Normal 7 3 2 2 8 3" xfId="14166"/>
    <cellStyle name="Normal 7 3 2 2 9" xfId="4127"/>
    <cellStyle name="Normal 7 3 2 2 9 2" xfId="9668"/>
    <cellStyle name="Normal 7 3 2 2 9 3" xfId="15207"/>
    <cellStyle name="Normal 7 3 2 3" xfId="389"/>
    <cellStyle name="Normal 7 3 2 3 10" xfId="1687"/>
    <cellStyle name="Normal 7 3 2 3 10 2" xfId="7233"/>
    <cellStyle name="Normal 7 3 2 3 10 3" xfId="12772"/>
    <cellStyle name="Normal 7 3 2 3 11" xfId="6028"/>
    <cellStyle name="Normal 7 3 2 3 11 2" xfId="17106"/>
    <cellStyle name="Normal 7 3 2 3 12" xfId="672"/>
    <cellStyle name="Normal 7 3 2 3 12 2" xfId="17268"/>
    <cellStyle name="Normal 7 3 2 3 13" xfId="11567"/>
    <cellStyle name="Normal 7 3 2 3 14" xfId="17435"/>
    <cellStyle name="Normal 7 3 2 3 15" xfId="17600"/>
    <cellStyle name="Normal 7 3 2 3 2" xfId="390"/>
    <cellStyle name="Normal 7 3 2 3 2 10" xfId="6118"/>
    <cellStyle name="Normal 7 3 2 3 2 10 2" xfId="17196"/>
    <cellStyle name="Normal 7 3 2 3 2 11" xfId="762"/>
    <cellStyle name="Normal 7 3 2 3 2 11 2" xfId="17358"/>
    <cellStyle name="Normal 7 3 2 3 2 12" xfId="11657"/>
    <cellStyle name="Normal 7 3 2 3 2 13" xfId="17525"/>
    <cellStyle name="Normal 7 3 2 3 2 14" xfId="17690"/>
    <cellStyle name="Normal 7 3 2 3 2 2" xfId="589"/>
    <cellStyle name="Normal 7 3 2 3 2 2 2" xfId="1430"/>
    <cellStyle name="Normal 7 3 2 3 2 2 2 2" xfId="3962"/>
    <cellStyle name="Normal 7 3 2 3 2 2 2 2 2" xfId="9504"/>
    <cellStyle name="Normal 7 3 2 3 2 2 2 2 3" xfId="15043"/>
    <cellStyle name="Normal 7 3 2 3 2 2 2 3" xfId="4999"/>
    <cellStyle name="Normal 7 3 2 3 2 2 2 3 2" xfId="10538"/>
    <cellStyle name="Normal 7 3 2 3 2 2 2 3 3" xfId="16077"/>
    <cellStyle name="Normal 7 3 2 3 2 2 2 4" xfId="5933"/>
    <cellStyle name="Normal 7 3 2 3 2 2 2 4 2" xfId="11472"/>
    <cellStyle name="Normal 7 3 2 3 2 2 2 4 3" xfId="17011"/>
    <cellStyle name="Normal 7 3 2 3 2 2 2 5" xfId="2635"/>
    <cellStyle name="Normal 7 3 2 3 2 2 2 5 2" xfId="8181"/>
    <cellStyle name="Normal 7 3 2 3 2 2 2 5 3" xfId="13720"/>
    <cellStyle name="Normal 7 3 2 3 2 2 2 6" xfId="6976"/>
    <cellStyle name="Normal 7 3 2 3 2 2 2 7" xfId="12515"/>
    <cellStyle name="Normal 7 3 2 3 2 2 3" xfId="1093"/>
    <cellStyle name="Normal 7 3 2 3 2 2 3 2" xfId="3623"/>
    <cellStyle name="Normal 7 3 2 3 2 2 3 2 2" xfId="9165"/>
    <cellStyle name="Normal 7 3 2 3 2 2 3 2 3" xfId="14704"/>
    <cellStyle name="Normal 7 3 2 3 2 2 3 3" xfId="4660"/>
    <cellStyle name="Normal 7 3 2 3 2 2 3 3 2" xfId="10199"/>
    <cellStyle name="Normal 7 3 2 3 2 2 3 3 3" xfId="15738"/>
    <cellStyle name="Normal 7 3 2 3 2 2 3 4" xfId="5595"/>
    <cellStyle name="Normal 7 3 2 3 2 2 3 4 2" xfId="11134"/>
    <cellStyle name="Normal 7 3 2 3 2 2 3 4 3" xfId="16673"/>
    <cellStyle name="Normal 7 3 2 3 2 2 3 5" xfId="2297"/>
    <cellStyle name="Normal 7 3 2 3 2 2 3 5 2" xfId="7843"/>
    <cellStyle name="Normal 7 3 2 3 2 2 3 5 3" xfId="13382"/>
    <cellStyle name="Normal 7 3 2 3 2 2 3 6" xfId="6638"/>
    <cellStyle name="Normal 7 3 2 3 2 2 3 7" xfId="12177"/>
    <cellStyle name="Normal 7 3 2 3 2 2 4" xfId="3248"/>
    <cellStyle name="Normal 7 3 2 3 2 2 4 2" xfId="8790"/>
    <cellStyle name="Normal 7 3 2 3 2 2 4 3" xfId="14329"/>
    <cellStyle name="Normal 7 3 2 3 2 2 5" xfId="4287"/>
    <cellStyle name="Normal 7 3 2 3 2 2 5 2" xfId="9826"/>
    <cellStyle name="Normal 7 3 2 3 2 2 5 3" xfId="15365"/>
    <cellStyle name="Normal 7 3 2 3 2 2 6" xfId="5248"/>
    <cellStyle name="Normal 7 3 2 3 2 2 6 2" xfId="10787"/>
    <cellStyle name="Normal 7 3 2 3 2 2 6 3" xfId="16326"/>
    <cellStyle name="Normal 7 3 2 3 2 2 7" xfId="1950"/>
    <cellStyle name="Normal 7 3 2 3 2 2 7 2" xfId="7496"/>
    <cellStyle name="Normal 7 3 2 3 2 2 7 3" xfId="13035"/>
    <cellStyle name="Normal 7 3 2 3 2 2 8" xfId="6291"/>
    <cellStyle name="Normal 7 3 2 3 2 2 9" xfId="11830"/>
    <cellStyle name="Normal 7 3 2 3 2 3" xfId="1270"/>
    <cellStyle name="Normal 7 3 2 3 2 3 2" xfId="3800"/>
    <cellStyle name="Normal 7 3 2 3 2 3 2 2" xfId="9342"/>
    <cellStyle name="Normal 7 3 2 3 2 3 2 3" xfId="14881"/>
    <cellStyle name="Normal 7 3 2 3 2 3 3" xfId="4837"/>
    <cellStyle name="Normal 7 3 2 3 2 3 3 2" xfId="10376"/>
    <cellStyle name="Normal 7 3 2 3 2 3 3 3" xfId="15915"/>
    <cellStyle name="Normal 7 3 2 3 2 3 4" xfId="5772"/>
    <cellStyle name="Normal 7 3 2 3 2 3 4 2" xfId="11311"/>
    <cellStyle name="Normal 7 3 2 3 2 3 4 3" xfId="16850"/>
    <cellStyle name="Normal 7 3 2 3 2 3 5" xfId="2474"/>
    <cellStyle name="Normal 7 3 2 3 2 3 5 2" xfId="8020"/>
    <cellStyle name="Normal 7 3 2 3 2 3 5 3" xfId="13559"/>
    <cellStyle name="Normal 7 3 2 3 2 3 6" xfId="6815"/>
    <cellStyle name="Normal 7 3 2 3 2 3 7" xfId="12354"/>
    <cellStyle name="Normal 7 3 2 3 2 4" xfId="920"/>
    <cellStyle name="Normal 7 3 2 3 2 4 2" xfId="3450"/>
    <cellStyle name="Normal 7 3 2 3 2 4 2 2" xfId="8992"/>
    <cellStyle name="Normal 7 3 2 3 2 4 2 3" xfId="14531"/>
    <cellStyle name="Normal 7 3 2 3 2 4 3" xfId="4487"/>
    <cellStyle name="Normal 7 3 2 3 2 4 3 2" xfId="10026"/>
    <cellStyle name="Normal 7 3 2 3 2 4 3 3" xfId="15565"/>
    <cellStyle name="Normal 7 3 2 3 2 4 4" xfId="5422"/>
    <cellStyle name="Normal 7 3 2 3 2 4 4 2" xfId="10961"/>
    <cellStyle name="Normal 7 3 2 3 2 4 4 3" xfId="16500"/>
    <cellStyle name="Normal 7 3 2 3 2 4 5" xfId="2124"/>
    <cellStyle name="Normal 7 3 2 3 2 4 5 2" xfId="7670"/>
    <cellStyle name="Normal 7 3 2 3 2 4 5 3" xfId="13209"/>
    <cellStyle name="Normal 7 3 2 3 2 4 6" xfId="6465"/>
    <cellStyle name="Normal 7 3 2 3 2 4 7" xfId="12004"/>
    <cellStyle name="Normal 7 3 2 3 2 5" xfId="1615"/>
    <cellStyle name="Normal 7 3 2 3 2 5 2" xfId="2820"/>
    <cellStyle name="Normal 7 3 2 3 2 5 2 2" xfId="8366"/>
    <cellStyle name="Normal 7 3 2 3 2 5 2 3" xfId="13905"/>
    <cellStyle name="Normal 7 3 2 3 2 5 3" xfId="7161"/>
    <cellStyle name="Normal 7 3 2 3 2 5 4" xfId="12700"/>
    <cellStyle name="Normal 7 3 2 3 2 6" xfId="2993"/>
    <cellStyle name="Normal 7 3 2 3 2 6 2" xfId="8537"/>
    <cellStyle name="Normal 7 3 2 3 2 6 3" xfId="14076"/>
    <cellStyle name="Normal 7 3 2 3 2 7" xfId="4038"/>
    <cellStyle name="Normal 7 3 2 3 2 7 2" xfId="9580"/>
    <cellStyle name="Normal 7 3 2 3 2 7 3" xfId="15119"/>
    <cellStyle name="Normal 7 3 2 3 2 8" xfId="5075"/>
    <cellStyle name="Normal 7 3 2 3 2 8 2" xfId="10614"/>
    <cellStyle name="Normal 7 3 2 3 2 8 3" xfId="16153"/>
    <cellStyle name="Normal 7 3 2 3 2 9" xfId="1777"/>
    <cellStyle name="Normal 7 3 2 3 2 9 2" xfId="7323"/>
    <cellStyle name="Normal 7 3 2 3 2 9 3" xfId="12862"/>
    <cellStyle name="Normal 7 3 2 3 3" xfId="588"/>
    <cellStyle name="Normal 7 3 2 3 3 2" xfId="1429"/>
    <cellStyle name="Normal 7 3 2 3 3 2 2" xfId="3961"/>
    <cellStyle name="Normal 7 3 2 3 3 2 2 2" xfId="9503"/>
    <cellStyle name="Normal 7 3 2 3 3 2 2 3" xfId="15042"/>
    <cellStyle name="Normal 7 3 2 3 3 2 3" xfId="4998"/>
    <cellStyle name="Normal 7 3 2 3 3 2 3 2" xfId="10537"/>
    <cellStyle name="Normal 7 3 2 3 3 2 3 3" xfId="16076"/>
    <cellStyle name="Normal 7 3 2 3 3 2 4" xfId="5932"/>
    <cellStyle name="Normal 7 3 2 3 3 2 4 2" xfId="11471"/>
    <cellStyle name="Normal 7 3 2 3 3 2 4 3" xfId="17010"/>
    <cellStyle name="Normal 7 3 2 3 3 2 5" xfId="2634"/>
    <cellStyle name="Normal 7 3 2 3 3 2 5 2" xfId="8180"/>
    <cellStyle name="Normal 7 3 2 3 3 2 5 3" xfId="13719"/>
    <cellStyle name="Normal 7 3 2 3 3 2 6" xfId="6975"/>
    <cellStyle name="Normal 7 3 2 3 3 2 7" xfId="12514"/>
    <cellStyle name="Normal 7 3 2 3 3 3" xfId="1003"/>
    <cellStyle name="Normal 7 3 2 3 3 3 2" xfId="3533"/>
    <cellStyle name="Normal 7 3 2 3 3 3 2 2" xfId="9075"/>
    <cellStyle name="Normal 7 3 2 3 3 3 2 3" xfId="14614"/>
    <cellStyle name="Normal 7 3 2 3 3 3 3" xfId="4570"/>
    <cellStyle name="Normal 7 3 2 3 3 3 3 2" xfId="10109"/>
    <cellStyle name="Normal 7 3 2 3 3 3 3 3" xfId="15648"/>
    <cellStyle name="Normal 7 3 2 3 3 3 4" xfId="5505"/>
    <cellStyle name="Normal 7 3 2 3 3 3 4 2" xfId="11044"/>
    <cellStyle name="Normal 7 3 2 3 3 3 4 3" xfId="16583"/>
    <cellStyle name="Normal 7 3 2 3 3 3 5" xfId="2207"/>
    <cellStyle name="Normal 7 3 2 3 3 3 5 2" xfId="7753"/>
    <cellStyle name="Normal 7 3 2 3 3 3 5 3" xfId="13292"/>
    <cellStyle name="Normal 7 3 2 3 3 3 6" xfId="6548"/>
    <cellStyle name="Normal 7 3 2 3 3 3 7" xfId="12087"/>
    <cellStyle name="Normal 7 3 2 3 3 4" xfId="3247"/>
    <cellStyle name="Normal 7 3 2 3 3 4 2" xfId="8789"/>
    <cellStyle name="Normal 7 3 2 3 3 4 3" xfId="14328"/>
    <cellStyle name="Normal 7 3 2 3 3 5" xfId="4286"/>
    <cellStyle name="Normal 7 3 2 3 3 5 2" xfId="9825"/>
    <cellStyle name="Normal 7 3 2 3 3 5 3" xfId="15364"/>
    <cellStyle name="Normal 7 3 2 3 3 6" xfId="5247"/>
    <cellStyle name="Normal 7 3 2 3 3 6 2" xfId="10786"/>
    <cellStyle name="Normal 7 3 2 3 3 6 3" xfId="16325"/>
    <cellStyle name="Normal 7 3 2 3 3 7" xfId="1949"/>
    <cellStyle name="Normal 7 3 2 3 3 7 2" xfId="7495"/>
    <cellStyle name="Normal 7 3 2 3 3 7 3" xfId="13034"/>
    <cellStyle name="Normal 7 3 2 3 3 8" xfId="6290"/>
    <cellStyle name="Normal 7 3 2 3 3 9" xfId="11829"/>
    <cellStyle name="Normal 7 3 2 3 4" xfId="1180"/>
    <cellStyle name="Normal 7 3 2 3 4 2" xfId="3710"/>
    <cellStyle name="Normal 7 3 2 3 4 2 2" xfId="9252"/>
    <cellStyle name="Normal 7 3 2 3 4 2 3" xfId="14791"/>
    <cellStyle name="Normal 7 3 2 3 4 3" xfId="4747"/>
    <cellStyle name="Normal 7 3 2 3 4 3 2" xfId="10286"/>
    <cellStyle name="Normal 7 3 2 3 4 3 3" xfId="15825"/>
    <cellStyle name="Normal 7 3 2 3 4 4" xfId="5682"/>
    <cellStyle name="Normal 7 3 2 3 4 4 2" xfId="11221"/>
    <cellStyle name="Normal 7 3 2 3 4 4 3" xfId="16760"/>
    <cellStyle name="Normal 7 3 2 3 4 5" xfId="2384"/>
    <cellStyle name="Normal 7 3 2 3 4 5 2" xfId="7930"/>
    <cellStyle name="Normal 7 3 2 3 4 5 3" xfId="13469"/>
    <cellStyle name="Normal 7 3 2 3 4 6" xfId="6725"/>
    <cellStyle name="Normal 7 3 2 3 4 7" xfId="12264"/>
    <cellStyle name="Normal 7 3 2 3 5" xfId="919"/>
    <cellStyle name="Normal 7 3 2 3 5 2" xfId="3449"/>
    <cellStyle name="Normal 7 3 2 3 5 2 2" xfId="8991"/>
    <cellStyle name="Normal 7 3 2 3 5 2 3" xfId="14530"/>
    <cellStyle name="Normal 7 3 2 3 5 3" xfId="4486"/>
    <cellStyle name="Normal 7 3 2 3 5 3 2" xfId="10025"/>
    <cellStyle name="Normal 7 3 2 3 5 3 3" xfId="15564"/>
    <cellStyle name="Normal 7 3 2 3 5 4" xfId="5421"/>
    <cellStyle name="Normal 7 3 2 3 5 4 2" xfId="10960"/>
    <cellStyle name="Normal 7 3 2 3 5 4 3" xfId="16499"/>
    <cellStyle name="Normal 7 3 2 3 5 5" xfId="2123"/>
    <cellStyle name="Normal 7 3 2 3 5 5 2" xfId="7669"/>
    <cellStyle name="Normal 7 3 2 3 5 5 3" xfId="13208"/>
    <cellStyle name="Normal 7 3 2 3 5 6" xfId="6464"/>
    <cellStyle name="Normal 7 3 2 3 5 7" xfId="12003"/>
    <cellStyle name="Normal 7 3 2 3 6" xfId="1525"/>
    <cellStyle name="Normal 7 3 2 3 6 2" xfId="2730"/>
    <cellStyle name="Normal 7 3 2 3 6 2 2" xfId="8276"/>
    <cellStyle name="Normal 7 3 2 3 6 2 3" xfId="13815"/>
    <cellStyle name="Normal 7 3 2 3 6 3" xfId="7071"/>
    <cellStyle name="Normal 7 3 2 3 6 4" xfId="12610"/>
    <cellStyle name="Normal 7 3 2 3 7" xfId="2903"/>
    <cellStyle name="Normal 7 3 2 3 7 2" xfId="8447"/>
    <cellStyle name="Normal 7 3 2 3 7 3" xfId="13986"/>
    <cellStyle name="Normal 7 3 2 3 8" xfId="3296"/>
    <cellStyle name="Normal 7 3 2 3 8 2" xfId="8838"/>
    <cellStyle name="Normal 7 3 2 3 8 3" xfId="14377"/>
    <cellStyle name="Normal 7 3 2 3 9" xfId="4335"/>
    <cellStyle name="Normal 7 3 2 3 9 2" xfId="9874"/>
    <cellStyle name="Normal 7 3 2 3 9 3" xfId="15413"/>
    <cellStyle name="Normal 7 3 2 4" xfId="391"/>
    <cellStyle name="Normal 7 3 2 4 10" xfId="1723"/>
    <cellStyle name="Normal 7 3 2 4 10 2" xfId="7269"/>
    <cellStyle name="Normal 7 3 2 4 10 3" xfId="12808"/>
    <cellStyle name="Normal 7 3 2 4 11" xfId="6064"/>
    <cellStyle name="Normal 7 3 2 4 11 2" xfId="17142"/>
    <cellStyle name="Normal 7 3 2 4 12" xfId="708"/>
    <cellStyle name="Normal 7 3 2 4 12 2" xfId="17304"/>
    <cellStyle name="Normal 7 3 2 4 13" xfId="11603"/>
    <cellStyle name="Normal 7 3 2 4 14" xfId="17471"/>
    <cellStyle name="Normal 7 3 2 4 15" xfId="17636"/>
    <cellStyle name="Normal 7 3 2 4 2" xfId="392"/>
    <cellStyle name="Normal 7 3 2 4 2 10" xfId="6100"/>
    <cellStyle name="Normal 7 3 2 4 2 10 2" xfId="17178"/>
    <cellStyle name="Normal 7 3 2 4 2 11" xfId="744"/>
    <cellStyle name="Normal 7 3 2 4 2 11 2" xfId="17340"/>
    <cellStyle name="Normal 7 3 2 4 2 12" xfId="11639"/>
    <cellStyle name="Normal 7 3 2 4 2 13" xfId="17507"/>
    <cellStyle name="Normal 7 3 2 4 2 14" xfId="17672"/>
    <cellStyle name="Normal 7 3 2 4 2 2" xfId="591"/>
    <cellStyle name="Normal 7 3 2 4 2 2 2" xfId="1432"/>
    <cellStyle name="Normal 7 3 2 4 2 2 2 2" xfId="3964"/>
    <cellStyle name="Normal 7 3 2 4 2 2 2 2 2" xfId="9506"/>
    <cellStyle name="Normal 7 3 2 4 2 2 2 2 3" xfId="15045"/>
    <cellStyle name="Normal 7 3 2 4 2 2 2 3" xfId="5001"/>
    <cellStyle name="Normal 7 3 2 4 2 2 2 3 2" xfId="10540"/>
    <cellStyle name="Normal 7 3 2 4 2 2 2 3 3" xfId="16079"/>
    <cellStyle name="Normal 7 3 2 4 2 2 2 4" xfId="5935"/>
    <cellStyle name="Normal 7 3 2 4 2 2 2 4 2" xfId="11474"/>
    <cellStyle name="Normal 7 3 2 4 2 2 2 4 3" xfId="17013"/>
    <cellStyle name="Normal 7 3 2 4 2 2 2 5" xfId="2637"/>
    <cellStyle name="Normal 7 3 2 4 2 2 2 5 2" xfId="8183"/>
    <cellStyle name="Normal 7 3 2 4 2 2 2 5 3" xfId="13722"/>
    <cellStyle name="Normal 7 3 2 4 2 2 2 6" xfId="6978"/>
    <cellStyle name="Normal 7 3 2 4 2 2 2 7" xfId="12517"/>
    <cellStyle name="Normal 7 3 2 4 2 2 3" xfId="1075"/>
    <cellStyle name="Normal 7 3 2 4 2 2 3 2" xfId="3605"/>
    <cellStyle name="Normal 7 3 2 4 2 2 3 2 2" xfId="9147"/>
    <cellStyle name="Normal 7 3 2 4 2 2 3 2 3" xfId="14686"/>
    <cellStyle name="Normal 7 3 2 4 2 2 3 3" xfId="4642"/>
    <cellStyle name="Normal 7 3 2 4 2 2 3 3 2" xfId="10181"/>
    <cellStyle name="Normal 7 3 2 4 2 2 3 3 3" xfId="15720"/>
    <cellStyle name="Normal 7 3 2 4 2 2 3 4" xfId="5577"/>
    <cellStyle name="Normal 7 3 2 4 2 2 3 4 2" xfId="11116"/>
    <cellStyle name="Normal 7 3 2 4 2 2 3 4 3" xfId="16655"/>
    <cellStyle name="Normal 7 3 2 4 2 2 3 5" xfId="2279"/>
    <cellStyle name="Normal 7 3 2 4 2 2 3 5 2" xfId="7825"/>
    <cellStyle name="Normal 7 3 2 4 2 2 3 5 3" xfId="13364"/>
    <cellStyle name="Normal 7 3 2 4 2 2 3 6" xfId="6620"/>
    <cellStyle name="Normal 7 3 2 4 2 2 3 7" xfId="12159"/>
    <cellStyle name="Normal 7 3 2 4 2 2 4" xfId="3250"/>
    <cellStyle name="Normal 7 3 2 4 2 2 4 2" xfId="8792"/>
    <cellStyle name="Normal 7 3 2 4 2 2 4 3" xfId="14331"/>
    <cellStyle name="Normal 7 3 2 4 2 2 5" xfId="4289"/>
    <cellStyle name="Normal 7 3 2 4 2 2 5 2" xfId="9828"/>
    <cellStyle name="Normal 7 3 2 4 2 2 5 3" xfId="15367"/>
    <cellStyle name="Normal 7 3 2 4 2 2 6" xfId="5250"/>
    <cellStyle name="Normal 7 3 2 4 2 2 6 2" xfId="10789"/>
    <cellStyle name="Normal 7 3 2 4 2 2 6 3" xfId="16328"/>
    <cellStyle name="Normal 7 3 2 4 2 2 7" xfId="1952"/>
    <cellStyle name="Normal 7 3 2 4 2 2 7 2" xfId="7498"/>
    <cellStyle name="Normal 7 3 2 4 2 2 7 3" xfId="13037"/>
    <cellStyle name="Normal 7 3 2 4 2 2 8" xfId="6293"/>
    <cellStyle name="Normal 7 3 2 4 2 2 9" xfId="11832"/>
    <cellStyle name="Normal 7 3 2 4 2 3" xfId="1252"/>
    <cellStyle name="Normal 7 3 2 4 2 3 2" xfId="3782"/>
    <cellStyle name="Normal 7 3 2 4 2 3 2 2" xfId="9324"/>
    <cellStyle name="Normal 7 3 2 4 2 3 2 3" xfId="14863"/>
    <cellStyle name="Normal 7 3 2 4 2 3 3" xfId="4819"/>
    <cellStyle name="Normal 7 3 2 4 2 3 3 2" xfId="10358"/>
    <cellStyle name="Normal 7 3 2 4 2 3 3 3" xfId="15897"/>
    <cellStyle name="Normal 7 3 2 4 2 3 4" xfId="5754"/>
    <cellStyle name="Normal 7 3 2 4 2 3 4 2" xfId="11293"/>
    <cellStyle name="Normal 7 3 2 4 2 3 4 3" xfId="16832"/>
    <cellStyle name="Normal 7 3 2 4 2 3 5" xfId="2456"/>
    <cellStyle name="Normal 7 3 2 4 2 3 5 2" xfId="8002"/>
    <cellStyle name="Normal 7 3 2 4 2 3 5 3" xfId="13541"/>
    <cellStyle name="Normal 7 3 2 4 2 3 6" xfId="6797"/>
    <cellStyle name="Normal 7 3 2 4 2 3 7" xfId="12336"/>
    <cellStyle name="Normal 7 3 2 4 2 4" xfId="922"/>
    <cellStyle name="Normal 7 3 2 4 2 4 2" xfId="3452"/>
    <cellStyle name="Normal 7 3 2 4 2 4 2 2" xfId="8994"/>
    <cellStyle name="Normal 7 3 2 4 2 4 2 3" xfId="14533"/>
    <cellStyle name="Normal 7 3 2 4 2 4 3" xfId="4489"/>
    <cellStyle name="Normal 7 3 2 4 2 4 3 2" xfId="10028"/>
    <cellStyle name="Normal 7 3 2 4 2 4 3 3" xfId="15567"/>
    <cellStyle name="Normal 7 3 2 4 2 4 4" xfId="5424"/>
    <cellStyle name="Normal 7 3 2 4 2 4 4 2" xfId="10963"/>
    <cellStyle name="Normal 7 3 2 4 2 4 4 3" xfId="16502"/>
    <cellStyle name="Normal 7 3 2 4 2 4 5" xfId="2126"/>
    <cellStyle name="Normal 7 3 2 4 2 4 5 2" xfId="7672"/>
    <cellStyle name="Normal 7 3 2 4 2 4 5 3" xfId="13211"/>
    <cellStyle name="Normal 7 3 2 4 2 4 6" xfId="6467"/>
    <cellStyle name="Normal 7 3 2 4 2 4 7" xfId="12006"/>
    <cellStyle name="Normal 7 3 2 4 2 5" xfId="1597"/>
    <cellStyle name="Normal 7 3 2 4 2 5 2" xfId="2802"/>
    <cellStyle name="Normal 7 3 2 4 2 5 2 2" xfId="8348"/>
    <cellStyle name="Normal 7 3 2 4 2 5 2 3" xfId="13887"/>
    <cellStyle name="Normal 7 3 2 4 2 5 3" xfId="7143"/>
    <cellStyle name="Normal 7 3 2 4 2 5 4" xfId="12682"/>
    <cellStyle name="Normal 7 3 2 4 2 6" xfId="2975"/>
    <cellStyle name="Normal 7 3 2 4 2 6 2" xfId="8519"/>
    <cellStyle name="Normal 7 3 2 4 2 6 3" xfId="14058"/>
    <cellStyle name="Normal 7 3 2 4 2 7" xfId="4020"/>
    <cellStyle name="Normal 7 3 2 4 2 7 2" xfId="9562"/>
    <cellStyle name="Normal 7 3 2 4 2 7 3" xfId="15101"/>
    <cellStyle name="Normal 7 3 2 4 2 8" xfId="5057"/>
    <cellStyle name="Normal 7 3 2 4 2 8 2" xfId="10596"/>
    <cellStyle name="Normal 7 3 2 4 2 8 3" xfId="16135"/>
    <cellStyle name="Normal 7 3 2 4 2 9" xfId="1759"/>
    <cellStyle name="Normal 7 3 2 4 2 9 2" xfId="7305"/>
    <cellStyle name="Normal 7 3 2 4 2 9 3" xfId="12844"/>
    <cellStyle name="Normal 7 3 2 4 3" xfId="590"/>
    <cellStyle name="Normal 7 3 2 4 3 2" xfId="1431"/>
    <cellStyle name="Normal 7 3 2 4 3 2 2" xfId="3963"/>
    <cellStyle name="Normal 7 3 2 4 3 2 2 2" xfId="9505"/>
    <cellStyle name="Normal 7 3 2 4 3 2 2 3" xfId="15044"/>
    <cellStyle name="Normal 7 3 2 4 3 2 3" xfId="5000"/>
    <cellStyle name="Normal 7 3 2 4 3 2 3 2" xfId="10539"/>
    <cellStyle name="Normal 7 3 2 4 3 2 3 3" xfId="16078"/>
    <cellStyle name="Normal 7 3 2 4 3 2 4" xfId="5934"/>
    <cellStyle name="Normal 7 3 2 4 3 2 4 2" xfId="11473"/>
    <cellStyle name="Normal 7 3 2 4 3 2 4 3" xfId="17012"/>
    <cellStyle name="Normal 7 3 2 4 3 2 5" xfId="2636"/>
    <cellStyle name="Normal 7 3 2 4 3 2 5 2" xfId="8182"/>
    <cellStyle name="Normal 7 3 2 4 3 2 5 3" xfId="13721"/>
    <cellStyle name="Normal 7 3 2 4 3 2 6" xfId="6977"/>
    <cellStyle name="Normal 7 3 2 4 3 2 7" xfId="12516"/>
    <cellStyle name="Normal 7 3 2 4 3 3" xfId="1039"/>
    <cellStyle name="Normal 7 3 2 4 3 3 2" xfId="3569"/>
    <cellStyle name="Normal 7 3 2 4 3 3 2 2" xfId="9111"/>
    <cellStyle name="Normal 7 3 2 4 3 3 2 3" xfId="14650"/>
    <cellStyle name="Normal 7 3 2 4 3 3 3" xfId="4606"/>
    <cellStyle name="Normal 7 3 2 4 3 3 3 2" xfId="10145"/>
    <cellStyle name="Normal 7 3 2 4 3 3 3 3" xfId="15684"/>
    <cellStyle name="Normal 7 3 2 4 3 3 4" xfId="5541"/>
    <cellStyle name="Normal 7 3 2 4 3 3 4 2" xfId="11080"/>
    <cellStyle name="Normal 7 3 2 4 3 3 4 3" xfId="16619"/>
    <cellStyle name="Normal 7 3 2 4 3 3 5" xfId="2243"/>
    <cellStyle name="Normal 7 3 2 4 3 3 5 2" xfId="7789"/>
    <cellStyle name="Normal 7 3 2 4 3 3 5 3" xfId="13328"/>
    <cellStyle name="Normal 7 3 2 4 3 3 6" xfId="6584"/>
    <cellStyle name="Normal 7 3 2 4 3 3 7" xfId="12123"/>
    <cellStyle name="Normal 7 3 2 4 3 4" xfId="3249"/>
    <cellStyle name="Normal 7 3 2 4 3 4 2" xfId="8791"/>
    <cellStyle name="Normal 7 3 2 4 3 4 3" xfId="14330"/>
    <cellStyle name="Normal 7 3 2 4 3 5" xfId="4288"/>
    <cellStyle name="Normal 7 3 2 4 3 5 2" xfId="9827"/>
    <cellStyle name="Normal 7 3 2 4 3 5 3" xfId="15366"/>
    <cellStyle name="Normal 7 3 2 4 3 6" xfId="5249"/>
    <cellStyle name="Normal 7 3 2 4 3 6 2" xfId="10788"/>
    <cellStyle name="Normal 7 3 2 4 3 6 3" xfId="16327"/>
    <cellStyle name="Normal 7 3 2 4 3 7" xfId="1951"/>
    <cellStyle name="Normal 7 3 2 4 3 7 2" xfId="7497"/>
    <cellStyle name="Normal 7 3 2 4 3 7 3" xfId="13036"/>
    <cellStyle name="Normal 7 3 2 4 3 8" xfId="6292"/>
    <cellStyle name="Normal 7 3 2 4 3 9" xfId="11831"/>
    <cellStyle name="Normal 7 3 2 4 4" xfId="1216"/>
    <cellStyle name="Normal 7 3 2 4 4 2" xfId="3746"/>
    <cellStyle name="Normal 7 3 2 4 4 2 2" xfId="9288"/>
    <cellStyle name="Normal 7 3 2 4 4 2 3" xfId="14827"/>
    <cellStyle name="Normal 7 3 2 4 4 3" xfId="4783"/>
    <cellStyle name="Normal 7 3 2 4 4 3 2" xfId="10322"/>
    <cellStyle name="Normal 7 3 2 4 4 3 3" xfId="15861"/>
    <cellStyle name="Normal 7 3 2 4 4 4" xfId="5718"/>
    <cellStyle name="Normal 7 3 2 4 4 4 2" xfId="11257"/>
    <cellStyle name="Normal 7 3 2 4 4 4 3" xfId="16796"/>
    <cellStyle name="Normal 7 3 2 4 4 5" xfId="2420"/>
    <cellStyle name="Normal 7 3 2 4 4 5 2" xfId="7966"/>
    <cellStyle name="Normal 7 3 2 4 4 5 3" xfId="13505"/>
    <cellStyle name="Normal 7 3 2 4 4 6" xfId="6761"/>
    <cellStyle name="Normal 7 3 2 4 4 7" xfId="12300"/>
    <cellStyle name="Normal 7 3 2 4 5" xfId="921"/>
    <cellStyle name="Normal 7 3 2 4 5 2" xfId="3451"/>
    <cellStyle name="Normal 7 3 2 4 5 2 2" xfId="8993"/>
    <cellStyle name="Normal 7 3 2 4 5 2 3" xfId="14532"/>
    <cellStyle name="Normal 7 3 2 4 5 3" xfId="4488"/>
    <cellStyle name="Normal 7 3 2 4 5 3 2" xfId="10027"/>
    <cellStyle name="Normal 7 3 2 4 5 3 3" xfId="15566"/>
    <cellStyle name="Normal 7 3 2 4 5 4" xfId="5423"/>
    <cellStyle name="Normal 7 3 2 4 5 4 2" xfId="10962"/>
    <cellStyle name="Normal 7 3 2 4 5 4 3" xfId="16501"/>
    <cellStyle name="Normal 7 3 2 4 5 5" xfId="2125"/>
    <cellStyle name="Normal 7 3 2 4 5 5 2" xfId="7671"/>
    <cellStyle name="Normal 7 3 2 4 5 5 3" xfId="13210"/>
    <cellStyle name="Normal 7 3 2 4 5 6" xfId="6466"/>
    <cellStyle name="Normal 7 3 2 4 5 7" xfId="12005"/>
    <cellStyle name="Normal 7 3 2 4 6" xfId="1561"/>
    <cellStyle name="Normal 7 3 2 4 6 2" xfId="2766"/>
    <cellStyle name="Normal 7 3 2 4 6 2 2" xfId="8312"/>
    <cellStyle name="Normal 7 3 2 4 6 2 3" xfId="13851"/>
    <cellStyle name="Normal 7 3 2 4 6 3" xfId="7107"/>
    <cellStyle name="Normal 7 3 2 4 6 4" xfId="12646"/>
    <cellStyle name="Normal 7 3 2 4 7" xfId="2939"/>
    <cellStyle name="Normal 7 3 2 4 7 2" xfId="8483"/>
    <cellStyle name="Normal 7 3 2 4 7 3" xfId="14022"/>
    <cellStyle name="Normal 7 3 2 4 8" xfId="3075"/>
    <cellStyle name="Normal 7 3 2 4 8 2" xfId="8618"/>
    <cellStyle name="Normal 7 3 2 4 8 3" xfId="14157"/>
    <cellStyle name="Normal 7 3 2 4 9" xfId="4118"/>
    <cellStyle name="Normal 7 3 2 4 9 2" xfId="9659"/>
    <cellStyle name="Normal 7 3 2 4 9 3" xfId="15198"/>
    <cellStyle name="Normal 7 3 2 5" xfId="393"/>
    <cellStyle name="Normal 7 3 2 5 10" xfId="6082"/>
    <cellStyle name="Normal 7 3 2 5 10 2" xfId="17160"/>
    <cellStyle name="Normal 7 3 2 5 11" xfId="726"/>
    <cellStyle name="Normal 7 3 2 5 11 2" xfId="17322"/>
    <cellStyle name="Normal 7 3 2 5 12" xfId="11621"/>
    <cellStyle name="Normal 7 3 2 5 13" xfId="17489"/>
    <cellStyle name="Normal 7 3 2 5 14" xfId="17654"/>
    <cellStyle name="Normal 7 3 2 5 2" xfId="592"/>
    <cellStyle name="Normal 7 3 2 5 2 2" xfId="1433"/>
    <cellStyle name="Normal 7 3 2 5 2 2 2" xfId="3965"/>
    <cellStyle name="Normal 7 3 2 5 2 2 2 2" xfId="9507"/>
    <cellStyle name="Normal 7 3 2 5 2 2 2 3" xfId="15046"/>
    <cellStyle name="Normal 7 3 2 5 2 2 3" xfId="5002"/>
    <cellStyle name="Normal 7 3 2 5 2 2 3 2" xfId="10541"/>
    <cellStyle name="Normal 7 3 2 5 2 2 3 3" xfId="16080"/>
    <cellStyle name="Normal 7 3 2 5 2 2 4" xfId="5936"/>
    <cellStyle name="Normal 7 3 2 5 2 2 4 2" xfId="11475"/>
    <cellStyle name="Normal 7 3 2 5 2 2 4 3" xfId="17014"/>
    <cellStyle name="Normal 7 3 2 5 2 2 5" xfId="2638"/>
    <cellStyle name="Normal 7 3 2 5 2 2 5 2" xfId="8184"/>
    <cellStyle name="Normal 7 3 2 5 2 2 5 3" xfId="13723"/>
    <cellStyle name="Normal 7 3 2 5 2 2 6" xfId="6979"/>
    <cellStyle name="Normal 7 3 2 5 2 2 7" xfId="12518"/>
    <cellStyle name="Normal 7 3 2 5 2 3" xfId="1057"/>
    <cellStyle name="Normal 7 3 2 5 2 3 2" xfId="3587"/>
    <cellStyle name="Normal 7 3 2 5 2 3 2 2" xfId="9129"/>
    <cellStyle name="Normal 7 3 2 5 2 3 2 3" xfId="14668"/>
    <cellStyle name="Normal 7 3 2 5 2 3 3" xfId="4624"/>
    <cellStyle name="Normal 7 3 2 5 2 3 3 2" xfId="10163"/>
    <cellStyle name="Normal 7 3 2 5 2 3 3 3" xfId="15702"/>
    <cellStyle name="Normal 7 3 2 5 2 3 4" xfId="5559"/>
    <cellStyle name="Normal 7 3 2 5 2 3 4 2" xfId="11098"/>
    <cellStyle name="Normal 7 3 2 5 2 3 4 3" xfId="16637"/>
    <cellStyle name="Normal 7 3 2 5 2 3 5" xfId="2261"/>
    <cellStyle name="Normal 7 3 2 5 2 3 5 2" xfId="7807"/>
    <cellStyle name="Normal 7 3 2 5 2 3 5 3" xfId="13346"/>
    <cellStyle name="Normal 7 3 2 5 2 3 6" xfId="6602"/>
    <cellStyle name="Normal 7 3 2 5 2 3 7" xfId="12141"/>
    <cellStyle name="Normal 7 3 2 5 2 4" xfId="3251"/>
    <cellStyle name="Normal 7 3 2 5 2 4 2" xfId="8793"/>
    <cellStyle name="Normal 7 3 2 5 2 4 3" xfId="14332"/>
    <cellStyle name="Normal 7 3 2 5 2 5" xfId="4290"/>
    <cellStyle name="Normal 7 3 2 5 2 5 2" xfId="9829"/>
    <cellStyle name="Normal 7 3 2 5 2 5 3" xfId="15368"/>
    <cellStyle name="Normal 7 3 2 5 2 6" xfId="5251"/>
    <cellStyle name="Normal 7 3 2 5 2 6 2" xfId="10790"/>
    <cellStyle name="Normal 7 3 2 5 2 6 3" xfId="16329"/>
    <cellStyle name="Normal 7 3 2 5 2 7" xfId="1953"/>
    <cellStyle name="Normal 7 3 2 5 2 7 2" xfId="7499"/>
    <cellStyle name="Normal 7 3 2 5 2 7 3" xfId="13038"/>
    <cellStyle name="Normal 7 3 2 5 2 8" xfId="6294"/>
    <cellStyle name="Normal 7 3 2 5 2 9" xfId="11833"/>
    <cellStyle name="Normal 7 3 2 5 3" xfId="1234"/>
    <cellStyle name="Normal 7 3 2 5 3 2" xfId="3764"/>
    <cellStyle name="Normal 7 3 2 5 3 2 2" xfId="9306"/>
    <cellStyle name="Normal 7 3 2 5 3 2 3" xfId="14845"/>
    <cellStyle name="Normal 7 3 2 5 3 3" xfId="4801"/>
    <cellStyle name="Normal 7 3 2 5 3 3 2" xfId="10340"/>
    <cellStyle name="Normal 7 3 2 5 3 3 3" xfId="15879"/>
    <cellStyle name="Normal 7 3 2 5 3 4" xfId="5736"/>
    <cellStyle name="Normal 7 3 2 5 3 4 2" xfId="11275"/>
    <cellStyle name="Normal 7 3 2 5 3 4 3" xfId="16814"/>
    <cellStyle name="Normal 7 3 2 5 3 5" xfId="2438"/>
    <cellStyle name="Normal 7 3 2 5 3 5 2" xfId="7984"/>
    <cellStyle name="Normal 7 3 2 5 3 5 3" xfId="13523"/>
    <cellStyle name="Normal 7 3 2 5 3 6" xfId="6779"/>
    <cellStyle name="Normal 7 3 2 5 3 7" xfId="12318"/>
    <cellStyle name="Normal 7 3 2 5 4" xfId="923"/>
    <cellStyle name="Normal 7 3 2 5 4 2" xfId="3453"/>
    <cellStyle name="Normal 7 3 2 5 4 2 2" xfId="8995"/>
    <cellStyle name="Normal 7 3 2 5 4 2 3" xfId="14534"/>
    <cellStyle name="Normal 7 3 2 5 4 3" xfId="4490"/>
    <cellStyle name="Normal 7 3 2 5 4 3 2" xfId="10029"/>
    <cellStyle name="Normal 7 3 2 5 4 3 3" xfId="15568"/>
    <cellStyle name="Normal 7 3 2 5 4 4" xfId="5425"/>
    <cellStyle name="Normal 7 3 2 5 4 4 2" xfId="10964"/>
    <cellStyle name="Normal 7 3 2 5 4 4 3" xfId="16503"/>
    <cellStyle name="Normal 7 3 2 5 4 5" xfId="2127"/>
    <cellStyle name="Normal 7 3 2 5 4 5 2" xfId="7673"/>
    <cellStyle name="Normal 7 3 2 5 4 5 3" xfId="13212"/>
    <cellStyle name="Normal 7 3 2 5 4 6" xfId="6468"/>
    <cellStyle name="Normal 7 3 2 5 4 7" xfId="12007"/>
    <cellStyle name="Normal 7 3 2 5 5" xfId="1579"/>
    <cellStyle name="Normal 7 3 2 5 5 2" xfId="2784"/>
    <cellStyle name="Normal 7 3 2 5 5 2 2" xfId="8330"/>
    <cellStyle name="Normal 7 3 2 5 5 2 3" xfId="13869"/>
    <cellStyle name="Normal 7 3 2 5 5 3" xfId="7125"/>
    <cellStyle name="Normal 7 3 2 5 5 4" xfId="12664"/>
    <cellStyle name="Normal 7 3 2 5 6" xfId="2957"/>
    <cellStyle name="Normal 7 3 2 5 6 2" xfId="8501"/>
    <cellStyle name="Normal 7 3 2 5 6 3" xfId="14040"/>
    <cellStyle name="Normal 7 3 2 5 7" xfId="3061"/>
    <cellStyle name="Normal 7 3 2 5 7 2" xfId="8604"/>
    <cellStyle name="Normal 7 3 2 5 7 3" xfId="14143"/>
    <cellStyle name="Normal 7 3 2 5 8" xfId="4104"/>
    <cellStyle name="Normal 7 3 2 5 8 2" xfId="9645"/>
    <cellStyle name="Normal 7 3 2 5 8 3" xfId="15184"/>
    <cellStyle name="Normal 7 3 2 5 9" xfId="1741"/>
    <cellStyle name="Normal 7 3 2 5 9 2" xfId="7287"/>
    <cellStyle name="Normal 7 3 2 5 9 3" xfId="12826"/>
    <cellStyle name="Normal 7 3 2 6" xfId="394"/>
    <cellStyle name="Normal 7 3 2 6 10" xfId="6010"/>
    <cellStyle name="Normal 7 3 2 6 10 2" xfId="17088"/>
    <cellStyle name="Normal 7 3 2 6 11" xfId="654"/>
    <cellStyle name="Normal 7 3 2 6 11 2" xfId="17250"/>
    <cellStyle name="Normal 7 3 2 6 12" xfId="11549"/>
    <cellStyle name="Normal 7 3 2 6 13" xfId="17417"/>
    <cellStyle name="Normal 7 3 2 6 14" xfId="17582"/>
    <cellStyle name="Normal 7 3 2 6 2" xfId="593"/>
    <cellStyle name="Normal 7 3 2 6 2 2" xfId="1434"/>
    <cellStyle name="Normal 7 3 2 6 2 2 2" xfId="3966"/>
    <cellStyle name="Normal 7 3 2 6 2 2 2 2" xfId="9508"/>
    <cellStyle name="Normal 7 3 2 6 2 2 2 3" xfId="15047"/>
    <cellStyle name="Normal 7 3 2 6 2 2 3" xfId="5003"/>
    <cellStyle name="Normal 7 3 2 6 2 2 3 2" xfId="10542"/>
    <cellStyle name="Normal 7 3 2 6 2 2 3 3" xfId="16081"/>
    <cellStyle name="Normal 7 3 2 6 2 2 4" xfId="5937"/>
    <cellStyle name="Normal 7 3 2 6 2 2 4 2" xfId="11476"/>
    <cellStyle name="Normal 7 3 2 6 2 2 4 3" xfId="17015"/>
    <cellStyle name="Normal 7 3 2 6 2 2 5" xfId="2639"/>
    <cellStyle name="Normal 7 3 2 6 2 2 5 2" xfId="8185"/>
    <cellStyle name="Normal 7 3 2 6 2 2 5 3" xfId="13724"/>
    <cellStyle name="Normal 7 3 2 6 2 2 6" xfId="6980"/>
    <cellStyle name="Normal 7 3 2 6 2 2 7" xfId="12519"/>
    <cellStyle name="Normal 7 3 2 6 2 3" xfId="985"/>
    <cellStyle name="Normal 7 3 2 6 2 3 2" xfId="3515"/>
    <cellStyle name="Normal 7 3 2 6 2 3 2 2" xfId="9057"/>
    <cellStyle name="Normal 7 3 2 6 2 3 2 3" xfId="14596"/>
    <cellStyle name="Normal 7 3 2 6 2 3 3" xfId="4552"/>
    <cellStyle name="Normal 7 3 2 6 2 3 3 2" xfId="10091"/>
    <cellStyle name="Normal 7 3 2 6 2 3 3 3" xfId="15630"/>
    <cellStyle name="Normal 7 3 2 6 2 3 4" xfId="5487"/>
    <cellStyle name="Normal 7 3 2 6 2 3 4 2" xfId="11026"/>
    <cellStyle name="Normal 7 3 2 6 2 3 4 3" xfId="16565"/>
    <cellStyle name="Normal 7 3 2 6 2 3 5" xfId="2189"/>
    <cellStyle name="Normal 7 3 2 6 2 3 5 2" xfId="7735"/>
    <cellStyle name="Normal 7 3 2 6 2 3 5 3" xfId="13274"/>
    <cellStyle name="Normal 7 3 2 6 2 3 6" xfId="6530"/>
    <cellStyle name="Normal 7 3 2 6 2 3 7" xfId="12069"/>
    <cellStyle name="Normal 7 3 2 6 2 4" xfId="3252"/>
    <cellStyle name="Normal 7 3 2 6 2 4 2" xfId="8794"/>
    <cellStyle name="Normal 7 3 2 6 2 4 3" xfId="14333"/>
    <cellStyle name="Normal 7 3 2 6 2 5" xfId="4291"/>
    <cellStyle name="Normal 7 3 2 6 2 5 2" xfId="9830"/>
    <cellStyle name="Normal 7 3 2 6 2 5 3" xfId="15369"/>
    <cellStyle name="Normal 7 3 2 6 2 6" xfId="5252"/>
    <cellStyle name="Normal 7 3 2 6 2 6 2" xfId="10791"/>
    <cellStyle name="Normal 7 3 2 6 2 6 3" xfId="16330"/>
    <cellStyle name="Normal 7 3 2 6 2 7" xfId="1954"/>
    <cellStyle name="Normal 7 3 2 6 2 7 2" xfId="7500"/>
    <cellStyle name="Normal 7 3 2 6 2 7 3" xfId="13039"/>
    <cellStyle name="Normal 7 3 2 6 2 8" xfId="6295"/>
    <cellStyle name="Normal 7 3 2 6 2 9" xfId="11834"/>
    <cellStyle name="Normal 7 3 2 6 3" xfId="1162"/>
    <cellStyle name="Normal 7 3 2 6 3 2" xfId="3692"/>
    <cellStyle name="Normal 7 3 2 6 3 2 2" xfId="9234"/>
    <cellStyle name="Normal 7 3 2 6 3 2 3" xfId="14773"/>
    <cellStyle name="Normal 7 3 2 6 3 3" xfId="4729"/>
    <cellStyle name="Normal 7 3 2 6 3 3 2" xfId="10268"/>
    <cellStyle name="Normal 7 3 2 6 3 3 3" xfId="15807"/>
    <cellStyle name="Normal 7 3 2 6 3 4" xfId="5664"/>
    <cellStyle name="Normal 7 3 2 6 3 4 2" xfId="11203"/>
    <cellStyle name="Normal 7 3 2 6 3 4 3" xfId="16742"/>
    <cellStyle name="Normal 7 3 2 6 3 5" xfId="2366"/>
    <cellStyle name="Normal 7 3 2 6 3 5 2" xfId="7912"/>
    <cellStyle name="Normal 7 3 2 6 3 5 3" xfId="13451"/>
    <cellStyle name="Normal 7 3 2 6 3 6" xfId="6707"/>
    <cellStyle name="Normal 7 3 2 6 3 7" xfId="12246"/>
    <cellStyle name="Normal 7 3 2 6 4" xfId="924"/>
    <cellStyle name="Normal 7 3 2 6 4 2" xfId="3454"/>
    <cellStyle name="Normal 7 3 2 6 4 2 2" xfId="8996"/>
    <cellStyle name="Normal 7 3 2 6 4 2 3" xfId="14535"/>
    <cellStyle name="Normal 7 3 2 6 4 3" xfId="4491"/>
    <cellStyle name="Normal 7 3 2 6 4 3 2" xfId="10030"/>
    <cellStyle name="Normal 7 3 2 6 4 3 3" xfId="15569"/>
    <cellStyle name="Normal 7 3 2 6 4 4" xfId="5426"/>
    <cellStyle name="Normal 7 3 2 6 4 4 2" xfId="10965"/>
    <cellStyle name="Normal 7 3 2 6 4 4 3" xfId="16504"/>
    <cellStyle name="Normal 7 3 2 6 4 5" xfId="2128"/>
    <cellStyle name="Normal 7 3 2 6 4 5 2" xfId="7674"/>
    <cellStyle name="Normal 7 3 2 6 4 5 3" xfId="13213"/>
    <cellStyle name="Normal 7 3 2 6 4 6" xfId="6469"/>
    <cellStyle name="Normal 7 3 2 6 4 7" xfId="12008"/>
    <cellStyle name="Normal 7 3 2 6 5" xfId="1507"/>
    <cellStyle name="Normal 7 3 2 6 5 2" xfId="2712"/>
    <cellStyle name="Normal 7 3 2 6 5 2 2" xfId="8258"/>
    <cellStyle name="Normal 7 3 2 6 5 2 3" xfId="13797"/>
    <cellStyle name="Normal 7 3 2 6 5 3" xfId="7053"/>
    <cellStyle name="Normal 7 3 2 6 5 4" xfId="12592"/>
    <cellStyle name="Normal 7 3 2 6 6" xfId="2885"/>
    <cellStyle name="Normal 7 3 2 6 6 2" xfId="8429"/>
    <cellStyle name="Normal 7 3 2 6 6 3" xfId="13968"/>
    <cellStyle name="Normal 7 3 2 6 7" xfId="3305"/>
    <cellStyle name="Normal 7 3 2 6 7 2" xfId="8847"/>
    <cellStyle name="Normal 7 3 2 6 7 3" xfId="14386"/>
    <cellStyle name="Normal 7 3 2 6 8" xfId="4342"/>
    <cellStyle name="Normal 7 3 2 6 8 2" xfId="9881"/>
    <cellStyle name="Normal 7 3 2 6 8 3" xfId="15420"/>
    <cellStyle name="Normal 7 3 2 6 9" xfId="1669"/>
    <cellStyle name="Normal 7 3 2 6 9 2" xfId="7215"/>
    <cellStyle name="Normal 7 3 2 6 9 3" xfId="12754"/>
    <cellStyle name="Normal 7 3 2 7" xfId="466"/>
    <cellStyle name="Normal 7 3 2 7 2" xfId="1308"/>
    <cellStyle name="Normal 7 3 2 7 2 2" xfId="3839"/>
    <cellStyle name="Normal 7 3 2 7 2 2 2" xfId="9381"/>
    <cellStyle name="Normal 7 3 2 7 2 2 3" xfId="14920"/>
    <cellStyle name="Normal 7 3 2 7 2 3" xfId="4876"/>
    <cellStyle name="Normal 7 3 2 7 2 3 2" xfId="10415"/>
    <cellStyle name="Normal 7 3 2 7 2 3 3" xfId="15954"/>
    <cellStyle name="Normal 7 3 2 7 2 4" xfId="5811"/>
    <cellStyle name="Normal 7 3 2 7 2 4 2" xfId="11350"/>
    <cellStyle name="Normal 7 3 2 7 2 4 3" xfId="16889"/>
    <cellStyle name="Normal 7 3 2 7 2 5" xfId="2513"/>
    <cellStyle name="Normal 7 3 2 7 2 5 2" xfId="8059"/>
    <cellStyle name="Normal 7 3 2 7 2 5 3" xfId="13598"/>
    <cellStyle name="Normal 7 3 2 7 2 6" xfId="6854"/>
    <cellStyle name="Normal 7 3 2 7 2 7" xfId="12393"/>
    <cellStyle name="Normal 7 3 2 7 3" xfId="967"/>
    <cellStyle name="Normal 7 3 2 7 3 2" xfId="3497"/>
    <cellStyle name="Normal 7 3 2 7 3 2 2" xfId="9039"/>
    <cellStyle name="Normal 7 3 2 7 3 2 3" xfId="14578"/>
    <cellStyle name="Normal 7 3 2 7 3 3" xfId="4534"/>
    <cellStyle name="Normal 7 3 2 7 3 3 2" xfId="10073"/>
    <cellStyle name="Normal 7 3 2 7 3 3 3" xfId="15612"/>
    <cellStyle name="Normal 7 3 2 7 3 4" xfId="5469"/>
    <cellStyle name="Normal 7 3 2 7 3 4 2" xfId="11008"/>
    <cellStyle name="Normal 7 3 2 7 3 4 3" xfId="16547"/>
    <cellStyle name="Normal 7 3 2 7 3 5" xfId="2171"/>
    <cellStyle name="Normal 7 3 2 7 3 5 2" xfId="7717"/>
    <cellStyle name="Normal 7 3 2 7 3 5 3" xfId="13256"/>
    <cellStyle name="Normal 7 3 2 7 3 6" xfId="6512"/>
    <cellStyle name="Normal 7 3 2 7 3 7" xfId="12051"/>
    <cellStyle name="Normal 7 3 2 7 4" xfId="3116"/>
    <cellStyle name="Normal 7 3 2 7 4 2" xfId="8659"/>
    <cellStyle name="Normal 7 3 2 7 4 3" xfId="14198"/>
    <cellStyle name="Normal 7 3 2 7 5" xfId="4159"/>
    <cellStyle name="Normal 7 3 2 7 5 2" xfId="9700"/>
    <cellStyle name="Normal 7 3 2 7 5 3" xfId="15239"/>
    <cellStyle name="Normal 7 3 2 7 6" xfId="5126"/>
    <cellStyle name="Normal 7 3 2 7 6 2" xfId="10665"/>
    <cellStyle name="Normal 7 3 2 7 6 3" xfId="16204"/>
    <cellStyle name="Normal 7 3 2 7 7" xfId="1828"/>
    <cellStyle name="Normal 7 3 2 7 7 2" xfId="7374"/>
    <cellStyle name="Normal 7 3 2 7 7 3" xfId="12913"/>
    <cellStyle name="Normal 7 3 2 7 8" xfId="6169"/>
    <cellStyle name="Normal 7 3 2 7 9" xfId="11708"/>
    <cellStyle name="Normal 7 3 2 8" xfId="1144"/>
    <cellStyle name="Normal 7 3 2 8 2" xfId="3674"/>
    <cellStyle name="Normal 7 3 2 8 2 2" xfId="9216"/>
    <cellStyle name="Normal 7 3 2 8 2 3" xfId="14755"/>
    <cellStyle name="Normal 7 3 2 8 3" xfId="4711"/>
    <cellStyle name="Normal 7 3 2 8 3 2" xfId="10250"/>
    <cellStyle name="Normal 7 3 2 8 3 3" xfId="15789"/>
    <cellStyle name="Normal 7 3 2 8 4" xfId="5646"/>
    <cellStyle name="Normal 7 3 2 8 4 2" xfId="11185"/>
    <cellStyle name="Normal 7 3 2 8 4 3" xfId="16724"/>
    <cellStyle name="Normal 7 3 2 8 5" xfId="2348"/>
    <cellStyle name="Normal 7 3 2 8 5 2" xfId="7894"/>
    <cellStyle name="Normal 7 3 2 8 5 3" xfId="13433"/>
    <cellStyle name="Normal 7 3 2 8 6" xfId="6689"/>
    <cellStyle name="Normal 7 3 2 8 7" xfId="12228"/>
    <cellStyle name="Normal 7 3 2 9" xfId="916"/>
    <cellStyle name="Normal 7 3 2 9 2" xfId="3446"/>
    <cellStyle name="Normal 7 3 2 9 2 2" xfId="8988"/>
    <cellStyle name="Normal 7 3 2 9 2 3" xfId="14527"/>
    <cellStyle name="Normal 7 3 2 9 3" xfId="4483"/>
    <cellStyle name="Normal 7 3 2 9 3 2" xfId="10022"/>
    <cellStyle name="Normal 7 3 2 9 3 3" xfId="15561"/>
    <cellStyle name="Normal 7 3 2 9 4" xfId="5418"/>
    <cellStyle name="Normal 7 3 2 9 4 2" xfId="10957"/>
    <cellStyle name="Normal 7 3 2 9 4 3" xfId="16496"/>
    <cellStyle name="Normal 7 3 2 9 5" xfId="2120"/>
    <cellStyle name="Normal 7 3 2 9 5 2" xfId="7666"/>
    <cellStyle name="Normal 7 3 2 9 5 3" xfId="13205"/>
    <cellStyle name="Normal 7 3 2 9 6" xfId="6461"/>
    <cellStyle name="Normal 7 3 2 9 7" xfId="12000"/>
    <cellStyle name="Normal 7 3 20" xfId="17552"/>
    <cellStyle name="Normal 7 3 3" xfId="395"/>
    <cellStyle name="Normal 7 3 3 10" xfId="1693"/>
    <cellStyle name="Normal 7 3 3 10 2" xfId="7239"/>
    <cellStyle name="Normal 7 3 3 10 3" xfId="12778"/>
    <cellStyle name="Normal 7 3 3 11" xfId="6034"/>
    <cellStyle name="Normal 7 3 3 11 2" xfId="17112"/>
    <cellStyle name="Normal 7 3 3 12" xfId="678"/>
    <cellStyle name="Normal 7 3 3 12 2" xfId="17274"/>
    <cellStyle name="Normal 7 3 3 13" xfId="11573"/>
    <cellStyle name="Normal 7 3 3 14" xfId="17441"/>
    <cellStyle name="Normal 7 3 3 15" xfId="17606"/>
    <cellStyle name="Normal 7 3 3 2" xfId="396"/>
    <cellStyle name="Normal 7 3 3 2 10" xfId="6124"/>
    <cellStyle name="Normal 7 3 3 2 10 2" xfId="17202"/>
    <cellStyle name="Normal 7 3 3 2 11" xfId="768"/>
    <cellStyle name="Normal 7 3 3 2 11 2" xfId="17364"/>
    <cellStyle name="Normal 7 3 3 2 12" xfId="11663"/>
    <cellStyle name="Normal 7 3 3 2 13" xfId="17531"/>
    <cellStyle name="Normal 7 3 3 2 14" xfId="17696"/>
    <cellStyle name="Normal 7 3 3 2 2" xfId="595"/>
    <cellStyle name="Normal 7 3 3 2 2 2" xfId="1436"/>
    <cellStyle name="Normal 7 3 3 2 2 2 2" xfId="3968"/>
    <cellStyle name="Normal 7 3 3 2 2 2 2 2" xfId="9510"/>
    <cellStyle name="Normal 7 3 3 2 2 2 2 3" xfId="15049"/>
    <cellStyle name="Normal 7 3 3 2 2 2 3" xfId="5005"/>
    <cellStyle name="Normal 7 3 3 2 2 2 3 2" xfId="10544"/>
    <cellStyle name="Normal 7 3 3 2 2 2 3 3" xfId="16083"/>
    <cellStyle name="Normal 7 3 3 2 2 2 4" xfId="5939"/>
    <cellStyle name="Normal 7 3 3 2 2 2 4 2" xfId="11478"/>
    <cellStyle name="Normal 7 3 3 2 2 2 4 3" xfId="17017"/>
    <cellStyle name="Normal 7 3 3 2 2 2 5" xfId="2641"/>
    <cellStyle name="Normal 7 3 3 2 2 2 5 2" xfId="8187"/>
    <cellStyle name="Normal 7 3 3 2 2 2 5 3" xfId="13726"/>
    <cellStyle name="Normal 7 3 3 2 2 2 6" xfId="6982"/>
    <cellStyle name="Normal 7 3 3 2 2 2 7" xfId="12521"/>
    <cellStyle name="Normal 7 3 3 2 2 3" xfId="1099"/>
    <cellStyle name="Normal 7 3 3 2 2 3 2" xfId="3629"/>
    <cellStyle name="Normal 7 3 3 2 2 3 2 2" xfId="9171"/>
    <cellStyle name="Normal 7 3 3 2 2 3 2 3" xfId="14710"/>
    <cellStyle name="Normal 7 3 3 2 2 3 3" xfId="4666"/>
    <cellStyle name="Normal 7 3 3 2 2 3 3 2" xfId="10205"/>
    <cellStyle name="Normal 7 3 3 2 2 3 3 3" xfId="15744"/>
    <cellStyle name="Normal 7 3 3 2 2 3 4" xfId="5601"/>
    <cellStyle name="Normal 7 3 3 2 2 3 4 2" xfId="11140"/>
    <cellStyle name="Normal 7 3 3 2 2 3 4 3" xfId="16679"/>
    <cellStyle name="Normal 7 3 3 2 2 3 5" xfId="2303"/>
    <cellStyle name="Normal 7 3 3 2 2 3 5 2" xfId="7849"/>
    <cellStyle name="Normal 7 3 3 2 2 3 5 3" xfId="13388"/>
    <cellStyle name="Normal 7 3 3 2 2 3 6" xfId="6644"/>
    <cellStyle name="Normal 7 3 3 2 2 3 7" xfId="12183"/>
    <cellStyle name="Normal 7 3 3 2 2 4" xfId="3254"/>
    <cellStyle name="Normal 7 3 3 2 2 4 2" xfId="8796"/>
    <cellStyle name="Normal 7 3 3 2 2 4 3" xfId="14335"/>
    <cellStyle name="Normal 7 3 3 2 2 5" xfId="4293"/>
    <cellStyle name="Normal 7 3 3 2 2 5 2" xfId="9832"/>
    <cellStyle name="Normal 7 3 3 2 2 5 3" xfId="15371"/>
    <cellStyle name="Normal 7 3 3 2 2 6" xfId="5254"/>
    <cellStyle name="Normal 7 3 3 2 2 6 2" xfId="10793"/>
    <cellStyle name="Normal 7 3 3 2 2 6 3" xfId="16332"/>
    <cellStyle name="Normal 7 3 3 2 2 7" xfId="1956"/>
    <cellStyle name="Normal 7 3 3 2 2 7 2" xfId="7502"/>
    <cellStyle name="Normal 7 3 3 2 2 7 3" xfId="13041"/>
    <cellStyle name="Normal 7 3 3 2 2 8" xfId="6297"/>
    <cellStyle name="Normal 7 3 3 2 2 9" xfId="11836"/>
    <cellStyle name="Normal 7 3 3 2 3" xfId="1276"/>
    <cellStyle name="Normal 7 3 3 2 3 2" xfId="3806"/>
    <cellStyle name="Normal 7 3 3 2 3 2 2" xfId="9348"/>
    <cellStyle name="Normal 7 3 3 2 3 2 3" xfId="14887"/>
    <cellStyle name="Normal 7 3 3 2 3 3" xfId="4843"/>
    <cellStyle name="Normal 7 3 3 2 3 3 2" xfId="10382"/>
    <cellStyle name="Normal 7 3 3 2 3 3 3" xfId="15921"/>
    <cellStyle name="Normal 7 3 3 2 3 4" xfId="5778"/>
    <cellStyle name="Normal 7 3 3 2 3 4 2" xfId="11317"/>
    <cellStyle name="Normal 7 3 3 2 3 4 3" xfId="16856"/>
    <cellStyle name="Normal 7 3 3 2 3 5" xfId="2480"/>
    <cellStyle name="Normal 7 3 3 2 3 5 2" xfId="8026"/>
    <cellStyle name="Normal 7 3 3 2 3 5 3" xfId="13565"/>
    <cellStyle name="Normal 7 3 3 2 3 6" xfId="6821"/>
    <cellStyle name="Normal 7 3 3 2 3 7" xfId="12360"/>
    <cellStyle name="Normal 7 3 3 2 4" xfId="926"/>
    <cellStyle name="Normal 7 3 3 2 4 2" xfId="3456"/>
    <cellStyle name="Normal 7 3 3 2 4 2 2" xfId="8998"/>
    <cellStyle name="Normal 7 3 3 2 4 2 3" xfId="14537"/>
    <cellStyle name="Normal 7 3 3 2 4 3" xfId="4493"/>
    <cellStyle name="Normal 7 3 3 2 4 3 2" xfId="10032"/>
    <cellStyle name="Normal 7 3 3 2 4 3 3" xfId="15571"/>
    <cellStyle name="Normal 7 3 3 2 4 4" xfId="5428"/>
    <cellStyle name="Normal 7 3 3 2 4 4 2" xfId="10967"/>
    <cellStyle name="Normal 7 3 3 2 4 4 3" xfId="16506"/>
    <cellStyle name="Normal 7 3 3 2 4 5" xfId="2130"/>
    <cellStyle name="Normal 7 3 3 2 4 5 2" xfId="7676"/>
    <cellStyle name="Normal 7 3 3 2 4 5 3" xfId="13215"/>
    <cellStyle name="Normal 7 3 3 2 4 6" xfId="6471"/>
    <cellStyle name="Normal 7 3 3 2 4 7" xfId="12010"/>
    <cellStyle name="Normal 7 3 3 2 5" xfId="1621"/>
    <cellStyle name="Normal 7 3 3 2 5 2" xfId="2826"/>
    <cellStyle name="Normal 7 3 3 2 5 2 2" xfId="8372"/>
    <cellStyle name="Normal 7 3 3 2 5 2 3" xfId="13911"/>
    <cellStyle name="Normal 7 3 3 2 5 3" xfId="7167"/>
    <cellStyle name="Normal 7 3 3 2 5 4" xfId="12706"/>
    <cellStyle name="Normal 7 3 3 2 6" xfId="2999"/>
    <cellStyle name="Normal 7 3 3 2 6 2" xfId="8543"/>
    <cellStyle name="Normal 7 3 3 2 6 3" xfId="14082"/>
    <cellStyle name="Normal 7 3 3 2 7" xfId="4044"/>
    <cellStyle name="Normal 7 3 3 2 7 2" xfId="9586"/>
    <cellStyle name="Normal 7 3 3 2 7 3" xfId="15125"/>
    <cellStyle name="Normal 7 3 3 2 8" xfId="5081"/>
    <cellStyle name="Normal 7 3 3 2 8 2" xfId="10620"/>
    <cellStyle name="Normal 7 3 3 2 8 3" xfId="16159"/>
    <cellStyle name="Normal 7 3 3 2 9" xfId="1783"/>
    <cellStyle name="Normal 7 3 3 2 9 2" xfId="7329"/>
    <cellStyle name="Normal 7 3 3 2 9 3" xfId="12868"/>
    <cellStyle name="Normal 7 3 3 3" xfId="594"/>
    <cellStyle name="Normal 7 3 3 3 2" xfId="1435"/>
    <cellStyle name="Normal 7 3 3 3 2 2" xfId="3967"/>
    <cellStyle name="Normal 7 3 3 3 2 2 2" xfId="9509"/>
    <cellStyle name="Normal 7 3 3 3 2 2 3" xfId="15048"/>
    <cellStyle name="Normal 7 3 3 3 2 3" xfId="5004"/>
    <cellStyle name="Normal 7 3 3 3 2 3 2" xfId="10543"/>
    <cellStyle name="Normal 7 3 3 3 2 3 3" xfId="16082"/>
    <cellStyle name="Normal 7 3 3 3 2 4" xfId="5938"/>
    <cellStyle name="Normal 7 3 3 3 2 4 2" xfId="11477"/>
    <cellStyle name="Normal 7 3 3 3 2 4 3" xfId="17016"/>
    <cellStyle name="Normal 7 3 3 3 2 5" xfId="2640"/>
    <cellStyle name="Normal 7 3 3 3 2 5 2" xfId="8186"/>
    <cellStyle name="Normal 7 3 3 3 2 5 3" xfId="13725"/>
    <cellStyle name="Normal 7 3 3 3 2 6" xfId="6981"/>
    <cellStyle name="Normal 7 3 3 3 2 7" xfId="12520"/>
    <cellStyle name="Normal 7 3 3 3 3" xfId="1009"/>
    <cellStyle name="Normal 7 3 3 3 3 2" xfId="3539"/>
    <cellStyle name="Normal 7 3 3 3 3 2 2" xfId="9081"/>
    <cellStyle name="Normal 7 3 3 3 3 2 3" xfId="14620"/>
    <cellStyle name="Normal 7 3 3 3 3 3" xfId="4576"/>
    <cellStyle name="Normal 7 3 3 3 3 3 2" xfId="10115"/>
    <cellStyle name="Normal 7 3 3 3 3 3 3" xfId="15654"/>
    <cellStyle name="Normal 7 3 3 3 3 4" xfId="5511"/>
    <cellStyle name="Normal 7 3 3 3 3 4 2" xfId="11050"/>
    <cellStyle name="Normal 7 3 3 3 3 4 3" xfId="16589"/>
    <cellStyle name="Normal 7 3 3 3 3 5" xfId="2213"/>
    <cellStyle name="Normal 7 3 3 3 3 5 2" xfId="7759"/>
    <cellStyle name="Normal 7 3 3 3 3 5 3" xfId="13298"/>
    <cellStyle name="Normal 7 3 3 3 3 6" xfId="6554"/>
    <cellStyle name="Normal 7 3 3 3 3 7" xfId="12093"/>
    <cellStyle name="Normal 7 3 3 3 4" xfId="3253"/>
    <cellStyle name="Normal 7 3 3 3 4 2" xfId="8795"/>
    <cellStyle name="Normal 7 3 3 3 4 3" xfId="14334"/>
    <cellStyle name="Normal 7 3 3 3 5" xfId="4292"/>
    <cellStyle name="Normal 7 3 3 3 5 2" xfId="9831"/>
    <cellStyle name="Normal 7 3 3 3 5 3" xfId="15370"/>
    <cellStyle name="Normal 7 3 3 3 6" xfId="5253"/>
    <cellStyle name="Normal 7 3 3 3 6 2" xfId="10792"/>
    <cellStyle name="Normal 7 3 3 3 6 3" xfId="16331"/>
    <cellStyle name="Normal 7 3 3 3 7" xfId="1955"/>
    <cellStyle name="Normal 7 3 3 3 7 2" xfId="7501"/>
    <cellStyle name="Normal 7 3 3 3 7 3" xfId="13040"/>
    <cellStyle name="Normal 7 3 3 3 8" xfId="6296"/>
    <cellStyle name="Normal 7 3 3 3 9" xfId="11835"/>
    <cellStyle name="Normal 7 3 3 4" xfId="1186"/>
    <cellStyle name="Normal 7 3 3 4 2" xfId="3716"/>
    <cellStyle name="Normal 7 3 3 4 2 2" xfId="9258"/>
    <cellStyle name="Normal 7 3 3 4 2 3" xfId="14797"/>
    <cellStyle name="Normal 7 3 3 4 3" xfId="4753"/>
    <cellStyle name="Normal 7 3 3 4 3 2" xfId="10292"/>
    <cellStyle name="Normal 7 3 3 4 3 3" xfId="15831"/>
    <cellStyle name="Normal 7 3 3 4 4" xfId="5688"/>
    <cellStyle name="Normal 7 3 3 4 4 2" xfId="11227"/>
    <cellStyle name="Normal 7 3 3 4 4 3" xfId="16766"/>
    <cellStyle name="Normal 7 3 3 4 5" xfId="2390"/>
    <cellStyle name="Normal 7 3 3 4 5 2" xfId="7936"/>
    <cellStyle name="Normal 7 3 3 4 5 3" xfId="13475"/>
    <cellStyle name="Normal 7 3 3 4 6" xfId="6731"/>
    <cellStyle name="Normal 7 3 3 4 7" xfId="12270"/>
    <cellStyle name="Normal 7 3 3 5" xfId="925"/>
    <cellStyle name="Normal 7 3 3 5 2" xfId="3455"/>
    <cellStyle name="Normal 7 3 3 5 2 2" xfId="8997"/>
    <cellStyle name="Normal 7 3 3 5 2 3" xfId="14536"/>
    <cellStyle name="Normal 7 3 3 5 3" xfId="4492"/>
    <cellStyle name="Normal 7 3 3 5 3 2" xfId="10031"/>
    <cellStyle name="Normal 7 3 3 5 3 3" xfId="15570"/>
    <cellStyle name="Normal 7 3 3 5 4" xfId="5427"/>
    <cellStyle name="Normal 7 3 3 5 4 2" xfId="10966"/>
    <cellStyle name="Normal 7 3 3 5 4 3" xfId="16505"/>
    <cellStyle name="Normal 7 3 3 5 5" xfId="2129"/>
    <cellStyle name="Normal 7 3 3 5 5 2" xfId="7675"/>
    <cellStyle name="Normal 7 3 3 5 5 3" xfId="13214"/>
    <cellStyle name="Normal 7 3 3 5 6" xfId="6470"/>
    <cellStyle name="Normal 7 3 3 5 7" xfId="12009"/>
    <cellStyle name="Normal 7 3 3 6" xfId="1531"/>
    <cellStyle name="Normal 7 3 3 6 2" xfId="2736"/>
    <cellStyle name="Normal 7 3 3 6 2 2" xfId="8282"/>
    <cellStyle name="Normal 7 3 3 6 2 3" xfId="13821"/>
    <cellStyle name="Normal 7 3 3 6 3" xfId="7077"/>
    <cellStyle name="Normal 7 3 3 6 4" xfId="12616"/>
    <cellStyle name="Normal 7 3 3 7" xfId="2909"/>
    <cellStyle name="Normal 7 3 3 7 2" xfId="8453"/>
    <cellStyle name="Normal 7 3 3 7 3" xfId="13992"/>
    <cellStyle name="Normal 7 3 3 8" xfId="3090"/>
    <cellStyle name="Normal 7 3 3 8 2" xfId="8633"/>
    <cellStyle name="Normal 7 3 3 8 3" xfId="14172"/>
    <cellStyle name="Normal 7 3 3 9" xfId="4133"/>
    <cellStyle name="Normal 7 3 3 9 2" xfId="9674"/>
    <cellStyle name="Normal 7 3 3 9 3" xfId="15213"/>
    <cellStyle name="Normal 7 3 4" xfId="397"/>
    <cellStyle name="Normal 7 3 4 10" xfId="1675"/>
    <cellStyle name="Normal 7 3 4 10 2" xfId="7221"/>
    <cellStyle name="Normal 7 3 4 10 3" xfId="12760"/>
    <cellStyle name="Normal 7 3 4 11" xfId="6016"/>
    <cellStyle name="Normal 7 3 4 11 2" xfId="17094"/>
    <cellStyle name="Normal 7 3 4 12" xfId="660"/>
    <cellStyle name="Normal 7 3 4 12 2" xfId="17256"/>
    <cellStyle name="Normal 7 3 4 13" xfId="11555"/>
    <cellStyle name="Normal 7 3 4 14" xfId="17423"/>
    <cellStyle name="Normal 7 3 4 15" xfId="17588"/>
    <cellStyle name="Normal 7 3 4 2" xfId="398"/>
    <cellStyle name="Normal 7 3 4 2 10" xfId="6106"/>
    <cellStyle name="Normal 7 3 4 2 10 2" xfId="17184"/>
    <cellStyle name="Normal 7 3 4 2 11" xfId="750"/>
    <cellStyle name="Normal 7 3 4 2 11 2" xfId="17346"/>
    <cellStyle name="Normal 7 3 4 2 12" xfId="11645"/>
    <cellStyle name="Normal 7 3 4 2 13" xfId="17513"/>
    <cellStyle name="Normal 7 3 4 2 14" xfId="17678"/>
    <cellStyle name="Normal 7 3 4 2 2" xfId="597"/>
    <cellStyle name="Normal 7 3 4 2 2 2" xfId="1438"/>
    <cellStyle name="Normal 7 3 4 2 2 2 2" xfId="3970"/>
    <cellStyle name="Normal 7 3 4 2 2 2 2 2" xfId="9512"/>
    <cellStyle name="Normal 7 3 4 2 2 2 2 3" xfId="15051"/>
    <cellStyle name="Normal 7 3 4 2 2 2 3" xfId="5007"/>
    <cellStyle name="Normal 7 3 4 2 2 2 3 2" xfId="10546"/>
    <cellStyle name="Normal 7 3 4 2 2 2 3 3" xfId="16085"/>
    <cellStyle name="Normal 7 3 4 2 2 2 4" xfId="5941"/>
    <cellStyle name="Normal 7 3 4 2 2 2 4 2" xfId="11480"/>
    <cellStyle name="Normal 7 3 4 2 2 2 4 3" xfId="17019"/>
    <cellStyle name="Normal 7 3 4 2 2 2 5" xfId="2643"/>
    <cellStyle name="Normal 7 3 4 2 2 2 5 2" xfId="8189"/>
    <cellStyle name="Normal 7 3 4 2 2 2 5 3" xfId="13728"/>
    <cellStyle name="Normal 7 3 4 2 2 2 6" xfId="6984"/>
    <cellStyle name="Normal 7 3 4 2 2 2 7" xfId="12523"/>
    <cellStyle name="Normal 7 3 4 2 2 3" xfId="1081"/>
    <cellStyle name="Normal 7 3 4 2 2 3 2" xfId="3611"/>
    <cellStyle name="Normal 7 3 4 2 2 3 2 2" xfId="9153"/>
    <cellStyle name="Normal 7 3 4 2 2 3 2 3" xfId="14692"/>
    <cellStyle name="Normal 7 3 4 2 2 3 3" xfId="4648"/>
    <cellStyle name="Normal 7 3 4 2 2 3 3 2" xfId="10187"/>
    <cellStyle name="Normal 7 3 4 2 2 3 3 3" xfId="15726"/>
    <cellStyle name="Normal 7 3 4 2 2 3 4" xfId="5583"/>
    <cellStyle name="Normal 7 3 4 2 2 3 4 2" xfId="11122"/>
    <cellStyle name="Normal 7 3 4 2 2 3 4 3" xfId="16661"/>
    <cellStyle name="Normal 7 3 4 2 2 3 5" xfId="2285"/>
    <cellStyle name="Normal 7 3 4 2 2 3 5 2" xfId="7831"/>
    <cellStyle name="Normal 7 3 4 2 2 3 5 3" xfId="13370"/>
    <cellStyle name="Normal 7 3 4 2 2 3 6" xfId="6626"/>
    <cellStyle name="Normal 7 3 4 2 2 3 7" xfId="12165"/>
    <cellStyle name="Normal 7 3 4 2 2 4" xfId="3256"/>
    <cellStyle name="Normal 7 3 4 2 2 4 2" xfId="8798"/>
    <cellStyle name="Normal 7 3 4 2 2 4 3" xfId="14337"/>
    <cellStyle name="Normal 7 3 4 2 2 5" xfId="4295"/>
    <cellStyle name="Normal 7 3 4 2 2 5 2" xfId="9834"/>
    <cellStyle name="Normal 7 3 4 2 2 5 3" xfId="15373"/>
    <cellStyle name="Normal 7 3 4 2 2 6" xfId="5256"/>
    <cellStyle name="Normal 7 3 4 2 2 6 2" xfId="10795"/>
    <cellStyle name="Normal 7 3 4 2 2 6 3" xfId="16334"/>
    <cellStyle name="Normal 7 3 4 2 2 7" xfId="1958"/>
    <cellStyle name="Normal 7 3 4 2 2 7 2" xfId="7504"/>
    <cellStyle name="Normal 7 3 4 2 2 7 3" xfId="13043"/>
    <cellStyle name="Normal 7 3 4 2 2 8" xfId="6299"/>
    <cellStyle name="Normal 7 3 4 2 2 9" xfId="11838"/>
    <cellStyle name="Normal 7 3 4 2 3" xfId="1258"/>
    <cellStyle name="Normal 7 3 4 2 3 2" xfId="3788"/>
    <cellStyle name="Normal 7 3 4 2 3 2 2" xfId="9330"/>
    <cellStyle name="Normal 7 3 4 2 3 2 3" xfId="14869"/>
    <cellStyle name="Normal 7 3 4 2 3 3" xfId="4825"/>
    <cellStyle name="Normal 7 3 4 2 3 3 2" xfId="10364"/>
    <cellStyle name="Normal 7 3 4 2 3 3 3" xfId="15903"/>
    <cellStyle name="Normal 7 3 4 2 3 4" xfId="5760"/>
    <cellStyle name="Normal 7 3 4 2 3 4 2" xfId="11299"/>
    <cellStyle name="Normal 7 3 4 2 3 4 3" xfId="16838"/>
    <cellStyle name="Normal 7 3 4 2 3 5" xfId="2462"/>
    <cellStyle name="Normal 7 3 4 2 3 5 2" xfId="8008"/>
    <cellStyle name="Normal 7 3 4 2 3 5 3" xfId="13547"/>
    <cellStyle name="Normal 7 3 4 2 3 6" xfId="6803"/>
    <cellStyle name="Normal 7 3 4 2 3 7" xfId="12342"/>
    <cellStyle name="Normal 7 3 4 2 4" xfId="928"/>
    <cellStyle name="Normal 7 3 4 2 4 2" xfId="3458"/>
    <cellStyle name="Normal 7 3 4 2 4 2 2" xfId="9000"/>
    <cellStyle name="Normal 7 3 4 2 4 2 3" xfId="14539"/>
    <cellStyle name="Normal 7 3 4 2 4 3" xfId="4495"/>
    <cellStyle name="Normal 7 3 4 2 4 3 2" xfId="10034"/>
    <cellStyle name="Normal 7 3 4 2 4 3 3" xfId="15573"/>
    <cellStyle name="Normal 7 3 4 2 4 4" xfId="5430"/>
    <cellStyle name="Normal 7 3 4 2 4 4 2" xfId="10969"/>
    <cellStyle name="Normal 7 3 4 2 4 4 3" xfId="16508"/>
    <cellStyle name="Normal 7 3 4 2 4 5" xfId="2132"/>
    <cellStyle name="Normal 7 3 4 2 4 5 2" xfId="7678"/>
    <cellStyle name="Normal 7 3 4 2 4 5 3" xfId="13217"/>
    <cellStyle name="Normal 7 3 4 2 4 6" xfId="6473"/>
    <cellStyle name="Normal 7 3 4 2 4 7" xfId="12012"/>
    <cellStyle name="Normal 7 3 4 2 5" xfId="1603"/>
    <cellStyle name="Normal 7 3 4 2 5 2" xfId="2808"/>
    <cellStyle name="Normal 7 3 4 2 5 2 2" xfId="8354"/>
    <cellStyle name="Normal 7 3 4 2 5 2 3" xfId="13893"/>
    <cellStyle name="Normal 7 3 4 2 5 3" xfId="7149"/>
    <cellStyle name="Normal 7 3 4 2 5 4" xfId="12688"/>
    <cellStyle name="Normal 7 3 4 2 6" xfId="2981"/>
    <cellStyle name="Normal 7 3 4 2 6 2" xfId="8525"/>
    <cellStyle name="Normal 7 3 4 2 6 3" xfId="14064"/>
    <cellStyle name="Normal 7 3 4 2 7" xfId="4026"/>
    <cellStyle name="Normal 7 3 4 2 7 2" xfId="9568"/>
    <cellStyle name="Normal 7 3 4 2 7 3" xfId="15107"/>
    <cellStyle name="Normal 7 3 4 2 8" xfId="5063"/>
    <cellStyle name="Normal 7 3 4 2 8 2" xfId="10602"/>
    <cellStyle name="Normal 7 3 4 2 8 3" xfId="16141"/>
    <cellStyle name="Normal 7 3 4 2 9" xfId="1765"/>
    <cellStyle name="Normal 7 3 4 2 9 2" xfId="7311"/>
    <cellStyle name="Normal 7 3 4 2 9 3" xfId="12850"/>
    <cellStyle name="Normal 7 3 4 3" xfId="596"/>
    <cellStyle name="Normal 7 3 4 3 2" xfId="1437"/>
    <cellStyle name="Normal 7 3 4 3 2 2" xfId="3969"/>
    <cellStyle name="Normal 7 3 4 3 2 2 2" xfId="9511"/>
    <cellStyle name="Normal 7 3 4 3 2 2 3" xfId="15050"/>
    <cellStyle name="Normal 7 3 4 3 2 3" xfId="5006"/>
    <cellStyle name="Normal 7 3 4 3 2 3 2" xfId="10545"/>
    <cellStyle name="Normal 7 3 4 3 2 3 3" xfId="16084"/>
    <cellStyle name="Normal 7 3 4 3 2 4" xfId="5940"/>
    <cellStyle name="Normal 7 3 4 3 2 4 2" xfId="11479"/>
    <cellStyle name="Normal 7 3 4 3 2 4 3" xfId="17018"/>
    <cellStyle name="Normal 7 3 4 3 2 5" xfId="2642"/>
    <cellStyle name="Normal 7 3 4 3 2 5 2" xfId="8188"/>
    <cellStyle name="Normal 7 3 4 3 2 5 3" xfId="13727"/>
    <cellStyle name="Normal 7 3 4 3 2 6" xfId="6983"/>
    <cellStyle name="Normal 7 3 4 3 2 7" xfId="12522"/>
    <cellStyle name="Normal 7 3 4 3 3" xfId="991"/>
    <cellStyle name="Normal 7 3 4 3 3 2" xfId="3521"/>
    <cellStyle name="Normal 7 3 4 3 3 2 2" xfId="9063"/>
    <cellStyle name="Normal 7 3 4 3 3 2 3" xfId="14602"/>
    <cellStyle name="Normal 7 3 4 3 3 3" xfId="4558"/>
    <cellStyle name="Normal 7 3 4 3 3 3 2" xfId="10097"/>
    <cellStyle name="Normal 7 3 4 3 3 3 3" xfId="15636"/>
    <cellStyle name="Normal 7 3 4 3 3 4" xfId="5493"/>
    <cellStyle name="Normal 7 3 4 3 3 4 2" xfId="11032"/>
    <cellStyle name="Normal 7 3 4 3 3 4 3" xfId="16571"/>
    <cellStyle name="Normal 7 3 4 3 3 5" xfId="2195"/>
    <cellStyle name="Normal 7 3 4 3 3 5 2" xfId="7741"/>
    <cellStyle name="Normal 7 3 4 3 3 5 3" xfId="13280"/>
    <cellStyle name="Normal 7 3 4 3 3 6" xfId="6536"/>
    <cellStyle name="Normal 7 3 4 3 3 7" xfId="12075"/>
    <cellStyle name="Normal 7 3 4 3 4" xfId="3255"/>
    <cellStyle name="Normal 7 3 4 3 4 2" xfId="8797"/>
    <cellStyle name="Normal 7 3 4 3 4 3" xfId="14336"/>
    <cellStyle name="Normal 7 3 4 3 5" xfId="4294"/>
    <cellStyle name="Normal 7 3 4 3 5 2" xfId="9833"/>
    <cellStyle name="Normal 7 3 4 3 5 3" xfId="15372"/>
    <cellStyle name="Normal 7 3 4 3 6" xfId="5255"/>
    <cellStyle name="Normal 7 3 4 3 6 2" xfId="10794"/>
    <cellStyle name="Normal 7 3 4 3 6 3" xfId="16333"/>
    <cellStyle name="Normal 7 3 4 3 7" xfId="1957"/>
    <cellStyle name="Normal 7 3 4 3 7 2" xfId="7503"/>
    <cellStyle name="Normal 7 3 4 3 7 3" xfId="13042"/>
    <cellStyle name="Normal 7 3 4 3 8" xfId="6298"/>
    <cellStyle name="Normal 7 3 4 3 9" xfId="11837"/>
    <cellStyle name="Normal 7 3 4 4" xfId="1168"/>
    <cellStyle name="Normal 7 3 4 4 2" xfId="3698"/>
    <cellStyle name="Normal 7 3 4 4 2 2" xfId="9240"/>
    <cellStyle name="Normal 7 3 4 4 2 3" xfId="14779"/>
    <cellStyle name="Normal 7 3 4 4 3" xfId="4735"/>
    <cellStyle name="Normal 7 3 4 4 3 2" xfId="10274"/>
    <cellStyle name="Normal 7 3 4 4 3 3" xfId="15813"/>
    <cellStyle name="Normal 7 3 4 4 4" xfId="5670"/>
    <cellStyle name="Normal 7 3 4 4 4 2" xfId="11209"/>
    <cellStyle name="Normal 7 3 4 4 4 3" xfId="16748"/>
    <cellStyle name="Normal 7 3 4 4 5" xfId="2372"/>
    <cellStyle name="Normal 7 3 4 4 5 2" xfId="7918"/>
    <cellStyle name="Normal 7 3 4 4 5 3" xfId="13457"/>
    <cellStyle name="Normal 7 3 4 4 6" xfId="6713"/>
    <cellStyle name="Normal 7 3 4 4 7" xfId="12252"/>
    <cellStyle name="Normal 7 3 4 5" xfId="927"/>
    <cellStyle name="Normal 7 3 4 5 2" xfId="3457"/>
    <cellStyle name="Normal 7 3 4 5 2 2" xfId="8999"/>
    <cellStyle name="Normal 7 3 4 5 2 3" xfId="14538"/>
    <cellStyle name="Normal 7 3 4 5 3" xfId="4494"/>
    <cellStyle name="Normal 7 3 4 5 3 2" xfId="10033"/>
    <cellStyle name="Normal 7 3 4 5 3 3" xfId="15572"/>
    <cellStyle name="Normal 7 3 4 5 4" xfId="5429"/>
    <cellStyle name="Normal 7 3 4 5 4 2" xfId="10968"/>
    <cellStyle name="Normal 7 3 4 5 4 3" xfId="16507"/>
    <cellStyle name="Normal 7 3 4 5 5" xfId="2131"/>
    <cellStyle name="Normal 7 3 4 5 5 2" xfId="7677"/>
    <cellStyle name="Normal 7 3 4 5 5 3" xfId="13216"/>
    <cellStyle name="Normal 7 3 4 5 6" xfId="6472"/>
    <cellStyle name="Normal 7 3 4 5 7" xfId="12011"/>
    <cellStyle name="Normal 7 3 4 6" xfId="1513"/>
    <cellStyle name="Normal 7 3 4 6 2" xfId="2718"/>
    <cellStyle name="Normal 7 3 4 6 2 2" xfId="8264"/>
    <cellStyle name="Normal 7 3 4 6 2 3" xfId="13803"/>
    <cellStyle name="Normal 7 3 4 6 3" xfId="7059"/>
    <cellStyle name="Normal 7 3 4 6 4" xfId="12598"/>
    <cellStyle name="Normal 7 3 4 7" xfId="2891"/>
    <cellStyle name="Normal 7 3 4 7 2" xfId="8435"/>
    <cellStyle name="Normal 7 3 4 7 3" xfId="13974"/>
    <cellStyle name="Normal 7 3 4 8" xfId="3095"/>
    <cellStyle name="Normal 7 3 4 8 2" xfId="8638"/>
    <cellStyle name="Normal 7 3 4 8 3" xfId="14177"/>
    <cellStyle name="Normal 7 3 4 9" xfId="4138"/>
    <cellStyle name="Normal 7 3 4 9 2" xfId="9679"/>
    <cellStyle name="Normal 7 3 4 9 3" xfId="15218"/>
    <cellStyle name="Normal 7 3 5" xfId="399"/>
    <cellStyle name="Normal 7 3 5 10" xfId="1711"/>
    <cellStyle name="Normal 7 3 5 10 2" xfId="7257"/>
    <cellStyle name="Normal 7 3 5 10 3" xfId="12796"/>
    <cellStyle name="Normal 7 3 5 11" xfId="6052"/>
    <cellStyle name="Normal 7 3 5 11 2" xfId="17130"/>
    <cellStyle name="Normal 7 3 5 12" xfId="696"/>
    <cellStyle name="Normal 7 3 5 12 2" xfId="17292"/>
    <cellStyle name="Normal 7 3 5 13" xfId="11591"/>
    <cellStyle name="Normal 7 3 5 14" xfId="17459"/>
    <cellStyle name="Normal 7 3 5 15" xfId="17624"/>
    <cellStyle name="Normal 7 3 5 2" xfId="400"/>
    <cellStyle name="Normal 7 3 5 2 10" xfId="6088"/>
    <cellStyle name="Normal 7 3 5 2 10 2" xfId="17166"/>
    <cellStyle name="Normal 7 3 5 2 11" xfId="732"/>
    <cellStyle name="Normal 7 3 5 2 11 2" xfId="17328"/>
    <cellStyle name="Normal 7 3 5 2 12" xfId="11627"/>
    <cellStyle name="Normal 7 3 5 2 13" xfId="17495"/>
    <cellStyle name="Normal 7 3 5 2 14" xfId="17660"/>
    <cellStyle name="Normal 7 3 5 2 2" xfId="599"/>
    <cellStyle name="Normal 7 3 5 2 2 2" xfId="1440"/>
    <cellStyle name="Normal 7 3 5 2 2 2 2" xfId="3972"/>
    <cellStyle name="Normal 7 3 5 2 2 2 2 2" xfId="9514"/>
    <cellStyle name="Normal 7 3 5 2 2 2 2 3" xfId="15053"/>
    <cellStyle name="Normal 7 3 5 2 2 2 3" xfId="5009"/>
    <cellStyle name="Normal 7 3 5 2 2 2 3 2" xfId="10548"/>
    <cellStyle name="Normal 7 3 5 2 2 2 3 3" xfId="16087"/>
    <cellStyle name="Normal 7 3 5 2 2 2 4" xfId="5943"/>
    <cellStyle name="Normal 7 3 5 2 2 2 4 2" xfId="11482"/>
    <cellStyle name="Normal 7 3 5 2 2 2 4 3" xfId="17021"/>
    <cellStyle name="Normal 7 3 5 2 2 2 5" xfId="2645"/>
    <cellStyle name="Normal 7 3 5 2 2 2 5 2" xfId="8191"/>
    <cellStyle name="Normal 7 3 5 2 2 2 5 3" xfId="13730"/>
    <cellStyle name="Normal 7 3 5 2 2 2 6" xfId="6986"/>
    <cellStyle name="Normal 7 3 5 2 2 2 7" xfId="12525"/>
    <cellStyle name="Normal 7 3 5 2 2 3" xfId="1063"/>
    <cellStyle name="Normal 7 3 5 2 2 3 2" xfId="3593"/>
    <cellStyle name="Normal 7 3 5 2 2 3 2 2" xfId="9135"/>
    <cellStyle name="Normal 7 3 5 2 2 3 2 3" xfId="14674"/>
    <cellStyle name="Normal 7 3 5 2 2 3 3" xfId="4630"/>
    <cellStyle name="Normal 7 3 5 2 2 3 3 2" xfId="10169"/>
    <cellStyle name="Normal 7 3 5 2 2 3 3 3" xfId="15708"/>
    <cellStyle name="Normal 7 3 5 2 2 3 4" xfId="5565"/>
    <cellStyle name="Normal 7 3 5 2 2 3 4 2" xfId="11104"/>
    <cellStyle name="Normal 7 3 5 2 2 3 4 3" xfId="16643"/>
    <cellStyle name="Normal 7 3 5 2 2 3 5" xfId="2267"/>
    <cellStyle name="Normal 7 3 5 2 2 3 5 2" xfId="7813"/>
    <cellStyle name="Normal 7 3 5 2 2 3 5 3" xfId="13352"/>
    <cellStyle name="Normal 7 3 5 2 2 3 6" xfId="6608"/>
    <cellStyle name="Normal 7 3 5 2 2 3 7" xfId="12147"/>
    <cellStyle name="Normal 7 3 5 2 2 4" xfId="3258"/>
    <cellStyle name="Normal 7 3 5 2 2 4 2" xfId="8800"/>
    <cellStyle name="Normal 7 3 5 2 2 4 3" xfId="14339"/>
    <cellStyle name="Normal 7 3 5 2 2 5" xfId="4297"/>
    <cellStyle name="Normal 7 3 5 2 2 5 2" xfId="9836"/>
    <cellStyle name="Normal 7 3 5 2 2 5 3" xfId="15375"/>
    <cellStyle name="Normal 7 3 5 2 2 6" xfId="5258"/>
    <cellStyle name="Normal 7 3 5 2 2 6 2" xfId="10797"/>
    <cellStyle name="Normal 7 3 5 2 2 6 3" xfId="16336"/>
    <cellStyle name="Normal 7 3 5 2 2 7" xfId="1960"/>
    <cellStyle name="Normal 7 3 5 2 2 7 2" xfId="7506"/>
    <cellStyle name="Normal 7 3 5 2 2 7 3" xfId="13045"/>
    <cellStyle name="Normal 7 3 5 2 2 8" xfId="6301"/>
    <cellStyle name="Normal 7 3 5 2 2 9" xfId="11840"/>
    <cellStyle name="Normal 7 3 5 2 3" xfId="1240"/>
    <cellStyle name="Normal 7 3 5 2 3 2" xfId="3770"/>
    <cellStyle name="Normal 7 3 5 2 3 2 2" xfId="9312"/>
    <cellStyle name="Normal 7 3 5 2 3 2 3" xfId="14851"/>
    <cellStyle name="Normal 7 3 5 2 3 3" xfId="4807"/>
    <cellStyle name="Normal 7 3 5 2 3 3 2" xfId="10346"/>
    <cellStyle name="Normal 7 3 5 2 3 3 3" xfId="15885"/>
    <cellStyle name="Normal 7 3 5 2 3 4" xfId="5742"/>
    <cellStyle name="Normal 7 3 5 2 3 4 2" xfId="11281"/>
    <cellStyle name="Normal 7 3 5 2 3 4 3" xfId="16820"/>
    <cellStyle name="Normal 7 3 5 2 3 5" xfId="2444"/>
    <cellStyle name="Normal 7 3 5 2 3 5 2" xfId="7990"/>
    <cellStyle name="Normal 7 3 5 2 3 5 3" xfId="13529"/>
    <cellStyle name="Normal 7 3 5 2 3 6" xfId="6785"/>
    <cellStyle name="Normal 7 3 5 2 3 7" xfId="12324"/>
    <cellStyle name="Normal 7 3 5 2 4" xfId="930"/>
    <cellStyle name="Normal 7 3 5 2 4 2" xfId="3460"/>
    <cellStyle name="Normal 7 3 5 2 4 2 2" xfId="9002"/>
    <cellStyle name="Normal 7 3 5 2 4 2 3" xfId="14541"/>
    <cellStyle name="Normal 7 3 5 2 4 3" xfId="4497"/>
    <cellStyle name="Normal 7 3 5 2 4 3 2" xfId="10036"/>
    <cellStyle name="Normal 7 3 5 2 4 3 3" xfId="15575"/>
    <cellStyle name="Normal 7 3 5 2 4 4" xfId="5432"/>
    <cellStyle name="Normal 7 3 5 2 4 4 2" xfId="10971"/>
    <cellStyle name="Normal 7 3 5 2 4 4 3" xfId="16510"/>
    <cellStyle name="Normal 7 3 5 2 4 5" xfId="2134"/>
    <cellStyle name="Normal 7 3 5 2 4 5 2" xfId="7680"/>
    <cellStyle name="Normal 7 3 5 2 4 5 3" xfId="13219"/>
    <cellStyle name="Normal 7 3 5 2 4 6" xfId="6475"/>
    <cellStyle name="Normal 7 3 5 2 4 7" xfId="12014"/>
    <cellStyle name="Normal 7 3 5 2 5" xfId="1585"/>
    <cellStyle name="Normal 7 3 5 2 5 2" xfId="2790"/>
    <cellStyle name="Normal 7 3 5 2 5 2 2" xfId="8336"/>
    <cellStyle name="Normal 7 3 5 2 5 2 3" xfId="13875"/>
    <cellStyle name="Normal 7 3 5 2 5 3" xfId="7131"/>
    <cellStyle name="Normal 7 3 5 2 5 4" xfId="12670"/>
    <cellStyle name="Normal 7 3 5 2 6" xfId="2963"/>
    <cellStyle name="Normal 7 3 5 2 6 2" xfId="8507"/>
    <cellStyle name="Normal 7 3 5 2 6 3" xfId="14046"/>
    <cellStyle name="Normal 7 3 5 2 7" xfId="4008"/>
    <cellStyle name="Normal 7 3 5 2 7 2" xfId="9550"/>
    <cellStyle name="Normal 7 3 5 2 7 3" xfId="15089"/>
    <cellStyle name="Normal 7 3 5 2 8" xfId="5045"/>
    <cellStyle name="Normal 7 3 5 2 8 2" xfId="10584"/>
    <cellStyle name="Normal 7 3 5 2 8 3" xfId="16123"/>
    <cellStyle name="Normal 7 3 5 2 9" xfId="1747"/>
    <cellStyle name="Normal 7 3 5 2 9 2" xfId="7293"/>
    <cellStyle name="Normal 7 3 5 2 9 3" xfId="12832"/>
    <cellStyle name="Normal 7 3 5 3" xfId="598"/>
    <cellStyle name="Normal 7 3 5 3 2" xfId="1439"/>
    <cellStyle name="Normal 7 3 5 3 2 2" xfId="3971"/>
    <cellStyle name="Normal 7 3 5 3 2 2 2" xfId="9513"/>
    <cellStyle name="Normal 7 3 5 3 2 2 3" xfId="15052"/>
    <cellStyle name="Normal 7 3 5 3 2 3" xfId="5008"/>
    <cellStyle name="Normal 7 3 5 3 2 3 2" xfId="10547"/>
    <cellStyle name="Normal 7 3 5 3 2 3 3" xfId="16086"/>
    <cellStyle name="Normal 7 3 5 3 2 4" xfId="5942"/>
    <cellStyle name="Normal 7 3 5 3 2 4 2" xfId="11481"/>
    <cellStyle name="Normal 7 3 5 3 2 4 3" xfId="17020"/>
    <cellStyle name="Normal 7 3 5 3 2 5" xfId="2644"/>
    <cellStyle name="Normal 7 3 5 3 2 5 2" xfId="8190"/>
    <cellStyle name="Normal 7 3 5 3 2 5 3" xfId="13729"/>
    <cellStyle name="Normal 7 3 5 3 2 6" xfId="6985"/>
    <cellStyle name="Normal 7 3 5 3 2 7" xfId="12524"/>
    <cellStyle name="Normal 7 3 5 3 3" xfId="1027"/>
    <cellStyle name="Normal 7 3 5 3 3 2" xfId="3557"/>
    <cellStyle name="Normal 7 3 5 3 3 2 2" xfId="9099"/>
    <cellStyle name="Normal 7 3 5 3 3 2 3" xfId="14638"/>
    <cellStyle name="Normal 7 3 5 3 3 3" xfId="4594"/>
    <cellStyle name="Normal 7 3 5 3 3 3 2" xfId="10133"/>
    <cellStyle name="Normal 7 3 5 3 3 3 3" xfId="15672"/>
    <cellStyle name="Normal 7 3 5 3 3 4" xfId="5529"/>
    <cellStyle name="Normal 7 3 5 3 3 4 2" xfId="11068"/>
    <cellStyle name="Normal 7 3 5 3 3 4 3" xfId="16607"/>
    <cellStyle name="Normal 7 3 5 3 3 5" xfId="2231"/>
    <cellStyle name="Normal 7 3 5 3 3 5 2" xfId="7777"/>
    <cellStyle name="Normal 7 3 5 3 3 5 3" xfId="13316"/>
    <cellStyle name="Normal 7 3 5 3 3 6" xfId="6572"/>
    <cellStyle name="Normal 7 3 5 3 3 7" xfId="12111"/>
    <cellStyle name="Normal 7 3 5 3 4" xfId="3257"/>
    <cellStyle name="Normal 7 3 5 3 4 2" xfId="8799"/>
    <cellStyle name="Normal 7 3 5 3 4 3" xfId="14338"/>
    <cellStyle name="Normal 7 3 5 3 5" xfId="4296"/>
    <cellStyle name="Normal 7 3 5 3 5 2" xfId="9835"/>
    <cellStyle name="Normal 7 3 5 3 5 3" xfId="15374"/>
    <cellStyle name="Normal 7 3 5 3 6" xfId="5257"/>
    <cellStyle name="Normal 7 3 5 3 6 2" xfId="10796"/>
    <cellStyle name="Normal 7 3 5 3 6 3" xfId="16335"/>
    <cellStyle name="Normal 7 3 5 3 7" xfId="1959"/>
    <cellStyle name="Normal 7 3 5 3 7 2" xfId="7505"/>
    <cellStyle name="Normal 7 3 5 3 7 3" xfId="13044"/>
    <cellStyle name="Normal 7 3 5 3 8" xfId="6300"/>
    <cellStyle name="Normal 7 3 5 3 9" xfId="11839"/>
    <cellStyle name="Normal 7 3 5 4" xfId="1204"/>
    <cellStyle name="Normal 7 3 5 4 2" xfId="3734"/>
    <cellStyle name="Normal 7 3 5 4 2 2" xfId="9276"/>
    <cellStyle name="Normal 7 3 5 4 2 3" xfId="14815"/>
    <cellStyle name="Normal 7 3 5 4 3" xfId="4771"/>
    <cellStyle name="Normal 7 3 5 4 3 2" xfId="10310"/>
    <cellStyle name="Normal 7 3 5 4 3 3" xfId="15849"/>
    <cellStyle name="Normal 7 3 5 4 4" xfId="5706"/>
    <cellStyle name="Normal 7 3 5 4 4 2" xfId="11245"/>
    <cellStyle name="Normal 7 3 5 4 4 3" xfId="16784"/>
    <cellStyle name="Normal 7 3 5 4 5" xfId="2408"/>
    <cellStyle name="Normal 7 3 5 4 5 2" xfId="7954"/>
    <cellStyle name="Normal 7 3 5 4 5 3" xfId="13493"/>
    <cellStyle name="Normal 7 3 5 4 6" xfId="6749"/>
    <cellStyle name="Normal 7 3 5 4 7" xfId="12288"/>
    <cellStyle name="Normal 7 3 5 5" xfId="929"/>
    <cellStyle name="Normal 7 3 5 5 2" xfId="3459"/>
    <cellStyle name="Normal 7 3 5 5 2 2" xfId="9001"/>
    <cellStyle name="Normal 7 3 5 5 2 3" xfId="14540"/>
    <cellStyle name="Normal 7 3 5 5 3" xfId="4496"/>
    <cellStyle name="Normal 7 3 5 5 3 2" xfId="10035"/>
    <cellStyle name="Normal 7 3 5 5 3 3" xfId="15574"/>
    <cellStyle name="Normal 7 3 5 5 4" xfId="5431"/>
    <cellStyle name="Normal 7 3 5 5 4 2" xfId="10970"/>
    <cellStyle name="Normal 7 3 5 5 4 3" xfId="16509"/>
    <cellStyle name="Normal 7 3 5 5 5" xfId="2133"/>
    <cellStyle name="Normal 7 3 5 5 5 2" xfId="7679"/>
    <cellStyle name="Normal 7 3 5 5 5 3" xfId="13218"/>
    <cellStyle name="Normal 7 3 5 5 6" xfId="6474"/>
    <cellStyle name="Normal 7 3 5 5 7" xfId="12013"/>
    <cellStyle name="Normal 7 3 5 6" xfId="1549"/>
    <cellStyle name="Normal 7 3 5 6 2" xfId="2754"/>
    <cellStyle name="Normal 7 3 5 6 2 2" xfId="8300"/>
    <cellStyle name="Normal 7 3 5 6 2 3" xfId="13839"/>
    <cellStyle name="Normal 7 3 5 6 3" xfId="7095"/>
    <cellStyle name="Normal 7 3 5 6 4" xfId="12634"/>
    <cellStyle name="Normal 7 3 5 7" xfId="2927"/>
    <cellStyle name="Normal 7 3 5 7 2" xfId="8471"/>
    <cellStyle name="Normal 7 3 5 7 3" xfId="14010"/>
    <cellStyle name="Normal 7 3 5 8" xfId="3081"/>
    <cellStyle name="Normal 7 3 5 8 2" xfId="8624"/>
    <cellStyle name="Normal 7 3 5 8 3" xfId="14163"/>
    <cellStyle name="Normal 7 3 5 9" xfId="4124"/>
    <cellStyle name="Normal 7 3 5 9 2" xfId="9665"/>
    <cellStyle name="Normal 7 3 5 9 3" xfId="15204"/>
    <cellStyle name="Normal 7 3 6" xfId="401"/>
    <cellStyle name="Normal 7 3 6 10" xfId="6070"/>
    <cellStyle name="Normal 7 3 6 10 2" xfId="17148"/>
    <cellStyle name="Normal 7 3 6 11" xfId="714"/>
    <cellStyle name="Normal 7 3 6 11 2" xfId="17310"/>
    <cellStyle name="Normal 7 3 6 12" xfId="11609"/>
    <cellStyle name="Normal 7 3 6 13" xfId="17477"/>
    <cellStyle name="Normal 7 3 6 14" xfId="17642"/>
    <cellStyle name="Normal 7 3 6 2" xfId="600"/>
    <cellStyle name="Normal 7 3 6 2 2" xfId="1441"/>
    <cellStyle name="Normal 7 3 6 2 2 2" xfId="3973"/>
    <cellStyle name="Normal 7 3 6 2 2 2 2" xfId="9515"/>
    <cellStyle name="Normal 7 3 6 2 2 2 3" xfId="15054"/>
    <cellStyle name="Normal 7 3 6 2 2 3" xfId="5010"/>
    <cellStyle name="Normal 7 3 6 2 2 3 2" xfId="10549"/>
    <cellStyle name="Normal 7 3 6 2 2 3 3" xfId="16088"/>
    <cellStyle name="Normal 7 3 6 2 2 4" xfId="5944"/>
    <cellStyle name="Normal 7 3 6 2 2 4 2" xfId="11483"/>
    <cellStyle name="Normal 7 3 6 2 2 4 3" xfId="17022"/>
    <cellStyle name="Normal 7 3 6 2 2 5" xfId="2646"/>
    <cellStyle name="Normal 7 3 6 2 2 5 2" xfId="8192"/>
    <cellStyle name="Normal 7 3 6 2 2 5 3" xfId="13731"/>
    <cellStyle name="Normal 7 3 6 2 2 6" xfId="6987"/>
    <cellStyle name="Normal 7 3 6 2 2 7" xfId="12526"/>
    <cellStyle name="Normal 7 3 6 2 3" xfId="1045"/>
    <cellStyle name="Normal 7 3 6 2 3 2" xfId="3575"/>
    <cellStyle name="Normal 7 3 6 2 3 2 2" xfId="9117"/>
    <cellStyle name="Normal 7 3 6 2 3 2 3" xfId="14656"/>
    <cellStyle name="Normal 7 3 6 2 3 3" xfId="4612"/>
    <cellStyle name="Normal 7 3 6 2 3 3 2" xfId="10151"/>
    <cellStyle name="Normal 7 3 6 2 3 3 3" xfId="15690"/>
    <cellStyle name="Normal 7 3 6 2 3 4" xfId="5547"/>
    <cellStyle name="Normal 7 3 6 2 3 4 2" xfId="11086"/>
    <cellStyle name="Normal 7 3 6 2 3 4 3" xfId="16625"/>
    <cellStyle name="Normal 7 3 6 2 3 5" xfId="2249"/>
    <cellStyle name="Normal 7 3 6 2 3 5 2" xfId="7795"/>
    <cellStyle name="Normal 7 3 6 2 3 5 3" xfId="13334"/>
    <cellStyle name="Normal 7 3 6 2 3 6" xfId="6590"/>
    <cellStyle name="Normal 7 3 6 2 3 7" xfId="12129"/>
    <cellStyle name="Normal 7 3 6 2 4" xfId="3259"/>
    <cellStyle name="Normal 7 3 6 2 4 2" xfId="8801"/>
    <cellStyle name="Normal 7 3 6 2 4 3" xfId="14340"/>
    <cellStyle name="Normal 7 3 6 2 5" xfId="4298"/>
    <cellStyle name="Normal 7 3 6 2 5 2" xfId="9837"/>
    <cellStyle name="Normal 7 3 6 2 5 3" xfId="15376"/>
    <cellStyle name="Normal 7 3 6 2 6" xfId="5259"/>
    <cellStyle name="Normal 7 3 6 2 6 2" xfId="10798"/>
    <cellStyle name="Normal 7 3 6 2 6 3" xfId="16337"/>
    <cellStyle name="Normal 7 3 6 2 7" xfId="1961"/>
    <cellStyle name="Normal 7 3 6 2 7 2" xfId="7507"/>
    <cellStyle name="Normal 7 3 6 2 7 3" xfId="13046"/>
    <cellStyle name="Normal 7 3 6 2 8" xfId="6302"/>
    <cellStyle name="Normal 7 3 6 2 9" xfId="11841"/>
    <cellStyle name="Normal 7 3 6 3" xfId="1222"/>
    <cellStyle name="Normal 7 3 6 3 2" xfId="3752"/>
    <cellStyle name="Normal 7 3 6 3 2 2" xfId="9294"/>
    <cellStyle name="Normal 7 3 6 3 2 3" xfId="14833"/>
    <cellStyle name="Normal 7 3 6 3 3" xfId="4789"/>
    <cellStyle name="Normal 7 3 6 3 3 2" xfId="10328"/>
    <cellStyle name="Normal 7 3 6 3 3 3" xfId="15867"/>
    <cellStyle name="Normal 7 3 6 3 4" xfId="5724"/>
    <cellStyle name="Normal 7 3 6 3 4 2" xfId="11263"/>
    <cellStyle name="Normal 7 3 6 3 4 3" xfId="16802"/>
    <cellStyle name="Normal 7 3 6 3 5" xfId="2426"/>
    <cellStyle name="Normal 7 3 6 3 5 2" xfId="7972"/>
    <cellStyle name="Normal 7 3 6 3 5 3" xfId="13511"/>
    <cellStyle name="Normal 7 3 6 3 6" xfId="6767"/>
    <cellStyle name="Normal 7 3 6 3 7" xfId="12306"/>
    <cellStyle name="Normal 7 3 6 4" xfId="931"/>
    <cellStyle name="Normal 7 3 6 4 2" xfId="3461"/>
    <cellStyle name="Normal 7 3 6 4 2 2" xfId="9003"/>
    <cellStyle name="Normal 7 3 6 4 2 3" xfId="14542"/>
    <cellStyle name="Normal 7 3 6 4 3" xfId="4498"/>
    <cellStyle name="Normal 7 3 6 4 3 2" xfId="10037"/>
    <cellStyle name="Normal 7 3 6 4 3 3" xfId="15576"/>
    <cellStyle name="Normal 7 3 6 4 4" xfId="5433"/>
    <cellStyle name="Normal 7 3 6 4 4 2" xfId="10972"/>
    <cellStyle name="Normal 7 3 6 4 4 3" xfId="16511"/>
    <cellStyle name="Normal 7 3 6 4 5" xfId="2135"/>
    <cellStyle name="Normal 7 3 6 4 5 2" xfId="7681"/>
    <cellStyle name="Normal 7 3 6 4 5 3" xfId="13220"/>
    <cellStyle name="Normal 7 3 6 4 6" xfId="6476"/>
    <cellStyle name="Normal 7 3 6 4 7" xfId="12015"/>
    <cellStyle name="Normal 7 3 6 5" xfId="1567"/>
    <cellStyle name="Normal 7 3 6 5 2" xfId="2772"/>
    <cellStyle name="Normal 7 3 6 5 2 2" xfId="8318"/>
    <cellStyle name="Normal 7 3 6 5 2 3" xfId="13857"/>
    <cellStyle name="Normal 7 3 6 5 3" xfId="7113"/>
    <cellStyle name="Normal 7 3 6 5 4" xfId="12652"/>
    <cellStyle name="Normal 7 3 6 6" xfId="2945"/>
    <cellStyle name="Normal 7 3 6 6 2" xfId="8489"/>
    <cellStyle name="Normal 7 3 6 6 3" xfId="14028"/>
    <cellStyle name="Normal 7 3 6 7" xfId="3072"/>
    <cellStyle name="Normal 7 3 6 7 2" xfId="8615"/>
    <cellStyle name="Normal 7 3 6 7 3" xfId="14154"/>
    <cellStyle name="Normal 7 3 6 8" xfId="4115"/>
    <cellStyle name="Normal 7 3 6 8 2" xfId="9656"/>
    <cellStyle name="Normal 7 3 6 8 3" xfId="15195"/>
    <cellStyle name="Normal 7 3 6 9" xfId="1729"/>
    <cellStyle name="Normal 7 3 6 9 2" xfId="7275"/>
    <cellStyle name="Normal 7 3 6 9 3" xfId="12814"/>
    <cellStyle name="Normal 7 3 7" xfId="402"/>
    <cellStyle name="Normal 7 3 7 10" xfId="5998"/>
    <cellStyle name="Normal 7 3 7 10 2" xfId="17076"/>
    <cellStyle name="Normal 7 3 7 11" xfId="642"/>
    <cellStyle name="Normal 7 3 7 11 2" xfId="17238"/>
    <cellStyle name="Normal 7 3 7 12" xfId="11537"/>
    <cellStyle name="Normal 7 3 7 13" xfId="17405"/>
    <cellStyle name="Normal 7 3 7 14" xfId="17570"/>
    <cellStyle name="Normal 7 3 7 2" xfId="601"/>
    <cellStyle name="Normal 7 3 7 2 2" xfId="1442"/>
    <cellStyle name="Normal 7 3 7 2 2 2" xfId="3974"/>
    <cellStyle name="Normal 7 3 7 2 2 2 2" xfId="9516"/>
    <cellStyle name="Normal 7 3 7 2 2 2 3" xfId="15055"/>
    <cellStyle name="Normal 7 3 7 2 2 3" xfId="5011"/>
    <cellStyle name="Normal 7 3 7 2 2 3 2" xfId="10550"/>
    <cellStyle name="Normal 7 3 7 2 2 3 3" xfId="16089"/>
    <cellStyle name="Normal 7 3 7 2 2 4" xfId="5945"/>
    <cellStyle name="Normal 7 3 7 2 2 4 2" xfId="11484"/>
    <cellStyle name="Normal 7 3 7 2 2 4 3" xfId="17023"/>
    <cellStyle name="Normal 7 3 7 2 2 5" xfId="2647"/>
    <cellStyle name="Normal 7 3 7 2 2 5 2" xfId="8193"/>
    <cellStyle name="Normal 7 3 7 2 2 5 3" xfId="13732"/>
    <cellStyle name="Normal 7 3 7 2 2 6" xfId="6988"/>
    <cellStyle name="Normal 7 3 7 2 2 7" xfId="12527"/>
    <cellStyle name="Normal 7 3 7 2 3" xfId="973"/>
    <cellStyle name="Normal 7 3 7 2 3 2" xfId="3503"/>
    <cellStyle name="Normal 7 3 7 2 3 2 2" xfId="9045"/>
    <cellStyle name="Normal 7 3 7 2 3 2 3" xfId="14584"/>
    <cellStyle name="Normal 7 3 7 2 3 3" xfId="4540"/>
    <cellStyle name="Normal 7 3 7 2 3 3 2" xfId="10079"/>
    <cellStyle name="Normal 7 3 7 2 3 3 3" xfId="15618"/>
    <cellStyle name="Normal 7 3 7 2 3 4" xfId="5475"/>
    <cellStyle name="Normal 7 3 7 2 3 4 2" xfId="11014"/>
    <cellStyle name="Normal 7 3 7 2 3 4 3" xfId="16553"/>
    <cellStyle name="Normal 7 3 7 2 3 5" xfId="2177"/>
    <cellStyle name="Normal 7 3 7 2 3 5 2" xfId="7723"/>
    <cellStyle name="Normal 7 3 7 2 3 5 3" xfId="13262"/>
    <cellStyle name="Normal 7 3 7 2 3 6" xfId="6518"/>
    <cellStyle name="Normal 7 3 7 2 3 7" xfId="12057"/>
    <cellStyle name="Normal 7 3 7 2 4" xfId="3260"/>
    <cellStyle name="Normal 7 3 7 2 4 2" xfId="8802"/>
    <cellStyle name="Normal 7 3 7 2 4 3" xfId="14341"/>
    <cellStyle name="Normal 7 3 7 2 5" xfId="4299"/>
    <cellStyle name="Normal 7 3 7 2 5 2" xfId="9838"/>
    <cellStyle name="Normal 7 3 7 2 5 3" xfId="15377"/>
    <cellStyle name="Normal 7 3 7 2 6" xfId="5260"/>
    <cellStyle name="Normal 7 3 7 2 6 2" xfId="10799"/>
    <cellStyle name="Normal 7 3 7 2 6 3" xfId="16338"/>
    <cellStyle name="Normal 7 3 7 2 7" xfId="1962"/>
    <cellStyle name="Normal 7 3 7 2 7 2" xfId="7508"/>
    <cellStyle name="Normal 7 3 7 2 7 3" xfId="13047"/>
    <cellStyle name="Normal 7 3 7 2 8" xfId="6303"/>
    <cellStyle name="Normal 7 3 7 2 9" xfId="11842"/>
    <cellStyle name="Normal 7 3 7 3" xfId="1150"/>
    <cellStyle name="Normal 7 3 7 3 2" xfId="3680"/>
    <cellStyle name="Normal 7 3 7 3 2 2" xfId="9222"/>
    <cellStyle name="Normal 7 3 7 3 2 3" xfId="14761"/>
    <cellStyle name="Normal 7 3 7 3 3" xfId="4717"/>
    <cellStyle name="Normal 7 3 7 3 3 2" xfId="10256"/>
    <cellStyle name="Normal 7 3 7 3 3 3" xfId="15795"/>
    <cellStyle name="Normal 7 3 7 3 4" xfId="5652"/>
    <cellStyle name="Normal 7 3 7 3 4 2" xfId="11191"/>
    <cellStyle name="Normal 7 3 7 3 4 3" xfId="16730"/>
    <cellStyle name="Normal 7 3 7 3 5" xfId="2354"/>
    <cellStyle name="Normal 7 3 7 3 5 2" xfId="7900"/>
    <cellStyle name="Normal 7 3 7 3 5 3" xfId="13439"/>
    <cellStyle name="Normal 7 3 7 3 6" xfId="6695"/>
    <cellStyle name="Normal 7 3 7 3 7" xfId="12234"/>
    <cellStyle name="Normal 7 3 7 4" xfId="932"/>
    <cellStyle name="Normal 7 3 7 4 2" xfId="3462"/>
    <cellStyle name="Normal 7 3 7 4 2 2" xfId="9004"/>
    <cellStyle name="Normal 7 3 7 4 2 3" xfId="14543"/>
    <cellStyle name="Normal 7 3 7 4 3" xfId="4499"/>
    <cellStyle name="Normal 7 3 7 4 3 2" xfId="10038"/>
    <cellStyle name="Normal 7 3 7 4 3 3" xfId="15577"/>
    <cellStyle name="Normal 7 3 7 4 4" xfId="5434"/>
    <cellStyle name="Normal 7 3 7 4 4 2" xfId="10973"/>
    <cellStyle name="Normal 7 3 7 4 4 3" xfId="16512"/>
    <cellStyle name="Normal 7 3 7 4 5" xfId="2136"/>
    <cellStyle name="Normal 7 3 7 4 5 2" xfId="7682"/>
    <cellStyle name="Normal 7 3 7 4 5 3" xfId="13221"/>
    <cellStyle name="Normal 7 3 7 4 6" xfId="6477"/>
    <cellStyle name="Normal 7 3 7 4 7" xfId="12016"/>
    <cellStyle name="Normal 7 3 7 5" xfId="1495"/>
    <cellStyle name="Normal 7 3 7 5 2" xfId="2700"/>
    <cellStyle name="Normal 7 3 7 5 2 2" xfId="8246"/>
    <cellStyle name="Normal 7 3 7 5 2 3" xfId="13785"/>
    <cellStyle name="Normal 7 3 7 5 3" xfId="7041"/>
    <cellStyle name="Normal 7 3 7 5 4" xfId="12580"/>
    <cellStyle name="Normal 7 3 7 6" xfId="2873"/>
    <cellStyle name="Normal 7 3 7 6 2" xfId="8417"/>
    <cellStyle name="Normal 7 3 7 6 3" xfId="13956"/>
    <cellStyle name="Normal 7 3 7 7" xfId="3291"/>
    <cellStyle name="Normal 7 3 7 7 2" xfId="8833"/>
    <cellStyle name="Normal 7 3 7 7 3" xfId="14372"/>
    <cellStyle name="Normal 7 3 7 8" xfId="4330"/>
    <cellStyle name="Normal 7 3 7 8 2" xfId="9869"/>
    <cellStyle name="Normal 7 3 7 8 3" xfId="15408"/>
    <cellStyle name="Normal 7 3 7 9" xfId="1657"/>
    <cellStyle name="Normal 7 3 7 9 2" xfId="7203"/>
    <cellStyle name="Normal 7 3 7 9 3" xfId="12742"/>
    <cellStyle name="Normal 7 3 8" xfId="465"/>
    <cellStyle name="Normal 7 3 8 2" xfId="1307"/>
    <cellStyle name="Normal 7 3 8 2 2" xfId="3838"/>
    <cellStyle name="Normal 7 3 8 2 2 2" xfId="9380"/>
    <cellStyle name="Normal 7 3 8 2 2 3" xfId="14919"/>
    <cellStyle name="Normal 7 3 8 2 3" xfId="4875"/>
    <cellStyle name="Normal 7 3 8 2 3 2" xfId="10414"/>
    <cellStyle name="Normal 7 3 8 2 3 3" xfId="15953"/>
    <cellStyle name="Normal 7 3 8 2 4" xfId="5810"/>
    <cellStyle name="Normal 7 3 8 2 4 2" xfId="11349"/>
    <cellStyle name="Normal 7 3 8 2 4 3" xfId="16888"/>
    <cellStyle name="Normal 7 3 8 2 5" xfId="2512"/>
    <cellStyle name="Normal 7 3 8 2 5 2" xfId="8058"/>
    <cellStyle name="Normal 7 3 8 2 5 3" xfId="13597"/>
    <cellStyle name="Normal 7 3 8 2 6" xfId="6853"/>
    <cellStyle name="Normal 7 3 8 2 7" xfId="12392"/>
    <cellStyle name="Normal 7 3 8 3" xfId="955"/>
    <cellStyle name="Normal 7 3 8 3 2" xfId="3485"/>
    <cellStyle name="Normal 7 3 8 3 2 2" xfId="9027"/>
    <cellStyle name="Normal 7 3 8 3 2 3" xfId="14566"/>
    <cellStyle name="Normal 7 3 8 3 3" xfId="4522"/>
    <cellStyle name="Normal 7 3 8 3 3 2" xfId="10061"/>
    <cellStyle name="Normal 7 3 8 3 3 3" xfId="15600"/>
    <cellStyle name="Normal 7 3 8 3 4" xfId="5457"/>
    <cellStyle name="Normal 7 3 8 3 4 2" xfId="10996"/>
    <cellStyle name="Normal 7 3 8 3 4 3" xfId="16535"/>
    <cellStyle name="Normal 7 3 8 3 5" xfId="2159"/>
    <cellStyle name="Normal 7 3 8 3 5 2" xfId="7705"/>
    <cellStyle name="Normal 7 3 8 3 5 3" xfId="13244"/>
    <cellStyle name="Normal 7 3 8 3 6" xfId="6500"/>
    <cellStyle name="Normal 7 3 8 3 7" xfId="12039"/>
    <cellStyle name="Normal 7 3 8 4" xfId="3115"/>
    <cellStyle name="Normal 7 3 8 4 2" xfId="8658"/>
    <cellStyle name="Normal 7 3 8 4 3" xfId="14197"/>
    <cellStyle name="Normal 7 3 8 5" xfId="4158"/>
    <cellStyle name="Normal 7 3 8 5 2" xfId="9699"/>
    <cellStyle name="Normal 7 3 8 5 3" xfId="15238"/>
    <cellStyle name="Normal 7 3 8 6" xfId="5125"/>
    <cellStyle name="Normal 7 3 8 6 2" xfId="10664"/>
    <cellStyle name="Normal 7 3 8 6 3" xfId="16203"/>
    <cellStyle name="Normal 7 3 8 7" xfId="1827"/>
    <cellStyle name="Normal 7 3 8 7 2" xfId="7373"/>
    <cellStyle name="Normal 7 3 8 7 3" xfId="12912"/>
    <cellStyle name="Normal 7 3 8 8" xfId="6168"/>
    <cellStyle name="Normal 7 3 8 9" xfId="11707"/>
    <cellStyle name="Normal 7 3 9" xfId="1132"/>
    <cellStyle name="Normal 7 3 9 2" xfId="3662"/>
    <cellStyle name="Normal 7 3 9 2 2" xfId="9204"/>
    <cellStyle name="Normal 7 3 9 2 3" xfId="14743"/>
    <cellStyle name="Normal 7 3 9 3" xfId="4699"/>
    <cellStyle name="Normal 7 3 9 3 2" xfId="10238"/>
    <cellStyle name="Normal 7 3 9 3 3" xfId="15777"/>
    <cellStyle name="Normal 7 3 9 4" xfId="5634"/>
    <cellStyle name="Normal 7 3 9 4 2" xfId="11173"/>
    <cellStyle name="Normal 7 3 9 4 3" xfId="16712"/>
    <cellStyle name="Normal 7 3 9 5" xfId="2336"/>
    <cellStyle name="Normal 7 3 9 5 2" xfId="7882"/>
    <cellStyle name="Normal 7 3 9 5 3" xfId="13421"/>
    <cellStyle name="Normal 7 3 9 6" xfId="6677"/>
    <cellStyle name="Normal 7 3 9 7" xfId="12216"/>
    <cellStyle name="Normal 7 4" xfId="260"/>
    <cellStyle name="Normal 7 4 10" xfId="1487"/>
    <cellStyle name="Normal 7 4 10 2" xfId="2692"/>
    <cellStyle name="Normal 7 4 10 2 2" xfId="8238"/>
    <cellStyle name="Normal 7 4 10 2 3" xfId="13777"/>
    <cellStyle name="Normal 7 4 10 3" xfId="7033"/>
    <cellStyle name="Normal 7 4 10 4" xfId="12572"/>
    <cellStyle name="Normal 7 4 11" xfId="2865"/>
    <cellStyle name="Normal 7 4 11 2" xfId="8409"/>
    <cellStyle name="Normal 7 4 11 3" xfId="13948"/>
    <cellStyle name="Normal 7 4 12" xfId="3281"/>
    <cellStyle name="Normal 7 4 12 2" xfId="8823"/>
    <cellStyle name="Normal 7 4 12 3" xfId="14362"/>
    <cellStyle name="Normal 7 4 13" xfId="4320"/>
    <cellStyle name="Normal 7 4 13 2" xfId="9859"/>
    <cellStyle name="Normal 7 4 13 3" xfId="15398"/>
    <cellStyle name="Normal 7 4 14" xfId="1649"/>
    <cellStyle name="Normal 7 4 14 2" xfId="7195"/>
    <cellStyle name="Normal 7 4 14 3" xfId="12734"/>
    <cellStyle name="Normal 7 4 15" xfId="5990"/>
    <cellStyle name="Normal 7 4 15 2" xfId="17068"/>
    <cellStyle name="Normal 7 4 16" xfId="634"/>
    <cellStyle name="Normal 7 4 16 2" xfId="17230"/>
    <cellStyle name="Normal 7 4 17" xfId="11529"/>
    <cellStyle name="Normal 7 4 18" xfId="17397"/>
    <cellStyle name="Normal 7 4 19" xfId="17562"/>
    <cellStyle name="Normal 7 4 2" xfId="403"/>
    <cellStyle name="Normal 7 4 2 10" xfId="1703"/>
    <cellStyle name="Normal 7 4 2 10 2" xfId="7249"/>
    <cellStyle name="Normal 7 4 2 10 3" xfId="12788"/>
    <cellStyle name="Normal 7 4 2 11" xfId="6044"/>
    <cellStyle name="Normal 7 4 2 11 2" xfId="17122"/>
    <cellStyle name="Normal 7 4 2 12" xfId="688"/>
    <cellStyle name="Normal 7 4 2 12 2" xfId="17284"/>
    <cellStyle name="Normal 7 4 2 13" xfId="11583"/>
    <cellStyle name="Normal 7 4 2 14" xfId="17451"/>
    <cellStyle name="Normal 7 4 2 15" xfId="17616"/>
    <cellStyle name="Normal 7 4 2 2" xfId="404"/>
    <cellStyle name="Normal 7 4 2 2 10" xfId="6134"/>
    <cellStyle name="Normal 7 4 2 2 10 2" xfId="17212"/>
    <cellStyle name="Normal 7 4 2 2 11" xfId="778"/>
    <cellStyle name="Normal 7 4 2 2 11 2" xfId="17374"/>
    <cellStyle name="Normal 7 4 2 2 12" xfId="11673"/>
    <cellStyle name="Normal 7 4 2 2 13" xfId="17541"/>
    <cellStyle name="Normal 7 4 2 2 14" xfId="17706"/>
    <cellStyle name="Normal 7 4 2 2 2" xfId="603"/>
    <cellStyle name="Normal 7 4 2 2 2 2" xfId="1444"/>
    <cellStyle name="Normal 7 4 2 2 2 2 2" xfId="3976"/>
    <cellStyle name="Normal 7 4 2 2 2 2 2 2" xfId="9518"/>
    <cellStyle name="Normal 7 4 2 2 2 2 2 3" xfId="15057"/>
    <cellStyle name="Normal 7 4 2 2 2 2 3" xfId="5013"/>
    <cellStyle name="Normal 7 4 2 2 2 2 3 2" xfId="10552"/>
    <cellStyle name="Normal 7 4 2 2 2 2 3 3" xfId="16091"/>
    <cellStyle name="Normal 7 4 2 2 2 2 4" xfId="5947"/>
    <cellStyle name="Normal 7 4 2 2 2 2 4 2" xfId="11486"/>
    <cellStyle name="Normal 7 4 2 2 2 2 4 3" xfId="17025"/>
    <cellStyle name="Normal 7 4 2 2 2 2 5" xfId="2649"/>
    <cellStyle name="Normal 7 4 2 2 2 2 5 2" xfId="8195"/>
    <cellStyle name="Normal 7 4 2 2 2 2 5 3" xfId="13734"/>
    <cellStyle name="Normal 7 4 2 2 2 2 6" xfId="6990"/>
    <cellStyle name="Normal 7 4 2 2 2 2 7" xfId="12529"/>
    <cellStyle name="Normal 7 4 2 2 2 3" xfId="1109"/>
    <cellStyle name="Normal 7 4 2 2 2 3 2" xfId="3639"/>
    <cellStyle name="Normal 7 4 2 2 2 3 2 2" xfId="9181"/>
    <cellStyle name="Normal 7 4 2 2 2 3 2 3" xfId="14720"/>
    <cellStyle name="Normal 7 4 2 2 2 3 3" xfId="4676"/>
    <cellStyle name="Normal 7 4 2 2 2 3 3 2" xfId="10215"/>
    <cellStyle name="Normal 7 4 2 2 2 3 3 3" xfId="15754"/>
    <cellStyle name="Normal 7 4 2 2 2 3 4" xfId="5611"/>
    <cellStyle name="Normal 7 4 2 2 2 3 4 2" xfId="11150"/>
    <cellStyle name="Normal 7 4 2 2 2 3 4 3" xfId="16689"/>
    <cellStyle name="Normal 7 4 2 2 2 3 5" xfId="2313"/>
    <cellStyle name="Normal 7 4 2 2 2 3 5 2" xfId="7859"/>
    <cellStyle name="Normal 7 4 2 2 2 3 5 3" xfId="13398"/>
    <cellStyle name="Normal 7 4 2 2 2 3 6" xfId="6654"/>
    <cellStyle name="Normal 7 4 2 2 2 3 7" xfId="12193"/>
    <cellStyle name="Normal 7 4 2 2 2 4" xfId="3262"/>
    <cellStyle name="Normal 7 4 2 2 2 4 2" xfId="8804"/>
    <cellStyle name="Normal 7 4 2 2 2 4 3" xfId="14343"/>
    <cellStyle name="Normal 7 4 2 2 2 5" xfId="4301"/>
    <cellStyle name="Normal 7 4 2 2 2 5 2" xfId="9840"/>
    <cellStyle name="Normal 7 4 2 2 2 5 3" xfId="15379"/>
    <cellStyle name="Normal 7 4 2 2 2 6" xfId="5262"/>
    <cellStyle name="Normal 7 4 2 2 2 6 2" xfId="10801"/>
    <cellStyle name="Normal 7 4 2 2 2 6 3" xfId="16340"/>
    <cellStyle name="Normal 7 4 2 2 2 7" xfId="1964"/>
    <cellStyle name="Normal 7 4 2 2 2 7 2" xfId="7510"/>
    <cellStyle name="Normal 7 4 2 2 2 7 3" xfId="13049"/>
    <cellStyle name="Normal 7 4 2 2 2 8" xfId="6305"/>
    <cellStyle name="Normal 7 4 2 2 2 9" xfId="11844"/>
    <cellStyle name="Normal 7 4 2 2 3" xfId="1286"/>
    <cellStyle name="Normal 7 4 2 2 3 2" xfId="3816"/>
    <cellStyle name="Normal 7 4 2 2 3 2 2" xfId="9358"/>
    <cellStyle name="Normal 7 4 2 2 3 2 3" xfId="14897"/>
    <cellStyle name="Normal 7 4 2 2 3 3" xfId="4853"/>
    <cellStyle name="Normal 7 4 2 2 3 3 2" xfId="10392"/>
    <cellStyle name="Normal 7 4 2 2 3 3 3" xfId="15931"/>
    <cellStyle name="Normal 7 4 2 2 3 4" xfId="5788"/>
    <cellStyle name="Normal 7 4 2 2 3 4 2" xfId="11327"/>
    <cellStyle name="Normal 7 4 2 2 3 4 3" xfId="16866"/>
    <cellStyle name="Normal 7 4 2 2 3 5" xfId="2490"/>
    <cellStyle name="Normal 7 4 2 2 3 5 2" xfId="8036"/>
    <cellStyle name="Normal 7 4 2 2 3 5 3" xfId="13575"/>
    <cellStyle name="Normal 7 4 2 2 3 6" xfId="6831"/>
    <cellStyle name="Normal 7 4 2 2 3 7" xfId="12370"/>
    <cellStyle name="Normal 7 4 2 2 4" xfId="935"/>
    <cellStyle name="Normal 7 4 2 2 4 2" xfId="3465"/>
    <cellStyle name="Normal 7 4 2 2 4 2 2" xfId="9007"/>
    <cellStyle name="Normal 7 4 2 2 4 2 3" xfId="14546"/>
    <cellStyle name="Normal 7 4 2 2 4 3" xfId="4502"/>
    <cellStyle name="Normal 7 4 2 2 4 3 2" xfId="10041"/>
    <cellStyle name="Normal 7 4 2 2 4 3 3" xfId="15580"/>
    <cellStyle name="Normal 7 4 2 2 4 4" xfId="5437"/>
    <cellStyle name="Normal 7 4 2 2 4 4 2" xfId="10976"/>
    <cellStyle name="Normal 7 4 2 2 4 4 3" xfId="16515"/>
    <cellStyle name="Normal 7 4 2 2 4 5" xfId="2139"/>
    <cellStyle name="Normal 7 4 2 2 4 5 2" xfId="7685"/>
    <cellStyle name="Normal 7 4 2 2 4 5 3" xfId="13224"/>
    <cellStyle name="Normal 7 4 2 2 4 6" xfId="6480"/>
    <cellStyle name="Normal 7 4 2 2 4 7" xfId="12019"/>
    <cellStyle name="Normal 7 4 2 2 5" xfId="1631"/>
    <cellStyle name="Normal 7 4 2 2 5 2" xfId="2836"/>
    <cellStyle name="Normal 7 4 2 2 5 2 2" xfId="8382"/>
    <cellStyle name="Normal 7 4 2 2 5 2 3" xfId="13921"/>
    <cellStyle name="Normal 7 4 2 2 5 3" xfId="7177"/>
    <cellStyle name="Normal 7 4 2 2 5 4" xfId="12716"/>
    <cellStyle name="Normal 7 4 2 2 6" xfId="3009"/>
    <cellStyle name="Normal 7 4 2 2 6 2" xfId="8553"/>
    <cellStyle name="Normal 7 4 2 2 6 3" xfId="14092"/>
    <cellStyle name="Normal 7 4 2 2 7" xfId="4054"/>
    <cellStyle name="Normal 7 4 2 2 7 2" xfId="9596"/>
    <cellStyle name="Normal 7 4 2 2 7 3" xfId="15135"/>
    <cellStyle name="Normal 7 4 2 2 8" xfId="5091"/>
    <cellStyle name="Normal 7 4 2 2 8 2" xfId="10630"/>
    <cellStyle name="Normal 7 4 2 2 8 3" xfId="16169"/>
    <cellStyle name="Normal 7 4 2 2 9" xfId="1793"/>
    <cellStyle name="Normal 7 4 2 2 9 2" xfId="7339"/>
    <cellStyle name="Normal 7 4 2 2 9 3" xfId="12878"/>
    <cellStyle name="Normal 7 4 2 3" xfId="602"/>
    <cellStyle name="Normal 7 4 2 3 2" xfId="1443"/>
    <cellStyle name="Normal 7 4 2 3 2 2" xfId="3975"/>
    <cellStyle name="Normal 7 4 2 3 2 2 2" xfId="9517"/>
    <cellStyle name="Normal 7 4 2 3 2 2 3" xfId="15056"/>
    <cellStyle name="Normal 7 4 2 3 2 3" xfId="5012"/>
    <cellStyle name="Normal 7 4 2 3 2 3 2" xfId="10551"/>
    <cellStyle name="Normal 7 4 2 3 2 3 3" xfId="16090"/>
    <cellStyle name="Normal 7 4 2 3 2 4" xfId="5946"/>
    <cellStyle name="Normal 7 4 2 3 2 4 2" xfId="11485"/>
    <cellStyle name="Normal 7 4 2 3 2 4 3" xfId="17024"/>
    <cellStyle name="Normal 7 4 2 3 2 5" xfId="2648"/>
    <cellStyle name="Normal 7 4 2 3 2 5 2" xfId="8194"/>
    <cellStyle name="Normal 7 4 2 3 2 5 3" xfId="13733"/>
    <cellStyle name="Normal 7 4 2 3 2 6" xfId="6989"/>
    <cellStyle name="Normal 7 4 2 3 2 7" xfId="12528"/>
    <cellStyle name="Normal 7 4 2 3 3" xfId="1019"/>
    <cellStyle name="Normal 7 4 2 3 3 2" xfId="3549"/>
    <cellStyle name="Normal 7 4 2 3 3 2 2" xfId="9091"/>
    <cellStyle name="Normal 7 4 2 3 3 2 3" xfId="14630"/>
    <cellStyle name="Normal 7 4 2 3 3 3" xfId="4586"/>
    <cellStyle name="Normal 7 4 2 3 3 3 2" xfId="10125"/>
    <cellStyle name="Normal 7 4 2 3 3 3 3" xfId="15664"/>
    <cellStyle name="Normal 7 4 2 3 3 4" xfId="5521"/>
    <cellStyle name="Normal 7 4 2 3 3 4 2" xfId="11060"/>
    <cellStyle name="Normal 7 4 2 3 3 4 3" xfId="16599"/>
    <cellStyle name="Normal 7 4 2 3 3 5" xfId="2223"/>
    <cellStyle name="Normal 7 4 2 3 3 5 2" xfId="7769"/>
    <cellStyle name="Normal 7 4 2 3 3 5 3" xfId="13308"/>
    <cellStyle name="Normal 7 4 2 3 3 6" xfId="6564"/>
    <cellStyle name="Normal 7 4 2 3 3 7" xfId="12103"/>
    <cellStyle name="Normal 7 4 2 3 4" xfId="3261"/>
    <cellStyle name="Normal 7 4 2 3 4 2" xfId="8803"/>
    <cellStyle name="Normal 7 4 2 3 4 3" xfId="14342"/>
    <cellStyle name="Normal 7 4 2 3 5" xfId="4300"/>
    <cellStyle name="Normal 7 4 2 3 5 2" xfId="9839"/>
    <cellStyle name="Normal 7 4 2 3 5 3" xfId="15378"/>
    <cellStyle name="Normal 7 4 2 3 6" xfId="5261"/>
    <cellStyle name="Normal 7 4 2 3 6 2" xfId="10800"/>
    <cellStyle name="Normal 7 4 2 3 6 3" xfId="16339"/>
    <cellStyle name="Normal 7 4 2 3 7" xfId="1963"/>
    <cellStyle name="Normal 7 4 2 3 7 2" xfId="7509"/>
    <cellStyle name="Normal 7 4 2 3 7 3" xfId="13048"/>
    <cellStyle name="Normal 7 4 2 3 8" xfId="6304"/>
    <cellStyle name="Normal 7 4 2 3 9" xfId="11843"/>
    <cellStyle name="Normal 7 4 2 4" xfId="1196"/>
    <cellStyle name="Normal 7 4 2 4 2" xfId="3726"/>
    <cellStyle name="Normal 7 4 2 4 2 2" xfId="9268"/>
    <cellStyle name="Normal 7 4 2 4 2 3" xfId="14807"/>
    <cellStyle name="Normal 7 4 2 4 3" xfId="4763"/>
    <cellStyle name="Normal 7 4 2 4 3 2" xfId="10302"/>
    <cellStyle name="Normal 7 4 2 4 3 3" xfId="15841"/>
    <cellStyle name="Normal 7 4 2 4 4" xfId="5698"/>
    <cellStyle name="Normal 7 4 2 4 4 2" xfId="11237"/>
    <cellStyle name="Normal 7 4 2 4 4 3" xfId="16776"/>
    <cellStyle name="Normal 7 4 2 4 5" xfId="2400"/>
    <cellStyle name="Normal 7 4 2 4 5 2" xfId="7946"/>
    <cellStyle name="Normal 7 4 2 4 5 3" xfId="13485"/>
    <cellStyle name="Normal 7 4 2 4 6" xfId="6741"/>
    <cellStyle name="Normal 7 4 2 4 7" xfId="12280"/>
    <cellStyle name="Normal 7 4 2 5" xfId="934"/>
    <cellStyle name="Normal 7 4 2 5 2" xfId="3464"/>
    <cellStyle name="Normal 7 4 2 5 2 2" xfId="9006"/>
    <cellStyle name="Normal 7 4 2 5 2 3" xfId="14545"/>
    <cellStyle name="Normal 7 4 2 5 3" xfId="4501"/>
    <cellStyle name="Normal 7 4 2 5 3 2" xfId="10040"/>
    <cellStyle name="Normal 7 4 2 5 3 3" xfId="15579"/>
    <cellStyle name="Normal 7 4 2 5 4" xfId="5436"/>
    <cellStyle name="Normal 7 4 2 5 4 2" xfId="10975"/>
    <cellStyle name="Normal 7 4 2 5 4 3" xfId="16514"/>
    <cellStyle name="Normal 7 4 2 5 5" xfId="2138"/>
    <cellStyle name="Normal 7 4 2 5 5 2" xfId="7684"/>
    <cellStyle name="Normal 7 4 2 5 5 3" xfId="13223"/>
    <cellStyle name="Normal 7 4 2 5 6" xfId="6479"/>
    <cellStyle name="Normal 7 4 2 5 7" xfId="12018"/>
    <cellStyle name="Normal 7 4 2 6" xfId="1541"/>
    <cellStyle name="Normal 7 4 2 6 2" xfId="2746"/>
    <cellStyle name="Normal 7 4 2 6 2 2" xfId="8292"/>
    <cellStyle name="Normal 7 4 2 6 2 3" xfId="13831"/>
    <cellStyle name="Normal 7 4 2 6 3" xfId="7087"/>
    <cellStyle name="Normal 7 4 2 6 4" xfId="12626"/>
    <cellStyle name="Normal 7 4 2 7" xfId="2919"/>
    <cellStyle name="Normal 7 4 2 7 2" xfId="8463"/>
    <cellStyle name="Normal 7 4 2 7 3" xfId="14002"/>
    <cellStyle name="Normal 7 4 2 8" xfId="3085"/>
    <cellStyle name="Normal 7 4 2 8 2" xfId="8628"/>
    <cellStyle name="Normal 7 4 2 8 3" xfId="14167"/>
    <cellStyle name="Normal 7 4 2 9" xfId="4128"/>
    <cellStyle name="Normal 7 4 2 9 2" xfId="9669"/>
    <cellStyle name="Normal 7 4 2 9 3" xfId="15208"/>
    <cellStyle name="Normal 7 4 3" xfId="405"/>
    <cellStyle name="Normal 7 4 3 10" xfId="1685"/>
    <cellStyle name="Normal 7 4 3 10 2" xfId="7231"/>
    <cellStyle name="Normal 7 4 3 10 3" xfId="12770"/>
    <cellStyle name="Normal 7 4 3 11" xfId="6026"/>
    <cellStyle name="Normal 7 4 3 11 2" xfId="17104"/>
    <cellStyle name="Normal 7 4 3 12" xfId="670"/>
    <cellStyle name="Normal 7 4 3 12 2" xfId="17266"/>
    <cellStyle name="Normal 7 4 3 13" xfId="11565"/>
    <cellStyle name="Normal 7 4 3 14" xfId="17433"/>
    <cellStyle name="Normal 7 4 3 15" xfId="17598"/>
    <cellStyle name="Normal 7 4 3 2" xfId="406"/>
    <cellStyle name="Normal 7 4 3 2 10" xfId="6116"/>
    <cellStyle name="Normal 7 4 3 2 10 2" xfId="17194"/>
    <cellStyle name="Normal 7 4 3 2 11" xfId="760"/>
    <cellStyle name="Normal 7 4 3 2 11 2" xfId="17356"/>
    <cellStyle name="Normal 7 4 3 2 12" xfId="11655"/>
    <cellStyle name="Normal 7 4 3 2 13" xfId="17523"/>
    <cellStyle name="Normal 7 4 3 2 14" xfId="17688"/>
    <cellStyle name="Normal 7 4 3 2 2" xfId="605"/>
    <cellStyle name="Normal 7 4 3 2 2 2" xfId="1446"/>
    <cellStyle name="Normal 7 4 3 2 2 2 2" xfId="3978"/>
    <cellStyle name="Normal 7 4 3 2 2 2 2 2" xfId="9520"/>
    <cellStyle name="Normal 7 4 3 2 2 2 2 3" xfId="15059"/>
    <cellStyle name="Normal 7 4 3 2 2 2 3" xfId="5015"/>
    <cellStyle name="Normal 7 4 3 2 2 2 3 2" xfId="10554"/>
    <cellStyle name="Normal 7 4 3 2 2 2 3 3" xfId="16093"/>
    <cellStyle name="Normal 7 4 3 2 2 2 4" xfId="5949"/>
    <cellStyle name="Normal 7 4 3 2 2 2 4 2" xfId="11488"/>
    <cellStyle name="Normal 7 4 3 2 2 2 4 3" xfId="17027"/>
    <cellStyle name="Normal 7 4 3 2 2 2 5" xfId="2651"/>
    <cellStyle name="Normal 7 4 3 2 2 2 5 2" xfId="8197"/>
    <cellStyle name="Normal 7 4 3 2 2 2 5 3" xfId="13736"/>
    <cellStyle name="Normal 7 4 3 2 2 2 6" xfId="6992"/>
    <cellStyle name="Normal 7 4 3 2 2 2 7" xfId="12531"/>
    <cellStyle name="Normal 7 4 3 2 2 3" xfId="1091"/>
    <cellStyle name="Normal 7 4 3 2 2 3 2" xfId="3621"/>
    <cellStyle name="Normal 7 4 3 2 2 3 2 2" xfId="9163"/>
    <cellStyle name="Normal 7 4 3 2 2 3 2 3" xfId="14702"/>
    <cellStyle name="Normal 7 4 3 2 2 3 3" xfId="4658"/>
    <cellStyle name="Normal 7 4 3 2 2 3 3 2" xfId="10197"/>
    <cellStyle name="Normal 7 4 3 2 2 3 3 3" xfId="15736"/>
    <cellStyle name="Normal 7 4 3 2 2 3 4" xfId="5593"/>
    <cellStyle name="Normal 7 4 3 2 2 3 4 2" xfId="11132"/>
    <cellStyle name="Normal 7 4 3 2 2 3 4 3" xfId="16671"/>
    <cellStyle name="Normal 7 4 3 2 2 3 5" xfId="2295"/>
    <cellStyle name="Normal 7 4 3 2 2 3 5 2" xfId="7841"/>
    <cellStyle name="Normal 7 4 3 2 2 3 5 3" xfId="13380"/>
    <cellStyle name="Normal 7 4 3 2 2 3 6" xfId="6636"/>
    <cellStyle name="Normal 7 4 3 2 2 3 7" xfId="12175"/>
    <cellStyle name="Normal 7 4 3 2 2 4" xfId="3264"/>
    <cellStyle name="Normal 7 4 3 2 2 4 2" xfId="8806"/>
    <cellStyle name="Normal 7 4 3 2 2 4 3" xfId="14345"/>
    <cellStyle name="Normal 7 4 3 2 2 5" xfId="4303"/>
    <cellStyle name="Normal 7 4 3 2 2 5 2" xfId="9842"/>
    <cellStyle name="Normal 7 4 3 2 2 5 3" xfId="15381"/>
    <cellStyle name="Normal 7 4 3 2 2 6" xfId="5264"/>
    <cellStyle name="Normal 7 4 3 2 2 6 2" xfId="10803"/>
    <cellStyle name="Normal 7 4 3 2 2 6 3" xfId="16342"/>
    <cellStyle name="Normal 7 4 3 2 2 7" xfId="1966"/>
    <cellStyle name="Normal 7 4 3 2 2 7 2" xfId="7512"/>
    <cellStyle name="Normal 7 4 3 2 2 7 3" xfId="13051"/>
    <cellStyle name="Normal 7 4 3 2 2 8" xfId="6307"/>
    <cellStyle name="Normal 7 4 3 2 2 9" xfId="11846"/>
    <cellStyle name="Normal 7 4 3 2 3" xfId="1268"/>
    <cellStyle name="Normal 7 4 3 2 3 2" xfId="3798"/>
    <cellStyle name="Normal 7 4 3 2 3 2 2" xfId="9340"/>
    <cellStyle name="Normal 7 4 3 2 3 2 3" xfId="14879"/>
    <cellStyle name="Normal 7 4 3 2 3 3" xfId="4835"/>
    <cellStyle name="Normal 7 4 3 2 3 3 2" xfId="10374"/>
    <cellStyle name="Normal 7 4 3 2 3 3 3" xfId="15913"/>
    <cellStyle name="Normal 7 4 3 2 3 4" xfId="5770"/>
    <cellStyle name="Normal 7 4 3 2 3 4 2" xfId="11309"/>
    <cellStyle name="Normal 7 4 3 2 3 4 3" xfId="16848"/>
    <cellStyle name="Normal 7 4 3 2 3 5" xfId="2472"/>
    <cellStyle name="Normal 7 4 3 2 3 5 2" xfId="8018"/>
    <cellStyle name="Normal 7 4 3 2 3 5 3" xfId="13557"/>
    <cellStyle name="Normal 7 4 3 2 3 6" xfId="6813"/>
    <cellStyle name="Normal 7 4 3 2 3 7" xfId="12352"/>
    <cellStyle name="Normal 7 4 3 2 4" xfId="937"/>
    <cellStyle name="Normal 7 4 3 2 4 2" xfId="3467"/>
    <cellStyle name="Normal 7 4 3 2 4 2 2" xfId="9009"/>
    <cellStyle name="Normal 7 4 3 2 4 2 3" xfId="14548"/>
    <cellStyle name="Normal 7 4 3 2 4 3" xfId="4504"/>
    <cellStyle name="Normal 7 4 3 2 4 3 2" xfId="10043"/>
    <cellStyle name="Normal 7 4 3 2 4 3 3" xfId="15582"/>
    <cellStyle name="Normal 7 4 3 2 4 4" xfId="5439"/>
    <cellStyle name="Normal 7 4 3 2 4 4 2" xfId="10978"/>
    <cellStyle name="Normal 7 4 3 2 4 4 3" xfId="16517"/>
    <cellStyle name="Normal 7 4 3 2 4 5" xfId="2141"/>
    <cellStyle name="Normal 7 4 3 2 4 5 2" xfId="7687"/>
    <cellStyle name="Normal 7 4 3 2 4 5 3" xfId="13226"/>
    <cellStyle name="Normal 7 4 3 2 4 6" xfId="6482"/>
    <cellStyle name="Normal 7 4 3 2 4 7" xfId="12021"/>
    <cellStyle name="Normal 7 4 3 2 5" xfId="1613"/>
    <cellStyle name="Normal 7 4 3 2 5 2" xfId="2818"/>
    <cellStyle name="Normal 7 4 3 2 5 2 2" xfId="8364"/>
    <cellStyle name="Normal 7 4 3 2 5 2 3" xfId="13903"/>
    <cellStyle name="Normal 7 4 3 2 5 3" xfId="7159"/>
    <cellStyle name="Normal 7 4 3 2 5 4" xfId="12698"/>
    <cellStyle name="Normal 7 4 3 2 6" xfId="2991"/>
    <cellStyle name="Normal 7 4 3 2 6 2" xfId="8535"/>
    <cellStyle name="Normal 7 4 3 2 6 3" xfId="14074"/>
    <cellStyle name="Normal 7 4 3 2 7" xfId="4036"/>
    <cellStyle name="Normal 7 4 3 2 7 2" xfId="9578"/>
    <cellStyle name="Normal 7 4 3 2 7 3" xfId="15117"/>
    <cellStyle name="Normal 7 4 3 2 8" xfId="5073"/>
    <cellStyle name="Normal 7 4 3 2 8 2" xfId="10612"/>
    <cellStyle name="Normal 7 4 3 2 8 3" xfId="16151"/>
    <cellStyle name="Normal 7 4 3 2 9" xfId="1775"/>
    <cellStyle name="Normal 7 4 3 2 9 2" xfId="7321"/>
    <cellStyle name="Normal 7 4 3 2 9 3" xfId="12860"/>
    <cellStyle name="Normal 7 4 3 3" xfId="604"/>
    <cellStyle name="Normal 7 4 3 3 2" xfId="1445"/>
    <cellStyle name="Normal 7 4 3 3 2 2" xfId="3977"/>
    <cellStyle name="Normal 7 4 3 3 2 2 2" xfId="9519"/>
    <cellStyle name="Normal 7 4 3 3 2 2 3" xfId="15058"/>
    <cellStyle name="Normal 7 4 3 3 2 3" xfId="5014"/>
    <cellStyle name="Normal 7 4 3 3 2 3 2" xfId="10553"/>
    <cellStyle name="Normal 7 4 3 3 2 3 3" xfId="16092"/>
    <cellStyle name="Normal 7 4 3 3 2 4" xfId="5948"/>
    <cellStyle name="Normal 7 4 3 3 2 4 2" xfId="11487"/>
    <cellStyle name="Normal 7 4 3 3 2 4 3" xfId="17026"/>
    <cellStyle name="Normal 7 4 3 3 2 5" xfId="2650"/>
    <cellStyle name="Normal 7 4 3 3 2 5 2" xfId="8196"/>
    <cellStyle name="Normal 7 4 3 3 2 5 3" xfId="13735"/>
    <cellStyle name="Normal 7 4 3 3 2 6" xfId="6991"/>
    <cellStyle name="Normal 7 4 3 3 2 7" xfId="12530"/>
    <cellStyle name="Normal 7 4 3 3 3" xfId="1001"/>
    <cellStyle name="Normal 7 4 3 3 3 2" xfId="3531"/>
    <cellStyle name="Normal 7 4 3 3 3 2 2" xfId="9073"/>
    <cellStyle name="Normal 7 4 3 3 3 2 3" xfId="14612"/>
    <cellStyle name="Normal 7 4 3 3 3 3" xfId="4568"/>
    <cellStyle name="Normal 7 4 3 3 3 3 2" xfId="10107"/>
    <cellStyle name="Normal 7 4 3 3 3 3 3" xfId="15646"/>
    <cellStyle name="Normal 7 4 3 3 3 4" xfId="5503"/>
    <cellStyle name="Normal 7 4 3 3 3 4 2" xfId="11042"/>
    <cellStyle name="Normal 7 4 3 3 3 4 3" xfId="16581"/>
    <cellStyle name="Normal 7 4 3 3 3 5" xfId="2205"/>
    <cellStyle name="Normal 7 4 3 3 3 5 2" xfId="7751"/>
    <cellStyle name="Normal 7 4 3 3 3 5 3" xfId="13290"/>
    <cellStyle name="Normal 7 4 3 3 3 6" xfId="6546"/>
    <cellStyle name="Normal 7 4 3 3 3 7" xfId="12085"/>
    <cellStyle name="Normal 7 4 3 3 4" xfId="3263"/>
    <cellStyle name="Normal 7 4 3 3 4 2" xfId="8805"/>
    <cellStyle name="Normal 7 4 3 3 4 3" xfId="14344"/>
    <cellStyle name="Normal 7 4 3 3 5" xfId="4302"/>
    <cellStyle name="Normal 7 4 3 3 5 2" xfId="9841"/>
    <cellStyle name="Normal 7 4 3 3 5 3" xfId="15380"/>
    <cellStyle name="Normal 7 4 3 3 6" xfId="5263"/>
    <cellStyle name="Normal 7 4 3 3 6 2" xfId="10802"/>
    <cellStyle name="Normal 7 4 3 3 6 3" xfId="16341"/>
    <cellStyle name="Normal 7 4 3 3 7" xfId="1965"/>
    <cellStyle name="Normal 7 4 3 3 7 2" xfId="7511"/>
    <cellStyle name="Normal 7 4 3 3 7 3" xfId="13050"/>
    <cellStyle name="Normal 7 4 3 3 8" xfId="6306"/>
    <cellStyle name="Normal 7 4 3 3 9" xfId="11845"/>
    <cellStyle name="Normal 7 4 3 4" xfId="1178"/>
    <cellStyle name="Normal 7 4 3 4 2" xfId="3708"/>
    <cellStyle name="Normal 7 4 3 4 2 2" xfId="9250"/>
    <cellStyle name="Normal 7 4 3 4 2 3" xfId="14789"/>
    <cellStyle name="Normal 7 4 3 4 3" xfId="4745"/>
    <cellStyle name="Normal 7 4 3 4 3 2" xfId="10284"/>
    <cellStyle name="Normal 7 4 3 4 3 3" xfId="15823"/>
    <cellStyle name="Normal 7 4 3 4 4" xfId="5680"/>
    <cellStyle name="Normal 7 4 3 4 4 2" xfId="11219"/>
    <cellStyle name="Normal 7 4 3 4 4 3" xfId="16758"/>
    <cellStyle name="Normal 7 4 3 4 5" xfId="2382"/>
    <cellStyle name="Normal 7 4 3 4 5 2" xfId="7928"/>
    <cellStyle name="Normal 7 4 3 4 5 3" xfId="13467"/>
    <cellStyle name="Normal 7 4 3 4 6" xfId="6723"/>
    <cellStyle name="Normal 7 4 3 4 7" xfId="12262"/>
    <cellStyle name="Normal 7 4 3 5" xfId="936"/>
    <cellStyle name="Normal 7 4 3 5 2" xfId="3466"/>
    <cellStyle name="Normal 7 4 3 5 2 2" xfId="9008"/>
    <cellStyle name="Normal 7 4 3 5 2 3" xfId="14547"/>
    <cellStyle name="Normal 7 4 3 5 3" xfId="4503"/>
    <cellStyle name="Normal 7 4 3 5 3 2" xfId="10042"/>
    <cellStyle name="Normal 7 4 3 5 3 3" xfId="15581"/>
    <cellStyle name="Normal 7 4 3 5 4" xfId="5438"/>
    <cellStyle name="Normal 7 4 3 5 4 2" xfId="10977"/>
    <cellStyle name="Normal 7 4 3 5 4 3" xfId="16516"/>
    <cellStyle name="Normal 7 4 3 5 5" xfId="2140"/>
    <cellStyle name="Normal 7 4 3 5 5 2" xfId="7686"/>
    <cellStyle name="Normal 7 4 3 5 5 3" xfId="13225"/>
    <cellStyle name="Normal 7 4 3 5 6" xfId="6481"/>
    <cellStyle name="Normal 7 4 3 5 7" xfId="12020"/>
    <cellStyle name="Normal 7 4 3 6" xfId="1523"/>
    <cellStyle name="Normal 7 4 3 6 2" xfId="2728"/>
    <cellStyle name="Normal 7 4 3 6 2 2" xfId="8274"/>
    <cellStyle name="Normal 7 4 3 6 2 3" xfId="13813"/>
    <cellStyle name="Normal 7 4 3 6 3" xfId="7069"/>
    <cellStyle name="Normal 7 4 3 6 4" xfId="12608"/>
    <cellStyle name="Normal 7 4 3 7" xfId="2901"/>
    <cellStyle name="Normal 7 4 3 7 2" xfId="8445"/>
    <cellStyle name="Normal 7 4 3 7 3" xfId="13984"/>
    <cellStyle name="Normal 7 4 3 8" xfId="3286"/>
    <cellStyle name="Normal 7 4 3 8 2" xfId="8828"/>
    <cellStyle name="Normal 7 4 3 8 3" xfId="14367"/>
    <cellStyle name="Normal 7 4 3 9" xfId="4325"/>
    <cellStyle name="Normal 7 4 3 9 2" xfId="9864"/>
    <cellStyle name="Normal 7 4 3 9 3" xfId="15403"/>
    <cellStyle name="Normal 7 4 4" xfId="407"/>
    <cellStyle name="Normal 7 4 4 10" xfId="1721"/>
    <cellStyle name="Normal 7 4 4 10 2" xfId="7267"/>
    <cellStyle name="Normal 7 4 4 10 3" xfId="12806"/>
    <cellStyle name="Normal 7 4 4 11" xfId="6062"/>
    <cellStyle name="Normal 7 4 4 11 2" xfId="17140"/>
    <cellStyle name="Normal 7 4 4 12" xfId="706"/>
    <cellStyle name="Normal 7 4 4 12 2" xfId="17302"/>
    <cellStyle name="Normal 7 4 4 13" xfId="11601"/>
    <cellStyle name="Normal 7 4 4 14" xfId="17469"/>
    <cellStyle name="Normal 7 4 4 15" xfId="17634"/>
    <cellStyle name="Normal 7 4 4 2" xfId="408"/>
    <cellStyle name="Normal 7 4 4 2 10" xfId="6098"/>
    <cellStyle name="Normal 7 4 4 2 10 2" xfId="17176"/>
    <cellStyle name="Normal 7 4 4 2 11" xfId="742"/>
    <cellStyle name="Normal 7 4 4 2 11 2" xfId="17338"/>
    <cellStyle name="Normal 7 4 4 2 12" xfId="11637"/>
    <cellStyle name="Normal 7 4 4 2 13" xfId="17505"/>
    <cellStyle name="Normal 7 4 4 2 14" xfId="17670"/>
    <cellStyle name="Normal 7 4 4 2 2" xfId="607"/>
    <cellStyle name="Normal 7 4 4 2 2 2" xfId="1448"/>
    <cellStyle name="Normal 7 4 4 2 2 2 2" xfId="3980"/>
    <cellStyle name="Normal 7 4 4 2 2 2 2 2" xfId="9522"/>
    <cellStyle name="Normal 7 4 4 2 2 2 2 3" xfId="15061"/>
    <cellStyle name="Normal 7 4 4 2 2 2 3" xfId="5017"/>
    <cellStyle name="Normal 7 4 4 2 2 2 3 2" xfId="10556"/>
    <cellStyle name="Normal 7 4 4 2 2 2 3 3" xfId="16095"/>
    <cellStyle name="Normal 7 4 4 2 2 2 4" xfId="5951"/>
    <cellStyle name="Normal 7 4 4 2 2 2 4 2" xfId="11490"/>
    <cellStyle name="Normal 7 4 4 2 2 2 4 3" xfId="17029"/>
    <cellStyle name="Normal 7 4 4 2 2 2 5" xfId="2653"/>
    <cellStyle name="Normal 7 4 4 2 2 2 5 2" xfId="8199"/>
    <cellStyle name="Normal 7 4 4 2 2 2 5 3" xfId="13738"/>
    <cellStyle name="Normal 7 4 4 2 2 2 6" xfId="6994"/>
    <cellStyle name="Normal 7 4 4 2 2 2 7" xfId="12533"/>
    <cellStyle name="Normal 7 4 4 2 2 3" xfId="1073"/>
    <cellStyle name="Normal 7 4 4 2 2 3 2" xfId="3603"/>
    <cellStyle name="Normal 7 4 4 2 2 3 2 2" xfId="9145"/>
    <cellStyle name="Normal 7 4 4 2 2 3 2 3" xfId="14684"/>
    <cellStyle name="Normal 7 4 4 2 2 3 3" xfId="4640"/>
    <cellStyle name="Normal 7 4 4 2 2 3 3 2" xfId="10179"/>
    <cellStyle name="Normal 7 4 4 2 2 3 3 3" xfId="15718"/>
    <cellStyle name="Normal 7 4 4 2 2 3 4" xfId="5575"/>
    <cellStyle name="Normal 7 4 4 2 2 3 4 2" xfId="11114"/>
    <cellStyle name="Normal 7 4 4 2 2 3 4 3" xfId="16653"/>
    <cellStyle name="Normal 7 4 4 2 2 3 5" xfId="2277"/>
    <cellStyle name="Normal 7 4 4 2 2 3 5 2" xfId="7823"/>
    <cellStyle name="Normal 7 4 4 2 2 3 5 3" xfId="13362"/>
    <cellStyle name="Normal 7 4 4 2 2 3 6" xfId="6618"/>
    <cellStyle name="Normal 7 4 4 2 2 3 7" xfId="12157"/>
    <cellStyle name="Normal 7 4 4 2 2 4" xfId="3266"/>
    <cellStyle name="Normal 7 4 4 2 2 4 2" xfId="8808"/>
    <cellStyle name="Normal 7 4 4 2 2 4 3" xfId="14347"/>
    <cellStyle name="Normal 7 4 4 2 2 5" xfId="4305"/>
    <cellStyle name="Normal 7 4 4 2 2 5 2" xfId="9844"/>
    <cellStyle name="Normal 7 4 4 2 2 5 3" xfId="15383"/>
    <cellStyle name="Normal 7 4 4 2 2 6" xfId="5266"/>
    <cellStyle name="Normal 7 4 4 2 2 6 2" xfId="10805"/>
    <cellStyle name="Normal 7 4 4 2 2 6 3" xfId="16344"/>
    <cellStyle name="Normal 7 4 4 2 2 7" xfId="1968"/>
    <cellStyle name="Normal 7 4 4 2 2 7 2" xfId="7514"/>
    <cellStyle name="Normal 7 4 4 2 2 7 3" xfId="13053"/>
    <cellStyle name="Normal 7 4 4 2 2 8" xfId="6309"/>
    <cellStyle name="Normal 7 4 4 2 2 9" xfId="11848"/>
    <cellStyle name="Normal 7 4 4 2 3" xfId="1250"/>
    <cellStyle name="Normal 7 4 4 2 3 2" xfId="3780"/>
    <cellStyle name="Normal 7 4 4 2 3 2 2" xfId="9322"/>
    <cellStyle name="Normal 7 4 4 2 3 2 3" xfId="14861"/>
    <cellStyle name="Normal 7 4 4 2 3 3" xfId="4817"/>
    <cellStyle name="Normal 7 4 4 2 3 3 2" xfId="10356"/>
    <cellStyle name="Normal 7 4 4 2 3 3 3" xfId="15895"/>
    <cellStyle name="Normal 7 4 4 2 3 4" xfId="5752"/>
    <cellStyle name="Normal 7 4 4 2 3 4 2" xfId="11291"/>
    <cellStyle name="Normal 7 4 4 2 3 4 3" xfId="16830"/>
    <cellStyle name="Normal 7 4 4 2 3 5" xfId="2454"/>
    <cellStyle name="Normal 7 4 4 2 3 5 2" xfId="8000"/>
    <cellStyle name="Normal 7 4 4 2 3 5 3" xfId="13539"/>
    <cellStyle name="Normal 7 4 4 2 3 6" xfId="6795"/>
    <cellStyle name="Normal 7 4 4 2 3 7" xfId="12334"/>
    <cellStyle name="Normal 7 4 4 2 4" xfId="939"/>
    <cellStyle name="Normal 7 4 4 2 4 2" xfId="3469"/>
    <cellStyle name="Normal 7 4 4 2 4 2 2" xfId="9011"/>
    <cellStyle name="Normal 7 4 4 2 4 2 3" xfId="14550"/>
    <cellStyle name="Normal 7 4 4 2 4 3" xfId="4506"/>
    <cellStyle name="Normal 7 4 4 2 4 3 2" xfId="10045"/>
    <cellStyle name="Normal 7 4 4 2 4 3 3" xfId="15584"/>
    <cellStyle name="Normal 7 4 4 2 4 4" xfId="5441"/>
    <cellStyle name="Normal 7 4 4 2 4 4 2" xfId="10980"/>
    <cellStyle name="Normal 7 4 4 2 4 4 3" xfId="16519"/>
    <cellStyle name="Normal 7 4 4 2 4 5" xfId="2143"/>
    <cellStyle name="Normal 7 4 4 2 4 5 2" xfId="7689"/>
    <cellStyle name="Normal 7 4 4 2 4 5 3" xfId="13228"/>
    <cellStyle name="Normal 7 4 4 2 4 6" xfId="6484"/>
    <cellStyle name="Normal 7 4 4 2 4 7" xfId="12023"/>
    <cellStyle name="Normal 7 4 4 2 5" xfId="1595"/>
    <cellStyle name="Normal 7 4 4 2 5 2" xfId="2800"/>
    <cellStyle name="Normal 7 4 4 2 5 2 2" xfId="8346"/>
    <cellStyle name="Normal 7 4 4 2 5 2 3" xfId="13885"/>
    <cellStyle name="Normal 7 4 4 2 5 3" xfId="7141"/>
    <cellStyle name="Normal 7 4 4 2 5 4" xfId="12680"/>
    <cellStyle name="Normal 7 4 4 2 6" xfId="2973"/>
    <cellStyle name="Normal 7 4 4 2 6 2" xfId="8517"/>
    <cellStyle name="Normal 7 4 4 2 6 3" xfId="14056"/>
    <cellStyle name="Normal 7 4 4 2 7" xfId="4018"/>
    <cellStyle name="Normal 7 4 4 2 7 2" xfId="9560"/>
    <cellStyle name="Normal 7 4 4 2 7 3" xfId="15099"/>
    <cellStyle name="Normal 7 4 4 2 8" xfId="5055"/>
    <cellStyle name="Normal 7 4 4 2 8 2" xfId="10594"/>
    <cellStyle name="Normal 7 4 4 2 8 3" xfId="16133"/>
    <cellStyle name="Normal 7 4 4 2 9" xfId="1757"/>
    <cellStyle name="Normal 7 4 4 2 9 2" xfId="7303"/>
    <cellStyle name="Normal 7 4 4 2 9 3" xfId="12842"/>
    <cellStyle name="Normal 7 4 4 3" xfId="606"/>
    <cellStyle name="Normal 7 4 4 3 2" xfId="1447"/>
    <cellStyle name="Normal 7 4 4 3 2 2" xfId="3979"/>
    <cellStyle name="Normal 7 4 4 3 2 2 2" xfId="9521"/>
    <cellStyle name="Normal 7 4 4 3 2 2 3" xfId="15060"/>
    <cellStyle name="Normal 7 4 4 3 2 3" xfId="5016"/>
    <cellStyle name="Normal 7 4 4 3 2 3 2" xfId="10555"/>
    <cellStyle name="Normal 7 4 4 3 2 3 3" xfId="16094"/>
    <cellStyle name="Normal 7 4 4 3 2 4" xfId="5950"/>
    <cellStyle name="Normal 7 4 4 3 2 4 2" xfId="11489"/>
    <cellStyle name="Normal 7 4 4 3 2 4 3" xfId="17028"/>
    <cellStyle name="Normal 7 4 4 3 2 5" xfId="2652"/>
    <cellStyle name="Normal 7 4 4 3 2 5 2" xfId="8198"/>
    <cellStyle name="Normal 7 4 4 3 2 5 3" xfId="13737"/>
    <cellStyle name="Normal 7 4 4 3 2 6" xfId="6993"/>
    <cellStyle name="Normal 7 4 4 3 2 7" xfId="12532"/>
    <cellStyle name="Normal 7 4 4 3 3" xfId="1037"/>
    <cellStyle name="Normal 7 4 4 3 3 2" xfId="3567"/>
    <cellStyle name="Normal 7 4 4 3 3 2 2" xfId="9109"/>
    <cellStyle name="Normal 7 4 4 3 3 2 3" xfId="14648"/>
    <cellStyle name="Normal 7 4 4 3 3 3" xfId="4604"/>
    <cellStyle name="Normal 7 4 4 3 3 3 2" xfId="10143"/>
    <cellStyle name="Normal 7 4 4 3 3 3 3" xfId="15682"/>
    <cellStyle name="Normal 7 4 4 3 3 4" xfId="5539"/>
    <cellStyle name="Normal 7 4 4 3 3 4 2" xfId="11078"/>
    <cellStyle name="Normal 7 4 4 3 3 4 3" xfId="16617"/>
    <cellStyle name="Normal 7 4 4 3 3 5" xfId="2241"/>
    <cellStyle name="Normal 7 4 4 3 3 5 2" xfId="7787"/>
    <cellStyle name="Normal 7 4 4 3 3 5 3" xfId="13326"/>
    <cellStyle name="Normal 7 4 4 3 3 6" xfId="6582"/>
    <cellStyle name="Normal 7 4 4 3 3 7" xfId="12121"/>
    <cellStyle name="Normal 7 4 4 3 4" xfId="3265"/>
    <cellStyle name="Normal 7 4 4 3 4 2" xfId="8807"/>
    <cellStyle name="Normal 7 4 4 3 4 3" xfId="14346"/>
    <cellStyle name="Normal 7 4 4 3 5" xfId="4304"/>
    <cellStyle name="Normal 7 4 4 3 5 2" xfId="9843"/>
    <cellStyle name="Normal 7 4 4 3 5 3" xfId="15382"/>
    <cellStyle name="Normal 7 4 4 3 6" xfId="5265"/>
    <cellStyle name="Normal 7 4 4 3 6 2" xfId="10804"/>
    <cellStyle name="Normal 7 4 4 3 6 3" xfId="16343"/>
    <cellStyle name="Normal 7 4 4 3 7" xfId="1967"/>
    <cellStyle name="Normal 7 4 4 3 7 2" xfId="7513"/>
    <cellStyle name="Normal 7 4 4 3 7 3" xfId="13052"/>
    <cellStyle name="Normal 7 4 4 3 8" xfId="6308"/>
    <cellStyle name="Normal 7 4 4 3 9" xfId="11847"/>
    <cellStyle name="Normal 7 4 4 4" xfId="1214"/>
    <cellStyle name="Normal 7 4 4 4 2" xfId="3744"/>
    <cellStyle name="Normal 7 4 4 4 2 2" xfId="9286"/>
    <cellStyle name="Normal 7 4 4 4 2 3" xfId="14825"/>
    <cellStyle name="Normal 7 4 4 4 3" xfId="4781"/>
    <cellStyle name="Normal 7 4 4 4 3 2" xfId="10320"/>
    <cellStyle name="Normal 7 4 4 4 3 3" xfId="15859"/>
    <cellStyle name="Normal 7 4 4 4 4" xfId="5716"/>
    <cellStyle name="Normal 7 4 4 4 4 2" xfId="11255"/>
    <cellStyle name="Normal 7 4 4 4 4 3" xfId="16794"/>
    <cellStyle name="Normal 7 4 4 4 5" xfId="2418"/>
    <cellStyle name="Normal 7 4 4 4 5 2" xfId="7964"/>
    <cellStyle name="Normal 7 4 4 4 5 3" xfId="13503"/>
    <cellStyle name="Normal 7 4 4 4 6" xfId="6759"/>
    <cellStyle name="Normal 7 4 4 4 7" xfId="12298"/>
    <cellStyle name="Normal 7 4 4 5" xfId="938"/>
    <cellStyle name="Normal 7 4 4 5 2" xfId="3468"/>
    <cellStyle name="Normal 7 4 4 5 2 2" xfId="9010"/>
    <cellStyle name="Normal 7 4 4 5 2 3" xfId="14549"/>
    <cellStyle name="Normal 7 4 4 5 3" xfId="4505"/>
    <cellStyle name="Normal 7 4 4 5 3 2" xfId="10044"/>
    <cellStyle name="Normal 7 4 4 5 3 3" xfId="15583"/>
    <cellStyle name="Normal 7 4 4 5 4" xfId="5440"/>
    <cellStyle name="Normal 7 4 4 5 4 2" xfId="10979"/>
    <cellStyle name="Normal 7 4 4 5 4 3" xfId="16518"/>
    <cellStyle name="Normal 7 4 4 5 5" xfId="2142"/>
    <cellStyle name="Normal 7 4 4 5 5 2" xfId="7688"/>
    <cellStyle name="Normal 7 4 4 5 5 3" xfId="13227"/>
    <cellStyle name="Normal 7 4 4 5 6" xfId="6483"/>
    <cellStyle name="Normal 7 4 4 5 7" xfId="12022"/>
    <cellStyle name="Normal 7 4 4 6" xfId="1559"/>
    <cellStyle name="Normal 7 4 4 6 2" xfId="2764"/>
    <cellStyle name="Normal 7 4 4 6 2 2" xfId="8310"/>
    <cellStyle name="Normal 7 4 4 6 2 3" xfId="13849"/>
    <cellStyle name="Normal 7 4 4 6 3" xfId="7105"/>
    <cellStyle name="Normal 7 4 4 6 4" xfId="12644"/>
    <cellStyle name="Normal 7 4 4 7" xfId="2937"/>
    <cellStyle name="Normal 7 4 4 7 2" xfId="8481"/>
    <cellStyle name="Normal 7 4 4 7 3" xfId="14020"/>
    <cellStyle name="Normal 7 4 4 8" xfId="3076"/>
    <cellStyle name="Normal 7 4 4 8 2" xfId="8619"/>
    <cellStyle name="Normal 7 4 4 8 3" xfId="14158"/>
    <cellStyle name="Normal 7 4 4 9" xfId="4119"/>
    <cellStyle name="Normal 7 4 4 9 2" xfId="9660"/>
    <cellStyle name="Normal 7 4 4 9 3" xfId="15199"/>
    <cellStyle name="Normal 7 4 5" xfId="409"/>
    <cellStyle name="Normal 7 4 5 10" xfId="6080"/>
    <cellStyle name="Normal 7 4 5 10 2" xfId="17158"/>
    <cellStyle name="Normal 7 4 5 11" xfId="724"/>
    <cellStyle name="Normal 7 4 5 11 2" xfId="17320"/>
    <cellStyle name="Normal 7 4 5 12" xfId="11619"/>
    <cellStyle name="Normal 7 4 5 13" xfId="17487"/>
    <cellStyle name="Normal 7 4 5 14" xfId="17652"/>
    <cellStyle name="Normal 7 4 5 2" xfId="608"/>
    <cellStyle name="Normal 7 4 5 2 2" xfId="1449"/>
    <cellStyle name="Normal 7 4 5 2 2 2" xfId="3981"/>
    <cellStyle name="Normal 7 4 5 2 2 2 2" xfId="9523"/>
    <cellStyle name="Normal 7 4 5 2 2 2 3" xfId="15062"/>
    <cellStyle name="Normal 7 4 5 2 2 3" xfId="5018"/>
    <cellStyle name="Normal 7 4 5 2 2 3 2" xfId="10557"/>
    <cellStyle name="Normal 7 4 5 2 2 3 3" xfId="16096"/>
    <cellStyle name="Normal 7 4 5 2 2 4" xfId="5952"/>
    <cellStyle name="Normal 7 4 5 2 2 4 2" xfId="11491"/>
    <cellStyle name="Normal 7 4 5 2 2 4 3" xfId="17030"/>
    <cellStyle name="Normal 7 4 5 2 2 5" xfId="2654"/>
    <cellStyle name="Normal 7 4 5 2 2 5 2" xfId="8200"/>
    <cellStyle name="Normal 7 4 5 2 2 5 3" xfId="13739"/>
    <cellStyle name="Normal 7 4 5 2 2 6" xfId="6995"/>
    <cellStyle name="Normal 7 4 5 2 2 7" xfId="12534"/>
    <cellStyle name="Normal 7 4 5 2 3" xfId="1055"/>
    <cellStyle name="Normal 7 4 5 2 3 2" xfId="3585"/>
    <cellStyle name="Normal 7 4 5 2 3 2 2" xfId="9127"/>
    <cellStyle name="Normal 7 4 5 2 3 2 3" xfId="14666"/>
    <cellStyle name="Normal 7 4 5 2 3 3" xfId="4622"/>
    <cellStyle name="Normal 7 4 5 2 3 3 2" xfId="10161"/>
    <cellStyle name="Normal 7 4 5 2 3 3 3" xfId="15700"/>
    <cellStyle name="Normal 7 4 5 2 3 4" xfId="5557"/>
    <cellStyle name="Normal 7 4 5 2 3 4 2" xfId="11096"/>
    <cellStyle name="Normal 7 4 5 2 3 4 3" xfId="16635"/>
    <cellStyle name="Normal 7 4 5 2 3 5" xfId="2259"/>
    <cellStyle name="Normal 7 4 5 2 3 5 2" xfId="7805"/>
    <cellStyle name="Normal 7 4 5 2 3 5 3" xfId="13344"/>
    <cellStyle name="Normal 7 4 5 2 3 6" xfId="6600"/>
    <cellStyle name="Normal 7 4 5 2 3 7" xfId="12139"/>
    <cellStyle name="Normal 7 4 5 2 4" xfId="3267"/>
    <cellStyle name="Normal 7 4 5 2 4 2" xfId="8809"/>
    <cellStyle name="Normal 7 4 5 2 4 3" xfId="14348"/>
    <cellStyle name="Normal 7 4 5 2 5" xfId="4306"/>
    <cellStyle name="Normal 7 4 5 2 5 2" xfId="9845"/>
    <cellStyle name="Normal 7 4 5 2 5 3" xfId="15384"/>
    <cellStyle name="Normal 7 4 5 2 6" xfId="5267"/>
    <cellStyle name="Normal 7 4 5 2 6 2" xfId="10806"/>
    <cellStyle name="Normal 7 4 5 2 6 3" xfId="16345"/>
    <cellStyle name="Normal 7 4 5 2 7" xfId="1969"/>
    <cellStyle name="Normal 7 4 5 2 7 2" xfId="7515"/>
    <cellStyle name="Normal 7 4 5 2 7 3" xfId="13054"/>
    <cellStyle name="Normal 7 4 5 2 8" xfId="6310"/>
    <cellStyle name="Normal 7 4 5 2 9" xfId="11849"/>
    <cellStyle name="Normal 7 4 5 3" xfId="1232"/>
    <cellStyle name="Normal 7 4 5 3 2" xfId="3762"/>
    <cellStyle name="Normal 7 4 5 3 2 2" xfId="9304"/>
    <cellStyle name="Normal 7 4 5 3 2 3" xfId="14843"/>
    <cellStyle name="Normal 7 4 5 3 3" xfId="4799"/>
    <cellStyle name="Normal 7 4 5 3 3 2" xfId="10338"/>
    <cellStyle name="Normal 7 4 5 3 3 3" xfId="15877"/>
    <cellStyle name="Normal 7 4 5 3 4" xfId="5734"/>
    <cellStyle name="Normal 7 4 5 3 4 2" xfId="11273"/>
    <cellStyle name="Normal 7 4 5 3 4 3" xfId="16812"/>
    <cellStyle name="Normal 7 4 5 3 5" xfId="2436"/>
    <cellStyle name="Normal 7 4 5 3 5 2" xfId="7982"/>
    <cellStyle name="Normal 7 4 5 3 5 3" xfId="13521"/>
    <cellStyle name="Normal 7 4 5 3 6" xfId="6777"/>
    <cellStyle name="Normal 7 4 5 3 7" xfId="12316"/>
    <cellStyle name="Normal 7 4 5 4" xfId="940"/>
    <cellStyle name="Normal 7 4 5 4 2" xfId="3470"/>
    <cellStyle name="Normal 7 4 5 4 2 2" xfId="9012"/>
    <cellStyle name="Normal 7 4 5 4 2 3" xfId="14551"/>
    <cellStyle name="Normal 7 4 5 4 3" xfId="4507"/>
    <cellStyle name="Normal 7 4 5 4 3 2" xfId="10046"/>
    <cellStyle name="Normal 7 4 5 4 3 3" xfId="15585"/>
    <cellStyle name="Normal 7 4 5 4 4" xfId="5442"/>
    <cellStyle name="Normal 7 4 5 4 4 2" xfId="10981"/>
    <cellStyle name="Normal 7 4 5 4 4 3" xfId="16520"/>
    <cellStyle name="Normal 7 4 5 4 5" xfId="2144"/>
    <cellStyle name="Normal 7 4 5 4 5 2" xfId="7690"/>
    <cellStyle name="Normal 7 4 5 4 5 3" xfId="13229"/>
    <cellStyle name="Normal 7 4 5 4 6" xfId="6485"/>
    <cellStyle name="Normal 7 4 5 4 7" xfId="12024"/>
    <cellStyle name="Normal 7 4 5 5" xfId="1577"/>
    <cellStyle name="Normal 7 4 5 5 2" xfId="2782"/>
    <cellStyle name="Normal 7 4 5 5 2 2" xfId="8328"/>
    <cellStyle name="Normal 7 4 5 5 2 3" xfId="13867"/>
    <cellStyle name="Normal 7 4 5 5 3" xfId="7123"/>
    <cellStyle name="Normal 7 4 5 5 4" xfId="12662"/>
    <cellStyle name="Normal 7 4 5 6" xfId="2955"/>
    <cellStyle name="Normal 7 4 5 6 2" xfId="8499"/>
    <cellStyle name="Normal 7 4 5 6 3" xfId="14038"/>
    <cellStyle name="Normal 7 4 5 7" xfId="3063"/>
    <cellStyle name="Normal 7 4 5 7 2" xfId="8606"/>
    <cellStyle name="Normal 7 4 5 7 3" xfId="14145"/>
    <cellStyle name="Normal 7 4 5 8" xfId="4106"/>
    <cellStyle name="Normal 7 4 5 8 2" xfId="9647"/>
    <cellStyle name="Normal 7 4 5 8 3" xfId="15186"/>
    <cellStyle name="Normal 7 4 5 9" xfId="1739"/>
    <cellStyle name="Normal 7 4 5 9 2" xfId="7285"/>
    <cellStyle name="Normal 7 4 5 9 3" xfId="12824"/>
    <cellStyle name="Normal 7 4 6" xfId="410"/>
    <cellStyle name="Normal 7 4 6 10" xfId="6008"/>
    <cellStyle name="Normal 7 4 6 10 2" xfId="17086"/>
    <cellStyle name="Normal 7 4 6 11" xfId="652"/>
    <cellStyle name="Normal 7 4 6 11 2" xfId="17248"/>
    <cellStyle name="Normal 7 4 6 12" xfId="11547"/>
    <cellStyle name="Normal 7 4 6 13" xfId="17415"/>
    <cellStyle name="Normal 7 4 6 14" xfId="17580"/>
    <cellStyle name="Normal 7 4 6 2" xfId="609"/>
    <cellStyle name="Normal 7 4 6 2 2" xfId="1450"/>
    <cellStyle name="Normal 7 4 6 2 2 2" xfId="3982"/>
    <cellStyle name="Normal 7 4 6 2 2 2 2" xfId="9524"/>
    <cellStyle name="Normal 7 4 6 2 2 2 3" xfId="15063"/>
    <cellStyle name="Normal 7 4 6 2 2 3" xfId="5019"/>
    <cellStyle name="Normal 7 4 6 2 2 3 2" xfId="10558"/>
    <cellStyle name="Normal 7 4 6 2 2 3 3" xfId="16097"/>
    <cellStyle name="Normal 7 4 6 2 2 4" xfId="5953"/>
    <cellStyle name="Normal 7 4 6 2 2 4 2" xfId="11492"/>
    <cellStyle name="Normal 7 4 6 2 2 4 3" xfId="17031"/>
    <cellStyle name="Normal 7 4 6 2 2 5" xfId="2655"/>
    <cellStyle name="Normal 7 4 6 2 2 5 2" xfId="8201"/>
    <cellStyle name="Normal 7 4 6 2 2 5 3" xfId="13740"/>
    <cellStyle name="Normal 7 4 6 2 2 6" xfId="6996"/>
    <cellStyle name="Normal 7 4 6 2 2 7" xfId="12535"/>
    <cellStyle name="Normal 7 4 6 2 3" xfId="983"/>
    <cellStyle name="Normal 7 4 6 2 3 2" xfId="3513"/>
    <cellStyle name="Normal 7 4 6 2 3 2 2" xfId="9055"/>
    <cellStyle name="Normal 7 4 6 2 3 2 3" xfId="14594"/>
    <cellStyle name="Normal 7 4 6 2 3 3" xfId="4550"/>
    <cellStyle name="Normal 7 4 6 2 3 3 2" xfId="10089"/>
    <cellStyle name="Normal 7 4 6 2 3 3 3" xfId="15628"/>
    <cellStyle name="Normal 7 4 6 2 3 4" xfId="5485"/>
    <cellStyle name="Normal 7 4 6 2 3 4 2" xfId="11024"/>
    <cellStyle name="Normal 7 4 6 2 3 4 3" xfId="16563"/>
    <cellStyle name="Normal 7 4 6 2 3 5" xfId="2187"/>
    <cellStyle name="Normal 7 4 6 2 3 5 2" xfId="7733"/>
    <cellStyle name="Normal 7 4 6 2 3 5 3" xfId="13272"/>
    <cellStyle name="Normal 7 4 6 2 3 6" xfId="6528"/>
    <cellStyle name="Normal 7 4 6 2 3 7" xfId="12067"/>
    <cellStyle name="Normal 7 4 6 2 4" xfId="3268"/>
    <cellStyle name="Normal 7 4 6 2 4 2" xfId="8810"/>
    <cellStyle name="Normal 7 4 6 2 4 3" xfId="14349"/>
    <cellStyle name="Normal 7 4 6 2 5" xfId="4307"/>
    <cellStyle name="Normal 7 4 6 2 5 2" xfId="9846"/>
    <cellStyle name="Normal 7 4 6 2 5 3" xfId="15385"/>
    <cellStyle name="Normal 7 4 6 2 6" xfId="5268"/>
    <cellStyle name="Normal 7 4 6 2 6 2" xfId="10807"/>
    <cellStyle name="Normal 7 4 6 2 6 3" xfId="16346"/>
    <cellStyle name="Normal 7 4 6 2 7" xfId="1970"/>
    <cellStyle name="Normal 7 4 6 2 7 2" xfId="7516"/>
    <cellStyle name="Normal 7 4 6 2 7 3" xfId="13055"/>
    <cellStyle name="Normal 7 4 6 2 8" xfId="6311"/>
    <cellStyle name="Normal 7 4 6 2 9" xfId="11850"/>
    <cellStyle name="Normal 7 4 6 3" xfId="1160"/>
    <cellStyle name="Normal 7 4 6 3 2" xfId="3690"/>
    <cellStyle name="Normal 7 4 6 3 2 2" xfId="9232"/>
    <cellStyle name="Normal 7 4 6 3 2 3" xfId="14771"/>
    <cellStyle name="Normal 7 4 6 3 3" xfId="4727"/>
    <cellStyle name="Normal 7 4 6 3 3 2" xfId="10266"/>
    <cellStyle name="Normal 7 4 6 3 3 3" xfId="15805"/>
    <cellStyle name="Normal 7 4 6 3 4" xfId="5662"/>
    <cellStyle name="Normal 7 4 6 3 4 2" xfId="11201"/>
    <cellStyle name="Normal 7 4 6 3 4 3" xfId="16740"/>
    <cellStyle name="Normal 7 4 6 3 5" xfId="2364"/>
    <cellStyle name="Normal 7 4 6 3 5 2" xfId="7910"/>
    <cellStyle name="Normal 7 4 6 3 5 3" xfId="13449"/>
    <cellStyle name="Normal 7 4 6 3 6" xfId="6705"/>
    <cellStyle name="Normal 7 4 6 3 7" xfId="12244"/>
    <cellStyle name="Normal 7 4 6 4" xfId="941"/>
    <cellStyle name="Normal 7 4 6 4 2" xfId="3471"/>
    <cellStyle name="Normal 7 4 6 4 2 2" xfId="9013"/>
    <cellStyle name="Normal 7 4 6 4 2 3" xfId="14552"/>
    <cellStyle name="Normal 7 4 6 4 3" xfId="4508"/>
    <cellStyle name="Normal 7 4 6 4 3 2" xfId="10047"/>
    <cellStyle name="Normal 7 4 6 4 3 3" xfId="15586"/>
    <cellStyle name="Normal 7 4 6 4 4" xfId="5443"/>
    <cellStyle name="Normal 7 4 6 4 4 2" xfId="10982"/>
    <cellStyle name="Normal 7 4 6 4 4 3" xfId="16521"/>
    <cellStyle name="Normal 7 4 6 4 5" xfId="2145"/>
    <cellStyle name="Normal 7 4 6 4 5 2" xfId="7691"/>
    <cellStyle name="Normal 7 4 6 4 5 3" xfId="13230"/>
    <cellStyle name="Normal 7 4 6 4 6" xfId="6486"/>
    <cellStyle name="Normal 7 4 6 4 7" xfId="12025"/>
    <cellStyle name="Normal 7 4 6 5" xfId="1505"/>
    <cellStyle name="Normal 7 4 6 5 2" xfId="2710"/>
    <cellStyle name="Normal 7 4 6 5 2 2" xfId="8256"/>
    <cellStyle name="Normal 7 4 6 5 2 3" xfId="13795"/>
    <cellStyle name="Normal 7 4 6 5 3" xfId="7051"/>
    <cellStyle name="Normal 7 4 6 5 4" xfId="12590"/>
    <cellStyle name="Normal 7 4 6 6" xfId="2883"/>
    <cellStyle name="Normal 7 4 6 6 2" xfId="8427"/>
    <cellStyle name="Normal 7 4 6 6 3" xfId="13966"/>
    <cellStyle name="Normal 7 4 6 7" xfId="3096"/>
    <cellStyle name="Normal 7 4 6 7 2" xfId="8639"/>
    <cellStyle name="Normal 7 4 6 7 3" xfId="14178"/>
    <cellStyle name="Normal 7 4 6 8" xfId="4139"/>
    <cellStyle name="Normal 7 4 6 8 2" xfId="9680"/>
    <cellStyle name="Normal 7 4 6 8 3" xfId="15219"/>
    <cellStyle name="Normal 7 4 6 9" xfId="1667"/>
    <cellStyle name="Normal 7 4 6 9 2" xfId="7213"/>
    <cellStyle name="Normal 7 4 6 9 3" xfId="12752"/>
    <cellStyle name="Normal 7 4 7" xfId="467"/>
    <cellStyle name="Normal 7 4 7 2" xfId="1309"/>
    <cellStyle name="Normal 7 4 7 2 2" xfId="3840"/>
    <cellStyle name="Normal 7 4 7 2 2 2" xfId="9382"/>
    <cellStyle name="Normal 7 4 7 2 2 3" xfId="14921"/>
    <cellStyle name="Normal 7 4 7 2 3" xfId="4877"/>
    <cellStyle name="Normal 7 4 7 2 3 2" xfId="10416"/>
    <cellStyle name="Normal 7 4 7 2 3 3" xfId="15955"/>
    <cellStyle name="Normal 7 4 7 2 4" xfId="5812"/>
    <cellStyle name="Normal 7 4 7 2 4 2" xfId="11351"/>
    <cellStyle name="Normal 7 4 7 2 4 3" xfId="16890"/>
    <cellStyle name="Normal 7 4 7 2 5" xfId="2514"/>
    <cellStyle name="Normal 7 4 7 2 5 2" xfId="8060"/>
    <cellStyle name="Normal 7 4 7 2 5 3" xfId="13599"/>
    <cellStyle name="Normal 7 4 7 2 6" xfId="6855"/>
    <cellStyle name="Normal 7 4 7 2 7" xfId="12394"/>
    <cellStyle name="Normal 7 4 7 3" xfId="965"/>
    <cellStyle name="Normal 7 4 7 3 2" xfId="3495"/>
    <cellStyle name="Normal 7 4 7 3 2 2" xfId="9037"/>
    <cellStyle name="Normal 7 4 7 3 2 3" xfId="14576"/>
    <cellStyle name="Normal 7 4 7 3 3" xfId="4532"/>
    <cellStyle name="Normal 7 4 7 3 3 2" xfId="10071"/>
    <cellStyle name="Normal 7 4 7 3 3 3" xfId="15610"/>
    <cellStyle name="Normal 7 4 7 3 4" xfId="5467"/>
    <cellStyle name="Normal 7 4 7 3 4 2" xfId="11006"/>
    <cellStyle name="Normal 7 4 7 3 4 3" xfId="16545"/>
    <cellStyle name="Normal 7 4 7 3 5" xfId="2169"/>
    <cellStyle name="Normal 7 4 7 3 5 2" xfId="7715"/>
    <cellStyle name="Normal 7 4 7 3 5 3" xfId="13254"/>
    <cellStyle name="Normal 7 4 7 3 6" xfId="6510"/>
    <cellStyle name="Normal 7 4 7 3 7" xfId="12049"/>
    <cellStyle name="Normal 7 4 7 4" xfId="3117"/>
    <cellStyle name="Normal 7 4 7 4 2" xfId="8660"/>
    <cellStyle name="Normal 7 4 7 4 3" xfId="14199"/>
    <cellStyle name="Normal 7 4 7 5" xfId="4160"/>
    <cellStyle name="Normal 7 4 7 5 2" xfId="9701"/>
    <cellStyle name="Normal 7 4 7 5 3" xfId="15240"/>
    <cellStyle name="Normal 7 4 7 6" xfId="5127"/>
    <cellStyle name="Normal 7 4 7 6 2" xfId="10666"/>
    <cellStyle name="Normal 7 4 7 6 3" xfId="16205"/>
    <cellStyle name="Normal 7 4 7 7" xfId="1829"/>
    <cellStyle name="Normal 7 4 7 7 2" xfId="7375"/>
    <cellStyle name="Normal 7 4 7 7 3" xfId="12914"/>
    <cellStyle name="Normal 7 4 7 8" xfId="6170"/>
    <cellStyle name="Normal 7 4 7 9" xfId="11709"/>
    <cellStyle name="Normal 7 4 8" xfId="1142"/>
    <cellStyle name="Normal 7 4 8 2" xfId="3672"/>
    <cellStyle name="Normal 7 4 8 2 2" xfId="9214"/>
    <cellStyle name="Normal 7 4 8 2 3" xfId="14753"/>
    <cellStyle name="Normal 7 4 8 3" xfId="4709"/>
    <cellStyle name="Normal 7 4 8 3 2" xfId="10248"/>
    <cellStyle name="Normal 7 4 8 3 3" xfId="15787"/>
    <cellStyle name="Normal 7 4 8 4" xfId="5644"/>
    <cellStyle name="Normal 7 4 8 4 2" xfId="11183"/>
    <cellStyle name="Normal 7 4 8 4 3" xfId="16722"/>
    <cellStyle name="Normal 7 4 8 5" xfId="2346"/>
    <cellStyle name="Normal 7 4 8 5 2" xfId="7892"/>
    <cellStyle name="Normal 7 4 8 5 3" xfId="13431"/>
    <cellStyle name="Normal 7 4 8 6" xfId="6687"/>
    <cellStyle name="Normal 7 4 8 7" xfId="12226"/>
    <cellStyle name="Normal 7 4 9" xfId="933"/>
    <cellStyle name="Normal 7 4 9 2" xfId="3463"/>
    <cellStyle name="Normal 7 4 9 2 2" xfId="9005"/>
    <cellStyle name="Normal 7 4 9 2 3" xfId="14544"/>
    <cellStyle name="Normal 7 4 9 3" xfId="4500"/>
    <cellStyle name="Normal 7 4 9 3 2" xfId="10039"/>
    <cellStyle name="Normal 7 4 9 3 3" xfId="15578"/>
    <cellStyle name="Normal 7 4 9 4" xfId="5435"/>
    <cellStyle name="Normal 7 4 9 4 2" xfId="10974"/>
    <cellStyle name="Normal 7 4 9 4 3" xfId="16513"/>
    <cellStyle name="Normal 7 4 9 5" xfId="2137"/>
    <cellStyle name="Normal 7 4 9 5 2" xfId="7683"/>
    <cellStyle name="Normal 7 4 9 5 3" xfId="13222"/>
    <cellStyle name="Normal 7 4 9 6" xfId="6478"/>
    <cellStyle name="Normal 7 4 9 7" xfId="12017"/>
    <cellStyle name="Normal 7 5" xfId="411"/>
    <cellStyle name="Normal 7 5 10" xfId="1689"/>
    <cellStyle name="Normal 7 5 10 2" xfId="7235"/>
    <cellStyle name="Normal 7 5 10 3" xfId="12774"/>
    <cellStyle name="Normal 7 5 11" xfId="6030"/>
    <cellStyle name="Normal 7 5 11 2" xfId="17108"/>
    <cellStyle name="Normal 7 5 12" xfId="674"/>
    <cellStyle name="Normal 7 5 12 2" xfId="17270"/>
    <cellStyle name="Normal 7 5 13" xfId="11569"/>
    <cellStyle name="Normal 7 5 14" xfId="17437"/>
    <cellStyle name="Normal 7 5 15" xfId="17602"/>
    <cellStyle name="Normal 7 5 2" xfId="412"/>
    <cellStyle name="Normal 7 5 2 10" xfId="6120"/>
    <cellStyle name="Normal 7 5 2 10 2" xfId="17198"/>
    <cellStyle name="Normal 7 5 2 11" xfId="764"/>
    <cellStyle name="Normal 7 5 2 11 2" xfId="17360"/>
    <cellStyle name="Normal 7 5 2 12" xfId="11659"/>
    <cellStyle name="Normal 7 5 2 13" xfId="17527"/>
    <cellStyle name="Normal 7 5 2 14" xfId="17692"/>
    <cellStyle name="Normal 7 5 2 2" xfId="611"/>
    <cellStyle name="Normal 7 5 2 2 2" xfId="1452"/>
    <cellStyle name="Normal 7 5 2 2 2 2" xfId="3984"/>
    <cellStyle name="Normal 7 5 2 2 2 2 2" xfId="9526"/>
    <cellStyle name="Normal 7 5 2 2 2 2 3" xfId="15065"/>
    <cellStyle name="Normal 7 5 2 2 2 3" xfId="5021"/>
    <cellStyle name="Normal 7 5 2 2 2 3 2" xfId="10560"/>
    <cellStyle name="Normal 7 5 2 2 2 3 3" xfId="16099"/>
    <cellStyle name="Normal 7 5 2 2 2 4" xfId="5955"/>
    <cellStyle name="Normal 7 5 2 2 2 4 2" xfId="11494"/>
    <cellStyle name="Normal 7 5 2 2 2 4 3" xfId="17033"/>
    <cellStyle name="Normal 7 5 2 2 2 5" xfId="2657"/>
    <cellStyle name="Normal 7 5 2 2 2 5 2" xfId="8203"/>
    <cellStyle name="Normal 7 5 2 2 2 5 3" xfId="13742"/>
    <cellStyle name="Normal 7 5 2 2 2 6" xfId="6998"/>
    <cellStyle name="Normal 7 5 2 2 2 7" xfId="12537"/>
    <cellStyle name="Normal 7 5 2 2 3" xfId="1095"/>
    <cellStyle name="Normal 7 5 2 2 3 2" xfId="3625"/>
    <cellStyle name="Normal 7 5 2 2 3 2 2" xfId="9167"/>
    <cellStyle name="Normal 7 5 2 2 3 2 3" xfId="14706"/>
    <cellStyle name="Normal 7 5 2 2 3 3" xfId="4662"/>
    <cellStyle name="Normal 7 5 2 2 3 3 2" xfId="10201"/>
    <cellStyle name="Normal 7 5 2 2 3 3 3" xfId="15740"/>
    <cellStyle name="Normal 7 5 2 2 3 4" xfId="5597"/>
    <cellStyle name="Normal 7 5 2 2 3 4 2" xfId="11136"/>
    <cellStyle name="Normal 7 5 2 2 3 4 3" xfId="16675"/>
    <cellStyle name="Normal 7 5 2 2 3 5" xfId="2299"/>
    <cellStyle name="Normal 7 5 2 2 3 5 2" xfId="7845"/>
    <cellStyle name="Normal 7 5 2 2 3 5 3" xfId="13384"/>
    <cellStyle name="Normal 7 5 2 2 3 6" xfId="6640"/>
    <cellStyle name="Normal 7 5 2 2 3 7" xfId="12179"/>
    <cellStyle name="Normal 7 5 2 2 4" xfId="3270"/>
    <cellStyle name="Normal 7 5 2 2 4 2" xfId="8812"/>
    <cellStyle name="Normal 7 5 2 2 4 3" xfId="14351"/>
    <cellStyle name="Normal 7 5 2 2 5" xfId="4309"/>
    <cellStyle name="Normal 7 5 2 2 5 2" xfId="9848"/>
    <cellStyle name="Normal 7 5 2 2 5 3" xfId="15387"/>
    <cellStyle name="Normal 7 5 2 2 6" xfId="5270"/>
    <cellStyle name="Normal 7 5 2 2 6 2" xfId="10809"/>
    <cellStyle name="Normal 7 5 2 2 6 3" xfId="16348"/>
    <cellStyle name="Normal 7 5 2 2 7" xfId="1972"/>
    <cellStyle name="Normal 7 5 2 2 7 2" xfId="7518"/>
    <cellStyle name="Normal 7 5 2 2 7 3" xfId="13057"/>
    <cellStyle name="Normal 7 5 2 2 8" xfId="6313"/>
    <cellStyle name="Normal 7 5 2 2 9" xfId="11852"/>
    <cellStyle name="Normal 7 5 2 3" xfId="1272"/>
    <cellStyle name="Normal 7 5 2 3 2" xfId="3802"/>
    <cellStyle name="Normal 7 5 2 3 2 2" xfId="9344"/>
    <cellStyle name="Normal 7 5 2 3 2 3" xfId="14883"/>
    <cellStyle name="Normal 7 5 2 3 3" xfId="4839"/>
    <cellStyle name="Normal 7 5 2 3 3 2" xfId="10378"/>
    <cellStyle name="Normal 7 5 2 3 3 3" xfId="15917"/>
    <cellStyle name="Normal 7 5 2 3 4" xfId="5774"/>
    <cellStyle name="Normal 7 5 2 3 4 2" xfId="11313"/>
    <cellStyle name="Normal 7 5 2 3 4 3" xfId="16852"/>
    <cellStyle name="Normal 7 5 2 3 5" xfId="2476"/>
    <cellStyle name="Normal 7 5 2 3 5 2" xfId="8022"/>
    <cellStyle name="Normal 7 5 2 3 5 3" xfId="13561"/>
    <cellStyle name="Normal 7 5 2 3 6" xfId="6817"/>
    <cellStyle name="Normal 7 5 2 3 7" xfId="12356"/>
    <cellStyle name="Normal 7 5 2 4" xfId="943"/>
    <cellStyle name="Normal 7 5 2 4 2" xfId="3473"/>
    <cellStyle name="Normal 7 5 2 4 2 2" xfId="9015"/>
    <cellStyle name="Normal 7 5 2 4 2 3" xfId="14554"/>
    <cellStyle name="Normal 7 5 2 4 3" xfId="4510"/>
    <cellStyle name="Normal 7 5 2 4 3 2" xfId="10049"/>
    <cellStyle name="Normal 7 5 2 4 3 3" xfId="15588"/>
    <cellStyle name="Normal 7 5 2 4 4" xfId="5445"/>
    <cellStyle name="Normal 7 5 2 4 4 2" xfId="10984"/>
    <cellStyle name="Normal 7 5 2 4 4 3" xfId="16523"/>
    <cellStyle name="Normal 7 5 2 4 5" xfId="2147"/>
    <cellStyle name="Normal 7 5 2 4 5 2" xfId="7693"/>
    <cellStyle name="Normal 7 5 2 4 5 3" xfId="13232"/>
    <cellStyle name="Normal 7 5 2 4 6" xfId="6488"/>
    <cellStyle name="Normal 7 5 2 4 7" xfId="12027"/>
    <cellStyle name="Normal 7 5 2 5" xfId="1617"/>
    <cellStyle name="Normal 7 5 2 5 2" xfId="2822"/>
    <cellStyle name="Normal 7 5 2 5 2 2" xfId="8368"/>
    <cellStyle name="Normal 7 5 2 5 2 3" xfId="13907"/>
    <cellStyle name="Normal 7 5 2 5 3" xfId="7163"/>
    <cellStyle name="Normal 7 5 2 5 4" xfId="12702"/>
    <cellStyle name="Normal 7 5 2 6" xfId="2995"/>
    <cellStyle name="Normal 7 5 2 6 2" xfId="8539"/>
    <cellStyle name="Normal 7 5 2 6 3" xfId="14078"/>
    <cellStyle name="Normal 7 5 2 7" xfId="4040"/>
    <cellStyle name="Normal 7 5 2 7 2" xfId="9582"/>
    <cellStyle name="Normal 7 5 2 7 3" xfId="15121"/>
    <cellStyle name="Normal 7 5 2 8" xfId="5077"/>
    <cellStyle name="Normal 7 5 2 8 2" xfId="10616"/>
    <cellStyle name="Normal 7 5 2 8 3" xfId="16155"/>
    <cellStyle name="Normal 7 5 2 9" xfId="1779"/>
    <cellStyle name="Normal 7 5 2 9 2" xfId="7325"/>
    <cellStyle name="Normal 7 5 2 9 3" xfId="12864"/>
    <cellStyle name="Normal 7 5 3" xfId="610"/>
    <cellStyle name="Normal 7 5 3 2" xfId="1451"/>
    <cellStyle name="Normal 7 5 3 2 2" xfId="3983"/>
    <cellStyle name="Normal 7 5 3 2 2 2" xfId="9525"/>
    <cellStyle name="Normal 7 5 3 2 2 3" xfId="15064"/>
    <cellStyle name="Normal 7 5 3 2 3" xfId="5020"/>
    <cellStyle name="Normal 7 5 3 2 3 2" xfId="10559"/>
    <cellStyle name="Normal 7 5 3 2 3 3" xfId="16098"/>
    <cellStyle name="Normal 7 5 3 2 4" xfId="5954"/>
    <cellStyle name="Normal 7 5 3 2 4 2" xfId="11493"/>
    <cellStyle name="Normal 7 5 3 2 4 3" xfId="17032"/>
    <cellStyle name="Normal 7 5 3 2 5" xfId="2656"/>
    <cellStyle name="Normal 7 5 3 2 5 2" xfId="8202"/>
    <cellStyle name="Normal 7 5 3 2 5 3" xfId="13741"/>
    <cellStyle name="Normal 7 5 3 2 6" xfId="6997"/>
    <cellStyle name="Normal 7 5 3 2 7" xfId="12536"/>
    <cellStyle name="Normal 7 5 3 3" xfId="1005"/>
    <cellStyle name="Normal 7 5 3 3 2" xfId="3535"/>
    <cellStyle name="Normal 7 5 3 3 2 2" xfId="9077"/>
    <cellStyle name="Normal 7 5 3 3 2 3" xfId="14616"/>
    <cellStyle name="Normal 7 5 3 3 3" xfId="4572"/>
    <cellStyle name="Normal 7 5 3 3 3 2" xfId="10111"/>
    <cellStyle name="Normal 7 5 3 3 3 3" xfId="15650"/>
    <cellStyle name="Normal 7 5 3 3 4" xfId="5507"/>
    <cellStyle name="Normal 7 5 3 3 4 2" xfId="11046"/>
    <cellStyle name="Normal 7 5 3 3 4 3" xfId="16585"/>
    <cellStyle name="Normal 7 5 3 3 5" xfId="2209"/>
    <cellStyle name="Normal 7 5 3 3 5 2" xfId="7755"/>
    <cellStyle name="Normal 7 5 3 3 5 3" xfId="13294"/>
    <cellStyle name="Normal 7 5 3 3 6" xfId="6550"/>
    <cellStyle name="Normal 7 5 3 3 7" xfId="12089"/>
    <cellStyle name="Normal 7 5 3 4" xfId="3269"/>
    <cellStyle name="Normal 7 5 3 4 2" xfId="8811"/>
    <cellStyle name="Normal 7 5 3 4 3" xfId="14350"/>
    <cellStyle name="Normal 7 5 3 5" xfId="4308"/>
    <cellStyle name="Normal 7 5 3 5 2" xfId="9847"/>
    <cellStyle name="Normal 7 5 3 5 3" xfId="15386"/>
    <cellStyle name="Normal 7 5 3 6" xfId="5269"/>
    <cellStyle name="Normal 7 5 3 6 2" xfId="10808"/>
    <cellStyle name="Normal 7 5 3 6 3" xfId="16347"/>
    <cellStyle name="Normal 7 5 3 7" xfId="1971"/>
    <cellStyle name="Normal 7 5 3 7 2" xfId="7517"/>
    <cellStyle name="Normal 7 5 3 7 3" xfId="13056"/>
    <cellStyle name="Normal 7 5 3 8" xfId="6312"/>
    <cellStyle name="Normal 7 5 3 9" xfId="11851"/>
    <cellStyle name="Normal 7 5 4" xfId="1182"/>
    <cellStyle name="Normal 7 5 4 2" xfId="3712"/>
    <cellStyle name="Normal 7 5 4 2 2" xfId="9254"/>
    <cellStyle name="Normal 7 5 4 2 3" xfId="14793"/>
    <cellStyle name="Normal 7 5 4 3" xfId="4749"/>
    <cellStyle name="Normal 7 5 4 3 2" xfId="10288"/>
    <cellStyle name="Normal 7 5 4 3 3" xfId="15827"/>
    <cellStyle name="Normal 7 5 4 4" xfId="5684"/>
    <cellStyle name="Normal 7 5 4 4 2" xfId="11223"/>
    <cellStyle name="Normal 7 5 4 4 3" xfId="16762"/>
    <cellStyle name="Normal 7 5 4 5" xfId="2386"/>
    <cellStyle name="Normal 7 5 4 5 2" xfId="7932"/>
    <cellStyle name="Normal 7 5 4 5 3" xfId="13471"/>
    <cellStyle name="Normal 7 5 4 6" xfId="6727"/>
    <cellStyle name="Normal 7 5 4 7" xfId="12266"/>
    <cellStyle name="Normal 7 5 5" xfId="942"/>
    <cellStyle name="Normal 7 5 5 2" xfId="3472"/>
    <cellStyle name="Normal 7 5 5 2 2" xfId="9014"/>
    <cellStyle name="Normal 7 5 5 2 3" xfId="14553"/>
    <cellStyle name="Normal 7 5 5 3" xfId="4509"/>
    <cellStyle name="Normal 7 5 5 3 2" xfId="10048"/>
    <cellStyle name="Normal 7 5 5 3 3" xfId="15587"/>
    <cellStyle name="Normal 7 5 5 4" xfId="5444"/>
    <cellStyle name="Normal 7 5 5 4 2" xfId="10983"/>
    <cellStyle name="Normal 7 5 5 4 3" xfId="16522"/>
    <cellStyle name="Normal 7 5 5 5" xfId="2146"/>
    <cellStyle name="Normal 7 5 5 5 2" xfId="7692"/>
    <cellStyle name="Normal 7 5 5 5 3" xfId="13231"/>
    <cellStyle name="Normal 7 5 5 6" xfId="6487"/>
    <cellStyle name="Normal 7 5 5 7" xfId="12026"/>
    <cellStyle name="Normal 7 5 6" xfId="1527"/>
    <cellStyle name="Normal 7 5 6 2" xfId="2732"/>
    <cellStyle name="Normal 7 5 6 2 2" xfId="8278"/>
    <cellStyle name="Normal 7 5 6 2 3" xfId="13817"/>
    <cellStyle name="Normal 7 5 6 3" xfId="7073"/>
    <cellStyle name="Normal 7 5 6 4" xfId="12612"/>
    <cellStyle name="Normal 7 5 7" xfId="2905"/>
    <cellStyle name="Normal 7 5 7 2" xfId="8449"/>
    <cellStyle name="Normal 7 5 7 3" xfId="13988"/>
    <cellStyle name="Normal 7 5 8" xfId="3092"/>
    <cellStyle name="Normal 7 5 8 2" xfId="8635"/>
    <cellStyle name="Normal 7 5 8 3" xfId="14174"/>
    <cellStyle name="Normal 7 5 9" xfId="4135"/>
    <cellStyle name="Normal 7 5 9 2" xfId="9676"/>
    <cellStyle name="Normal 7 5 9 3" xfId="15215"/>
    <cellStyle name="Normal 7 6" xfId="413"/>
    <cellStyle name="Normal 7 6 10" xfId="1671"/>
    <cellStyle name="Normal 7 6 10 2" xfId="7217"/>
    <cellStyle name="Normal 7 6 10 3" xfId="12756"/>
    <cellStyle name="Normal 7 6 11" xfId="6012"/>
    <cellStyle name="Normal 7 6 11 2" xfId="17090"/>
    <cellStyle name="Normal 7 6 12" xfId="656"/>
    <cellStyle name="Normal 7 6 12 2" xfId="17252"/>
    <cellStyle name="Normal 7 6 13" xfId="11551"/>
    <cellStyle name="Normal 7 6 14" xfId="17419"/>
    <cellStyle name="Normal 7 6 15" xfId="17584"/>
    <cellStyle name="Normal 7 6 2" xfId="414"/>
    <cellStyle name="Normal 7 6 2 10" xfId="6102"/>
    <cellStyle name="Normal 7 6 2 10 2" xfId="17180"/>
    <cellStyle name="Normal 7 6 2 11" xfId="746"/>
    <cellStyle name="Normal 7 6 2 11 2" xfId="17342"/>
    <cellStyle name="Normal 7 6 2 12" xfId="11641"/>
    <cellStyle name="Normal 7 6 2 13" xfId="17509"/>
    <cellStyle name="Normal 7 6 2 14" xfId="17674"/>
    <cellStyle name="Normal 7 6 2 2" xfId="613"/>
    <cellStyle name="Normal 7 6 2 2 2" xfId="1454"/>
    <cellStyle name="Normal 7 6 2 2 2 2" xfId="3986"/>
    <cellStyle name="Normal 7 6 2 2 2 2 2" xfId="9528"/>
    <cellStyle name="Normal 7 6 2 2 2 2 3" xfId="15067"/>
    <cellStyle name="Normal 7 6 2 2 2 3" xfId="5023"/>
    <cellStyle name="Normal 7 6 2 2 2 3 2" xfId="10562"/>
    <cellStyle name="Normal 7 6 2 2 2 3 3" xfId="16101"/>
    <cellStyle name="Normal 7 6 2 2 2 4" xfId="5957"/>
    <cellStyle name="Normal 7 6 2 2 2 4 2" xfId="11496"/>
    <cellStyle name="Normal 7 6 2 2 2 4 3" xfId="17035"/>
    <cellStyle name="Normal 7 6 2 2 2 5" xfId="2659"/>
    <cellStyle name="Normal 7 6 2 2 2 5 2" xfId="8205"/>
    <cellStyle name="Normal 7 6 2 2 2 5 3" xfId="13744"/>
    <cellStyle name="Normal 7 6 2 2 2 6" xfId="7000"/>
    <cellStyle name="Normal 7 6 2 2 2 7" xfId="12539"/>
    <cellStyle name="Normal 7 6 2 2 3" xfId="1077"/>
    <cellStyle name="Normal 7 6 2 2 3 2" xfId="3607"/>
    <cellStyle name="Normal 7 6 2 2 3 2 2" xfId="9149"/>
    <cellStyle name="Normal 7 6 2 2 3 2 3" xfId="14688"/>
    <cellStyle name="Normal 7 6 2 2 3 3" xfId="4644"/>
    <cellStyle name="Normal 7 6 2 2 3 3 2" xfId="10183"/>
    <cellStyle name="Normal 7 6 2 2 3 3 3" xfId="15722"/>
    <cellStyle name="Normal 7 6 2 2 3 4" xfId="5579"/>
    <cellStyle name="Normal 7 6 2 2 3 4 2" xfId="11118"/>
    <cellStyle name="Normal 7 6 2 2 3 4 3" xfId="16657"/>
    <cellStyle name="Normal 7 6 2 2 3 5" xfId="2281"/>
    <cellStyle name="Normal 7 6 2 2 3 5 2" xfId="7827"/>
    <cellStyle name="Normal 7 6 2 2 3 5 3" xfId="13366"/>
    <cellStyle name="Normal 7 6 2 2 3 6" xfId="6622"/>
    <cellStyle name="Normal 7 6 2 2 3 7" xfId="12161"/>
    <cellStyle name="Normal 7 6 2 2 4" xfId="3272"/>
    <cellStyle name="Normal 7 6 2 2 4 2" xfId="8814"/>
    <cellStyle name="Normal 7 6 2 2 4 3" xfId="14353"/>
    <cellStyle name="Normal 7 6 2 2 5" xfId="4311"/>
    <cellStyle name="Normal 7 6 2 2 5 2" xfId="9850"/>
    <cellStyle name="Normal 7 6 2 2 5 3" xfId="15389"/>
    <cellStyle name="Normal 7 6 2 2 6" xfId="5272"/>
    <cellStyle name="Normal 7 6 2 2 6 2" xfId="10811"/>
    <cellStyle name="Normal 7 6 2 2 6 3" xfId="16350"/>
    <cellStyle name="Normal 7 6 2 2 7" xfId="1974"/>
    <cellStyle name="Normal 7 6 2 2 7 2" xfId="7520"/>
    <cellStyle name="Normal 7 6 2 2 7 3" xfId="13059"/>
    <cellStyle name="Normal 7 6 2 2 8" xfId="6315"/>
    <cellStyle name="Normal 7 6 2 2 9" xfId="11854"/>
    <cellStyle name="Normal 7 6 2 3" xfId="1254"/>
    <cellStyle name="Normal 7 6 2 3 2" xfId="3784"/>
    <cellStyle name="Normal 7 6 2 3 2 2" xfId="9326"/>
    <cellStyle name="Normal 7 6 2 3 2 3" xfId="14865"/>
    <cellStyle name="Normal 7 6 2 3 3" xfId="4821"/>
    <cellStyle name="Normal 7 6 2 3 3 2" xfId="10360"/>
    <cellStyle name="Normal 7 6 2 3 3 3" xfId="15899"/>
    <cellStyle name="Normal 7 6 2 3 4" xfId="5756"/>
    <cellStyle name="Normal 7 6 2 3 4 2" xfId="11295"/>
    <cellStyle name="Normal 7 6 2 3 4 3" xfId="16834"/>
    <cellStyle name="Normal 7 6 2 3 5" xfId="2458"/>
    <cellStyle name="Normal 7 6 2 3 5 2" xfId="8004"/>
    <cellStyle name="Normal 7 6 2 3 5 3" xfId="13543"/>
    <cellStyle name="Normal 7 6 2 3 6" xfId="6799"/>
    <cellStyle name="Normal 7 6 2 3 7" xfId="12338"/>
    <cellStyle name="Normal 7 6 2 4" xfId="945"/>
    <cellStyle name="Normal 7 6 2 4 2" xfId="3475"/>
    <cellStyle name="Normal 7 6 2 4 2 2" xfId="9017"/>
    <cellStyle name="Normal 7 6 2 4 2 3" xfId="14556"/>
    <cellStyle name="Normal 7 6 2 4 3" xfId="4512"/>
    <cellStyle name="Normal 7 6 2 4 3 2" xfId="10051"/>
    <cellStyle name="Normal 7 6 2 4 3 3" xfId="15590"/>
    <cellStyle name="Normal 7 6 2 4 4" xfId="5447"/>
    <cellStyle name="Normal 7 6 2 4 4 2" xfId="10986"/>
    <cellStyle name="Normal 7 6 2 4 4 3" xfId="16525"/>
    <cellStyle name="Normal 7 6 2 4 5" xfId="2149"/>
    <cellStyle name="Normal 7 6 2 4 5 2" xfId="7695"/>
    <cellStyle name="Normal 7 6 2 4 5 3" xfId="13234"/>
    <cellStyle name="Normal 7 6 2 4 6" xfId="6490"/>
    <cellStyle name="Normal 7 6 2 4 7" xfId="12029"/>
    <cellStyle name="Normal 7 6 2 5" xfId="1599"/>
    <cellStyle name="Normal 7 6 2 5 2" xfId="2804"/>
    <cellStyle name="Normal 7 6 2 5 2 2" xfId="8350"/>
    <cellStyle name="Normal 7 6 2 5 2 3" xfId="13889"/>
    <cellStyle name="Normal 7 6 2 5 3" xfId="7145"/>
    <cellStyle name="Normal 7 6 2 5 4" xfId="12684"/>
    <cellStyle name="Normal 7 6 2 6" xfId="2977"/>
    <cellStyle name="Normal 7 6 2 6 2" xfId="8521"/>
    <cellStyle name="Normal 7 6 2 6 3" xfId="14060"/>
    <cellStyle name="Normal 7 6 2 7" xfId="4022"/>
    <cellStyle name="Normal 7 6 2 7 2" xfId="9564"/>
    <cellStyle name="Normal 7 6 2 7 3" xfId="15103"/>
    <cellStyle name="Normal 7 6 2 8" xfId="5059"/>
    <cellStyle name="Normal 7 6 2 8 2" xfId="10598"/>
    <cellStyle name="Normal 7 6 2 8 3" xfId="16137"/>
    <cellStyle name="Normal 7 6 2 9" xfId="1761"/>
    <cellStyle name="Normal 7 6 2 9 2" xfId="7307"/>
    <cellStyle name="Normal 7 6 2 9 3" xfId="12846"/>
    <cellStyle name="Normal 7 6 3" xfId="612"/>
    <cellStyle name="Normal 7 6 3 2" xfId="1453"/>
    <cellStyle name="Normal 7 6 3 2 2" xfId="3985"/>
    <cellStyle name="Normal 7 6 3 2 2 2" xfId="9527"/>
    <cellStyle name="Normal 7 6 3 2 2 3" xfId="15066"/>
    <cellStyle name="Normal 7 6 3 2 3" xfId="5022"/>
    <cellStyle name="Normal 7 6 3 2 3 2" xfId="10561"/>
    <cellStyle name="Normal 7 6 3 2 3 3" xfId="16100"/>
    <cellStyle name="Normal 7 6 3 2 4" xfId="5956"/>
    <cellStyle name="Normal 7 6 3 2 4 2" xfId="11495"/>
    <cellStyle name="Normal 7 6 3 2 4 3" xfId="17034"/>
    <cellStyle name="Normal 7 6 3 2 5" xfId="2658"/>
    <cellStyle name="Normal 7 6 3 2 5 2" xfId="8204"/>
    <cellStyle name="Normal 7 6 3 2 5 3" xfId="13743"/>
    <cellStyle name="Normal 7 6 3 2 6" xfId="6999"/>
    <cellStyle name="Normal 7 6 3 2 7" xfId="12538"/>
    <cellStyle name="Normal 7 6 3 3" xfId="987"/>
    <cellStyle name="Normal 7 6 3 3 2" xfId="3517"/>
    <cellStyle name="Normal 7 6 3 3 2 2" xfId="9059"/>
    <cellStyle name="Normal 7 6 3 3 2 3" xfId="14598"/>
    <cellStyle name="Normal 7 6 3 3 3" xfId="4554"/>
    <cellStyle name="Normal 7 6 3 3 3 2" xfId="10093"/>
    <cellStyle name="Normal 7 6 3 3 3 3" xfId="15632"/>
    <cellStyle name="Normal 7 6 3 3 4" xfId="5489"/>
    <cellStyle name="Normal 7 6 3 3 4 2" xfId="11028"/>
    <cellStyle name="Normal 7 6 3 3 4 3" xfId="16567"/>
    <cellStyle name="Normal 7 6 3 3 5" xfId="2191"/>
    <cellStyle name="Normal 7 6 3 3 5 2" xfId="7737"/>
    <cellStyle name="Normal 7 6 3 3 5 3" xfId="13276"/>
    <cellStyle name="Normal 7 6 3 3 6" xfId="6532"/>
    <cellStyle name="Normal 7 6 3 3 7" xfId="12071"/>
    <cellStyle name="Normal 7 6 3 4" xfId="3271"/>
    <cellStyle name="Normal 7 6 3 4 2" xfId="8813"/>
    <cellStyle name="Normal 7 6 3 4 3" xfId="14352"/>
    <cellStyle name="Normal 7 6 3 5" xfId="4310"/>
    <cellStyle name="Normal 7 6 3 5 2" xfId="9849"/>
    <cellStyle name="Normal 7 6 3 5 3" xfId="15388"/>
    <cellStyle name="Normal 7 6 3 6" xfId="5271"/>
    <cellStyle name="Normal 7 6 3 6 2" xfId="10810"/>
    <cellStyle name="Normal 7 6 3 6 3" xfId="16349"/>
    <cellStyle name="Normal 7 6 3 7" xfId="1973"/>
    <cellStyle name="Normal 7 6 3 7 2" xfId="7519"/>
    <cellStyle name="Normal 7 6 3 7 3" xfId="13058"/>
    <cellStyle name="Normal 7 6 3 8" xfId="6314"/>
    <cellStyle name="Normal 7 6 3 9" xfId="11853"/>
    <cellStyle name="Normal 7 6 4" xfId="1164"/>
    <cellStyle name="Normal 7 6 4 2" xfId="3694"/>
    <cellStyle name="Normal 7 6 4 2 2" xfId="9236"/>
    <cellStyle name="Normal 7 6 4 2 3" xfId="14775"/>
    <cellStyle name="Normal 7 6 4 3" xfId="4731"/>
    <cellStyle name="Normal 7 6 4 3 2" xfId="10270"/>
    <cellStyle name="Normal 7 6 4 3 3" xfId="15809"/>
    <cellStyle name="Normal 7 6 4 4" xfId="5666"/>
    <cellStyle name="Normal 7 6 4 4 2" xfId="11205"/>
    <cellStyle name="Normal 7 6 4 4 3" xfId="16744"/>
    <cellStyle name="Normal 7 6 4 5" xfId="2368"/>
    <cellStyle name="Normal 7 6 4 5 2" xfId="7914"/>
    <cellStyle name="Normal 7 6 4 5 3" xfId="13453"/>
    <cellStyle name="Normal 7 6 4 6" xfId="6709"/>
    <cellStyle name="Normal 7 6 4 7" xfId="12248"/>
    <cellStyle name="Normal 7 6 5" xfId="944"/>
    <cellStyle name="Normal 7 6 5 2" xfId="3474"/>
    <cellStyle name="Normal 7 6 5 2 2" xfId="9016"/>
    <cellStyle name="Normal 7 6 5 2 3" xfId="14555"/>
    <cellStyle name="Normal 7 6 5 3" xfId="4511"/>
    <cellStyle name="Normal 7 6 5 3 2" xfId="10050"/>
    <cellStyle name="Normal 7 6 5 3 3" xfId="15589"/>
    <cellStyle name="Normal 7 6 5 4" xfId="5446"/>
    <cellStyle name="Normal 7 6 5 4 2" xfId="10985"/>
    <cellStyle name="Normal 7 6 5 4 3" xfId="16524"/>
    <cellStyle name="Normal 7 6 5 5" xfId="2148"/>
    <cellStyle name="Normal 7 6 5 5 2" xfId="7694"/>
    <cellStyle name="Normal 7 6 5 5 3" xfId="13233"/>
    <cellStyle name="Normal 7 6 5 6" xfId="6489"/>
    <cellStyle name="Normal 7 6 5 7" xfId="12028"/>
    <cellStyle name="Normal 7 6 6" xfId="1509"/>
    <cellStyle name="Normal 7 6 6 2" xfId="2714"/>
    <cellStyle name="Normal 7 6 6 2 2" xfId="8260"/>
    <cellStyle name="Normal 7 6 6 2 3" xfId="13799"/>
    <cellStyle name="Normal 7 6 6 3" xfId="7055"/>
    <cellStyle name="Normal 7 6 6 4" xfId="12594"/>
    <cellStyle name="Normal 7 6 7" xfId="2887"/>
    <cellStyle name="Normal 7 6 7 2" xfId="8431"/>
    <cellStyle name="Normal 7 6 7 3" xfId="13970"/>
    <cellStyle name="Normal 7 6 8" xfId="3300"/>
    <cellStyle name="Normal 7 6 8 2" xfId="8842"/>
    <cellStyle name="Normal 7 6 8 3" xfId="14381"/>
    <cellStyle name="Normal 7 6 9" xfId="4339"/>
    <cellStyle name="Normal 7 6 9 2" xfId="9878"/>
    <cellStyle name="Normal 7 6 9 3" xfId="15417"/>
    <cellStyle name="Normal 7 7" xfId="415"/>
    <cellStyle name="Normal 7 7 10" xfId="1707"/>
    <cellStyle name="Normal 7 7 10 2" xfId="7253"/>
    <cellStyle name="Normal 7 7 10 3" xfId="12792"/>
    <cellStyle name="Normal 7 7 11" xfId="6048"/>
    <cellStyle name="Normal 7 7 11 2" xfId="17126"/>
    <cellStyle name="Normal 7 7 12" xfId="692"/>
    <cellStyle name="Normal 7 7 12 2" xfId="17288"/>
    <cellStyle name="Normal 7 7 13" xfId="11587"/>
    <cellStyle name="Normal 7 7 14" xfId="17455"/>
    <cellStyle name="Normal 7 7 15" xfId="17620"/>
    <cellStyle name="Normal 7 7 2" xfId="416"/>
    <cellStyle name="Normal 7 7 2 10" xfId="6084"/>
    <cellStyle name="Normal 7 7 2 10 2" xfId="17162"/>
    <cellStyle name="Normal 7 7 2 11" xfId="728"/>
    <cellStyle name="Normal 7 7 2 11 2" xfId="17324"/>
    <cellStyle name="Normal 7 7 2 12" xfId="11623"/>
    <cellStyle name="Normal 7 7 2 13" xfId="17491"/>
    <cellStyle name="Normal 7 7 2 14" xfId="17656"/>
    <cellStyle name="Normal 7 7 2 2" xfId="615"/>
    <cellStyle name="Normal 7 7 2 2 2" xfId="1456"/>
    <cellStyle name="Normal 7 7 2 2 2 2" xfId="3988"/>
    <cellStyle name="Normal 7 7 2 2 2 2 2" xfId="9530"/>
    <cellStyle name="Normal 7 7 2 2 2 2 3" xfId="15069"/>
    <cellStyle name="Normal 7 7 2 2 2 3" xfId="5025"/>
    <cellStyle name="Normal 7 7 2 2 2 3 2" xfId="10564"/>
    <cellStyle name="Normal 7 7 2 2 2 3 3" xfId="16103"/>
    <cellStyle name="Normal 7 7 2 2 2 4" xfId="5959"/>
    <cellStyle name="Normal 7 7 2 2 2 4 2" xfId="11498"/>
    <cellStyle name="Normal 7 7 2 2 2 4 3" xfId="17037"/>
    <cellStyle name="Normal 7 7 2 2 2 5" xfId="2661"/>
    <cellStyle name="Normal 7 7 2 2 2 5 2" xfId="8207"/>
    <cellStyle name="Normal 7 7 2 2 2 5 3" xfId="13746"/>
    <cellStyle name="Normal 7 7 2 2 2 6" xfId="7002"/>
    <cellStyle name="Normal 7 7 2 2 2 7" xfId="12541"/>
    <cellStyle name="Normal 7 7 2 2 3" xfId="1059"/>
    <cellStyle name="Normal 7 7 2 2 3 2" xfId="3589"/>
    <cellStyle name="Normal 7 7 2 2 3 2 2" xfId="9131"/>
    <cellStyle name="Normal 7 7 2 2 3 2 3" xfId="14670"/>
    <cellStyle name="Normal 7 7 2 2 3 3" xfId="4626"/>
    <cellStyle name="Normal 7 7 2 2 3 3 2" xfId="10165"/>
    <cellStyle name="Normal 7 7 2 2 3 3 3" xfId="15704"/>
    <cellStyle name="Normal 7 7 2 2 3 4" xfId="5561"/>
    <cellStyle name="Normal 7 7 2 2 3 4 2" xfId="11100"/>
    <cellStyle name="Normal 7 7 2 2 3 4 3" xfId="16639"/>
    <cellStyle name="Normal 7 7 2 2 3 5" xfId="2263"/>
    <cellStyle name="Normal 7 7 2 2 3 5 2" xfId="7809"/>
    <cellStyle name="Normal 7 7 2 2 3 5 3" xfId="13348"/>
    <cellStyle name="Normal 7 7 2 2 3 6" xfId="6604"/>
    <cellStyle name="Normal 7 7 2 2 3 7" xfId="12143"/>
    <cellStyle name="Normal 7 7 2 2 4" xfId="3274"/>
    <cellStyle name="Normal 7 7 2 2 4 2" xfId="8816"/>
    <cellStyle name="Normal 7 7 2 2 4 3" xfId="14355"/>
    <cellStyle name="Normal 7 7 2 2 5" xfId="4313"/>
    <cellStyle name="Normal 7 7 2 2 5 2" xfId="9852"/>
    <cellStyle name="Normal 7 7 2 2 5 3" xfId="15391"/>
    <cellStyle name="Normal 7 7 2 2 6" xfId="5274"/>
    <cellStyle name="Normal 7 7 2 2 6 2" xfId="10813"/>
    <cellStyle name="Normal 7 7 2 2 6 3" xfId="16352"/>
    <cellStyle name="Normal 7 7 2 2 7" xfId="1976"/>
    <cellStyle name="Normal 7 7 2 2 7 2" xfId="7522"/>
    <cellStyle name="Normal 7 7 2 2 7 3" xfId="13061"/>
    <cellStyle name="Normal 7 7 2 2 8" xfId="6317"/>
    <cellStyle name="Normal 7 7 2 2 9" xfId="11856"/>
    <cellStyle name="Normal 7 7 2 3" xfId="1236"/>
    <cellStyle name="Normal 7 7 2 3 2" xfId="3766"/>
    <cellStyle name="Normal 7 7 2 3 2 2" xfId="9308"/>
    <cellStyle name="Normal 7 7 2 3 2 3" xfId="14847"/>
    <cellStyle name="Normal 7 7 2 3 3" xfId="4803"/>
    <cellStyle name="Normal 7 7 2 3 3 2" xfId="10342"/>
    <cellStyle name="Normal 7 7 2 3 3 3" xfId="15881"/>
    <cellStyle name="Normal 7 7 2 3 4" xfId="5738"/>
    <cellStyle name="Normal 7 7 2 3 4 2" xfId="11277"/>
    <cellStyle name="Normal 7 7 2 3 4 3" xfId="16816"/>
    <cellStyle name="Normal 7 7 2 3 5" xfId="2440"/>
    <cellStyle name="Normal 7 7 2 3 5 2" xfId="7986"/>
    <cellStyle name="Normal 7 7 2 3 5 3" xfId="13525"/>
    <cellStyle name="Normal 7 7 2 3 6" xfId="6781"/>
    <cellStyle name="Normal 7 7 2 3 7" xfId="12320"/>
    <cellStyle name="Normal 7 7 2 4" xfId="947"/>
    <cellStyle name="Normal 7 7 2 4 2" xfId="3477"/>
    <cellStyle name="Normal 7 7 2 4 2 2" xfId="9019"/>
    <cellStyle name="Normal 7 7 2 4 2 3" xfId="14558"/>
    <cellStyle name="Normal 7 7 2 4 3" xfId="4514"/>
    <cellStyle name="Normal 7 7 2 4 3 2" xfId="10053"/>
    <cellStyle name="Normal 7 7 2 4 3 3" xfId="15592"/>
    <cellStyle name="Normal 7 7 2 4 4" xfId="5449"/>
    <cellStyle name="Normal 7 7 2 4 4 2" xfId="10988"/>
    <cellStyle name="Normal 7 7 2 4 4 3" xfId="16527"/>
    <cellStyle name="Normal 7 7 2 4 5" xfId="2151"/>
    <cellStyle name="Normal 7 7 2 4 5 2" xfId="7697"/>
    <cellStyle name="Normal 7 7 2 4 5 3" xfId="13236"/>
    <cellStyle name="Normal 7 7 2 4 6" xfId="6492"/>
    <cellStyle name="Normal 7 7 2 4 7" xfId="12031"/>
    <cellStyle name="Normal 7 7 2 5" xfId="1581"/>
    <cellStyle name="Normal 7 7 2 5 2" xfId="2786"/>
    <cellStyle name="Normal 7 7 2 5 2 2" xfId="8332"/>
    <cellStyle name="Normal 7 7 2 5 2 3" xfId="13871"/>
    <cellStyle name="Normal 7 7 2 5 3" xfId="7127"/>
    <cellStyle name="Normal 7 7 2 5 4" xfId="12666"/>
    <cellStyle name="Normal 7 7 2 6" xfId="2959"/>
    <cellStyle name="Normal 7 7 2 6 2" xfId="8503"/>
    <cellStyle name="Normal 7 7 2 6 3" xfId="14042"/>
    <cellStyle name="Normal 7 7 2 7" xfId="4004"/>
    <cellStyle name="Normal 7 7 2 7 2" xfId="9546"/>
    <cellStyle name="Normal 7 7 2 7 3" xfId="15085"/>
    <cellStyle name="Normal 7 7 2 8" xfId="5041"/>
    <cellStyle name="Normal 7 7 2 8 2" xfId="10580"/>
    <cellStyle name="Normal 7 7 2 8 3" xfId="16119"/>
    <cellStyle name="Normal 7 7 2 9" xfId="1743"/>
    <cellStyle name="Normal 7 7 2 9 2" xfId="7289"/>
    <cellStyle name="Normal 7 7 2 9 3" xfId="12828"/>
    <cellStyle name="Normal 7 7 3" xfId="614"/>
    <cellStyle name="Normal 7 7 3 2" xfId="1455"/>
    <cellStyle name="Normal 7 7 3 2 2" xfId="3987"/>
    <cellStyle name="Normal 7 7 3 2 2 2" xfId="9529"/>
    <cellStyle name="Normal 7 7 3 2 2 3" xfId="15068"/>
    <cellStyle name="Normal 7 7 3 2 3" xfId="5024"/>
    <cellStyle name="Normal 7 7 3 2 3 2" xfId="10563"/>
    <cellStyle name="Normal 7 7 3 2 3 3" xfId="16102"/>
    <cellStyle name="Normal 7 7 3 2 4" xfId="5958"/>
    <cellStyle name="Normal 7 7 3 2 4 2" xfId="11497"/>
    <cellStyle name="Normal 7 7 3 2 4 3" xfId="17036"/>
    <cellStyle name="Normal 7 7 3 2 5" xfId="2660"/>
    <cellStyle name="Normal 7 7 3 2 5 2" xfId="8206"/>
    <cellStyle name="Normal 7 7 3 2 5 3" xfId="13745"/>
    <cellStyle name="Normal 7 7 3 2 6" xfId="7001"/>
    <cellStyle name="Normal 7 7 3 2 7" xfId="12540"/>
    <cellStyle name="Normal 7 7 3 3" xfId="1023"/>
    <cellStyle name="Normal 7 7 3 3 2" xfId="3553"/>
    <cellStyle name="Normal 7 7 3 3 2 2" xfId="9095"/>
    <cellStyle name="Normal 7 7 3 3 2 3" xfId="14634"/>
    <cellStyle name="Normal 7 7 3 3 3" xfId="4590"/>
    <cellStyle name="Normal 7 7 3 3 3 2" xfId="10129"/>
    <cellStyle name="Normal 7 7 3 3 3 3" xfId="15668"/>
    <cellStyle name="Normal 7 7 3 3 4" xfId="5525"/>
    <cellStyle name="Normal 7 7 3 3 4 2" xfId="11064"/>
    <cellStyle name="Normal 7 7 3 3 4 3" xfId="16603"/>
    <cellStyle name="Normal 7 7 3 3 5" xfId="2227"/>
    <cellStyle name="Normal 7 7 3 3 5 2" xfId="7773"/>
    <cellStyle name="Normal 7 7 3 3 5 3" xfId="13312"/>
    <cellStyle name="Normal 7 7 3 3 6" xfId="6568"/>
    <cellStyle name="Normal 7 7 3 3 7" xfId="12107"/>
    <cellStyle name="Normal 7 7 3 4" xfId="3273"/>
    <cellStyle name="Normal 7 7 3 4 2" xfId="8815"/>
    <cellStyle name="Normal 7 7 3 4 3" xfId="14354"/>
    <cellStyle name="Normal 7 7 3 5" xfId="4312"/>
    <cellStyle name="Normal 7 7 3 5 2" xfId="9851"/>
    <cellStyle name="Normal 7 7 3 5 3" xfId="15390"/>
    <cellStyle name="Normal 7 7 3 6" xfId="5273"/>
    <cellStyle name="Normal 7 7 3 6 2" xfId="10812"/>
    <cellStyle name="Normal 7 7 3 6 3" xfId="16351"/>
    <cellStyle name="Normal 7 7 3 7" xfId="1975"/>
    <cellStyle name="Normal 7 7 3 7 2" xfId="7521"/>
    <cellStyle name="Normal 7 7 3 7 3" xfId="13060"/>
    <cellStyle name="Normal 7 7 3 8" xfId="6316"/>
    <cellStyle name="Normal 7 7 3 9" xfId="11855"/>
    <cellStyle name="Normal 7 7 4" xfId="1200"/>
    <cellStyle name="Normal 7 7 4 2" xfId="3730"/>
    <cellStyle name="Normal 7 7 4 2 2" xfId="9272"/>
    <cellStyle name="Normal 7 7 4 2 3" xfId="14811"/>
    <cellStyle name="Normal 7 7 4 3" xfId="4767"/>
    <cellStyle name="Normal 7 7 4 3 2" xfId="10306"/>
    <cellStyle name="Normal 7 7 4 3 3" xfId="15845"/>
    <cellStyle name="Normal 7 7 4 4" xfId="5702"/>
    <cellStyle name="Normal 7 7 4 4 2" xfId="11241"/>
    <cellStyle name="Normal 7 7 4 4 3" xfId="16780"/>
    <cellStyle name="Normal 7 7 4 5" xfId="2404"/>
    <cellStyle name="Normal 7 7 4 5 2" xfId="7950"/>
    <cellStyle name="Normal 7 7 4 5 3" xfId="13489"/>
    <cellStyle name="Normal 7 7 4 6" xfId="6745"/>
    <cellStyle name="Normal 7 7 4 7" xfId="12284"/>
    <cellStyle name="Normal 7 7 5" xfId="946"/>
    <cellStyle name="Normal 7 7 5 2" xfId="3476"/>
    <cellStyle name="Normal 7 7 5 2 2" xfId="9018"/>
    <cellStyle name="Normal 7 7 5 2 3" xfId="14557"/>
    <cellStyle name="Normal 7 7 5 3" xfId="4513"/>
    <cellStyle name="Normal 7 7 5 3 2" xfId="10052"/>
    <cellStyle name="Normal 7 7 5 3 3" xfId="15591"/>
    <cellStyle name="Normal 7 7 5 4" xfId="5448"/>
    <cellStyle name="Normal 7 7 5 4 2" xfId="10987"/>
    <cellStyle name="Normal 7 7 5 4 3" xfId="16526"/>
    <cellStyle name="Normal 7 7 5 5" xfId="2150"/>
    <cellStyle name="Normal 7 7 5 5 2" xfId="7696"/>
    <cellStyle name="Normal 7 7 5 5 3" xfId="13235"/>
    <cellStyle name="Normal 7 7 5 6" xfId="6491"/>
    <cellStyle name="Normal 7 7 5 7" xfId="12030"/>
    <cellStyle name="Normal 7 7 6" xfId="1545"/>
    <cellStyle name="Normal 7 7 6 2" xfId="2750"/>
    <cellStyle name="Normal 7 7 6 2 2" xfId="8296"/>
    <cellStyle name="Normal 7 7 6 2 3" xfId="13835"/>
    <cellStyle name="Normal 7 7 6 3" xfId="7091"/>
    <cellStyle name="Normal 7 7 6 4" xfId="12630"/>
    <cellStyle name="Normal 7 7 7" xfId="2923"/>
    <cellStyle name="Normal 7 7 7 2" xfId="8467"/>
    <cellStyle name="Normal 7 7 7 3" xfId="14006"/>
    <cellStyle name="Normal 7 7 8" xfId="3083"/>
    <cellStyle name="Normal 7 7 8 2" xfId="8626"/>
    <cellStyle name="Normal 7 7 8 3" xfId="14165"/>
    <cellStyle name="Normal 7 7 9" xfId="4126"/>
    <cellStyle name="Normal 7 7 9 2" xfId="9667"/>
    <cellStyle name="Normal 7 7 9 3" xfId="15206"/>
    <cellStyle name="Normal 7 8" xfId="417"/>
    <cellStyle name="Normal 7 8 10" xfId="6066"/>
    <cellStyle name="Normal 7 8 10 2" xfId="17144"/>
    <cellStyle name="Normal 7 8 11" xfId="710"/>
    <cellStyle name="Normal 7 8 11 2" xfId="17306"/>
    <cellStyle name="Normal 7 8 12" xfId="11605"/>
    <cellStyle name="Normal 7 8 13" xfId="17473"/>
    <cellStyle name="Normal 7 8 14" xfId="17638"/>
    <cellStyle name="Normal 7 8 2" xfId="616"/>
    <cellStyle name="Normal 7 8 2 2" xfId="1457"/>
    <cellStyle name="Normal 7 8 2 2 2" xfId="3989"/>
    <cellStyle name="Normal 7 8 2 2 2 2" xfId="9531"/>
    <cellStyle name="Normal 7 8 2 2 2 3" xfId="15070"/>
    <cellStyle name="Normal 7 8 2 2 3" xfId="5026"/>
    <cellStyle name="Normal 7 8 2 2 3 2" xfId="10565"/>
    <cellStyle name="Normal 7 8 2 2 3 3" xfId="16104"/>
    <cellStyle name="Normal 7 8 2 2 4" xfId="5960"/>
    <cellStyle name="Normal 7 8 2 2 4 2" xfId="11499"/>
    <cellStyle name="Normal 7 8 2 2 4 3" xfId="17038"/>
    <cellStyle name="Normal 7 8 2 2 5" xfId="2662"/>
    <cellStyle name="Normal 7 8 2 2 5 2" xfId="8208"/>
    <cellStyle name="Normal 7 8 2 2 5 3" xfId="13747"/>
    <cellStyle name="Normal 7 8 2 2 6" xfId="7003"/>
    <cellStyle name="Normal 7 8 2 2 7" xfId="12542"/>
    <cellStyle name="Normal 7 8 2 3" xfId="1041"/>
    <cellStyle name="Normal 7 8 2 3 2" xfId="3571"/>
    <cellStyle name="Normal 7 8 2 3 2 2" xfId="9113"/>
    <cellStyle name="Normal 7 8 2 3 2 3" xfId="14652"/>
    <cellStyle name="Normal 7 8 2 3 3" xfId="4608"/>
    <cellStyle name="Normal 7 8 2 3 3 2" xfId="10147"/>
    <cellStyle name="Normal 7 8 2 3 3 3" xfId="15686"/>
    <cellStyle name="Normal 7 8 2 3 4" xfId="5543"/>
    <cellStyle name="Normal 7 8 2 3 4 2" xfId="11082"/>
    <cellStyle name="Normal 7 8 2 3 4 3" xfId="16621"/>
    <cellStyle name="Normal 7 8 2 3 5" xfId="2245"/>
    <cellStyle name="Normal 7 8 2 3 5 2" xfId="7791"/>
    <cellStyle name="Normal 7 8 2 3 5 3" xfId="13330"/>
    <cellStyle name="Normal 7 8 2 3 6" xfId="6586"/>
    <cellStyle name="Normal 7 8 2 3 7" xfId="12125"/>
    <cellStyle name="Normal 7 8 2 4" xfId="3275"/>
    <cellStyle name="Normal 7 8 2 4 2" xfId="8817"/>
    <cellStyle name="Normal 7 8 2 4 3" xfId="14356"/>
    <cellStyle name="Normal 7 8 2 5" xfId="4314"/>
    <cellStyle name="Normal 7 8 2 5 2" xfId="9853"/>
    <cellStyle name="Normal 7 8 2 5 3" xfId="15392"/>
    <cellStyle name="Normal 7 8 2 6" xfId="5275"/>
    <cellStyle name="Normal 7 8 2 6 2" xfId="10814"/>
    <cellStyle name="Normal 7 8 2 6 3" xfId="16353"/>
    <cellStyle name="Normal 7 8 2 7" xfId="1977"/>
    <cellStyle name="Normal 7 8 2 7 2" xfId="7523"/>
    <cellStyle name="Normal 7 8 2 7 3" xfId="13062"/>
    <cellStyle name="Normal 7 8 2 8" xfId="6318"/>
    <cellStyle name="Normal 7 8 2 9" xfId="11857"/>
    <cellStyle name="Normal 7 8 3" xfId="1218"/>
    <cellStyle name="Normal 7 8 3 2" xfId="3748"/>
    <cellStyle name="Normal 7 8 3 2 2" xfId="9290"/>
    <cellStyle name="Normal 7 8 3 2 3" xfId="14829"/>
    <cellStyle name="Normal 7 8 3 3" xfId="4785"/>
    <cellStyle name="Normal 7 8 3 3 2" xfId="10324"/>
    <cellStyle name="Normal 7 8 3 3 3" xfId="15863"/>
    <cellStyle name="Normal 7 8 3 4" xfId="5720"/>
    <cellStyle name="Normal 7 8 3 4 2" xfId="11259"/>
    <cellStyle name="Normal 7 8 3 4 3" xfId="16798"/>
    <cellStyle name="Normal 7 8 3 5" xfId="2422"/>
    <cellStyle name="Normal 7 8 3 5 2" xfId="7968"/>
    <cellStyle name="Normal 7 8 3 5 3" xfId="13507"/>
    <cellStyle name="Normal 7 8 3 6" xfId="6763"/>
    <cellStyle name="Normal 7 8 3 7" xfId="12302"/>
    <cellStyle name="Normal 7 8 4" xfId="948"/>
    <cellStyle name="Normal 7 8 4 2" xfId="3478"/>
    <cellStyle name="Normal 7 8 4 2 2" xfId="9020"/>
    <cellStyle name="Normal 7 8 4 2 3" xfId="14559"/>
    <cellStyle name="Normal 7 8 4 3" xfId="4515"/>
    <cellStyle name="Normal 7 8 4 3 2" xfId="10054"/>
    <cellStyle name="Normal 7 8 4 3 3" xfId="15593"/>
    <cellStyle name="Normal 7 8 4 4" xfId="5450"/>
    <cellStyle name="Normal 7 8 4 4 2" xfId="10989"/>
    <cellStyle name="Normal 7 8 4 4 3" xfId="16528"/>
    <cellStyle name="Normal 7 8 4 5" xfId="2152"/>
    <cellStyle name="Normal 7 8 4 5 2" xfId="7698"/>
    <cellStyle name="Normal 7 8 4 5 3" xfId="13237"/>
    <cellStyle name="Normal 7 8 4 6" xfId="6493"/>
    <cellStyle name="Normal 7 8 4 7" xfId="12032"/>
    <cellStyle name="Normal 7 8 5" xfId="1563"/>
    <cellStyle name="Normal 7 8 5 2" xfId="2768"/>
    <cellStyle name="Normal 7 8 5 2 2" xfId="8314"/>
    <cellStyle name="Normal 7 8 5 2 3" xfId="13853"/>
    <cellStyle name="Normal 7 8 5 3" xfId="7109"/>
    <cellStyle name="Normal 7 8 5 4" xfId="12648"/>
    <cellStyle name="Normal 7 8 6" xfId="2941"/>
    <cellStyle name="Normal 7 8 6 2" xfId="8485"/>
    <cellStyle name="Normal 7 8 6 3" xfId="14024"/>
    <cellStyle name="Normal 7 8 7" xfId="3074"/>
    <cellStyle name="Normal 7 8 7 2" xfId="8617"/>
    <cellStyle name="Normal 7 8 7 3" xfId="14156"/>
    <cellStyle name="Normal 7 8 8" xfId="4117"/>
    <cellStyle name="Normal 7 8 8 2" xfId="9658"/>
    <cellStyle name="Normal 7 8 8 3" xfId="15197"/>
    <cellStyle name="Normal 7 8 9" xfId="1725"/>
    <cellStyle name="Normal 7 8 9 2" xfId="7271"/>
    <cellStyle name="Normal 7 8 9 3" xfId="12810"/>
    <cellStyle name="Normal 7 9" xfId="418"/>
    <cellStyle name="Normal 7 9 10" xfId="5994"/>
    <cellStyle name="Normal 7 9 10 2" xfId="17072"/>
    <cellStyle name="Normal 7 9 11" xfId="638"/>
    <cellStyle name="Normal 7 9 11 2" xfId="17234"/>
    <cellStyle name="Normal 7 9 12" xfId="11533"/>
    <cellStyle name="Normal 7 9 13" xfId="17401"/>
    <cellStyle name="Normal 7 9 14" xfId="17566"/>
    <cellStyle name="Normal 7 9 2" xfId="617"/>
    <cellStyle name="Normal 7 9 2 2" xfId="1458"/>
    <cellStyle name="Normal 7 9 2 2 2" xfId="3990"/>
    <cellStyle name="Normal 7 9 2 2 2 2" xfId="9532"/>
    <cellStyle name="Normal 7 9 2 2 2 3" xfId="15071"/>
    <cellStyle name="Normal 7 9 2 2 3" xfId="5027"/>
    <cellStyle name="Normal 7 9 2 2 3 2" xfId="10566"/>
    <cellStyle name="Normal 7 9 2 2 3 3" xfId="16105"/>
    <cellStyle name="Normal 7 9 2 2 4" xfId="5961"/>
    <cellStyle name="Normal 7 9 2 2 4 2" xfId="11500"/>
    <cellStyle name="Normal 7 9 2 2 4 3" xfId="17039"/>
    <cellStyle name="Normal 7 9 2 2 5" xfId="2663"/>
    <cellStyle name="Normal 7 9 2 2 5 2" xfId="8209"/>
    <cellStyle name="Normal 7 9 2 2 5 3" xfId="13748"/>
    <cellStyle name="Normal 7 9 2 2 6" xfId="7004"/>
    <cellStyle name="Normal 7 9 2 2 7" xfId="12543"/>
    <cellStyle name="Normal 7 9 2 3" xfId="969"/>
    <cellStyle name="Normal 7 9 2 3 2" xfId="3499"/>
    <cellStyle name="Normal 7 9 2 3 2 2" xfId="9041"/>
    <cellStyle name="Normal 7 9 2 3 2 3" xfId="14580"/>
    <cellStyle name="Normal 7 9 2 3 3" xfId="4536"/>
    <cellStyle name="Normal 7 9 2 3 3 2" xfId="10075"/>
    <cellStyle name="Normal 7 9 2 3 3 3" xfId="15614"/>
    <cellStyle name="Normal 7 9 2 3 4" xfId="5471"/>
    <cellStyle name="Normal 7 9 2 3 4 2" xfId="11010"/>
    <cellStyle name="Normal 7 9 2 3 4 3" xfId="16549"/>
    <cellStyle name="Normal 7 9 2 3 5" xfId="2173"/>
    <cellStyle name="Normal 7 9 2 3 5 2" xfId="7719"/>
    <cellStyle name="Normal 7 9 2 3 5 3" xfId="13258"/>
    <cellStyle name="Normal 7 9 2 3 6" xfId="6514"/>
    <cellStyle name="Normal 7 9 2 3 7" xfId="12053"/>
    <cellStyle name="Normal 7 9 2 4" xfId="3276"/>
    <cellStyle name="Normal 7 9 2 4 2" xfId="8818"/>
    <cellStyle name="Normal 7 9 2 4 3" xfId="14357"/>
    <cellStyle name="Normal 7 9 2 5" xfId="4315"/>
    <cellStyle name="Normal 7 9 2 5 2" xfId="9854"/>
    <cellStyle name="Normal 7 9 2 5 3" xfId="15393"/>
    <cellStyle name="Normal 7 9 2 6" xfId="5276"/>
    <cellStyle name="Normal 7 9 2 6 2" xfId="10815"/>
    <cellStyle name="Normal 7 9 2 6 3" xfId="16354"/>
    <cellStyle name="Normal 7 9 2 7" xfId="1978"/>
    <cellStyle name="Normal 7 9 2 7 2" xfId="7524"/>
    <cellStyle name="Normal 7 9 2 7 3" xfId="13063"/>
    <cellStyle name="Normal 7 9 2 8" xfId="6319"/>
    <cellStyle name="Normal 7 9 2 9" xfId="11858"/>
    <cellStyle name="Normal 7 9 3" xfId="1146"/>
    <cellStyle name="Normal 7 9 3 2" xfId="3676"/>
    <cellStyle name="Normal 7 9 3 2 2" xfId="9218"/>
    <cellStyle name="Normal 7 9 3 2 3" xfId="14757"/>
    <cellStyle name="Normal 7 9 3 3" xfId="4713"/>
    <cellStyle name="Normal 7 9 3 3 2" xfId="10252"/>
    <cellStyle name="Normal 7 9 3 3 3" xfId="15791"/>
    <cellStyle name="Normal 7 9 3 4" xfId="5648"/>
    <cellStyle name="Normal 7 9 3 4 2" xfId="11187"/>
    <cellStyle name="Normal 7 9 3 4 3" xfId="16726"/>
    <cellStyle name="Normal 7 9 3 5" xfId="2350"/>
    <cellStyle name="Normal 7 9 3 5 2" xfId="7896"/>
    <cellStyle name="Normal 7 9 3 5 3" xfId="13435"/>
    <cellStyle name="Normal 7 9 3 6" xfId="6691"/>
    <cellStyle name="Normal 7 9 3 7" xfId="12230"/>
    <cellStyle name="Normal 7 9 4" xfId="949"/>
    <cellStyle name="Normal 7 9 4 2" xfId="3479"/>
    <cellStyle name="Normal 7 9 4 2 2" xfId="9021"/>
    <cellStyle name="Normal 7 9 4 2 3" xfId="14560"/>
    <cellStyle name="Normal 7 9 4 3" xfId="4516"/>
    <cellStyle name="Normal 7 9 4 3 2" xfId="10055"/>
    <cellStyle name="Normal 7 9 4 3 3" xfId="15594"/>
    <cellStyle name="Normal 7 9 4 4" xfId="5451"/>
    <cellStyle name="Normal 7 9 4 4 2" xfId="10990"/>
    <cellStyle name="Normal 7 9 4 4 3" xfId="16529"/>
    <cellStyle name="Normal 7 9 4 5" xfId="2153"/>
    <cellStyle name="Normal 7 9 4 5 2" xfId="7699"/>
    <cellStyle name="Normal 7 9 4 5 3" xfId="13238"/>
    <cellStyle name="Normal 7 9 4 6" xfId="6494"/>
    <cellStyle name="Normal 7 9 4 7" xfId="12033"/>
    <cellStyle name="Normal 7 9 5" xfId="1491"/>
    <cellStyle name="Normal 7 9 5 2" xfId="2696"/>
    <cellStyle name="Normal 7 9 5 2 2" xfId="8242"/>
    <cellStyle name="Normal 7 9 5 2 3" xfId="13781"/>
    <cellStyle name="Normal 7 9 5 3" xfId="7037"/>
    <cellStyle name="Normal 7 9 5 4" xfId="12576"/>
    <cellStyle name="Normal 7 9 6" xfId="2869"/>
    <cellStyle name="Normal 7 9 6 2" xfId="8413"/>
    <cellStyle name="Normal 7 9 6 3" xfId="13952"/>
    <cellStyle name="Normal 7 9 7" xfId="3098"/>
    <cellStyle name="Normal 7 9 7 2" xfId="8641"/>
    <cellStyle name="Normal 7 9 7 3" xfId="14180"/>
    <cellStyle name="Normal 7 9 8" xfId="4141"/>
    <cellStyle name="Normal 7 9 8 2" xfId="9682"/>
    <cellStyle name="Normal 7 9 8 3" xfId="15221"/>
    <cellStyle name="Normal 7 9 9" xfId="1653"/>
    <cellStyle name="Normal 7 9 9 2" xfId="7199"/>
    <cellStyle name="Normal 7 9 9 3" xfId="12738"/>
    <cellStyle name="Normal 8" xfId="163"/>
    <cellStyle name="Normal 8 2" xfId="212"/>
    <cellStyle name="Normal 8 3" xfId="17547"/>
    <cellStyle name="Normal 8 4" xfId="17710"/>
    <cellStyle name="Normal 9" xfId="164"/>
    <cellStyle name="Normal 9 2" xfId="262"/>
    <cellStyle name="Normal 9 3" xfId="261"/>
    <cellStyle name="Note 2" xfId="263"/>
    <cellStyle name="Note 2 2" xfId="264"/>
    <cellStyle name="Note 2 2 2" xfId="1310"/>
    <cellStyle name="Note 2 2 2 2" xfId="3842"/>
    <cellStyle name="Note 2 2 2 2 2" xfId="9384"/>
    <cellStyle name="Note 2 2 2 2 3" xfId="14923"/>
    <cellStyle name="Note 2 2 2 3" xfId="4879"/>
    <cellStyle name="Note 2 2 2 3 2" xfId="10418"/>
    <cellStyle name="Note 2 2 2 3 3" xfId="15957"/>
    <cellStyle name="Note 2 2 2 4" xfId="5813"/>
    <cellStyle name="Note 2 2 2 4 2" xfId="11352"/>
    <cellStyle name="Note 2 2 2 4 3" xfId="16891"/>
    <cellStyle name="Note 2 2 2 5" xfId="2515"/>
    <cellStyle name="Note 2 2 2 5 2" xfId="8061"/>
    <cellStyle name="Note 2 2 2 5 3" xfId="13600"/>
    <cellStyle name="Note 2 2 2 6" xfId="6856"/>
    <cellStyle name="Note 2 2 2 7" xfId="12395"/>
    <cellStyle name="Note 2 2 3" xfId="3122"/>
    <cellStyle name="Note 2 2 3 2" xfId="8665"/>
    <cellStyle name="Note 2 2 3 3" xfId="14204"/>
    <cellStyle name="Note 2 2 4" xfId="4164"/>
    <cellStyle name="Note 2 2 4 2" xfId="9705"/>
    <cellStyle name="Note 2 2 4 3" xfId="15244"/>
    <cellStyle name="Note 2 2 5" xfId="5128"/>
    <cellStyle name="Note 2 2 5 2" xfId="10667"/>
    <cellStyle name="Note 2 2 5 3" xfId="16206"/>
    <cellStyle name="Note 2 2 6" xfId="1830"/>
    <cellStyle name="Note 2 2 6 2" xfId="7376"/>
    <cellStyle name="Note 2 2 6 3" xfId="12915"/>
    <cellStyle name="Note 2 2 7" xfId="6171"/>
    <cellStyle name="Note 2 2 8" xfId="11710"/>
    <cellStyle name="Note 2 3" xfId="468"/>
    <cellStyle name="Note 2 3 2" xfId="17847"/>
    <cellStyle name="Note 2 3 2 2" xfId="17933"/>
    <cellStyle name="Note 2 3 3" xfId="17884"/>
    <cellStyle name="Note 2 3 4" xfId="17918"/>
    <cellStyle name="Note 2 4" xfId="783"/>
    <cellStyle name="Note 2 4 2" xfId="17856"/>
    <cellStyle name="Note 2 4 2 2" xfId="17942"/>
    <cellStyle name="Note 2 4 3" xfId="17869"/>
    <cellStyle name="Note 2 4 4" xfId="17924"/>
    <cellStyle name="Note 2 5" xfId="17848"/>
    <cellStyle name="Note 2 5 2" xfId="17934"/>
    <cellStyle name="Note 2 6" xfId="17872"/>
    <cellStyle name="Note 2 7" xfId="17914"/>
    <cellStyle name="Note 3" xfId="265"/>
    <cellStyle name="Note 3 2" xfId="1311"/>
    <cellStyle name="Note 3 2 2" xfId="3843"/>
    <cellStyle name="Note 3 2 2 2" xfId="9385"/>
    <cellStyle name="Note 3 2 2 3" xfId="14924"/>
    <cellStyle name="Note 3 2 3" xfId="4880"/>
    <cellStyle name="Note 3 2 3 2" xfId="10419"/>
    <cellStyle name="Note 3 2 3 3" xfId="15958"/>
    <cellStyle name="Note 3 2 4" xfId="5814"/>
    <cellStyle name="Note 3 2 4 2" xfId="11353"/>
    <cellStyle name="Note 3 2 4 3" xfId="16892"/>
    <cellStyle name="Note 3 2 5" xfId="2516"/>
    <cellStyle name="Note 3 2 5 2" xfId="8062"/>
    <cellStyle name="Note 3 2 5 3" xfId="13601"/>
    <cellStyle name="Note 3 2 6" xfId="6857"/>
    <cellStyle name="Note 3 2 7" xfId="12396"/>
    <cellStyle name="Note 3 3" xfId="3123"/>
    <cellStyle name="Note 3 3 2" xfId="8666"/>
    <cellStyle name="Note 3 3 3" xfId="14205"/>
    <cellStyle name="Note 3 4" xfId="4165"/>
    <cellStyle name="Note 3 4 2" xfId="9706"/>
    <cellStyle name="Note 3 4 3" xfId="15245"/>
    <cellStyle name="Note 3 5" xfId="5129"/>
    <cellStyle name="Note 3 5 2" xfId="10668"/>
    <cellStyle name="Note 3 5 3" xfId="16207"/>
    <cellStyle name="Note 3 6" xfId="1831"/>
    <cellStyle name="Note 3 6 2" xfId="7377"/>
    <cellStyle name="Note 3 6 3" xfId="12916"/>
    <cellStyle name="Note 3 7" xfId="6172"/>
    <cellStyle name="Note 3 8" xfId="11711"/>
    <cellStyle name="Output 2" xfId="266"/>
    <cellStyle name="Output 2 2" xfId="469"/>
    <cellStyle name="Output 2 2 2" xfId="17859"/>
    <cellStyle name="Output 2 2 2 2" xfId="17945"/>
    <cellStyle name="Output 2 2 3" xfId="17887"/>
    <cellStyle name="Output 2 2 4" xfId="17919"/>
    <cellStyle name="Output 2 3" xfId="784"/>
    <cellStyle name="Output 2 3 2" xfId="17855"/>
    <cellStyle name="Output 2 3 2 2" xfId="17941"/>
    <cellStyle name="Output 2 3 3" xfId="17879"/>
    <cellStyle name="Output 2 3 4" xfId="17925"/>
    <cellStyle name="Output 2 4" xfId="17852"/>
    <cellStyle name="Output 2 4 2" xfId="17938"/>
    <cellStyle name="Output 2 5" xfId="17875"/>
    <cellStyle name="Output 2 6" xfId="17915"/>
    <cellStyle name="Percent 2" xfId="267"/>
    <cellStyle name="Pourcentage 2" xfId="165"/>
    <cellStyle name="Pourcentage 2 2" xfId="17837"/>
    <cellStyle name="Pourcentage 2 3" xfId="17841"/>
    <cellStyle name="Pourcentage 3" xfId="268"/>
    <cellStyle name="Procent 2" xfId="17833"/>
    <cellStyle name="Procent 3" xfId="17840"/>
    <cellStyle name="Result" xfId="17811"/>
    <cellStyle name="Result2" xfId="17812"/>
    <cellStyle name="Satisfaisant" xfId="15" builtinId="26" customBuiltin="1"/>
    <cellStyle name="Satisfaisant 2" xfId="202"/>
    <cellStyle name="Sortie" xfId="19" builtinId="21" customBuiltin="1"/>
    <cellStyle name="Sortie 2" xfId="203"/>
    <cellStyle name="Sortie 2 2" xfId="17854"/>
    <cellStyle name="Sortie 2 2 2" xfId="17940"/>
    <cellStyle name="Sortie 2 3" xfId="17883"/>
    <cellStyle name="Sortie 2 4" xfId="17902"/>
    <cellStyle name="Sortie 2 5" xfId="17898"/>
    <cellStyle name="Sortie 2 6" xfId="17910"/>
    <cellStyle name="Standaard 2" xfId="17830"/>
    <cellStyle name="Standaard 3" xfId="17839"/>
    <cellStyle name="Tableau" xfId="7"/>
    <cellStyle name="Tableau 2" xfId="166"/>
    <cellStyle name="Tableau 2 2" xfId="17896"/>
    <cellStyle name="Tableau 2 3" xfId="17905"/>
    <cellStyle name="Tableau 3" xfId="786"/>
    <cellStyle name="Tableau 3 2" xfId="17927"/>
    <cellStyle name="Tableau 4" xfId="17891"/>
    <cellStyle name="Tableau 5" xfId="17904"/>
    <cellStyle name="TableStyleLight1" xfId="17814"/>
    <cellStyle name="TableStyleLight1 2" xfId="17929"/>
    <cellStyle name="Texte explicatif" xfId="25" builtinId="53" customBuiltin="1"/>
    <cellStyle name="Texte explicatif 2" xfId="204"/>
    <cellStyle name="Title 2" xfId="269"/>
    <cellStyle name="Titre" xfId="10" builtinId="15" customBuiltin="1"/>
    <cellStyle name="Titre 2" xfId="167"/>
    <cellStyle name="Titre 2 2" xfId="168"/>
    <cellStyle name="Titre 2 2 2" xfId="205"/>
    <cellStyle name="Titre 2 2 2 2" xfId="17813"/>
    <cellStyle name="Titre 2 2 3" xfId="618"/>
    <cellStyle name="Titre 2 2 3 2" xfId="17921"/>
    <cellStyle name="Titre 2 2 4" xfId="17805"/>
    <cellStyle name="Titre 2 3" xfId="787"/>
    <cellStyle name="Titre 2 3 2" xfId="17928"/>
    <cellStyle name="Titre 2 4" xfId="17892"/>
    <cellStyle name="Titre 2 5" xfId="17906"/>
    <cellStyle name="Titre 1" xfId="11" builtinId="16" customBuiltin="1"/>
    <cellStyle name="Titre 1 2" xfId="206"/>
    <cellStyle name="Titre 2" xfId="12" builtinId="17" customBuiltin="1"/>
    <cellStyle name="Titre 2 2" xfId="207"/>
    <cellStyle name="Titre 3" xfId="13" builtinId="18" customBuiltin="1"/>
    <cellStyle name="Titre 3 2" xfId="208"/>
    <cellStyle name="Titre 3 2 2" xfId="17828"/>
    <cellStyle name="Titre 3 2 2 2" xfId="17865"/>
    <cellStyle name="Titre 3 2 2 2 2" xfId="17951"/>
    <cellStyle name="Titre 3 2 2 3" xfId="17888"/>
    <cellStyle name="Titre 3 2 3" xfId="17843"/>
    <cellStyle name="Titre 3 2 3 2" xfId="17889"/>
    <cellStyle name="Titre 3 2 4" xfId="17890"/>
    <cellStyle name="Titre 3 2 5" xfId="17866"/>
    <cellStyle name="Titre 4" xfId="14" builtinId="19" customBuiltin="1"/>
    <cellStyle name="Titre 4 2" xfId="209"/>
    <cellStyle name="Total" xfId="26" builtinId="25" customBuiltin="1"/>
    <cellStyle name="Total 2" xfId="210"/>
    <cellStyle name="Total 2 2" xfId="470"/>
    <cellStyle name="Total 2 2 2" xfId="17858"/>
    <cellStyle name="Total 2 2 2 2" xfId="17944"/>
    <cellStyle name="Total 2 2 3" xfId="17886"/>
    <cellStyle name="Total 2 2 4" xfId="17920"/>
    <cellStyle name="Total 2 3" xfId="785"/>
    <cellStyle name="Total 2 3 2" xfId="17857"/>
    <cellStyle name="Total 2 3 2 2" xfId="17943"/>
    <cellStyle name="Total 2 3 3" xfId="17873"/>
    <cellStyle name="Total 2 3 4" xfId="17926"/>
    <cellStyle name="Total 2 4" xfId="17863"/>
    <cellStyle name="Total 2 4 2" xfId="17949"/>
    <cellStyle name="Total 2 5" xfId="17871"/>
    <cellStyle name="Total 2 6" xfId="17903"/>
    <cellStyle name="Total 2 7" xfId="17894"/>
    <cellStyle name="Total 2 8" xfId="17911"/>
    <cellStyle name="Vérification" xfId="22" builtinId="23" customBuiltin="1"/>
    <cellStyle name="Vérification 2" xfId="211"/>
    <cellStyle name="Warning Text 2" xfId="2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5" dropStyle="combo" dx="16" fmlaLink="NAMES!$A$48" fmlaRange="LIST!$J$1:$J$22" noThreeD="1" sel="8" val="7"/>
</file>

<file path=xl/ctrlProps/ctrlProp2.xml><?xml version="1.0" encoding="utf-8"?>
<formControlPr xmlns="http://schemas.microsoft.com/office/spreadsheetml/2009/9/main" objectType="Drop" dropLines="15" dropStyle="combo" dx="16" fmlaLink="NAMES!$A$52" fmlaRange="Formules!$D$56:$D$65" noThreeD="1" sel="5" val="0"/>
</file>

<file path=xl/ctrlProps/ctrlProp3.xml><?xml version="1.0" encoding="utf-8"?>
<formControlPr xmlns="http://schemas.microsoft.com/office/spreadsheetml/2009/9/main" objectType="Drop" dropLines="15" dropStyle="combo" dx="16" fmlaLink="NAMES!$A$57" fmlaRange="Formules!$D$56:$D$65" noThreeD="1" sel="5" val="0"/>
</file>

<file path=xl/ctrlProps/ctrlProp4.xml><?xml version="1.0" encoding="utf-8"?>
<formControlPr xmlns="http://schemas.microsoft.com/office/spreadsheetml/2009/9/main" objectType="Drop" dropLines="30" dropStyle="combo" dx="16" fmlaLink="APPORTEURS!$A$1" fmlaRange="APPORTEURS!$C$4:$C$300" noThreeD="1" sel="133" val="127"/>
</file>

<file path=xl/ctrlProps/ctrlProp5.xml><?xml version="1.0" encoding="utf-8"?>
<formControlPr xmlns="http://schemas.microsoft.com/office/spreadsheetml/2009/9/main" objectType="Drop" dropLines="80" dropStyle="combo" dx="16" fmlaLink="USER!$A$1" fmlaRange="USER!$C$4:$C$300" noThreeD="1" sel="150" val="146"/>
</file>

<file path=xl/ctrlProps/ctrlProp6.xml><?xml version="1.0" encoding="utf-8"?>
<formControlPr xmlns="http://schemas.microsoft.com/office/spreadsheetml/2009/9/main" objectType="Drop" dropLines="70" dropStyle="combo" dx="16" fmlaLink="APPORTEURS!$A$2" fmlaRange="APPORTEURS!$D$4:$D$300" noThreeD="1" sel="153" val="152"/>
</file>

<file path=xl/ctrlProps/ctrlProp7.xml><?xml version="1.0" encoding="utf-8"?>
<formControlPr xmlns="http://schemas.microsoft.com/office/spreadsheetml/2009/9/main" objectType="Drop" dropLines="20" dropStyle="combo" dx="16" fmlaLink="USER!$A$2" fmlaRange="USER!$D$4:$D$300" noThreeD="1" sel="262" val="254"/>
</file>

<file path=xl/ctrlProps/ctrlProp8.xml><?xml version="1.0" encoding="utf-8"?>
<formControlPr xmlns="http://schemas.microsoft.com/office/spreadsheetml/2009/9/main" objectType="Drop" dropLines="15" dropStyle="combo" dx="16" fmlaLink="NAMES!$A$53" fmlaRange="LIST!$J$1:$J$22" noThreeD="1" sel="10" val="0"/>
</file>

<file path=xl/ctrlProps/ctrlProp9.xml><?xml version="1.0" encoding="utf-8"?>
<formControlPr xmlns="http://schemas.microsoft.com/office/spreadsheetml/2009/9/main" objectType="Drop" dropStyle="combo" dx="16" fmlaLink="LISTES!$A$58" fmlaRange="LISTES!$C$59:$C$63" noThreeD="1" sel="2" val="0"/>
</file>

<file path=xl/ctrlProps/ctrlProp10.xml><?xml version="1.0" encoding="utf-8"?>
<formControlPr xmlns="http://schemas.microsoft.com/office/spreadsheetml/2009/9/main" objectType="Drop" dropStyle="combo" dx="16" fmlaLink="LISTES!$A$112" fmlaRange="LISTES!$C$113:$C$116" noThreeD="1" sel="1" val="0"/>
</file>

<file path=xl/ctrlProps/ctrlProp11.xml><?xml version="1.0" encoding="utf-8"?>
<formControlPr xmlns="http://schemas.microsoft.com/office/spreadsheetml/2009/9/main" objectType="Drop" dropStyle="combo" dx="16" fmlaLink="LISTES!$A$119" fmlaRange="LISTES!$C$120:$C$123" noThreeD="1" sel="1" val="0"/>
</file>

<file path=xl/ctrlProps/ctrlProp12.xml><?xml version="1.0" encoding="utf-8"?>
<formControlPr xmlns="http://schemas.microsoft.com/office/spreadsheetml/2009/9/main" objectType="CheckBox" checked="Checked" fmlaLink="NAMES!$B$9" lockText="1" noThreeD="1"/>
</file>

<file path=xl/ctrlProps/ctrlProp13.xml><?xml version="1.0" encoding="utf-8"?>
<formControlPr xmlns="http://schemas.microsoft.com/office/spreadsheetml/2009/9/main" objectType="Drop" dropLines="15" dropStyle="combo" dx="16" fmlaLink="NAMES!$A$62" fmlaRange="Formules!$D$56:$D$65" noThreeD="1" sel="6" val="0"/>
</file>

<file path=xl/ctrlProps/ctrlProp14.xml><?xml version="1.0" encoding="utf-8"?>
<formControlPr xmlns="http://schemas.microsoft.com/office/spreadsheetml/2009/9/main" objectType="Drop" dropLines="15" dropStyle="combo" dx="16" fmlaLink="NAMES!$A$58" fmlaRange="LIST!$J$1:$J$22" noThreeD="1" sel="7" val="5"/>
</file>

<file path=xl/ctrlProps/ctrlProp15.xml><?xml version="1.0" encoding="utf-8"?>
<formControlPr xmlns="http://schemas.microsoft.com/office/spreadsheetml/2009/9/main" objectType="CheckBox" fmlaLink="ALLTHESAME" lockText="1" noThreeD="1"/>
</file>

<file path=xl/ctrlProps/ctrlProp16.xml><?xml version="1.0" encoding="utf-8"?>
<formControlPr xmlns="http://schemas.microsoft.com/office/spreadsheetml/2009/9/main" objectType="CheckBox" checked="Checked" fmlaLink="NAMES!$B$10" lockText="1" noThreeD="1"/>
</file>

<file path=xl/ctrlProps/ctrlProp17.xml><?xml version="1.0" encoding="utf-8"?>
<formControlPr xmlns="http://schemas.microsoft.com/office/spreadsheetml/2009/9/main" objectType="Drop" dropStyle="combo" dx="16" fmlaLink="LISTES!$A$17" fmlaRange="LISTES!$C$18:$C$21" noThreeD="1" sel="3" val="0"/>
</file>

<file path=xl/ctrlProps/ctrlProp18.xml><?xml version="1.0" encoding="utf-8"?>
<formControlPr xmlns="http://schemas.microsoft.com/office/spreadsheetml/2009/9/main" objectType="CheckBox" fmlaLink="NAMES!$B$8" lockText="1" noThreeD="1"/>
</file>

<file path=xl/ctrlProps/ctrlProp19.xml><?xml version="1.0" encoding="utf-8"?>
<formControlPr xmlns="http://schemas.microsoft.com/office/spreadsheetml/2009/9/main" objectType="CheckBox" checked="Checked" fmlaLink="$A$6" lockText="1" noThreeD="1"/>
</file>

<file path=xl/ctrlProps/ctrlProp20.xml><?xml version="1.0" encoding="utf-8"?>
<formControlPr xmlns="http://schemas.microsoft.com/office/spreadsheetml/2009/9/main" objectType="Drop" dropStyle="combo" dx="16" fmlaLink="LISTES!$A$45" fmlaRange="LISTES!$C$46:$C$55" noThreeD="1" sel="2" val="0"/>
</file>

<file path=xl/ctrlProps/ctrlProp21.xml><?xml version="1.0" encoding="utf-8"?>
<formControlPr xmlns="http://schemas.microsoft.com/office/spreadsheetml/2009/9/main" objectType="Drop" dropStyle="combo" dx="16" fmlaLink="LISTES!$A$95" fmlaRange="LISTES!$C$97:$C$100" noThreeD="1" sel="1" val="0"/>
</file>

<file path=xl/ctrlProps/ctrlProp22.xml><?xml version="1.0" encoding="utf-8"?>
<formControlPr xmlns="http://schemas.microsoft.com/office/spreadsheetml/2009/9/main" objectType="Drop" dropStyle="combo" dx="16" fmlaLink="LISTES!$A$96" fmlaRange="LISTES!$C$97:$C$100" noThreeD="1" sel="4" val="0"/>
</file>

<file path=xl/ctrlProps/ctrlProp23.xml><?xml version="1.0" encoding="utf-8"?>
<formControlPr xmlns="http://schemas.microsoft.com/office/spreadsheetml/2009/9/main" objectType="CheckBox" fmlaLink="$I$48" lockText="1" noThreeD="1"/>
</file>

<file path=xl/ctrlProps/ctrlProp24.xml><?xml version="1.0" encoding="utf-8"?>
<formControlPr xmlns="http://schemas.microsoft.com/office/spreadsheetml/2009/9/main" objectType="CheckBox" fmlaLink="$I$50" lockText="1" noThreeD="1"/>
</file>

<file path=xl/ctrlProps/ctrlProp25.xml><?xml version="1.0" encoding="utf-8"?>
<formControlPr xmlns="http://schemas.microsoft.com/office/spreadsheetml/2009/9/main" objectType="CheckBox" checked="Checked" fmlaLink="$I$52" lockText="1" noThreeD="1"/>
</file>

<file path=xl/ctrlProps/ctrlProp26.xml><?xml version="1.0" encoding="utf-8"?>
<formControlPr xmlns="http://schemas.microsoft.com/office/spreadsheetml/2009/9/main" objectType="Drop" dropStyle="combo" dx="16" fmlaLink="$B$19" fmlaRange="$D$21:$D$26" noThreeD="1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41</xdr:row>
          <xdr:rowOff>38100</xdr:rowOff>
        </xdr:from>
        <xdr:to>
          <xdr:col>1</xdr:col>
          <xdr:colOff>3400425</xdr:colOff>
          <xdr:row>41</xdr:row>
          <xdr:rowOff>304800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57150</xdr:rowOff>
        </xdr:from>
        <xdr:to>
          <xdr:col>1</xdr:col>
          <xdr:colOff>3419475</xdr:colOff>
          <xdr:row>42</xdr:row>
          <xdr:rowOff>285750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67</xdr:row>
          <xdr:rowOff>38100</xdr:rowOff>
        </xdr:from>
        <xdr:to>
          <xdr:col>1</xdr:col>
          <xdr:colOff>3267075</xdr:colOff>
          <xdr:row>67</xdr:row>
          <xdr:rowOff>257175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57150</xdr:rowOff>
        </xdr:from>
        <xdr:to>
          <xdr:col>1</xdr:col>
          <xdr:colOff>3648075</xdr:colOff>
          <xdr:row>10</xdr:row>
          <xdr:rowOff>381000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28575</xdr:rowOff>
        </xdr:from>
        <xdr:to>
          <xdr:col>1</xdr:col>
          <xdr:colOff>3619500</xdr:colOff>
          <xdr:row>12</xdr:row>
          <xdr:rowOff>342900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85725</xdr:rowOff>
        </xdr:from>
        <xdr:to>
          <xdr:col>1</xdr:col>
          <xdr:colOff>3629025</xdr:colOff>
          <xdr:row>11</xdr:row>
          <xdr:rowOff>419100</xdr:rowOff>
        </xdr:to>
        <xdr:sp macro="" textlink="">
          <xdr:nvSpPr>
            <xdr:cNvPr id="4116" name="Drop Dow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1</xdr:col>
          <xdr:colOff>3619500</xdr:colOff>
          <xdr:row>13</xdr:row>
          <xdr:rowOff>342900</xdr:rowOff>
        </xdr:to>
        <xdr:sp macro="" textlink="">
          <xdr:nvSpPr>
            <xdr:cNvPr id="4117" name="Drop Dow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66</xdr:row>
          <xdr:rowOff>76200</xdr:rowOff>
        </xdr:from>
        <xdr:to>
          <xdr:col>1</xdr:col>
          <xdr:colOff>3248025</xdr:colOff>
          <xdr:row>66</xdr:row>
          <xdr:rowOff>295275</xdr:rowOff>
        </xdr:to>
        <xdr:sp macro="" textlink="">
          <xdr:nvSpPr>
            <xdr:cNvPr id="4119" name="Drop Dow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1362075</xdr:colOff>
          <xdr:row>5</xdr:row>
          <xdr:rowOff>333375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38100</xdr:rowOff>
        </xdr:from>
        <xdr:to>
          <xdr:col>1</xdr:col>
          <xdr:colOff>3219450</xdr:colOff>
          <xdr:row>26</xdr:row>
          <xdr:rowOff>342900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47625</xdr:rowOff>
        </xdr:from>
        <xdr:to>
          <xdr:col>1</xdr:col>
          <xdr:colOff>3190875</xdr:colOff>
          <xdr:row>27</xdr:row>
          <xdr:rowOff>295275</xdr:rowOff>
        </xdr:to>
        <xdr:sp macro="" textlink="">
          <xdr:nvSpPr>
            <xdr:cNvPr id="4127" name="Drop Dow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1</xdr:col>
          <xdr:colOff>1666875</xdr:colOff>
          <xdr:row>28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Calculer ou mettre à vide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93</xdr:row>
          <xdr:rowOff>38100</xdr:rowOff>
        </xdr:from>
        <xdr:to>
          <xdr:col>1</xdr:col>
          <xdr:colOff>3267075</xdr:colOff>
          <xdr:row>93</xdr:row>
          <xdr:rowOff>257175</xdr:rowOff>
        </xdr:to>
        <xdr:sp macro="" textlink="">
          <xdr:nvSpPr>
            <xdr:cNvPr id="4133" name="Drop Dow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92</xdr:row>
          <xdr:rowOff>76200</xdr:rowOff>
        </xdr:from>
        <xdr:to>
          <xdr:col>1</xdr:col>
          <xdr:colOff>3248025</xdr:colOff>
          <xdr:row>92</xdr:row>
          <xdr:rowOff>295275</xdr:rowOff>
        </xdr:to>
        <xdr:sp macro="" textlink="">
          <xdr:nvSpPr>
            <xdr:cNvPr id="4134" name="Drop Dow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</xdr:row>
          <xdr:rowOff>66675</xdr:rowOff>
        </xdr:from>
        <xdr:to>
          <xdr:col>8</xdr:col>
          <xdr:colOff>38100</xdr:colOff>
          <xdr:row>3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Tout le monde de la meme façon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180975</xdr:rowOff>
        </xdr:from>
        <xdr:to>
          <xdr:col>8</xdr:col>
          <xdr:colOff>152400</xdr:colOff>
          <xdr:row>4</xdr:row>
          <xdr:rowOff>400050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crewlist OUI/detail plateforme 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19050</xdr:rowOff>
        </xdr:from>
        <xdr:to>
          <xdr:col>7</xdr:col>
          <xdr:colOff>666750</xdr:colOff>
          <xdr:row>3</xdr:row>
          <xdr:rowOff>304800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28575</xdr:rowOff>
        </xdr:from>
        <xdr:to>
          <xdr:col>7</xdr:col>
          <xdr:colOff>561975</xdr:colOff>
          <xdr:row>6</xdr:row>
          <xdr:rowOff>104775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Rates (2015)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152400</xdr:rowOff>
        </xdr:from>
        <xdr:to>
          <xdr:col>1</xdr:col>
          <xdr:colOff>1781175</xdr:colOff>
          <xdr:row>5</xdr:row>
          <xdr:rowOff>85725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 selon 2015-2016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457200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2582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371474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04975" y="238125"/>
          <a:ext cx="1371599" cy="406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419100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787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685799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43075" y="266700"/>
          <a:ext cx="1371599" cy="414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40</xdr:row>
      <xdr:rowOff>142876</xdr:rowOff>
    </xdr:from>
    <xdr:to>
      <xdr:col>1</xdr:col>
      <xdr:colOff>962026</xdr:colOff>
      <xdr:row>44</xdr:row>
      <xdr:rowOff>155476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9152" y="6972301"/>
          <a:ext cx="962024" cy="650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0</xdr:row>
      <xdr:rowOff>76201</xdr:rowOff>
    </xdr:from>
    <xdr:to>
      <xdr:col>5</xdr:col>
      <xdr:colOff>228601</xdr:colOff>
      <xdr:row>5</xdr:row>
      <xdr:rowOff>130928</xdr:rowOff>
    </xdr:to>
    <xdr:pic>
      <xdr:nvPicPr>
        <xdr:cNvPr id="2" name="Image 1" descr="ICS_LOG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7725" y="76201"/>
          <a:ext cx="3876676" cy="816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12</xdr:row>
          <xdr:rowOff>47625</xdr:rowOff>
        </xdr:from>
        <xdr:to>
          <xdr:col>14</xdr:col>
          <xdr:colOff>485775</xdr:colOff>
          <xdr:row>15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9525</xdr:rowOff>
        </xdr:from>
        <xdr:to>
          <xdr:col>14</xdr:col>
          <xdr:colOff>466725</xdr:colOff>
          <xdr:row>8</xdr:row>
          <xdr:rowOff>133350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9525</xdr:rowOff>
        </xdr:from>
        <xdr:to>
          <xdr:col>14</xdr:col>
          <xdr:colOff>466725</xdr:colOff>
          <xdr:row>11</xdr:row>
          <xdr:rowOff>133350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46</xdr:row>
          <xdr:rowOff>28575</xdr:rowOff>
        </xdr:from>
        <xdr:to>
          <xdr:col>12</xdr:col>
          <xdr:colOff>657225</xdr:colOff>
          <xdr:row>48</xdr:row>
          <xdr:rowOff>9525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Choix de la valeur plateforme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48</xdr:row>
          <xdr:rowOff>95250</xdr:rowOff>
        </xdr:from>
        <xdr:to>
          <xdr:col>12</xdr:col>
          <xdr:colOff>542925</xdr:colOff>
          <xdr:row>50</xdr:row>
          <xdr:rowOff>9525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Discount / remise accordée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51</xdr:row>
          <xdr:rowOff>0</xdr:rowOff>
        </xdr:from>
        <xdr:to>
          <xdr:col>12</xdr:col>
          <xdr:colOff>295275</xdr:colOff>
          <xdr:row>52</xdr:row>
          <xdr:rowOff>57150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Réassurance/ surcommission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66675</xdr:rowOff>
        </xdr:from>
        <xdr:to>
          <xdr:col>4</xdr:col>
          <xdr:colOff>19050</xdr:colOff>
          <xdr:row>17</xdr:row>
          <xdr:rowOff>104775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hyperlink" Target="mailto:gilles@monacoequipage.com" TargetMode="External"/><Relationship Id="rId18" Type="http://schemas.openxmlformats.org/officeDocument/2006/relationships/hyperlink" Target="mailto:s.marissi@groupeaddoha.com" TargetMode="External"/><Relationship Id="rId26" Type="http://schemas.openxmlformats.org/officeDocument/2006/relationships/hyperlink" Target="mailto:general@meriv.fr" TargetMode="External"/><Relationship Id="rId39" Type="http://schemas.openxmlformats.org/officeDocument/2006/relationships/hyperlink" Target="mailto:m.cluis@salvo-assurances.com" TargetMode="External"/><Relationship Id="rId21" Type="http://schemas.openxmlformats.org/officeDocument/2006/relationships/hyperlink" Target="mailto:crew@lngroup.lu" TargetMode="External"/><Relationship Id="rId34" Type="http://schemas.openxmlformats.org/officeDocument/2006/relationships/hyperlink" Target="mailto:Manuel.Saporita@ascoma.com" TargetMode="External"/><Relationship Id="rId42" Type="http://schemas.openxmlformats.org/officeDocument/2006/relationships/hyperlink" Target="mailto:production@isisglobalsolutions.com" TargetMode="External"/><Relationship Id="rId47" Type="http://schemas.openxmlformats.org/officeDocument/2006/relationships/hyperlink" Target="mailto:solange.campion@jgm.fr" TargetMode="External"/><Relationship Id="rId50" Type="http://schemas.openxmlformats.org/officeDocument/2006/relationships/hyperlink" Target="mailto:cdezerbi@onlyyacht.com" TargetMode="External"/><Relationship Id="rId55" Type="http://schemas.openxmlformats.org/officeDocument/2006/relationships/hyperlink" Target="mailto:kemal.dincer@grassavoye.com.tr" TargetMode="External"/><Relationship Id="rId63" Type="http://schemas.openxmlformats.org/officeDocument/2006/relationships/hyperlink" Target="mailto:colin@wilsoneurope.com" TargetMode="External"/><Relationship Id="rId68" Type="http://schemas.openxmlformats.org/officeDocument/2006/relationships/hyperlink" Target="mailto:laurie.van.bets@junge-antwerp.be" TargetMode="External"/><Relationship Id="rId76" Type="http://schemas.openxmlformats.org/officeDocument/2006/relationships/hyperlink" Target="mailto:ksagitova@lms.lu" TargetMode="External"/><Relationship Id="rId7" Type="http://schemas.openxmlformats.org/officeDocument/2006/relationships/hyperlink" Target="mailto:editat@fenfar.gr" TargetMode="External"/><Relationship Id="rId71" Type="http://schemas.openxmlformats.org/officeDocument/2006/relationships/hyperlink" Target="mailto:lucas.henry@wycc-insurance.com" TargetMode="External"/><Relationship Id="rId2" Type="http://schemas.openxmlformats.org/officeDocument/2006/relationships/hyperlink" Target="mailto:gregory.vanmeenin@jgm.fr%3E" TargetMode="External"/><Relationship Id="rId16" Type="http://schemas.openxmlformats.org/officeDocument/2006/relationships/hyperlink" Target="mailto:jpdewolf@lms.lu" TargetMode="External"/><Relationship Id="rId29" Type="http://schemas.openxmlformats.org/officeDocument/2006/relationships/hyperlink" Target="mailto:fraco@onlyyacht.com" TargetMode="External"/><Relationship Id="rId11" Type="http://schemas.openxmlformats.org/officeDocument/2006/relationships/hyperlink" Target="mailto:caroline.nouamria@mtaic.com" TargetMode="External"/><Relationship Id="rId24" Type="http://schemas.openxmlformats.org/officeDocument/2006/relationships/hyperlink" Target="mailto:HMANANCOURT@navilux.net" TargetMode="External"/><Relationship Id="rId32" Type="http://schemas.openxmlformats.org/officeDocument/2006/relationships/hyperlink" Target="mailto:tgervais@groupama-transport.com%20&#160;" TargetMode="External"/><Relationship Id="rId37" Type="http://schemas.openxmlformats.org/officeDocument/2006/relationships/hyperlink" Target="mailto:mziane@suisscourtage.com" TargetMode="External"/><Relationship Id="rId40" Type="http://schemas.openxmlformats.org/officeDocument/2006/relationships/hyperlink" Target="tel:%2B%2033%20%280%29970%20444%20165" TargetMode="External"/><Relationship Id="rId45" Type="http://schemas.openxmlformats.org/officeDocument/2006/relationships/hyperlink" Target="mailto:bmillet@suisscourtage.mc" TargetMode="External"/><Relationship Id="rId53" Type="http://schemas.openxmlformats.org/officeDocument/2006/relationships/hyperlink" Target="mailto:ealbin@suisscourtage.com" TargetMode="External"/><Relationship Id="rId58" Type="http://schemas.openxmlformats.org/officeDocument/2006/relationships/hyperlink" Target="mailto:jihad@premiumbroking.com" TargetMode="External"/><Relationship Id="rId66" Type="http://schemas.openxmlformats.org/officeDocument/2006/relationships/hyperlink" Target="mailto:soazic@gecarcannes.com" TargetMode="External"/><Relationship Id="rId74" Type="http://schemas.openxmlformats.org/officeDocument/2006/relationships/hyperlink" Target="mailto:ekenter@intramar.nl" TargetMode="External"/><Relationship Id="rId5" Type="http://schemas.openxmlformats.org/officeDocument/2006/relationships/hyperlink" Target="mailto:kim.hamilton@sarniayachts.com" TargetMode="External"/><Relationship Id="rId15" Type="http://schemas.openxmlformats.org/officeDocument/2006/relationships/hyperlink" Target="mailto:guillaume.grunberg@wycc-insurance.com" TargetMode="External"/><Relationship Id="rId23" Type="http://schemas.openxmlformats.org/officeDocument/2006/relationships/hyperlink" Target="mailto:maltanauticmanagement@gmail.com" TargetMode="External"/><Relationship Id="rId28" Type="http://schemas.openxmlformats.org/officeDocument/2006/relationships/hyperlink" Target="mailto:leila.labaz@mtaic.com" TargetMode="External"/><Relationship Id="rId36" Type="http://schemas.openxmlformats.org/officeDocument/2006/relationships/hyperlink" Target="tel:%2B377%2097%2097%2044%2024" TargetMode="External"/><Relationship Id="rId49" Type="http://schemas.openxmlformats.org/officeDocument/2006/relationships/hyperlink" Target="mailto:jihad.aboumrad@nkfrance.com" TargetMode="External"/><Relationship Id="rId57" Type="http://schemas.openxmlformats.org/officeDocument/2006/relationships/hyperlink" Target="tel:%2B33%20640%20614%20601" TargetMode="External"/><Relationship Id="rId61" Type="http://schemas.openxmlformats.org/officeDocument/2006/relationships/hyperlink" Target="mailto:Jaramillo@gesmaritime.com" TargetMode="External"/><Relationship Id="rId10" Type="http://schemas.openxmlformats.org/officeDocument/2006/relationships/hyperlink" Target="mailto:fnaffouti@navilux.net" TargetMode="External"/><Relationship Id="rId19" Type="http://schemas.openxmlformats.org/officeDocument/2006/relationships/hyperlink" Target="mailto:amayou@mcmnewport.com" TargetMode="External"/><Relationship Id="rId31" Type="http://schemas.openxmlformats.org/officeDocument/2006/relationships/hyperlink" Target="mailto:pascal.guillet@grassavoye-asc.com" TargetMode="External"/><Relationship Id="rId44" Type="http://schemas.openxmlformats.org/officeDocument/2006/relationships/hyperlink" Target="mailto:Koenraad.Maes@belgibo.be" TargetMode="External"/><Relationship Id="rId52" Type="http://schemas.openxmlformats.org/officeDocument/2006/relationships/hyperlink" Target="mailto:info@sudeurocourtage.com" TargetMode="External"/><Relationship Id="rId60" Type="http://schemas.openxmlformats.org/officeDocument/2006/relationships/hyperlink" Target="mailto:charles.flournoy@worthaminsurance.com" TargetMode="External"/><Relationship Id="rId65" Type="http://schemas.openxmlformats.org/officeDocument/2006/relationships/hyperlink" Target="mailto:agence.maestracci@axa.fr" TargetMode="External"/><Relationship Id="rId73" Type="http://schemas.openxmlformats.org/officeDocument/2006/relationships/hyperlink" Target="mailto:christian.hudeck@wycc-insurance.com" TargetMode="External"/><Relationship Id="rId78" Type="http://schemas.openxmlformats.org/officeDocument/2006/relationships/hyperlink" Target="mailto:l.martin@must-assurances.com" TargetMode="External"/><Relationship Id="rId4" Type="http://schemas.openxmlformats.org/officeDocument/2006/relationships/hyperlink" Target="mailto:cannes@agence.generali.fr" TargetMode="External"/><Relationship Id="rId9" Type="http://schemas.openxmlformats.org/officeDocument/2006/relationships/hyperlink" Target="mailto:v.leonardi@g-eyssautier.com" TargetMode="External"/><Relationship Id="rId14" Type="http://schemas.openxmlformats.org/officeDocument/2006/relationships/hyperlink" Target="mailto:Jacqueline.BAYLE@april.com" TargetMode="External"/><Relationship Id="rId22" Type="http://schemas.openxmlformats.org/officeDocument/2006/relationships/hyperlink" Target="mailto:christel@naturallyyachting.com" TargetMode="External"/><Relationship Id="rId27" Type="http://schemas.openxmlformats.org/officeDocument/2006/relationships/hyperlink" Target="mailto:agence.isaia@axa.fr" TargetMode="External"/><Relationship Id="rId30" Type="http://schemas.openxmlformats.org/officeDocument/2006/relationships/hyperlink" Target="mailto:mlcordray@agence.generali.fr" TargetMode="External"/><Relationship Id="rId35" Type="http://schemas.openxmlformats.org/officeDocument/2006/relationships/hyperlink" Target="tel:%2B377%2097%2097%2044%2025" TargetMode="External"/><Relationship Id="rId43" Type="http://schemas.openxmlformats.org/officeDocument/2006/relationships/hyperlink" Target="mailto:david.fournier@mer-yacht.com" TargetMode="External"/><Relationship Id="rId48" Type="http://schemas.openxmlformats.org/officeDocument/2006/relationships/hyperlink" Target="mailto:cgros@francepandi.com" TargetMode="External"/><Relationship Id="rId56" Type="http://schemas.openxmlformats.org/officeDocument/2006/relationships/hyperlink" Target="mailto:maxence.soyer@nkfrance.com" TargetMode="External"/><Relationship Id="rId64" Type="http://schemas.openxmlformats.org/officeDocument/2006/relationships/hyperlink" Target="mailto:contact@top-charter.com" TargetMode="External"/><Relationship Id="rId69" Type="http://schemas.openxmlformats.org/officeDocument/2006/relationships/hyperlink" Target="mailto:mariechristine.peylet@axa-cs.com" TargetMode="External"/><Relationship Id="rId77" Type="http://schemas.openxmlformats.org/officeDocument/2006/relationships/hyperlink" Target="mailto:charles.croce-spinelli@asnone.ch" TargetMode="External"/><Relationship Id="rId8" Type="http://schemas.openxmlformats.org/officeDocument/2006/relationships/hyperlink" Target="mailto:rafat.faris@fenfar.gr" TargetMode="External"/><Relationship Id="rId51" Type="http://schemas.openxmlformats.org/officeDocument/2006/relationships/hyperlink" Target="mailto:contact@poggio-assurinvest.com" TargetMode="External"/><Relationship Id="rId72" Type="http://schemas.openxmlformats.org/officeDocument/2006/relationships/hyperlink" Target="mailto:martine.henry@wycc-insurance.com" TargetMode="External"/><Relationship Id="rId3" Type="http://schemas.openxmlformats.org/officeDocument/2006/relationships/hyperlink" Target="mailto:gregory.vanmeenin@jgm.fr" TargetMode="External"/><Relationship Id="rId12" Type="http://schemas.openxmlformats.org/officeDocument/2006/relationships/hyperlink" Target="mailto:st&#233;phanie@monacoequipage.com" TargetMode="External"/><Relationship Id="rId17" Type="http://schemas.openxmlformats.org/officeDocument/2006/relationships/hyperlink" Target="mailto:pascalsadouet@gmail.com" TargetMode="External"/><Relationship Id="rId25" Type="http://schemas.openxmlformats.org/officeDocument/2006/relationships/hyperlink" Target="mailto:maritime@ascoma.com" TargetMode="External"/><Relationship Id="rId33" Type="http://schemas.openxmlformats.org/officeDocument/2006/relationships/hyperlink" Target="mailto:atouati@suisscourtage.com" TargetMode="External"/><Relationship Id="rId38" Type="http://schemas.openxmlformats.org/officeDocument/2006/relationships/hyperlink" Target="mailto:emichaut@suisscourtage.mc" TargetMode="External"/><Relationship Id="rId46" Type="http://schemas.openxmlformats.org/officeDocument/2006/relationships/hyperlink" Target="mailto:m.delattre@gecarcannes.com" TargetMode="External"/><Relationship Id="rId59" Type="http://schemas.openxmlformats.org/officeDocument/2006/relationships/hyperlink" Target="mailto:agence.levaconkermali@axa.fr" TargetMode="External"/><Relationship Id="rId67" Type="http://schemas.openxmlformats.org/officeDocument/2006/relationships/hyperlink" Target="mailto:s@smithents.com" TargetMode="External"/><Relationship Id="rId20" Type="http://schemas.openxmlformats.org/officeDocument/2006/relationships/hyperlink" Target="mailto:lfadda@m1group.com" TargetMode="External"/><Relationship Id="rId41" Type="http://schemas.openxmlformats.org/officeDocument/2006/relationships/hyperlink" Target="mailto:c.gard@luxinsure.com" TargetMode="External"/><Relationship Id="rId54" Type="http://schemas.openxmlformats.org/officeDocument/2006/relationships/hyperlink" Target="mailto:inp.marine@yahoo.fr" TargetMode="External"/><Relationship Id="rId62" Type="http://schemas.openxmlformats.org/officeDocument/2006/relationships/hyperlink" Target="mailto:guillaume.grunberg@yachting-insurance.com" TargetMode="External"/><Relationship Id="rId70" Type="http://schemas.openxmlformats.org/officeDocument/2006/relationships/hyperlink" Target="mailto:christian.henry@wycc-insurance.com" TargetMode="External"/><Relationship Id="rId75" Type="http://schemas.openxmlformats.org/officeDocument/2006/relationships/hyperlink" Target="mailto:dsteckar@boatinfrance.com" TargetMode="External"/><Relationship Id="rId1" Type="http://schemas.openxmlformats.org/officeDocument/2006/relationships/hyperlink" Target="mailto:patricia.croquet@mtaic.com" TargetMode="External"/><Relationship Id="rId6" Type="http://schemas.openxmlformats.org/officeDocument/2006/relationships/hyperlink" Target="mailto:atouati@suisscourtage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FF0000"/>
  </sheetPr>
  <dimension ref="A1:W120"/>
  <sheetViews>
    <sheetView tabSelected="1" view="pageBreakPreview" zoomScaleSheetLayoutView="100" workbookViewId="0">
      <selection activeCell="B11" sqref="B11"/>
    </sheetView>
  </sheetViews>
  <sheetFormatPr baseColWidth="10" defaultColWidth="11.42578125" defaultRowHeight="15"/>
  <cols>
    <col min="1" max="1" width="14.42578125" customWidth="1"/>
    <col min="2" max="2" width="55.42578125" customWidth="1"/>
    <col min="3" max="3" width="14.28515625" customWidth="1"/>
    <col min="4" max="4" width="20.42578125" customWidth="1"/>
    <col min="5" max="5" width="20.140625" style="831" customWidth="1"/>
    <col min="6" max="6" width="11.5703125" style="831" customWidth="1"/>
    <col min="7" max="7" width="10.7109375" customWidth="1"/>
    <col min="8" max="8" width="12.85546875" style="877" customWidth="1"/>
    <col min="9" max="9" width="12.85546875" style="831" customWidth="1"/>
    <col min="10" max="10" width="11.140625" style="831" customWidth="1"/>
    <col min="11" max="11" width="10" style="831" customWidth="1"/>
    <col min="12" max="12" width="12.85546875" style="877" customWidth="1"/>
    <col min="13" max="13" width="9.5703125" style="831" customWidth="1"/>
    <col min="14" max="14" width="10.42578125" style="831" customWidth="1"/>
  </cols>
  <sheetData>
    <row r="1" spans="1:16" ht="17.25" customHeight="1">
      <c r="A1" s="859"/>
      <c r="B1" s="53"/>
      <c r="C1" s="52"/>
      <c r="D1" s="50"/>
      <c r="E1" s="50"/>
      <c r="F1" s="775"/>
      <c r="G1" s="52"/>
      <c r="H1" s="865"/>
      <c r="I1" s="865"/>
      <c r="J1" s="865"/>
      <c r="K1" s="865"/>
      <c r="L1" s="865"/>
      <c r="M1" s="865"/>
      <c r="N1" s="865"/>
    </row>
    <row r="2" spans="1:16" s="659" customFormat="1" ht="27.95" customHeight="1">
      <c r="A2" s="850" t="s">
        <v>177</v>
      </c>
      <c r="B2" s="905" t="s">
        <v>2895</v>
      </c>
      <c r="C2" s="862"/>
      <c r="D2" s="874" t="s">
        <v>189</v>
      </c>
      <c r="E2" s="1397" t="s">
        <v>3089</v>
      </c>
      <c r="G2" s="775" t="s">
        <v>2647</v>
      </c>
      <c r="H2" s="1491" t="s">
        <v>2899</v>
      </c>
      <c r="I2" s="1492"/>
      <c r="J2" s="1492"/>
      <c r="K2" s="1492"/>
      <c r="L2" s="1492"/>
      <c r="M2" s="1492"/>
      <c r="N2" s="1493"/>
      <c r="P2" s="951" t="s">
        <v>2707</v>
      </c>
    </row>
    <row r="3" spans="1:16" s="831" customFormat="1" ht="27.95" customHeight="1">
      <c r="A3" s="850" t="s">
        <v>176</v>
      </c>
      <c r="B3" s="906"/>
      <c r="C3" s="862"/>
      <c r="D3" s="874" t="s">
        <v>2654</v>
      </c>
      <c r="E3" s="1084"/>
      <c r="F3" s="776"/>
      <c r="G3" s="877"/>
      <c r="H3" s="1494"/>
      <c r="I3" s="1495"/>
      <c r="J3" s="1495"/>
      <c r="K3" s="1495"/>
      <c r="L3" s="1495"/>
      <c r="M3" s="1495"/>
      <c r="N3" s="1496"/>
      <c r="P3" s="951" t="s">
        <v>2709</v>
      </c>
    </row>
    <row r="4" spans="1:16" s="831" customFormat="1" ht="27.95" customHeight="1">
      <c r="A4" s="850" t="s">
        <v>183</v>
      </c>
      <c r="B4" s="906"/>
      <c r="C4" s="862"/>
      <c r="D4" s="874" t="s">
        <v>34</v>
      </c>
      <c r="E4" s="1398">
        <v>41760</v>
      </c>
      <c r="F4" s="776"/>
      <c r="G4" s="877"/>
      <c r="H4" s="1494"/>
      <c r="I4" s="1495"/>
      <c r="J4" s="1495"/>
      <c r="K4" s="1495"/>
      <c r="L4" s="1495"/>
      <c r="M4" s="1495"/>
      <c r="N4" s="1496"/>
    </row>
    <row r="5" spans="1:16" ht="27.95" customHeight="1">
      <c r="A5" s="850" t="s">
        <v>179</v>
      </c>
      <c r="B5" s="55" t="s">
        <v>2507</v>
      </c>
      <c r="D5" s="874" t="s">
        <v>180</v>
      </c>
      <c r="E5" s="1398">
        <v>42930</v>
      </c>
      <c r="F5" s="776"/>
      <c r="G5" s="877"/>
      <c r="H5" s="1494"/>
      <c r="I5" s="1495"/>
      <c r="J5" s="1495"/>
      <c r="K5" s="1495"/>
      <c r="L5" s="1495"/>
      <c r="M5" s="1495"/>
      <c r="N5" s="1496"/>
    </row>
    <row r="6" spans="1:16" ht="27.95" customHeight="1">
      <c r="A6" s="850" t="s">
        <v>178</v>
      </c>
      <c r="B6" s="584"/>
      <c r="C6" s="857"/>
      <c r="D6" s="874" t="s">
        <v>181</v>
      </c>
      <c r="E6" s="1083"/>
      <c r="F6" s="776"/>
      <c r="G6" s="877"/>
      <c r="H6" s="1497"/>
      <c r="I6" s="1498"/>
      <c r="J6" s="1498"/>
      <c r="K6" s="1498"/>
      <c r="L6" s="1498"/>
      <c r="M6" s="1498"/>
      <c r="N6" s="1499"/>
    </row>
    <row r="7" spans="1:16" ht="27.95" customHeight="1">
      <c r="A7" s="850" t="s">
        <v>182</v>
      </c>
      <c r="B7" s="1420" t="s">
        <v>2903</v>
      </c>
      <c r="C7" s="857"/>
      <c r="D7" s="857"/>
      <c r="E7" s="584"/>
      <c r="F7" s="776"/>
      <c r="G7" s="877"/>
      <c r="I7" s="877"/>
      <c r="J7" s="877"/>
      <c r="K7" s="877"/>
      <c r="M7" s="877"/>
      <c r="N7" s="877"/>
    </row>
    <row r="8" spans="1:16" s="877" customFormat="1" ht="27.95" customHeight="1">
      <c r="A8" s="857"/>
      <c r="B8" s="1402" t="s">
        <v>2670</v>
      </c>
      <c r="C8" s="1485" t="s">
        <v>2671</v>
      </c>
      <c r="D8" s="1486"/>
      <c r="E8" s="1486"/>
      <c r="F8" s="1486"/>
      <c r="G8" s="1487"/>
      <c r="H8" s="1403" t="s">
        <v>210</v>
      </c>
      <c r="I8" s="1485" t="s">
        <v>2646</v>
      </c>
      <c r="J8" s="1486"/>
      <c r="K8" s="1487"/>
      <c r="L8" s="1504" t="s">
        <v>2191</v>
      </c>
      <c r="M8" s="1504"/>
    </row>
    <row r="9" spans="1:16" s="877" customFormat="1" ht="27.95" customHeight="1">
      <c r="A9" s="54" t="s">
        <v>184</v>
      </c>
      <c r="B9" s="1404" t="s">
        <v>1528</v>
      </c>
      <c r="C9" s="1490" t="s">
        <v>2896</v>
      </c>
      <c r="D9" s="1490"/>
      <c r="E9" s="1490"/>
      <c r="F9" s="1490"/>
      <c r="G9" s="1490"/>
      <c r="H9" s="1405" t="s">
        <v>2897</v>
      </c>
      <c r="I9" s="1488" t="s">
        <v>2898</v>
      </c>
      <c r="J9" s="1488"/>
      <c r="K9" s="1488"/>
      <c r="L9" s="1488" t="s">
        <v>51</v>
      </c>
      <c r="M9" s="1505"/>
    </row>
    <row r="10" spans="1:16" s="877" customFormat="1" ht="27.95" customHeight="1">
      <c r="A10" s="54" t="s">
        <v>185</v>
      </c>
      <c r="B10" s="858" t="s">
        <v>3105</v>
      </c>
      <c r="C10" s="1484"/>
      <c r="D10" s="1484"/>
      <c r="E10" s="1484"/>
      <c r="F10" s="1484"/>
      <c r="G10" s="1484"/>
      <c r="H10" s="1395"/>
      <c r="I10" s="1469"/>
      <c r="J10" s="1469"/>
      <c r="K10" s="1469"/>
      <c r="L10" s="1469"/>
      <c r="M10" s="1506"/>
    </row>
    <row r="11" spans="1:16" s="877" customFormat="1" ht="39.950000000000003" customHeight="1">
      <c r="A11" s="54" t="s">
        <v>187</v>
      </c>
      <c r="B11" s="860"/>
      <c r="C11" s="1489" t="str">
        <f>APPORTEURS!H1</f>
        <v>Le Gray d’Albion, 17 Boulevard de la Croisette</v>
      </c>
      <c r="D11" s="1489"/>
      <c r="E11" s="1489"/>
      <c r="F11" s="1489"/>
      <c r="G11" s="1489"/>
      <c r="H11" s="1396" t="str">
        <f>APPORTEURS!I1</f>
        <v>F-06400</v>
      </c>
      <c r="I11" s="1489" t="str">
        <f>APPORTEURS!J1</f>
        <v>Cannes</v>
      </c>
      <c r="J11" s="1489"/>
      <c r="K11" s="1489"/>
      <c r="L11" s="1489" t="str">
        <f>APPORTEURS!K1</f>
        <v>France</v>
      </c>
      <c r="M11" s="1507"/>
    </row>
    <row r="12" spans="1:16" s="877" customFormat="1" ht="39.950000000000003" customHeight="1">
      <c r="A12" s="54" t="s">
        <v>188</v>
      </c>
      <c r="B12" s="860"/>
      <c r="C12" s="1469">
        <f>APPORTEURS!H2</f>
        <v>0</v>
      </c>
      <c r="D12" s="1469"/>
      <c r="E12" s="1469"/>
      <c r="F12" s="1469"/>
      <c r="G12" s="1469"/>
      <c r="H12" s="1395">
        <f>APPORTEURS!I2</f>
        <v>0</v>
      </c>
      <c r="I12" s="1469">
        <f>APPORTEURS!J2</f>
        <v>0</v>
      </c>
      <c r="J12" s="1469"/>
      <c r="K12" s="1469"/>
      <c r="L12" s="1469">
        <f>APPORTEURS!K2</f>
        <v>0</v>
      </c>
      <c r="M12" s="1506"/>
    </row>
    <row r="13" spans="1:16" s="831" customFormat="1" ht="39.950000000000003" customHeight="1">
      <c r="A13" s="851"/>
      <c r="B13" s="860"/>
      <c r="C13" s="1484" t="str">
        <f>USER!M1</f>
        <v>(0033) 493399230</v>
      </c>
      <c r="D13" s="1484"/>
      <c r="E13" s="1484"/>
      <c r="F13" s="1484"/>
      <c r="G13" s="1512" t="str">
        <f>USER!J1</f>
        <v>c.mathe@somecassur.fr</v>
      </c>
      <c r="H13" s="1512"/>
      <c r="I13" s="1512"/>
      <c r="J13" s="1512"/>
      <c r="K13" s="1512"/>
      <c r="L13" s="1500" t="str">
        <f>USER!K1</f>
        <v>corinne</v>
      </c>
      <c r="M13" s="1501"/>
      <c r="N13" s="877"/>
    </row>
    <row r="14" spans="1:16" s="831" customFormat="1" ht="39.950000000000003" customHeight="1">
      <c r="A14" s="851"/>
      <c r="B14" s="861"/>
      <c r="C14" s="1514">
        <f>USER!M2</f>
        <v>0</v>
      </c>
      <c r="D14" s="1514"/>
      <c r="E14" s="1514"/>
      <c r="F14" s="1514"/>
      <c r="G14" s="1513">
        <f>USER!J2</f>
        <v>0</v>
      </c>
      <c r="H14" s="1513"/>
      <c r="I14" s="1513"/>
      <c r="J14" s="1513"/>
      <c r="K14" s="1513"/>
      <c r="L14" s="1502">
        <f>USER!K2</f>
        <v>0</v>
      </c>
      <c r="M14" s="1503"/>
      <c r="N14" s="877"/>
    </row>
    <row r="15" spans="1:16" s="831" customFormat="1" ht="27.95" customHeight="1">
      <c r="A15" s="878"/>
      <c r="B15" s="449"/>
      <c r="C15" s="449"/>
      <c r="D15" s="449"/>
      <c r="E15" s="449"/>
      <c r="F15" s="449"/>
      <c r="G15" s="879"/>
      <c r="H15" s="888"/>
      <c r="I15" s="775"/>
      <c r="J15" s="775"/>
      <c r="K15" s="775"/>
      <c r="L15" s="775"/>
      <c r="M15" s="888"/>
      <c r="N15" s="888"/>
    </row>
    <row r="16" spans="1:16" s="831" customFormat="1" ht="27.95" customHeight="1">
      <c r="A16" s="1511" t="s">
        <v>2672</v>
      </c>
      <c r="B16" s="1511"/>
      <c r="C16" s="1511"/>
      <c r="D16" s="1511"/>
      <c r="E16" s="1511"/>
      <c r="F16" s="1511"/>
      <c r="G16" s="865"/>
      <c r="H16" s="1470" t="s">
        <v>2648</v>
      </c>
      <c r="I16" s="1470"/>
      <c r="J16" s="1470"/>
      <c r="K16" s="1470"/>
      <c r="L16" s="1470"/>
      <c r="M16" s="1470"/>
      <c r="N16" s="1470"/>
    </row>
    <row r="17" spans="1:16" s="831" customFormat="1" ht="27.95" customHeight="1">
      <c r="A17" s="912" t="str">
        <f>HISTORY!G6</f>
        <v>L2025408</v>
      </c>
      <c r="B17" s="1483" t="str">
        <f>HISTORY!H6</f>
        <v>Perfect S for Captain only</v>
      </c>
      <c r="C17" s="1483"/>
      <c r="D17" s="1483"/>
      <c r="E17" s="982"/>
      <c r="F17" s="983"/>
      <c r="G17" s="1156">
        <v>0</v>
      </c>
      <c r="H17" s="1408">
        <v>41760</v>
      </c>
      <c r="I17" s="1471"/>
      <c r="J17" s="1471"/>
      <c r="K17" s="1471"/>
      <c r="L17" s="1471"/>
      <c r="M17" s="1471"/>
      <c r="N17" s="1472"/>
    </row>
    <row r="18" spans="1:16" s="831" customFormat="1" ht="27.95" customHeight="1">
      <c r="A18" s="913" t="str">
        <f>HISTORY!G7</f>
        <v>L2024408</v>
      </c>
      <c r="B18" s="1480" t="str">
        <f>HISTORY!H7</f>
        <v>StandardMLC S for All others on board</v>
      </c>
      <c r="C18" s="1480"/>
      <c r="D18" s="1480"/>
      <c r="E18" s="984"/>
      <c r="F18" s="985"/>
      <c r="G18" s="1156">
        <v>1</v>
      </c>
      <c r="H18" s="1382">
        <v>41835</v>
      </c>
      <c r="I18" s="1515"/>
      <c r="J18" s="1515"/>
      <c r="K18" s="1515"/>
      <c r="L18" s="1515"/>
      <c r="M18" s="1515"/>
      <c r="N18" s="1516"/>
    </row>
    <row r="19" spans="1:16" s="831" customFormat="1" ht="27.95" customHeight="1">
      <c r="A19" s="913">
        <f>HISTORY!G8</f>
        <v>140494</v>
      </c>
      <c r="B19" s="1480" t="str">
        <f>HISTORY!H8</f>
        <v>Medical Excellent and Homeland for Day Workers</v>
      </c>
      <c r="C19" s="1480"/>
      <c r="D19" s="1480"/>
      <c r="E19" s="984"/>
      <c r="F19" s="985"/>
      <c r="G19" s="1156">
        <v>2</v>
      </c>
      <c r="H19" s="1382">
        <v>42200</v>
      </c>
      <c r="I19" s="1515" t="s">
        <v>2900</v>
      </c>
      <c r="J19" s="1515"/>
      <c r="K19" s="1515"/>
      <c r="L19" s="1515"/>
      <c r="M19" s="1515"/>
      <c r="N19" s="1516"/>
    </row>
    <row r="20" spans="1:16" s="831" customFormat="1" ht="27.95" customHeight="1">
      <c r="A20" s="913">
        <f>HISTORY!G9</f>
        <v>0</v>
      </c>
      <c r="B20" s="1480">
        <f>HISTORY!H9</f>
        <v>0</v>
      </c>
      <c r="C20" s="1480"/>
      <c r="D20" s="1480"/>
      <c r="E20" s="984"/>
      <c r="F20" s="985"/>
      <c r="G20" s="1156">
        <v>2</v>
      </c>
      <c r="H20" s="1382">
        <v>42566</v>
      </c>
      <c r="I20" s="1515" t="s">
        <v>2901</v>
      </c>
      <c r="J20" s="1515"/>
      <c r="K20" s="1515"/>
      <c r="L20" s="1515"/>
      <c r="M20" s="1515"/>
      <c r="N20" s="1516"/>
    </row>
    <row r="21" spans="1:16" s="831" customFormat="1" ht="27.95" customHeight="1">
      <c r="A21" s="913">
        <f>HISTORY!G10</f>
        <v>0</v>
      </c>
      <c r="B21" s="1480">
        <f>HISTORY!H10</f>
        <v>0</v>
      </c>
      <c r="C21" s="1480"/>
      <c r="D21" s="1480"/>
      <c r="E21" s="984"/>
      <c r="F21" s="985"/>
      <c r="G21" s="1156">
        <v>3</v>
      </c>
      <c r="H21" s="1382">
        <v>42750</v>
      </c>
      <c r="I21" s="1474" t="s">
        <v>3090</v>
      </c>
      <c r="J21" s="1474"/>
      <c r="K21" s="1474"/>
      <c r="L21" s="1474"/>
      <c r="M21" s="1474"/>
      <c r="N21" s="1475"/>
    </row>
    <row r="22" spans="1:16" s="831" customFormat="1" ht="45.75" customHeight="1">
      <c r="A22" s="913">
        <f>HISTORY!G11</f>
        <v>240450</v>
      </c>
      <c r="B22" s="1480" t="str">
        <f>HISTORY!H11</f>
        <v>Formula 3: LOL&amp;PTD 300% annual salary  1000000 EUR limit per year, 100% annual salary  125000 EUR limit per year for Captain only</v>
      </c>
      <c r="C22" s="1480"/>
      <c r="D22" s="1480"/>
      <c r="E22" s="984"/>
      <c r="F22" s="985"/>
      <c r="G22" s="776"/>
      <c r="H22" s="1382"/>
      <c r="I22" s="1474"/>
      <c r="J22" s="1474"/>
      <c r="K22" s="1474"/>
      <c r="L22" s="1474"/>
      <c r="M22" s="1474"/>
      <c r="N22" s="1475"/>
    </row>
    <row r="23" spans="1:16" s="831" customFormat="1" ht="35.25" customHeight="1">
      <c r="A23" s="913">
        <f>HISTORY!G12</f>
        <v>240303</v>
      </c>
      <c r="B23" s="1481" t="str">
        <f>HISTORY!H12</f>
        <v>Formula 3: LOL&amp;PTD 300% annual salary  1000000 EUR limit per year, 100% annual salary  450000 EUR limit per year for All others on board</v>
      </c>
      <c r="C23" s="1481"/>
      <c r="D23" s="1481"/>
      <c r="E23" s="984"/>
      <c r="F23" s="985"/>
      <c r="G23" s="776"/>
      <c r="H23" s="1382"/>
      <c r="I23" s="1476"/>
      <c r="J23" s="1476"/>
      <c r="K23" s="1476"/>
      <c r="L23" s="1476"/>
      <c r="M23" s="1476"/>
      <c r="N23" s="1477"/>
    </row>
    <row r="24" spans="1:16" s="831" customFormat="1" ht="27.95" customHeight="1">
      <c r="A24" s="914">
        <f>HISTORY!G13</f>
        <v>140494</v>
      </c>
      <c r="B24" s="1482" t="str">
        <f>HISTORY!H13</f>
        <v>Formula Day Worker: LOL&amp;PTD 50000 EUR ,  for Day Workers</v>
      </c>
      <c r="C24" s="1482"/>
      <c r="D24" s="1482"/>
      <c r="E24" s="986"/>
      <c r="F24" s="987"/>
      <c r="G24" s="776"/>
      <c r="H24" s="1383"/>
      <c r="I24" s="1478"/>
      <c r="J24" s="1478"/>
      <c r="K24" s="1478"/>
      <c r="L24" s="1478"/>
      <c r="M24" s="1478"/>
      <c r="N24" s="1479"/>
    </row>
    <row r="25" spans="1:16" s="831" customFormat="1" ht="26.25" customHeight="1" thickBot="1">
      <c r="A25" s="856"/>
      <c r="B25" s="584"/>
      <c r="C25" s="857"/>
      <c r="D25" s="584"/>
      <c r="E25" s="584"/>
      <c r="F25" s="864"/>
      <c r="G25" s="853"/>
      <c r="H25" s="853"/>
      <c r="I25" s="853"/>
      <c r="J25" s="853"/>
      <c r="K25" s="853"/>
      <c r="L25" s="853"/>
      <c r="M25" s="853"/>
      <c r="N25" s="853"/>
    </row>
    <row r="26" spans="1:16" ht="36.75" customHeight="1">
      <c r="A26" s="1023"/>
      <c r="B26" s="1024" t="str">
        <f>YACHTNAME</f>
        <v xml:space="preserve">IDOL            </v>
      </c>
      <c r="C26" s="1025"/>
      <c r="D26" s="1061" t="s">
        <v>2163</v>
      </c>
      <c r="E26" s="1061" t="s">
        <v>2658</v>
      </c>
      <c r="F26" s="1061" t="s">
        <v>2673</v>
      </c>
      <c r="G26" s="1061" t="s">
        <v>2674</v>
      </c>
      <c r="H26" s="1061" t="s">
        <v>2702</v>
      </c>
      <c r="I26" s="1061" t="s">
        <v>2703</v>
      </c>
      <c r="J26" s="1058" t="s">
        <v>2704</v>
      </c>
      <c r="K26" s="1072" t="s">
        <v>2542</v>
      </c>
      <c r="L26" s="1026" t="s">
        <v>2159</v>
      </c>
      <c r="M26" s="1027" t="s">
        <v>27</v>
      </c>
      <c r="N26" s="1028" t="s">
        <v>2136</v>
      </c>
    </row>
    <row r="27" spans="1:16" s="877" customFormat="1" ht="27.95" customHeight="1">
      <c r="A27" s="1029" t="s">
        <v>2659</v>
      </c>
      <c r="B27" s="852"/>
      <c r="C27" s="852"/>
      <c r="D27" s="1065">
        <v>42566</v>
      </c>
      <c r="E27" s="1059">
        <v>42749</v>
      </c>
      <c r="F27" s="1064">
        <f>DATEDIF(D27,E27,"M")+1</f>
        <v>6</v>
      </c>
      <c r="G27" s="1066">
        <f>IF((DATEDIF(D27,E27,"D")+1)&gt;365,365,DATEDIF(D27,E27,"D")+1)</f>
        <v>184</v>
      </c>
      <c r="H27" s="879"/>
      <c r="I27" s="879"/>
      <c r="J27" s="1080"/>
      <c r="L27" s="853" t="s">
        <v>2000</v>
      </c>
      <c r="M27" s="1063">
        <f>(M52+M77+M103)</f>
        <v>30597.596153846152</v>
      </c>
      <c r="N27" s="1063">
        <f>(N52+N77+N103)</f>
        <v>32141.499999999996</v>
      </c>
    </row>
    <row r="28" spans="1:16" s="877" customFormat="1" ht="27.95" customHeight="1">
      <c r="A28" s="1029" t="s">
        <v>2497</v>
      </c>
      <c r="B28" s="852"/>
      <c r="C28" s="938" t="s">
        <v>2700</v>
      </c>
      <c r="D28" s="988">
        <f>IF(E28=0%,1,(1+E28))</f>
        <v>1.04</v>
      </c>
      <c r="E28" s="904">
        <v>0.04</v>
      </c>
      <c r="F28" s="926">
        <f>MAXMONTHS</f>
        <v>6</v>
      </c>
      <c r="G28" s="1021">
        <f>MAXDAYS</f>
        <v>184</v>
      </c>
      <c r="H28" s="879"/>
      <c r="I28" s="879"/>
      <c r="J28" s="1072"/>
      <c r="L28" s="853"/>
      <c r="M28" s="1063"/>
      <c r="N28" s="1063"/>
      <c r="P28" s="877" t="s">
        <v>2701</v>
      </c>
    </row>
    <row r="29" spans="1:16" s="877" customFormat="1" ht="27.95" customHeight="1">
      <c r="A29" s="1029"/>
      <c r="B29" s="852"/>
      <c r="C29" s="886"/>
      <c r="D29" s="1030" t="s">
        <v>2699</v>
      </c>
      <c r="E29" s="1031"/>
      <c r="F29" s="1032">
        <f>Cotations!M11</f>
        <v>75</v>
      </c>
      <c r="G29" s="1022">
        <f>Cotations!O11</f>
        <v>2260</v>
      </c>
      <c r="H29" s="879"/>
      <c r="I29" s="879"/>
      <c r="J29" s="1057">
        <f>Calcul!AA10</f>
        <v>707000</v>
      </c>
      <c r="L29" s="853" t="s">
        <v>2500</v>
      </c>
      <c r="M29" s="1063">
        <f>M59+M85+M111</f>
        <v>53214.170996693436</v>
      </c>
      <c r="N29" s="1063">
        <f>N59+N85+N111</f>
        <v>55342.737836561173</v>
      </c>
      <c r="P29" s="937">
        <f>Cotations!U11</f>
        <v>19083.94463425603</v>
      </c>
    </row>
    <row r="30" spans="1:16" s="877" customFormat="1" ht="27.95" customHeight="1">
      <c r="A30" s="1029"/>
      <c r="B30" s="878"/>
      <c r="C30" s="1033" t="s">
        <v>2700</v>
      </c>
      <c r="D30" s="661"/>
      <c r="E30" s="1034" t="s">
        <v>1975</v>
      </c>
      <c r="F30" s="926">
        <f>SUMIF(Cotations!$T$15:$T$120,Admin!E30,Cotations!$M$15:$M$120)</f>
        <v>60</v>
      </c>
      <c r="G30" s="1021">
        <f>SUMIF(Cotations!$T$15:$T$120,Admin!E30,Cotations!$O$15:$O$120)</f>
        <v>1810</v>
      </c>
      <c r="H30" s="879"/>
      <c r="I30" s="879"/>
      <c r="J30" s="1057">
        <f>SUMIF(Cotations!$T$15:$T$120,Admin!E30,Calcul!$AA$15:$AA$120)</f>
        <v>617000</v>
      </c>
      <c r="K30" s="1057">
        <f>SUMIF(Cotations!$T$15:$T$120,Admin!E30,Calcul!$AG$15:$AG$120)</f>
        <v>315386.30136986304</v>
      </c>
      <c r="L30" s="853" t="s">
        <v>194</v>
      </c>
      <c r="M30" s="1063">
        <f>M63+M89+M115</f>
        <v>5819.8582900330657</v>
      </c>
      <c r="N30" s="1063">
        <f>N63+N89+N115</f>
        <v>6052.6526216343891</v>
      </c>
    </row>
    <row r="31" spans="1:16" s="880" customFormat="1" ht="27.95" customHeight="1">
      <c r="A31" s="1035"/>
      <c r="B31" s="879"/>
      <c r="C31" s="1033" t="s">
        <v>2700</v>
      </c>
      <c r="D31" s="1079"/>
      <c r="E31" s="1034" t="s">
        <v>1978</v>
      </c>
      <c r="F31" s="926">
        <f>SUMIF(Cotations!$T$15:$T$120,Admin!E31,Cotations!$M$15:$M$120)</f>
        <v>15</v>
      </c>
      <c r="G31" s="1021">
        <f>SUMIF(Cotations!$T$15:$T$120,Admin!E31,Cotations!$O$15:$O$120)</f>
        <v>450</v>
      </c>
      <c r="H31" s="879"/>
      <c r="I31" s="879"/>
      <c r="J31" s="1057">
        <f>SUMIF(Cotations!$T$15:$T$120,Admin!E31,Calcul!$AA$15:$AA$120)</f>
        <v>90000</v>
      </c>
      <c r="K31" s="1057">
        <f>SUMIF(Cotations!$T$15:$T$120,Admin!E31,Calcul!$AG$15:$AG$120)</f>
        <v>36986.301369863009</v>
      </c>
      <c r="L31" s="853" t="s">
        <v>1</v>
      </c>
      <c r="M31" s="853"/>
      <c r="N31" s="1067">
        <f>D43+D68+D94</f>
        <v>135</v>
      </c>
    </row>
    <row r="32" spans="1:16" s="880" customFormat="1" ht="27.95" customHeight="1">
      <c r="A32" s="1035"/>
      <c r="B32" s="229"/>
      <c r="C32" s="903"/>
      <c r="D32" s="879"/>
      <c r="E32" s="1034" t="s">
        <v>2771</v>
      </c>
      <c r="F32" s="926">
        <f>SUMIF(Cotations!$T$15:$T$120,Admin!E32,Cotations!$M$15:$M$120)</f>
        <v>0</v>
      </c>
      <c r="G32" s="1021">
        <f>SUMIF(Cotations!$T$15:$T$120,Admin!E32,Cotations!$O$15:$O$120)</f>
        <v>0</v>
      </c>
      <c r="H32" s="879"/>
      <c r="I32" s="870"/>
      <c r="J32" s="1057">
        <f>SUMIF(Cotations!$T$15:$T$120,Admin!E32,Calcul!$AA$15:$AA$120)</f>
        <v>0</v>
      </c>
      <c r="K32" s="1057">
        <f>SUMIF(Cotations!$T$15:$T$120,Admin!E32,Calcul!$AG$15:$AG$120)</f>
        <v>0</v>
      </c>
      <c r="L32" s="853"/>
      <c r="M32" s="1062">
        <f>SUM(M27:M30)</f>
        <v>89631.62544057265</v>
      </c>
      <c r="N32" s="1062">
        <f>SUM(N27:N30)+N31</f>
        <v>93671.890458195558</v>
      </c>
    </row>
    <row r="33" spans="1:14" s="880" customFormat="1" ht="27.95" customHeight="1">
      <c r="A33" s="1035"/>
      <c r="B33" s="229"/>
      <c r="C33" s="903"/>
      <c r="D33" s="879"/>
      <c r="E33" s="886"/>
      <c r="F33" s="948"/>
      <c r="G33" s="948"/>
      <c r="H33" s="879"/>
      <c r="I33" s="870"/>
      <c r="J33" s="879"/>
      <c r="K33" s="879"/>
      <c r="L33" s="853"/>
    </row>
    <row r="34" spans="1:14" s="880" customFormat="1" ht="27.95" customHeight="1">
      <c r="A34" s="1035"/>
      <c r="B34" s="229"/>
      <c r="C34" s="903"/>
      <c r="D34" s="879"/>
      <c r="E34" s="886"/>
      <c r="F34" s="948"/>
      <c r="G34" s="948"/>
      <c r="H34" s="879"/>
      <c r="I34" s="870"/>
      <c r="J34" s="879"/>
      <c r="K34" s="879"/>
      <c r="L34" s="853"/>
    </row>
    <row r="35" spans="1:14" s="880" customFormat="1" ht="27.95" customHeight="1">
      <c r="A35" s="1035"/>
      <c r="B35" s="229"/>
      <c r="C35" s="903"/>
      <c r="D35" s="879"/>
      <c r="E35" s="886"/>
      <c r="F35" s="948"/>
      <c r="G35" s="948"/>
      <c r="H35" s="879"/>
      <c r="I35" s="870"/>
      <c r="J35" s="879"/>
      <c r="K35" s="879"/>
      <c r="L35" s="853"/>
      <c r="M35" s="853"/>
      <c r="N35" s="380"/>
    </row>
    <row r="36" spans="1:14" s="880" customFormat="1" ht="27.95" customHeight="1">
      <c r="A36" s="1035"/>
      <c r="B36" s="229"/>
      <c r="C36" s="903"/>
      <c r="D36" s="879"/>
      <c r="E36" s="886"/>
      <c r="F36" s="948"/>
      <c r="G36" s="948"/>
      <c r="H36" s="879"/>
      <c r="I36" s="870"/>
      <c r="J36" s="879"/>
      <c r="K36" s="879"/>
      <c r="L36" s="853"/>
      <c r="M36" s="853"/>
      <c r="N36" s="380"/>
    </row>
    <row r="37" spans="1:14" s="880" customFormat="1" ht="27.95" customHeight="1">
      <c r="A37" s="1035"/>
      <c r="B37" s="229"/>
      <c r="C37" s="903"/>
      <c r="D37" s="879"/>
      <c r="E37" s="886"/>
      <c r="F37" s="948"/>
      <c r="G37" s="948"/>
      <c r="H37" s="879"/>
      <c r="I37" s="853"/>
      <c r="J37" s="879"/>
      <c r="K37" s="879"/>
      <c r="L37" s="853"/>
      <c r="M37" s="853"/>
      <c r="N37" s="380"/>
    </row>
    <row r="38" spans="1:14" s="880" customFormat="1" ht="27.95" customHeight="1">
      <c r="A38" s="1035"/>
      <c r="B38" s="229"/>
      <c r="C38" s="903"/>
      <c r="D38" s="975"/>
      <c r="E38" s="886"/>
      <c r="F38" s="948"/>
      <c r="G38" s="948"/>
      <c r="H38" s="879"/>
      <c r="I38" s="853"/>
      <c r="J38" s="879"/>
      <c r="K38" s="879"/>
      <c r="L38" s="853"/>
      <c r="M38" s="853"/>
      <c r="N38" s="380"/>
    </row>
    <row r="39" spans="1:14" s="880" customFormat="1" ht="27.95" customHeight="1" thickBot="1">
      <c r="A39" s="1036"/>
      <c r="B39" s="1037"/>
      <c r="C39" s="1038"/>
      <c r="D39" s="1039"/>
      <c r="E39" s="1040"/>
      <c r="F39" s="1041"/>
      <c r="G39" s="1041"/>
      <c r="H39" s="1042"/>
      <c r="I39" s="1042"/>
      <c r="J39" s="1043"/>
      <c r="K39" s="1043"/>
      <c r="L39" s="1042"/>
      <c r="M39" s="1042"/>
      <c r="N39" s="1044"/>
    </row>
    <row r="40" spans="1:14" ht="27.95" customHeight="1">
      <c r="A40" s="486"/>
      <c r="B40" s="486"/>
      <c r="C40" s="486"/>
      <c r="D40" s="486"/>
      <c r="E40" s="486"/>
      <c r="F40" s="486"/>
      <c r="G40" s="486"/>
      <c r="H40" s="486"/>
      <c r="I40" s="486"/>
      <c r="J40" s="486"/>
      <c r="K40" s="486"/>
      <c r="L40" s="486"/>
      <c r="M40" s="486"/>
      <c r="N40" s="486"/>
    </row>
    <row r="41" spans="1:14" s="939" customFormat="1" ht="27.95" customHeight="1">
      <c r="A41" s="1466" t="s">
        <v>2748</v>
      </c>
      <c r="C41" s="1467" t="s">
        <v>2666</v>
      </c>
      <c r="D41" s="1468"/>
    </row>
    <row r="42" spans="1:14" s="939" customFormat="1" ht="27.95" customHeight="1">
      <c r="A42" s="1466"/>
      <c r="C42" s="863" t="s">
        <v>2652</v>
      </c>
      <c r="D42" s="871">
        <f>REALDAYS1</f>
        <v>1810</v>
      </c>
    </row>
    <row r="43" spans="1:14" s="880" customFormat="1" ht="27.95" customHeight="1">
      <c r="A43" s="1466"/>
      <c r="C43" s="863" t="s">
        <v>2653</v>
      </c>
      <c r="D43" s="871">
        <v>120</v>
      </c>
      <c r="E43" s="886"/>
      <c r="F43" s="948"/>
      <c r="G43" s="948"/>
      <c r="H43" s="879"/>
      <c r="I43" s="879"/>
      <c r="J43" s="949"/>
      <c r="K43" s="950"/>
      <c r="L43" s="853"/>
      <c r="M43" s="853"/>
      <c r="N43" s="879"/>
    </row>
    <row r="44" spans="1:14" s="880" customFormat="1" ht="17.25" customHeight="1">
      <c r="A44" s="1016"/>
      <c r="B44" s="879"/>
      <c r="C44" s="944"/>
      <c r="D44" s="1018"/>
      <c r="E44" s="229"/>
      <c r="F44" s="948"/>
      <c r="G44" s="948"/>
      <c r="H44" s="879"/>
      <c r="I44" s="879"/>
      <c r="J44" s="949"/>
      <c r="K44" s="950"/>
      <c r="L44" s="853"/>
      <c r="M44" s="853"/>
      <c r="N44" s="879"/>
    </row>
    <row r="45" spans="1:14" s="880" customFormat="1" ht="18" customHeight="1">
      <c r="A45" s="1016"/>
      <c r="B45" s="879"/>
      <c r="C45" s="944"/>
      <c r="D45" s="1018"/>
      <c r="E45" s="229"/>
      <c r="F45" s="948"/>
      <c r="G45" s="948"/>
      <c r="H45" s="879"/>
      <c r="I45" s="879"/>
      <c r="J45" s="949"/>
      <c r="K45" s="950"/>
      <c r="L45" s="853"/>
      <c r="M45" s="853"/>
      <c r="N45" s="879"/>
    </row>
    <row r="46" spans="1:14" s="880" customFormat="1" ht="17.25" customHeight="1">
      <c r="A46" s="1016"/>
      <c r="B46" s="879"/>
      <c r="C46" s="944"/>
      <c r="D46" s="1018" t="str">
        <f>IF(B48="N/A","",INDEX(colAssureur,MATCH(B48,colMOD1,0)))</f>
        <v>AIG Luxembourg</v>
      </c>
      <c r="E46" s="229"/>
      <c r="F46" s="948"/>
      <c r="G46" s="948"/>
      <c r="H46" s="879"/>
      <c r="I46" s="879"/>
      <c r="J46" s="949"/>
      <c r="K46" s="950"/>
      <c r="L46" s="853"/>
      <c r="M46" s="853"/>
      <c r="N46" s="879"/>
    </row>
    <row r="47" spans="1:14" s="890" customFormat="1" ht="27.95" customHeight="1">
      <c r="A47" s="889" t="s">
        <v>2649</v>
      </c>
      <c r="B47" s="1019" t="s">
        <v>2711</v>
      </c>
      <c r="C47" s="1473" t="s">
        <v>2656</v>
      </c>
      <c r="D47" s="1473"/>
      <c r="E47" s="1017" t="s">
        <v>2669</v>
      </c>
      <c r="F47" s="972" t="s">
        <v>2668</v>
      </c>
      <c r="G47" s="972" t="s">
        <v>2655</v>
      </c>
      <c r="H47" s="980" t="s">
        <v>2235</v>
      </c>
      <c r="I47" s="972" t="s">
        <v>2651</v>
      </c>
      <c r="J47" s="942" t="s">
        <v>2259</v>
      </c>
      <c r="K47" s="942" t="s">
        <v>2650</v>
      </c>
      <c r="L47" s="942" t="s">
        <v>2665</v>
      </c>
      <c r="M47" s="942" t="s">
        <v>27</v>
      </c>
      <c r="N47" s="942" t="s">
        <v>2136</v>
      </c>
    </row>
    <row r="48" spans="1:14" ht="27.95" customHeight="1">
      <c r="A48" s="1508" t="s">
        <v>2907</v>
      </c>
      <c r="B48" s="1332" t="s">
        <v>2904</v>
      </c>
      <c r="C48" s="863" t="s">
        <v>20</v>
      </c>
      <c r="D48" s="896" t="str">
        <f>IF(B48="N/A","",INDEX(colProduct,MATCH(B48,colMOD1,0)))</f>
        <v>Perfect S</v>
      </c>
      <c r="E48" s="886"/>
      <c r="F48" s="948"/>
      <c r="G48" s="948"/>
      <c r="H48" s="879"/>
      <c r="I48" s="1289">
        <f>IF(B48="N/A",0,INDEX(colMOD1HT,MATCH(B48,colMOD1,0)))</f>
        <v>1165.3846153846152</v>
      </c>
      <c r="J48" s="1289">
        <f>(I48*(1-$D$52))</f>
        <v>1165.3846153846152</v>
      </c>
      <c r="K48" s="1290">
        <v>32</v>
      </c>
      <c r="L48" s="1291">
        <f>IF($D$50="monthly",K48/12*$D$43,K48/365*$D$42)</f>
        <v>320</v>
      </c>
      <c r="M48" s="1292">
        <f>IF($D$50="monthly",J48/12*$D$43,J48/365*$D$42)</f>
        <v>11653.846153846152</v>
      </c>
      <c r="N48" s="1292">
        <f>(M48*TAXE)+(L48)</f>
        <v>12439.999999999998</v>
      </c>
    </row>
    <row r="49" spans="1:23" s="831" customFormat="1" ht="27.95" customHeight="1">
      <c r="A49" s="1508"/>
      <c r="B49" s="1332" t="s">
        <v>2905</v>
      </c>
      <c r="C49" s="863" t="s">
        <v>33</v>
      </c>
      <c r="D49" s="896" t="str">
        <f>INDEX(colCurrency,MATCH(B48,colMOD1,0))</f>
        <v>EUR</v>
      </c>
      <c r="E49" s="886"/>
      <c r="F49" s="948"/>
      <c r="G49" s="948"/>
      <c r="H49" s="879"/>
      <c r="I49" s="1289">
        <f>IF(B49="N/A",0,INDEX(colMOD2HT,MATCH(B49,colMOD2,0)))</f>
        <v>190.38461538461539</v>
      </c>
      <c r="J49" s="1289">
        <f t="shared" ref="J49:J51" si="0">(I49*(1-$D$52))</f>
        <v>190.38461538461539</v>
      </c>
      <c r="K49" s="1290">
        <v>0</v>
      </c>
      <c r="L49" s="1291">
        <f t="shared" ref="L49:L51" si="1">IF($D$50="monthly",K49/12*$D$43,K49/365*$D$42)</f>
        <v>0</v>
      </c>
      <c r="M49" s="1292">
        <f t="shared" ref="M49:M51" si="2">IF($D$50="monthly",J49/12*$D$43,J49/365*$D$42)</f>
        <v>1903.8461538461538</v>
      </c>
      <c r="N49" s="1292">
        <f>(M49*TAXE)+(L49)</f>
        <v>1980</v>
      </c>
    </row>
    <row r="50" spans="1:23" s="831" customFormat="1" ht="27.95" customHeight="1">
      <c r="A50" s="1508"/>
      <c r="B50" s="1332" t="s">
        <v>2224</v>
      </c>
      <c r="C50" s="953" t="s">
        <v>2230</v>
      </c>
      <c r="D50" s="954" t="s">
        <v>2254</v>
      </c>
      <c r="E50" s="886"/>
      <c r="F50" s="948"/>
      <c r="G50" s="948"/>
      <c r="I50" s="1289">
        <f>IF(B50="N/A",0,INDEX(colMOD3HT,MATCH(B50,colMOD3,0)))</f>
        <v>0</v>
      </c>
      <c r="J50" s="1289">
        <f t="shared" si="0"/>
        <v>0</v>
      </c>
      <c r="K50" s="1290">
        <v>0</v>
      </c>
      <c r="L50" s="1291">
        <f t="shared" si="1"/>
        <v>0</v>
      </c>
      <c r="M50" s="1292">
        <f t="shared" si="2"/>
        <v>0</v>
      </c>
      <c r="N50" s="1292">
        <f>(M50*TAXE)+(L50)</f>
        <v>0</v>
      </c>
    </row>
    <row r="51" spans="1:23" s="877" customFormat="1" ht="27.95" customHeight="1">
      <c r="A51" s="1508"/>
      <c r="B51" s="1332" t="s">
        <v>2224</v>
      </c>
      <c r="C51" s="953" t="s">
        <v>2324</v>
      </c>
      <c r="D51" s="955" t="s">
        <v>2316</v>
      </c>
      <c r="F51" s="857"/>
      <c r="G51" s="875"/>
      <c r="H51" s="875"/>
      <c r="I51" s="1289">
        <f>IF(B51="N/A",0,INDEX(colMOD4HT,MATCH(B51,colMOD4,0)))</f>
        <v>0</v>
      </c>
      <c r="J51" s="1289">
        <f t="shared" si="0"/>
        <v>0</v>
      </c>
      <c r="K51" s="1290">
        <v>0</v>
      </c>
      <c r="L51" s="1291">
        <f t="shared" si="1"/>
        <v>0</v>
      </c>
      <c r="M51" s="1292">
        <f t="shared" si="2"/>
        <v>0</v>
      </c>
      <c r="N51" s="1292">
        <f>(M51*TAXE)+(L51)</f>
        <v>0</v>
      </c>
    </row>
    <row r="52" spans="1:23" s="939" customFormat="1" ht="27.95" customHeight="1">
      <c r="A52" s="55"/>
      <c r="B52" s="55"/>
      <c r="C52" s="956" t="s">
        <v>2522</v>
      </c>
      <c r="D52" s="1149">
        <v>0</v>
      </c>
      <c r="F52" s="940"/>
      <c r="G52" s="875"/>
      <c r="H52" s="973" t="s">
        <v>59</v>
      </c>
      <c r="I52" s="876">
        <f>SUM(I48:I51)</f>
        <v>1355.7692307692307</v>
      </c>
      <c r="J52" s="876">
        <f t="shared" ref="J52:N52" si="3">SUM(J48:J51)</f>
        <v>1355.7692307692307</v>
      </c>
      <c r="K52" s="876">
        <f t="shared" si="3"/>
        <v>32</v>
      </c>
      <c r="L52" s="876">
        <f t="shared" si="3"/>
        <v>320</v>
      </c>
      <c r="M52" s="887">
        <f t="shared" si="3"/>
        <v>13557.692307692307</v>
      </c>
      <c r="N52" s="887">
        <f t="shared" si="3"/>
        <v>14419.999999999998</v>
      </c>
    </row>
    <row r="53" spans="1:23" s="831" customFormat="1" ht="27.95" customHeight="1">
      <c r="A53" s="974"/>
      <c r="B53" s="974"/>
      <c r="F53" s="865"/>
      <c r="G53" s="878"/>
      <c r="H53" s="878"/>
      <c r="I53" s="878"/>
      <c r="J53" s="878"/>
      <c r="K53" s="878"/>
      <c r="L53" s="878"/>
      <c r="M53" s="877"/>
      <c r="N53" s="877"/>
    </row>
    <row r="54" spans="1:23" s="831" customFormat="1" ht="27.95" customHeight="1">
      <c r="A54" s="892" t="s">
        <v>2649</v>
      </c>
      <c r="B54" s="968" t="s">
        <v>2710</v>
      </c>
      <c r="C54" s="1464" t="s">
        <v>2656</v>
      </c>
      <c r="D54" s="1465"/>
      <c r="E54" s="972" t="s">
        <v>2669</v>
      </c>
      <c r="F54" s="972" t="s">
        <v>2668</v>
      </c>
      <c r="G54" s="972" t="s">
        <v>2655</v>
      </c>
      <c r="H54" s="979" t="s">
        <v>2235</v>
      </c>
      <c r="I54" s="972" t="s">
        <v>2651</v>
      </c>
      <c r="J54" s="942" t="s">
        <v>2259</v>
      </c>
      <c r="K54" s="942" t="s">
        <v>2650</v>
      </c>
      <c r="L54" s="942" t="s">
        <v>2665</v>
      </c>
      <c r="M54" s="942" t="s">
        <v>27</v>
      </c>
      <c r="N54" s="942" t="s">
        <v>2136</v>
      </c>
      <c r="O54" s="939"/>
      <c r="P54" s="939"/>
      <c r="Q54" s="939"/>
      <c r="S54" s="877"/>
      <c r="T54" s="877"/>
      <c r="U54" s="877"/>
      <c r="V54" s="877"/>
      <c r="W54" s="877"/>
    </row>
    <row r="55" spans="1:23" ht="27.95" customHeight="1">
      <c r="A55" s="1461">
        <v>240450</v>
      </c>
      <c r="B55" s="924" t="s">
        <v>2862</v>
      </c>
      <c r="C55" s="863" t="s">
        <v>33</v>
      </c>
      <c r="D55" s="896" t="str">
        <f>INDEX(colCurrency,MATCH(B55,colMOD1,0))</f>
        <v>EUR</v>
      </c>
      <c r="E55" s="893">
        <v>100000</v>
      </c>
      <c r="F55" s="895">
        <v>3</v>
      </c>
      <c r="G55" s="893">
        <v>1000000</v>
      </c>
      <c r="H55" s="898">
        <f>IF(B55="N/A",0,IF(G55=0,IF($D$58="FIXE",E55,IF(G55&gt;F55*$J$30,G55,F55*$J$30)),G55))</f>
        <v>1000000</v>
      </c>
      <c r="I55" s="1294">
        <f>IF(B55="N/A",0,INDEX(colMOD1HT,MATCH(B55,colMOD1,0)))</f>
        <v>6.9103448275862072E-4</v>
      </c>
      <c r="J55" s="1295">
        <f>H55*I55</f>
        <v>691.0344827586207</v>
      </c>
      <c r="K55" s="1290">
        <v>0</v>
      </c>
      <c r="L55" s="1291">
        <f>IF($D$56="monthly",K55/12*$D$43,K55/365*$D$42)</f>
        <v>0</v>
      </c>
      <c r="M55" s="1290">
        <f>IF($D$56="monthly",J55/12*$D$43,J55/365*$D$42)</f>
        <v>3426.7737364194618</v>
      </c>
      <c r="N55" s="1290">
        <f>(M55*TAXE)+(L55)</f>
        <v>3563.8446858762404</v>
      </c>
      <c r="O55" s="939"/>
      <c r="P55" s="939"/>
      <c r="Q55" s="939"/>
      <c r="S55" s="877"/>
      <c r="T55" s="877"/>
      <c r="U55" s="877"/>
      <c r="V55" s="877"/>
      <c r="W55" s="877"/>
    </row>
    <row r="56" spans="1:23" s="877" customFormat="1" ht="27.95" customHeight="1">
      <c r="A56" s="1462"/>
      <c r="B56" s="924" t="s">
        <v>2873</v>
      </c>
      <c r="C56" s="863" t="s">
        <v>2230</v>
      </c>
      <c r="D56" s="947" t="s">
        <v>2255</v>
      </c>
      <c r="E56" s="893">
        <v>100000</v>
      </c>
      <c r="F56" s="895">
        <v>3</v>
      </c>
      <c r="G56" s="893">
        <v>1000000</v>
      </c>
      <c r="H56" s="898">
        <f>IF(B56="N/A",0,IF(G56=0,IF($D$58="FIXE",E56,IF(G56&gt;F56*$J$30,G56,F56*$J$30)),G56))</f>
        <v>1000000</v>
      </c>
      <c r="I56" s="1294">
        <f>IF(B56="N/A",0,INDEX(colMOD2HT,MATCH(B56,colMOD2,0)))</f>
        <v>1.7282758620689655E-3</v>
      </c>
      <c r="J56" s="1295">
        <f>H56*I56</f>
        <v>1728.2758620689656</v>
      </c>
      <c r="K56" s="1290">
        <v>0</v>
      </c>
      <c r="L56" s="1291">
        <f t="shared" ref="L56:L58" si="4">IF($D$56="monthly",K56/12*$D$43,K56/365*$D$42)</f>
        <v>0</v>
      </c>
      <c r="M56" s="1290">
        <f t="shared" ref="M56:M58" si="5">IF($D$56="monthly",J56/12*$D$43,J56/365*$D$42)</f>
        <v>8570.3542749173357</v>
      </c>
      <c r="N56" s="1290">
        <f>(M56*TAXE)+(L56)</f>
        <v>8913.1684459140288</v>
      </c>
      <c r="O56" s="939"/>
      <c r="P56" s="939"/>
      <c r="Q56" s="939"/>
    </row>
    <row r="57" spans="1:23" s="831" customFormat="1" ht="27.95" customHeight="1">
      <c r="A57" s="1462"/>
      <c r="B57" s="924" t="s">
        <v>2874</v>
      </c>
      <c r="C57" s="952" t="s">
        <v>2324</v>
      </c>
      <c r="D57" s="866" t="s">
        <v>2224</v>
      </c>
      <c r="E57" s="893">
        <v>100000</v>
      </c>
      <c r="F57" s="895">
        <v>3</v>
      </c>
      <c r="G57" s="893">
        <v>1000000</v>
      </c>
      <c r="H57" s="898">
        <f>IF(B57="N/A",0,IF(G57=0,IF($D$58="FIXE",E57,IF(G57&gt;F57*$J$30,G57,F57*$J$30)),G57))</f>
        <v>1000000</v>
      </c>
      <c r="I57" s="1294">
        <f>IF(B57="N/A",0,INDEX(colMOD3HT,MATCH(B57,colMOD3,0)))</f>
        <v>8.5379310344827581E-4</v>
      </c>
      <c r="J57" s="1295">
        <f>H57*I57</f>
        <v>853.79310344827582</v>
      </c>
      <c r="K57" s="1290">
        <v>0</v>
      </c>
      <c r="L57" s="1291">
        <f t="shared" si="4"/>
        <v>0</v>
      </c>
      <c r="M57" s="1290">
        <f t="shared" si="5"/>
        <v>4233.8781294284363</v>
      </c>
      <c r="N57" s="1290">
        <f>(M57*TAXE)+(L57)</f>
        <v>4403.2332546055741</v>
      </c>
      <c r="O57" s="939"/>
      <c r="P57" s="939"/>
      <c r="Q57" s="939"/>
      <c r="S57" s="877"/>
      <c r="T57" s="877"/>
      <c r="U57" s="877"/>
      <c r="V57" s="877"/>
      <c r="W57" s="877"/>
    </row>
    <row r="58" spans="1:23" s="831" customFormat="1" ht="27.95" customHeight="1">
      <c r="A58" s="1463"/>
      <c r="B58" s="924" t="s">
        <v>2875</v>
      </c>
      <c r="C58" s="953" t="s">
        <v>2667</v>
      </c>
      <c r="D58" s="958" t="s">
        <v>2140</v>
      </c>
      <c r="E58" s="893">
        <v>100000</v>
      </c>
      <c r="F58" s="895">
        <v>3</v>
      </c>
      <c r="G58" s="893">
        <v>1000000</v>
      </c>
      <c r="H58" s="898">
        <f>IF(B58="N/A",0,IF(G58=0,IF($D$58="FIXE",E58,IF(G58&gt;F58*$J$30,G58,F58*$J$30)),G58))</f>
        <v>1000000</v>
      </c>
      <c r="I58" s="1294">
        <f>IF(B58="N/A",0,INDEX(colMOD4HT,MATCH(B58,colMOD4,0)))</f>
        <v>2.0537931034482759E-3</v>
      </c>
      <c r="J58" s="1295">
        <f>H58*I58</f>
        <v>2053.7931034482758</v>
      </c>
      <c r="K58" s="1290">
        <v>0</v>
      </c>
      <c r="L58" s="1291">
        <f t="shared" si="4"/>
        <v>0</v>
      </c>
      <c r="M58" s="1290">
        <f t="shared" si="5"/>
        <v>10184.563060935285</v>
      </c>
      <c r="N58" s="1290">
        <f>(M58*TAXE)+(L58)</f>
        <v>10591.945583372697</v>
      </c>
      <c r="O58" s="939"/>
      <c r="P58" s="939"/>
      <c r="Q58" s="939"/>
      <c r="S58" s="877"/>
      <c r="T58" s="877"/>
      <c r="U58" s="877"/>
      <c r="V58" s="877"/>
      <c r="W58" s="877"/>
    </row>
    <row r="59" spans="1:23" s="831" customFormat="1" ht="27.95" customHeight="1">
      <c r="A59" s="55"/>
      <c r="B59" s="908" t="e">
        <f>IF(INDEX(colAssureur,MATCH(B55,colchoice,0))=INDEX(colAssureur,MATCH(B56,colchoice,0)),INDEX(colAssureur,MATCH(B56,colchoice,0)), "FAUX PARAMETRAGE")</f>
        <v>#N/A</v>
      </c>
      <c r="F59" s="857"/>
      <c r="G59" s="877"/>
      <c r="I59" s="1293">
        <f>SUM(I55:I58)</f>
        <v>5.326896551724138E-3</v>
      </c>
      <c r="J59" s="877"/>
      <c r="K59" s="877"/>
      <c r="L59" s="877"/>
      <c r="M59" s="959">
        <f>SUM(M55:M58)</f>
        <v>26415.56920170052</v>
      </c>
      <c r="N59" s="959">
        <f>SUM(N55:N58)</f>
        <v>27472.191969768541</v>
      </c>
      <c r="R59" s="877"/>
      <c r="S59" s="877"/>
      <c r="T59" s="877"/>
      <c r="U59" s="877"/>
      <c r="V59" s="877"/>
      <c r="W59" s="877"/>
    </row>
    <row r="60" spans="1:23" s="939" customFormat="1" ht="27.95" customHeight="1">
      <c r="A60" s="55"/>
      <c r="B60" s="968" t="s">
        <v>194</v>
      </c>
      <c r="C60" s="1459" t="s">
        <v>2656</v>
      </c>
      <c r="D60" s="1460"/>
      <c r="E60" s="894" t="s">
        <v>2669</v>
      </c>
      <c r="F60" s="894" t="s">
        <v>2668</v>
      </c>
      <c r="G60" s="894" t="s">
        <v>2655</v>
      </c>
      <c r="H60" s="897" t="s">
        <v>2235</v>
      </c>
      <c r="I60" s="894" t="s">
        <v>2651</v>
      </c>
      <c r="J60" s="942" t="s">
        <v>2259</v>
      </c>
      <c r="K60" s="942" t="s">
        <v>2650</v>
      </c>
      <c r="L60" s="942" t="s">
        <v>2665</v>
      </c>
      <c r="M60" s="942" t="s">
        <v>27</v>
      </c>
      <c r="N60" s="942" t="s">
        <v>2136</v>
      </c>
    </row>
    <row r="61" spans="1:23" ht="27.95" customHeight="1">
      <c r="A61" s="55"/>
      <c r="B61" s="960" t="s">
        <v>2876</v>
      </c>
      <c r="C61" s="953" t="s">
        <v>2324</v>
      </c>
      <c r="D61" s="955" t="s">
        <v>2224</v>
      </c>
      <c r="E61" s="976">
        <f>$K$30</f>
        <v>315386.30136986304</v>
      </c>
      <c r="F61" s="963">
        <v>1</v>
      </c>
      <c r="G61" s="893">
        <v>125000</v>
      </c>
      <c r="H61" s="898">
        <f>IF(G61=0,IF($D$58="FIXE",E61,IF(G61&gt;F61*$J$30,G61,F61*$J$30)),G61)</f>
        <v>125000</v>
      </c>
      <c r="I61" s="962">
        <f>IF(B61="N/A",0,INDEX(colMOD5HT,MATCH(B61,colMOD5,0)))</f>
        <v>8.1144827586206898E-3</v>
      </c>
      <c r="J61" s="964">
        <f>H61*I61</f>
        <v>1014.3103448275863</v>
      </c>
      <c r="K61" s="965">
        <v>0</v>
      </c>
      <c r="L61" s="966">
        <f>IF($D$56="monthly",K61/12*MAXMONTHS,K61/365*MAXDAYS)</f>
        <v>0</v>
      </c>
      <c r="M61" s="967">
        <f>IF($D$56="monthly",J61/12*MAXMONTHS,J61/365*MAXDAYS)</f>
        <v>511.32357109116674</v>
      </c>
      <c r="N61" s="967">
        <f>(M61*TAXE)+(L61)</f>
        <v>531.77651393481347</v>
      </c>
      <c r="O61" s="939"/>
      <c r="P61" s="939"/>
      <c r="S61">
        <f>E61*I61</f>
        <v>2559.1967047709027</v>
      </c>
    </row>
    <row r="62" spans="1:23" s="831" customFormat="1" ht="27.95" customHeight="1">
      <c r="A62" s="55"/>
      <c r="B62" s="960" t="s">
        <v>2877</v>
      </c>
      <c r="C62" s="957" t="s">
        <v>2667</v>
      </c>
      <c r="D62" s="958" t="s">
        <v>2140</v>
      </c>
      <c r="E62" s="976">
        <f>$K$30</f>
        <v>315386.30136986304</v>
      </c>
      <c r="F62" s="963">
        <v>1</v>
      </c>
      <c r="G62" s="893">
        <v>125000</v>
      </c>
      <c r="H62" s="898">
        <f>IF(G62=0,IF($D$58="FIXE",E62,IF(G62&gt;F62*$J$30,G62,F62*$J$30)),G62)</f>
        <v>125000</v>
      </c>
      <c r="I62" s="962">
        <f>IF(B62="N/A",0,INDEX(colMOD6HT,MATCH(B62,colMOD6,0)))</f>
        <v>1.6216551724137933E-2</v>
      </c>
      <c r="J62" s="964">
        <f>H62*I62</f>
        <v>2027.0689655172416</v>
      </c>
      <c r="K62" s="965">
        <v>0</v>
      </c>
      <c r="L62" s="966">
        <f>IF($D$56="monthly",K62/12*MAXMONTHS,K62/365*MAXDAYS)</f>
        <v>0</v>
      </c>
      <c r="M62" s="965">
        <f>IF($D$56="monthly",J62/12*MAXMONTHS,J62/365*MAXDAYS)</f>
        <v>1021.8649031648561</v>
      </c>
      <c r="N62" s="965">
        <f>(M62*TAXE)+(L62)</f>
        <v>1062.7394992914503</v>
      </c>
      <c r="O62" s="939"/>
      <c r="P62" s="939" t="s">
        <v>2872</v>
      </c>
      <c r="S62" s="939">
        <f>E62*I62</f>
        <v>5114.478269248938</v>
      </c>
    </row>
    <row r="63" spans="1:23" s="831" customFormat="1" ht="27.95" customHeight="1">
      <c r="A63" s="55"/>
      <c r="B63" s="908" t="e">
        <f>IF(INDEX(colAssureur,MATCH(B61,colchoice,0))=INDEX(colAssureur,MATCH(B62,colchoice,0)),INDEX(colAssureur,MATCH(B62,colchoice,0)), "FAUX PARAMETRAGE")</f>
        <v>#N/A</v>
      </c>
      <c r="C63" s="940"/>
      <c r="D63" s="941"/>
      <c r="E63" s="879"/>
      <c r="F63" s="899"/>
      <c r="G63" s="900"/>
      <c r="H63" s="899"/>
      <c r="I63" s="1060">
        <f>SUM(I61:I62)</f>
        <v>2.4331034482758623E-2</v>
      </c>
      <c r="J63" s="901"/>
      <c r="K63" s="255"/>
      <c r="L63" s="255"/>
      <c r="M63" s="959">
        <f>SUM(M61:M62)</f>
        <v>1533.1884742560228</v>
      </c>
      <c r="N63" s="959">
        <f>SUM(N61:N62)</f>
        <v>1594.5160132262638</v>
      </c>
      <c r="O63" s="939"/>
      <c r="P63" s="772">
        <f>Calcul!BW9</f>
        <v>8344.3449409541809</v>
      </c>
      <c r="Q63" s="902"/>
    </row>
    <row r="64" spans="1:23" s="831" customFormat="1" ht="27.95" customHeight="1">
      <c r="A64" s="55"/>
      <c r="B64" s="908"/>
      <c r="C64" s="940"/>
      <c r="D64" s="970"/>
      <c r="E64" s="971"/>
      <c r="F64" s="857"/>
      <c r="G64" s="925"/>
      <c r="H64" s="925"/>
      <c r="I64" s="925"/>
      <c r="J64" s="925"/>
      <c r="K64" s="925"/>
      <c r="L64" s="879"/>
      <c r="O64" s="878"/>
      <c r="P64" s="878"/>
      <c r="Q64" s="878"/>
    </row>
    <row r="65" spans="1:17" s="939" customFormat="1" ht="27.95" customHeight="1">
      <c r="A65" s="1010"/>
      <c r="B65" s="1011"/>
      <c r="C65" s="1012"/>
      <c r="D65" s="1013"/>
      <c r="E65" s="1014"/>
      <c r="F65" s="1012"/>
      <c r="G65" s="1015"/>
      <c r="H65" s="1015"/>
      <c r="I65" s="1015"/>
      <c r="J65" s="1015"/>
      <c r="K65" s="1015"/>
      <c r="L65" s="480"/>
      <c r="M65" s="486"/>
      <c r="N65" s="486"/>
      <c r="O65" s="878"/>
      <c r="P65" s="878"/>
      <c r="Q65" s="878"/>
    </row>
    <row r="66" spans="1:17" s="831" customFormat="1" ht="27.95" customHeight="1">
      <c r="A66" s="1466" t="s">
        <v>2708</v>
      </c>
      <c r="C66" s="1467" t="s">
        <v>2666</v>
      </c>
      <c r="D66" s="1468"/>
      <c r="E66" s="879"/>
      <c r="F66" s="857"/>
      <c r="H66" s="877"/>
      <c r="L66" s="877"/>
    </row>
    <row r="67" spans="1:17" ht="27.95" customHeight="1">
      <c r="A67" s="1466"/>
      <c r="C67" s="863" t="s">
        <v>2652</v>
      </c>
      <c r="D67" s="871">
        <f>G31</f>
        <v>450</v>
      </c>
    </row>
    <row r="68" spans="1:17" s="939" customFormat="1" ht="27.95" customHeight="1">
      <c r="A68" s="1466"/>
      <c r="C68" s="863" t="s">
        <v>2653</v>
      </c>
      <c r="D68" s="871">
        <f>F31</f>
        <v>15</v>
      </c>
    </row>
    <row r="69" spans="1:17" s="880" customFormat="1" ht="18" customHeight="1">
      <c r="A69" s="1016"/>
      <c r="B69" s="879"/>
      <c r="C69" s="944"/>
      <c r="D69" s="1018"/>
      <c r="E69" s="229"/>
      <c r="F69" s="948"/>
      <c r="G69" s="948"/>
      <c r="H69" s="879"/>
      <c r="I69" s="879"/>
      <c r="J69" s="949"/>
      <c r="K69" s="950"/>
      <c r="L69" s="853"/>
      <c r="M69" s="853"/>
      <c r="N69" s="879"/>
    </row>
    <row r="70" spans="1:17" s="880" customFormat="1" ht="18.75" customHeight="1">
      <c r="A70" s="1016"/>
      <c r="B70" s="879"/>
      <c r="C70" s="944"/>
      <c r="D70" s="1018"/>
      <c r="E70" s="229"/>
      <c r="F70" s="948"/>
      <c r="G70" s="948"/>
      <c r="H70" s="879"/>
      <c r="I70" s="879"/>
      <c r="J70" s="949"/>
      <c r="K70" s="950"/>
      <c r="L70" s="853"/>
      <c r="M70" s="853"/>
      <c r="N70" s="879"/>
    </row>
    <row r="71" spans="1:17" s="880" customFormat="1" ht="15.75" customHeight="1">
      <c r="A71" s="1016"/>
      <c r="B71" s="879"/>
      <c r="C71" s="944"/>
      <c r="D71" s="1018"/>
      <c r="E71" s="229"/>
      <c r="F71" s="948"/>
      <c r="G71" s="948"/>
      <c r="H71" s="879"/>
      <c r="I71" s="879"/>
      <c r="J71" s="949"/>
      <c r="K71" s="950"/>
      <c r="L71" s="853"/>
      <c r="M71" s="853"/>
      <c r="N71" s="879"/>
    </row>
    <row r="72" spans="1:17" s="891" customFormat="1" ht="27.95" customHeight="1">
      <c r="A72" s="889" t="s">
        <v>2649</v>
      </c>
      <c r="B72" s="969" t="s">
        <v>2711</v>
      </c>
      <c r="C72" s="1464" t="s">
        <v>2656</v>
      </c>
      <c r="D72" s="1465"/>
      <c r="E72" s="894" t="s">
        <v>2669</v>
      </c>
      <c r="F72" s="894" t="s">
        <v>2668</v>
      </c>
      <c r="G72" s="894" t="s">
        <v>2655</v>
      </c>
      <c r="H72" s="978" t="s">
        <v>2235</v>
      </c>
      <c r="I72" s="973" t="s">
        <v>2651</v>
      </c>
      <c r="J72" s="942" t="s">
        <v>2657</v>
      </c>
      <c r="K72" s="942" t="s">
        <v>2650</v>
      </c>
      <c r="L72" s="942" t="s">
        <v>2665</v>
      </c>
      <c r="M72" s="942" t="s">
        <v>27</v>
      </c>
      <c r="N72" s="942" t="s">
        <v>2136</v>
      </c>
    </row>
    <row r="73" spans="1:17" ht="27.95" customHeight="1">
      <c r="A73" s="1508" t="s">
        <v>2906</v>
      </c>
      <c r="B73" s="1332" t="s">
        <v>3087</v>
      </c>
      <c r="C73" s="863" t="s">
        <v>20</v>
      </c>
      <c r="D73" s="896" t="str">
        <f>IF(B73="N/A","",INDEX(colProduct,MATCH(B73,colMOD1,0)))</f>
        <v>StandardMLC S</v>
      </c>
      <c r="E73" s="886"/>
      <c r="F73" s="948"/>
      <c r="G73" s="948"/>
      <c r="H73" s="1109"/>
      <c r="I73" s="1289">
        <f>IF(B73="N/A",0,INDEX(colMOD1HT,MATCH(B73,colMOD1,0)))</f>
        <v>569.03846153846143</v>
      </c>
      <c r="J73" s="1289">
        <f>(I73*(1-$D$52))</f>
        <v>569.03846153846143</v>
      </c>
      <c r="K73" s="1290">
        <v>0</v>
      </c>
      <c r="L73" s="1291">
        <f>IF($D$50="monthly",K73/12*$D$43,K73/365*$D$42)</f>
        <v>0</v>
      </c>
      <c r="M73" s="1292">
        <f>IF($D$50="monthly",J73/12*$D$43,J73/365*$D$42)</f>
        <v>5690.3846153846143</v>
      </c>
      <c r="N73" s="1292">
        <f>(M73*TAXE)+(L73)</f>
        <v>5917.9999999999991</v>
      </c>
    </row>
    <row r="74" spans="1:17" s="831" customFormat="1" ht="27.95" customHeight="1">
      <c r="A74" s="1508"/>
      <c r="B74" s="1332" t="s">
        <v>3088</v>
      </c>
      <c r="C74" s="863" t="s">
        <v>33</v>
      </c>
      <c r="D74" s="896" t="str">
        <f>IF(B73="N/A","",INDEX(colCurrency,MATCH(B73,colMOD1,0)))</f>
        <v>EUR</v>
      </c>
      <c r="E74" s="886"/>
      <c r="F74" s="948"/>
      <c r="G74" s="948"/>
      <c r="H74" s="1109"/>
      <c r="I74" s="1289">
        <f>IF(B74="N/A",0,INDEX(colMOD2HT,MATCH(B74,colMOD2,0)))</f>
        <v>126.92307692307692</v>
      </c>
      <c r="J74" s="1289">
        <f t="shared" ref="J74:J76" si="6">(I74*(1-$D$52))</f>
        <v>126.92307692307692</v>
      </c>
      <c r="K74" s="1290">
        <v>0</v>
      </c>
      <c r="L74" s="1291">
        <f t="shared" ref="L74:L76" si="7">IF($D$50="monthly",K74/12*$D$43,K74/365*$D$42)</f>
        <v>0</v>
      </c>
      <c r="M74" s="1292">
        <f t="shared" ref="M74:M76" si="8">IF($D$50="monthly",J74/12*$D$43,J74/365*$D$42)</f>
        <v>1269.2307692307693</v>
      </c>
      <c r="N74" s="1292">
        <f>(M74*TAXE)+(L74)</f>
        <v>1320</v>
      </c>
    </row>
    <row r="75" spans="1:17" s="831" customFormat="1" ht="27.95" customHeight="1">
      <c r="A75" s="1508"/>
      <c r="B75" s="1332" t="s">
        <v>2224</v>
      </c>
      <c r="C75" s="953" t="s">
        <v>2230</v>
      </c>
      <c r="D75" s="954" t="s">
        <v>2254</v>
      </c>
      <c r="E75" s="886"/>
      <c r="F75" s="948"/>
      <c r="G75" s="948"/>
      <c r="H75" s="1150"/>
      <c r="I75" s="1289">
        <f>IF(B75="N/A",0,INDEX(colMOD3HT,MATCH(B75,colMOD3,0)))</f>
        <v>0</v>
      </c>
      <c r="J75" s="1289">
        <f t="shared" si="6"/>
        <v>0</v>
      </c>
      <c r="K75" s="1290">
        <v>0</v>
      </c>
      <c r="L75" s="1291">
        <f t="shared" si="7"/>
        <v>0</v>
      </c>
      <c r="M75" s="1292">
        <f t="shared" si="8"/>
        <v>0</v>
      </c>
      <c r="N75" s="1292">
        <f>(M75*TAXE)+(L75)</f>
        <v>0</v>
      </c>
    </row>
    <row r="76" spans="1:17" s="582" customFormat="1" ht="27.95" customHeight="1">
      <c r="A76" s="1508"/>
      <c r="B76" s="1332" t="s">
        <v>2224</v>
      </c>
      <c r="C76" s="953" t="s">
        <v>2324</v>
      </c>
      <c r="D76" s="955" t="s">
        <v>2316</v>
      </c>
      <c r="E76" s="939"/>
      <c r="F76" s="944"/>
      <c r="G76" s="875"/>
      <c r="H76" s="875"/>
      <c r="I76" s="1289">
        <f>IF(B76="N/A",0,INDEX(colMOD4HT,MATCH(B76,colMOD4,0)))</f>
        <v>0</v>
      </c>
      <c r="J76" s="1289">
        <f t="shared" si="6"/>
        <v>0</v>
      </c>
      <c r="K76" s="1290">
        <v>0</v>
      </c>
      <c r="L76" s="1291">
        <f t="shared" si="7"/>
        <v>0</v>
      </c>
      <c r="M76" s="1292">
        <f t="shared" si="8"/>
        <v>0</v>
      </c>
      <c r="N76" s="1292">
        <f>(M76*TAXE)+(L76)</f>
        <v>0</v>
      </c>
    </row>
    <row r="77" spans="1:17" s="880" customFormat="1" ht="27.95" customHeight="1">
      <c r="A77" s="1288"/>
      <c r="B77" s="974"/>
      <c r="C77" s="956" t="s">
        <v>2522</v>
      </c>
      <c r="D77" s="1149">
        <v>0</v>
      </c>
      <c r="E77" s="939"/>
      <c r="F77" s="944"/>
      <c r="G77" s="875"/>
      <c r="H77" s="973" t="s">
        <v>59</v>
      </c>
      <c r="I77" s="876">
        <f>SUM(I73:I76)</f>
        <v>695.96153846153834</v>
      </c>
      <c r="J77" s="876">
        <f t="shared" ref="J77" si="9">SUM(J73:J76)</f>
        <v>695.96153846153834</v>
      </c>
      <c r="K77" s="876">
        <f t="shared" ref="K77" si="10">SUM(K73:K76)</f>
        <v>0</v>
      </c>
      <c r="L77" s="876">
        <f t="shared" ref="L77" si="11">SUM(L73:L76)</f>
        <v>0</v>
      </c>
      <c r="M77" s="887">
        <f t="shared" ref="M77" si="12">SUM(M73:M76)</f>
        <v>6959.6153846153838</v>
      </c>
      <c r="N77" s="887">
        <f t="shared" ref="N77" si="13">SUM(N73:N76)</f>
        <v>7237.9999999999991</v>
      </c>
    </row>
    <row r="78" spans="1:17" ht="19.5" customHeight="1"/>
    <row r="79" spans="1:17" ht="18" customHeight="1">
      <c r="O79" s="939"/>
      <c r="P79" s="939"/>
      <c r="Q79" s="939"/>
    </row>
    <row r="80" spans="1:17" s="890" customFormat="1" ht="27.95" customHeight="1">
      <c r="A80" s="956" t="s">
        <v>2649</v>
      </c>
      <c r="B80" s="968" t="s">
        <v>2710</v>
      </c>
      <c r="C80" s="1459" t="s">
        <v>2656</v>
      </c>
      <c r="D80" s="1460"/>
      <c r="E80" s="894" t="s">
        <v>2669</v>
      </c>
      <c r="F80" s="894" t="s">
        <v>2668</v>
      </c>
      <c r="G80" s="894" t="s">
        <v>2655</v>
      </c>
      <c r="H80" s="897" t="s">
        <v>2235</v>
      </c>
      <c r="I80" s="894" t="s">
        <v>2651</v>
      </c>
      <c r="J80" s="942" t="s">
        <v>2259</v>
      </c>
      <c r="K80" s="942" t="s">
        <v>2650</v>
      </c>
      <c r="L80" s="942" t="s">
        <v>2665</v>
      </c>
      <c r="M80" s="942" t="s">
        <v>27</v>
      </c>
      <c r="N80" s="942" t="s">
        <v>2136</v>
      </c>
      <c r="O80" s="939"/>
      <c r="P80" s="939"/>
      <c r="Q80" s="939"/>
    </row>
    <row r="81" spans="1:17" ht="27.95" customHeight="1">
      <c r="A81" s="1461">
        <v>240303</v>
      </c>
      <c r="B81" s="924" t="s">
        <v>2862</v>
      </c>
      <c r="C81" s="863" t="s">
        <v>33</v>
      </c>
      <c r="D81" s="896" t="str">
        <f>IF(B81="N/A","",INDEX(colCurrency,MATCH(B81,colMOD1,0)))</f>
        <v>EUR</v>
      </c>
      <c r="E81" s="893">
        <v>100000</v>
      </c>
      <c r="F81" s="895">
        <v>3</v>
      </c>
      <c r="G81" s="893">
        <v>1000000</v>
      </c>
      <c r="H81" s="898">
        <f>IF(G81=0,IF($D$84="FIXE",E81,IF(G81&gt;F81*$J$31,G81,F81*$J$31)),G81)</f>
        <v>1000000</v>
      </c>
      <c r="I81" s="1294">
        <f>IF(B81="N/A",0,INDEX(colMOD1HT,MATCH(B81,colMOD1,0)))</f>
        <v>6.9103448275862072E-4</v>
      </c>
      <c r="J81" s="1295">
        <f>H81*I81</f>
        <v>691.0344827586207</v>
      </c>
      <c r="K81" s="1290">
        <v>0</v>
      </c>
      <c r="L81" s="1291">
        <f>IF($D$56="monthly",K81/12*$D$43,K81/365*$D$42)</f>
        <v>0</v>
      </c>
      <c r="M81" s="1290">
        <f>IF($D$56="monthly",J81/12*$D$43,J81/365*$D$42)</f>
        <v>3426.7737364194618</v>
      </c>
      <c r="N81" s="1290">
        <f>(M81*TAXE)+(L81)</f>
        <v>3563.8446858762404</v>
      </c>
      <c r="O81" s="939"/>
      <c r="P81" s="939"/>
      <c r="Q81" s="939"/>
    </row>
    <row r="82" spans="1:17" s="831" customFormat="1" ht="27.95" customHeight="1">
      <c r="A82" s="1462"/>
      <c r="B82" s="924" t="s">
        <v>2873</v>
      </c>
      <c r="C82" s="863" t="s">
        <v>2230</v>
      </c>
      <c r="D82" s="947" t="s">
        <v>2255</v>
      </c>
      <c r="E82" s="893">
        <v>100000</v>
      </c>
      <c r="F82" s="895">
        <v>3</v>
      </c>
      <c r="G82" s="893">
        <v>1000000</v>
      </c>
      <c r="H82" s="898">
        <f>IF(G82=0,IF($D$84="FIXE",E82,IF(G82&gt;F82*$J$31,G82,F82*$J$31)),G82)</f>
        <v>1000000</v>
      </c>
      <c r="I82" s="1294">
        <f>IF(B82="N/A",0,INDEX(colMOD2HT,MATCH(B82,colMOD2,0)))</f>
        <v>1.7282758620689655E-3</v>
      </c>
      <c r="J82" s="1295">
        <f>H82*I82</f>
        <v>1728.2758620689656</v>
      </c>
      <c r="K82" s="1290">
        <v>0</v>
      </c>
      <c r="L82" s="1291">
        <f t="shared" ref="L82:L84" si="14">IF($D$56="monthly",K82/12*$D$43,K82/365*$D$42)</f>
        <v>0</v>
      </c>
      <c r="M82" s="1290">
        <f t="shared" ref="M82:M84" si="15">IF($D$56="monthly",J82/12*$D$43,J82/365*$D$42)</f>
        <v>8570.3542749173357</v>
      </c>
      <c r="N82" s="1290">
        <f>(M82*TAXE)+(L82)</f>
        <v>8913.1684459140288</v>
      </c>
      <c r="O82" s="939"/>
      <c r="P82" s="939"/>
      <c r="Q82" s="939"/>
    </row>
    <row r="83" spans="1:17" s="831" customFormat="1" ht="27.95" customHeight="1">
      <c r="A83" s="1462"/>
      <c r="B83" s="924" t="s">
        <v>2874</v>
      </c>
      <c r="C83" s="952" t="s">
        <v>2324</v>
      </c>
      <c r="D83" s="866" t="s">
        <v>2224</v>
      </c>
      <c r="E83" s="893">
        <v>100000</v>
      </c>
      <c r="F83" s="895">
        <v>3</v>
      </c>
      <c r="G83" s="893">
        <v>1000000</v>
      </c>
      <c r="H83" s="898">
        <f>IF(G83=0,IF($D$84="FIXE",E83,IF(G83&gt;F83*$J$31,G83,F83*$J$31)),G83)</f>
        <v>1000000</v>
      </c>
      <c r="I83" s="1294">
        <f>IF(B83="N/A",0,INDEX(colMOD3HT,MATCH(B83,colMOD3,0)))</f>
        <v>8.5379310344827581E-4</v>
      </c>
      <c r="J83" s="1295">
        <f>H83*I83</f>
        <v>853.79310344827582</v>
      </c>
      <c r="K83" s="1290">
        <v>0</v>
      </c>
      <c r="L83" s="1291">
        <f t="shared" si="14"/>
        <v>0</v>
      </c>
      <c r="M83" s="1290">
        <f t="shared" si="15"/>
        <v>4233.8781294284363</v>
      </c>
      <c r="N83" s="1290">
        <f>(M83*TAXE)+(L83)</f>
        <v>4403.2332546055741</v>
      </c>
      <c r="O83" s="939"/>
      <c r="P83" s="939"/>
      <c r="Q83" s="939"/>
    </row>
    <row r="84" spans="1:17" s="831" customFormat="1" ht="27.95" customHeight="1">
      <c r="A84" s="1463"/>
      <c r="B84" s="924" t="s">
        <v>2875</v>
      </c>
      <c r="C84" s="953" t="s">
        <v>2667</v>
      </c>
      <c r="D84" s="981" t="s">
        <v>2140</v>
      </c>
      <c r="E84" s="893">
        <v>100000</v>
      </c>
      <c r="F84" s="895">
        <v>3</v>
      </c>
      <c r="G84" s="893">
        <v>1000000</v>
      </c>
      <c r="H84" s="898">
        <f>IF(G84=0,IF($D$84="FIXE",E84,IF(G84&gt;F84*$J$31,G84,F84*$J$31)),G84)</f>
        <v>1000000</v>
      </c>
      <c r="I84" s="1294">
        <f>IF(B84="N/A",0,INDEX(colMOD4HT,MATCH(B84,colMOD4,0)))</f>
        <v>2.0537931034482759E-3</v>
      </c>
      <c r="J84" s="1295">
        <f>H84*I84</f>
        <v>2053.7931034482758</v>
      </c>
      <c r="K84" s="1290">
        <v>0</v>
      </c>
      <c r="L84" s="1291">
        <f t="shared" si="14"/>
        <v>0</v>
      </c>
      <c r="M84" s="1290">
        <f t="shared" si="15"/>
        <v>10184.563060935285</v>
      </c>
      <c r="N84" s="1290">
        <f>(M84*TAXE)+(L84)</f>
        <v>10591.945583372697</v>
      </c>
      <c r="O84" s="939"/>
      <c r="P84" s="939"/>
      <c r="Q84" s="939"/>
    </row>
    <row r="85" spans="1:17" s="831" customFormat="1" ht="27.95" customHeight="1">
      <c r="A85" s="55"/>
      <c r="B85" s="908" t="e">
        <f>IF(INDEX(colAssureur,MATCH(B81,colchoice,0))=INDEX(colAssureur,MATCH(B82,colchoice,0)),INDEX(colAssureur,MATCH(B82,colchoice,0)), "FAUX PARAMETRAGE")</f>
        <v>#N/A</v>
      </c>
      <c r="C85" s="939"/>
      <c r="D85" s="939"/>
      <c r="E85" s="939"/>
      <c r="F85" s="944"/>
      <c r="G85" s="939"/>
      <c r="H85" s="939"/>
      <c r="I85" s="1293">
        <f>SUM(I81:I84)</f>
        <v>5.326896551724138E-3</v>
      </c>
      <c r="J85" s="1150"/>
      <c r="K85" s="1150"/>
      <c r="L85" s="1150"/>
      <c r="M85" s="959">
        <f>SUM(M81:M84)</f>
        <v>26415.56920170052</v>
      </c>
      <c r="N85" s="959">
        <f>SUM(N81:N84)</f>
        <v>27472.191969768541</v>
      </c>
      <c r="O85" s="939"/>
      <c r="P85" s="939"/>
      <c r="Q85" s="939">
        <f>I85*100000/365*428</f>
        <v>624.63334907888532</v>
      </c>
    </row>
    <row r="86" spans="1:17" s="890" customFormat="1" ht="27.95" customHeight="1">
      <c r="A86" s="55"/>
      <c r="B86" s="968" t="s">
        <v>194</v>
      </c>
      <c r="C86" s="1459" t="s">
        <v>2656</v>
      </c>
      <c r="D86" s="1460"/>
      <c r="E86" s="894" t="s">
        <v>2542</v>
      </c>
      <c r="F86" s="894" t="s">
        <v>2668</v>
      </c>
      <c r="G86" s="894" t="s">
        <v>2655</v>
      </c>
      <c r="H86" s="897" t="s">
        <v>2235</v>
      </c>
      <c r="I86" s="894" t="s">
        <v>2651</v>
      </c>
      <c r="J86" s="942" t="s">
        <v>2259</v>
      </c>
      <c r="K86" s="942" t="s">
        <v>2650</v>
      </c>
      <c r="L86" s="942" t="s">
        <v>2665</v>
      </c>
      <c r="M86" s="942" t="s">
        <v>27</v>
      </c>
      <c r="N86" s="942" t="s">
        <v>2136</v>
      </c>
      <c r="O86" s="939"/>
      <c r="P86" s="939"/>
      <c r="Q86" s="939"/>
    </row>
    <row r="87" spans="1:17" ht="27.95" customHeight="1">
      <c r="A87" s="55"/>
      <c r="B87" s="960" t="s">
        <v>3091</v>
      </c>
      <c r="C87" s="953" t="s">
        <v>2324</v>
      </c>
      <c r="D87" s="955" t="s">
        <v>2224</v>
      </c>
      <c r="E87" s="976">
        <f>$K$31</f>
        <v>36986.301369863009</v>
      </c>
      <c r="F87" s="963">
        <v>1</v>
      </c>
      <c r="G87" s="893">
        <v>450000</v>
      </c>
      <c r="H87" s="898">
        <f>IF(G87=0,IF($D$88="FIXE",E87,IF(G87&gt;F87*E87,G87,F87*E87)),G87)</f>
        <v>450000</v>
      </c>
      <c r="I87" s="962">
        <f>IF(B87="N/A",0,INDEX(colMOD5HT,MATCH(B87,colMOD5,0)))</f>
        <v>8.100689655172414E-3</v>
      </c>
      <c r="J87" s="964">
        <f>H87*I87</f>
        <v>3645.3103448275865</v>
      </c>
      <c r="K87" s="965">
        <v>0</v>
      </c>
      <c r="L87" s="966">
        <f>IF($D$56="monthly",K87/12*MAXMONTHS,K87/365*MAXDAYS)</f>
        <v>0</v>
      </c>
      <c r="M87" s="967">
        <f>IF($D$56="monthly",J87/12*MAXMONTHS,J87/365*MAXDAYS)</f>
        <v>1837.63589985829</v>
      </c>
      <c r="N87" s="967">
        <f>(M87*TAXE)+(L87)</f>
        <v>1911.1413358526218</v>
      </c>
      <c r="O87" s="939"/>
      <c r="P87" s="939"/>
      <c r="Q87" s="939"/>
    </row>
    <row r="88" spans="1:17" ht="27.95" customHeight="1">
      <c r="A88" s="55"/>
      <c r="B88" s="960" t="s">
        <v>3092</v>
      </c>
      <c r="C88" s="957" t="s">
        <v>2667</v>
      </c>
      <c r="D88" s="981" t="s">
        <v>2140</v>
      </c>
      <c r="E88" s="976">
        <f>$K$31</f>
        <v>36986.301369863009</v>
      </c>
      <c r="F88" s="963">
        <v>1</v>
      </c>
      <c r="G88" s="893">
        <v>450000</v>
      </c>
      <c r="H88" s="898">
        <f>IF(G88=0,IF($D$88="FIXE",E88,IF(G88&gt;F88*E88,G88,F88*E88)),G88)</f>
        <v>450000</v>
      </c>
      <c r="I88" s="962">
        <f>IF(B88="N/A",0,INDEX(colMOD6HT,MATCH(B88,colMOD6,0)))</f>
        <v>1.0795862068965519E-2</v>
      </c>
      <c r="J88" s="964">
        <f>H88*I88</f>
        <v>4858.1379310344837</v>
      </c>
      <c r="K88" s="965">
        <v>0</v>
      </c>
      <c r="L88" s="966">
        <f>IF($D$56="monthly",K88/12*MAXMONTHS,K88/365*MAXDAYS)</f>
        <v>0</v>
      </c>
      <c r="M88" s="965">
        <f>IF($D$56="monthly",J88/12*MAXMONTHS,J88/365*MAXDAYS)</f>
        <v>2449.0339159187533</v>
      </c>
      <c r="N88" s="965">
        <f>(M88*TAXE)+(L88)</f>
        <v>2546.9952725555036</v>
      </c>
      <c r="O88" s="939"/>
      <c r="P88" s="939"/>
      <c r="Q88" s="939"/>
    </row>
    <row r="89" spans="1:17" ht="27.95" customHeight="1">
      <c r="A89" s="55"/>
      <c r="B89" s="908" t="e">
        <f>IF(INDEX(colAssureur,MATCH(B87,colchoice,0))=INDEX(colAssureur,MATCH(B88,colchoice,0)),INDEX(colAssureur,MATCH(B88,colchoice,0)), "FAUX PARAMETRAGE")</f>
        <v>#N/A</v>
      </c>
      <c r="C89" s="944"/>
      <c r="D89" s="943"/>
      <c r="E89" s="879"/>
      <c r="F89" s="899"/>
      <c r="G89" s="900"/>
      <c r="H89" s="899"/>
      <c r="I89" s="1060">
        <f>SUM(I87:I88)</f>
        <v>1.8896551724137935E-2</v>
      </c>
      <c r="J89" s="901"/>
      <c r="K89" s="255"/>
      <c r="L89" s="255"/>
      <c r="M89" s="959">
        <f>SUM(M87:M88)</f>
        <v>4286.6698157770434</v>
      </c>
      <c r="N89" s="959">
        <f>SUM(N87:N88)</f>
        <v>4458.1366084081255</v>
      </c>
      <c r="O89" s="939"/>
      <c r="P89" s="939"/>
      <c r="Q89" s="1068">
        <f>I89*39751</f>
        <v>751.15682758620699</v>
      </c>
    </row>
    <row r="90" spans="1:17" ht="27.95" customHeight="1">
      <c r="A90" s="977"/>
      <c r="B90" s="908"/>
      <c r="C90" s="944"/>
      <c r="D90" s="943"/>
      <c r="E90" s="879"/>
      <c r="F90" s="944"/>
      <c r="G90" s="925"/>
      <c r="H90" s="925"/>
      <c r="I90" s="925"/>
      <c r="J90" s="925"/>
      <c r="K90" s="925"/>
      <c r="L90" s="879"/>
      <c r="M90" s="939"/>
      <c r="N90" s="939"/>
      <c r="O90" s="939"/>
      <c r="P90" s="939"/>
      <c r="Q90" s="939"/>
    </row>
    <row r="91" spans="1:17" ht="27.95" customHeight="1">
      <c r="A91" s="1010"/>
      <c r="B91" s="1011"/>
      <c r="C91" s="1012"/>
      <c r="D91" s="1013"/>
      <c r="E91" s="1014"/>
      <c r="F91" s="1012"/>
      <c r="G91" s="1015"/>
      <c r="H91" s="1015"/>
      <c r="I91" s="1015"/>
      <c r="J91" s="1015"/>
      <c r="K91" s="1015"/>
      <c r="L91" s="480"/>
      <c r="M91" s="486"/>
      <c r="N91" s="486"/>
    </row>
    <row r="92" spans="1:17" ht="27.95" customHeight="1">
      <c r="A92" s="1466" t="s">
        <v>2712</v>
      </c>
      <c r="B92" s="939"/>
      <c r="C92" s="1467" t="s">
        <v>2666</v>
      </c>
      <c r="D92" s="1468"/>
      <c r="E92" s="879"/>
      <c r="F92" s="944"/>
      <c r="G92" s="939"/>
      <c r="H92" s="939"/>
      <c r="I92" s="939"/>
      <c r="J92" s="939"/>
      <c r="K92" s="939"/>
      <c r="L92" s="939"/>
      <c r="M92" s="939"/>
      <c r="N92" s="939"/>
    </row>
    <row r="93" spans="1:17" ht="27.95" customHeight="1">
      <c r="A93" s="1466"/>
      <c r="B93" s="939"/>
      <c r="C93" s="863" t="s">
        <v>2652</v>
      </c>
      <c r="D93" s="871">
        <f>G44</f>
        <v>0</v>
      </c>
      <c r="E93" s="939"/>
      <c r="F93" s="939"/>
      <c r="G93" s="939"/>
      <c r="H93" s="939"/>
      <c r="I93" s="939"/>
      <c r="J93" s="939"/>
      <c r="K93" s="939"/>
      <c r="L93" s="939"/>
      <c r="M93" s="939"/>
      <c r="N93" s="939"/>
    </row>
    <row r="94" spans="1:17" ht="27.95" customHeight="1">
      <c r="A94" s="1466"/>
      <c r="B94" s="939"/>
      <c r="C94" s="863" t="s">
        <v>2653</v>
      </c>
      <c r="D94" s="871">
        <f>F44</f>
        <v>0</v>
      </c>
      <c r="E94" s="939"/>
      <c r="F94" s="939"/>
      <c r="G94" s="939"/>
      <c r="H94" s="939"/>
      <c r="I94" s="939"/>
      <c r="J94" s="939"/>
      <c r="K94" s="939"/>
      <c r="L94" s="939"/>
      <c r="M94" s="939"/>
      <c r="N94" s="939"/>
    </row>
    <row r="95" spans="1:17" ht="20.25" customHeight="1">
      <c r="A95" s="1016"/>
      <c r="B95" s="879"/>
      <c r="C95" s="944"/>
      <c r="D95" s="1018"/>
      <c r="E95" s="229"/>
      <c r="F95" s="948"/>
      <c r="G95" s="948"/>
      <c r="H95" s="879"/>
      <c r="I95" s="879"/>
      <c r="J95" s="949"/>
      <c r="K95" s="950"/>
      <c r="L95" s="853"/>
      <c r="M95" s="853"/>
      <c r="N95" s="879"/>
    </row>
    <row r="96" spans="1:17" ht="15" customHeight="1">
      <c r="A96" s="1016"/>
      <c r="B96" s="879"/>
      <c r="C96" s="944"/>
      <c r="D96" s="1018"/>
      <c r="E96" s="229"/>
      <c r="F96" s="948"/>
      <c r="G96" s="948"/>
      <c r="H96" s="879"/>
      <c r="I96" s="879"/>
      <c r="J96" s="949"/>
      <c r="K96" s="950"/>
      <c r="L96" s="853"/>
      <c r="M96" s="853"/>
      <c r="N96" s="879"/>
    </row>
    <row r="97" spans="1:14" ht="18.75" customHeight="1">
      <c r="A97" s="1016"/>
      <c r="B97" s="879"/>
      <c r="C97" s="944"/>
      <c r="D97" s="1018"/>
      <c r="E97" s="229"/>
      <c r="F97" s="948"/>
      <c r="G97" s="948"/>
      <c r="H97" s="879"/>
      <c r="I97" s="879"/>
      <c r="J97" s="949"/>
      <c r="K97" s="950"/>
      <c r="L97" s="853"/>
      <c r="M97" s="853"/>
      <c r="N97" s="879"/>
    </row>
    <row r="98" spans="1:14" ht="27.95" customHeight="1">
      <c r="A98" s="942" t="s">
        <v>2649</v>
      </c>
      <c r="B98" s="969" t="s">
        <v>2711</v>
      </c>
      <c r="C98" s="1464" t="s">
        <v>2656</v>
      </c>
      <c r="D98" s="1465"/>
      <c r="E98" s="894" t="s">
        <v>2669</v>
      </c>
      <c r="F98" s="894" t="s">
        <v>2668</v>
      </c>
      <c r="G98" s="894" t="s">
        <v>2655</v>
      </c>
      <c r="H98" s="978" t="s">
        <v>2235</v>
      </c>
      <c r="I98" s="973" t="s">
        <v>2651</v>
      </c>
      <c r="J98" s="942" t="s">
        <v>2657</v>
      </c>
      <c r="K98" s="942" t="s">
        <v>2650</v>
      </c>
      <c r="L98" s="942" t="s">
        <v>2665</v>
      </c>
      <c r="M98" s="942" t="s">
        <v>27</v>
      </c>
      <c r="N98" s="942" t="s">
        <v>2136</v>
      </c>
    </row>
    <row r="99" spans="1:14" ht="27.95" customHeight="1">
      <c r="A99" s="1509">
        <v>140494</v>
      </c>
      <c r="B99" s="873" t="s">
        <v>2794</v>
      </c>
      <c r="C99" s="863" t="s">
        <v>20</v>
      </c>
      <c r="D99" s="896" t="str">
        <f>INDEX(colProduct,MATCH(B99,colMOD1,0))</f>
        <v>Medical Excellent and Homeland</v>
      </c>
      <c r="E99" s="886"/>
      <c r="F99" s="948"/>
      <c r="G99" s="948"/>
      <c r="H99" s="1109"/>
      <c r="I99" s="1289">
        <f>IF(B99="N/A",0,INDEX(colMOD1HT,MATCH(B99,colMOD1,0)))</f>
        <v>892.64423076923072</v>
      </c>
      <c r="J99" s="1289">
        <f>(I99*(1-$D$52))</f>
        <v>892.64423076923072</v>
      </c>
      <c r="K99" s="1290">
        <v>0</v>
      </c>
      <c r="L99" s="1291">
        <f>IF($D$50="monthly",K99/12*$D$43,K99/365*$D$42)</f>
        <v>0</v>
      </c>
      <c r="M99" s="1292">
        <f>IF($D$50="monthly",J99/12*$D$43,J99/365*$D$42)</f>
        <v>8926.4423076923067</v>
      </c>
      <c r="N99" s="1292">
        <f>(M99*TAXE)+(L99)</f>
        <v>9283.5</v>
      </c>
    </row>
    <row r="100" spans="1:14" ht="27.95" customHeight="1">
      <c r="A100" s="1510"/>
      <c r="B100" s="872" t="s">
        <v>2795</v>
      </c>
      <c r="C100" s="863" t="s">
        <v>33</v>
      </c>
      <c r="D100" s="896" t="str">
        <f>INDEX(colCurrency,MATCH(B99,colMOD1,0))</f>
        <v>EUR</v>
      </c>
      <c r="E100" s="886"/>
      <c r="F100" s="948"/>
      <c r="G100" s="948"/>
      <c r="H100" s="1109"/>
      <c r="I100" s="1289">
        <f>IF(B100="N/A",0,INDEX(colMOD2HT,MATCH(B100,colMOD2,0)))</f>
        <v>115.38461538461539</v>
      </c>
      <c r="J100" s="1289">
        <f t="shared" ref="J100:J102" si="16">(I100*(1-$D$52))</f>
        <v>115.38461538461539</v>
      </c>
      <c r="K100" s="1290">
        <v>0</v>
      </c>
      <c r="L100" s="1291">
        <f t="shared" ref="L100:L102" si="17">IF($D$50="monthly",K100/12*$D$43,K100/365*$D$42)</f>
        <v>0</v>
      </c>
      <c r="M100" s="1292">
        <f t="shared" ref="M100:M102" si="18">IF($D$50="monthly",J100/12*$D$43,J100/365*$D$42)</f>
        <v>1153.8461538461538</v>
      </c>
      <c r="N100" s="1292">
        <f>(M100*TAXE)+(L100)</f>
        <v>1200</v>
      </c>
    </row>
    <row r="101" spans="1:14" ht="27.95" customHeight="1">
      <c r="A101" s="1510"/>
      <c r="B101" s="872" t="s">
        <v>2224</v>
      </c>
      <c r="C101" s="953" t="s">
        <v>2230</v>
      </c>
      <c r="D101" s="954" t="s">
        <v>2255</v>
      </c>
      <c r="E101" s="886"/>
      <c r="F101" s="948"/>
      <c r="G101" s="948"/>
      <c r="H101" s="1150"/>
      <c r="I101" s="1289">
        <f>IF(B101="N/A",0,INDEX(colMOD3HT,MATCH(B101,colMOD3,0)))</f>
        <v>0</v>
      </c>
      <c r="J101" s="1289">
        <f t="shared" si="16"/>
        <v>0</v>
      </c>
      <c r="K101" s="1290">
        <v>0</v>
      </c>
      <c r="L101" s="1291">
        <f t="shared" si="17"/>
        <v>0</v>
      </c>
      <c r="M101" s="1292">
        <f t="shared" si="18"/>
        <v>0</v>
      </c>
      <c r="N101" s="1292">
        <f>(M101*TAXE)+(L101)</f>
        <v>0</v>
      </c>
    </row>
    <row r="102" spans="1:14" ht="27.95" customHeight="1">
      <c r="A102" s="1510"/>
      <c r="B102" s="872" t="s">
        <v>2224</v>
      </c>
      <c r="C102" s="953" t="s">
        <v>2324</v>
      </c>
      <c r="D102" s="955" t="s">
        <v>2315</v>
      </c>
      <c r="E102" s="939"/>
      <c r="F102" s="944"/>
      <c r="G102" s="875"/>
      <c r="H102" s="875"/>
      <c r="I102" s="1289">
        <f>IF(B102="N/A",0,INDEX(colMOD4HT,MATCH(B102,colMOD4,0)))</f>
        <v>0</v>
      </c>
      <c r="J102" s="1289">
        <f t="shared" si="16"/>
        <v>0</v>
      </c>
      <c r="K102" s="1290">
        <v>0</v>
      </c>
      <c r="L102" s="1291">
        <f t="shared" si="17"/>
        <v>0</v>
      </c>
      <c r="M102" s="1292">
        <f t="shared" si="18"/>
        <v>0</v>
      </c>
      <c r="N102" s="1292">
        <f>(M102*TAXE)+(L102)</f>
        <v>0</v>
      </c>
    </row>
    <row r="103" spans="1:14" ht="27.95" customHeight="1">
      <c r="A103" s="1288"/>
      <c r="B103" s="974"/>
      <c r="C103" s="956" t="s">
        <v>2522</v>
      </c>
      <c r="D103" s="955">
        <v>0</v>
      </c>
      <c r="E103" s="939"/>
      <c r="F103" s="944"/>
      <c r="G103" s="875"/>
      <c r="H103" s="973" t="s">
        <v>59</v>
      </c>
      <c r="I103" s="876">
        <f>SUM(I99:I102)</f>
        <v>1008.0288461538461</v>
      </c>
      <c r="J103" s="876">
        <f t="shared" ref="J103" si="19">SUM(J99:J102)</f>
        <v>1008.0288461538461</v>
      </c>
      <c r="K103" s="876">
        <f t="shared" ref="K103" si="20">SUM(K99:K102)</f>
        <v>0</v>
      </c>
      <c r="L103" s="876">
        <f t="shared" ref="L103" si="21">SUM(L99:L102)</f>
        <v>0</v>
      </c>
      <c r="M103" s="887">
        <f t="shared" ref="M103" si="22">SUM(M99:M102)</f>
        <v>10080.288461538461</v>
      </c>
      <c r="N103" s="887">
        <f t="shared" ref="N103" si="23">SUM(N99:N102)</f>
        <v>10483.5</v>
      </c>
    </row>
    <row r="104" spans="1:14" ht="19.5" customHeight="1">
      <c r="A104" s="939"/>
      <c r="B104" s="939"/>
      <c r="C104" s="939"/>
      <c r="D104" s="939"/>
      <c r="E104" s="939"/>
      <c r="F104" s="939"/>
      <c r="G104" s="939"/>
      <c r="H104" s="939"/>
      <c r="I104" s="939"/>
      <c r="J104" s="939"/>
      <c r="K104" s="939"/>
      <c r="L104" s="939"/>
      <c r="M104" s="939"/>
      <c r="N104" s="939"/>
    </row>
    <row r="105" spans="1:14" ht="18.75" customHeight="1">
      <c r="A105" s="939"/>
      <c r="B105" s="939"/>
      <c r="C105" s="939"/>
      <c r="D105" s="939"/>
      <c r="E105" s="939"/>
      <c r="F105" s="939"/>
      <c r="G105" s="939"/>
      <c r="H105" s="939"/>
      <c r="I105" s="939"/>
      <c r="J105" s="939"/>
      <c r="K105" s="939"/>
      <c r="L105" s="939"/>
      <c r="M105" s="939"/>
      <c r="N105" s="939"/>
    </row>
    <row r="106" spans="1:14" ht="27.95" customHeight="1">
      <c r="A106" s="956" t="s">
        <v>2649</v>
      </c>
      <c r="B106" s="968" t="s">
        <v>2710</v>
      </c>
      <c r="C106" s="1459" t="s">
        <v>2656</v>
      </c>
      <c r="D106" s="1460"/>
      <c r="E106" s="894" t="s">
        <v>2669</v>
      </c>
      <c r="F106" s="894" t="s">
        <v>2668</v>
      </c>
      <c r="G106" s="894" t="s">
        <v>2655</v>
      </c>
      <c r="H106" s="897" t="s">
        <v>2235</v>
      </c>
      <c r="I106" s="894" t="s">
        <v>2651</v>
      </c>
      <c r="J106" s="942" t="s">
        <v>2259</v>
      </c>
      <c r="K106" s="942" t="s">
        <v>2650</v>
      </c>
      <c r="L106" s="942" t="s">
        <v>2665</v>
      </c>
      <c r="M106" s="942" t="s">
        <v>27</v>
      </c>
      <c r="N106" s="942" t="s">
        <v>2136</v>
      </c>
    </row>
    <row r="107" spans="1:14" ht="27.95" customHeight="1">
      <c r="A107" s="1461">
        <v>140494</v>
      </c>
      <c r="B107" s="924" t="s">
        <v>2862</v>
      </c>
      <c r="C107" s="863" t="s">
        <v>33</v>
      </c>
      <c r="D107" s="896" t="str">
        <f>INDEX(colCurrency,MATCH(B107,colMOD1,0))</f>
        <v>EUR</v>
      </c>
      <c r="E107" s="893">
        <v>50000</v>
      </c>
      <c r="F107" s="895">
        <v>3</v>
      </c>
      <c r="G107" s="893">
        <v>0</v>
      </c>
      <c r="H107" s="898">
        <f>IF(G107=0,IF($D$110="FIXE",E107,IF(G107&gt;F107*$J$32,G107,F107*$J$32)),G107)</f>
        <v>50000</v>
      </c>
      <c r="I107" s="1294">
        <f>IF(B107="N/A",0,INDEX(colMOD1HT,MATCH(B107,colMOD1,0)))</f>
        <v>6.9103448275862072E-4</v>
      </c>
      <c r="J107" s="1295">
        <f>H107*I107</f>
        <v>34.551724137931039</v>
      </c>
      <c r="K107" s="1290">
        <v>0</v>
      </c>
      <c r="L107" s="1291">
        <f>IF($D$56="monthly",K107/12*$D$43,K107/365*$D$42)</f>
        <v>0</v>
      </c>
      <c r="M107" s="1290">
        <f>IF($D$56="monthly",J107/12*$D$43,J107/365*$D$42)</f>
        <v>171.33868682097309</v>
      </c>
      <c r="N107" s="1290">
        <f>(M107*TAXE)+(L107)</f>
        <v>178.19223429381202</v>
      </c>
    </row>
    <row r="108" spans="1:14" ht="27.95" customHeight="1">
      <c r="A108" s="1462"/>
      <c r="B108" s="924" t="s">
        <v>2224</v>
      </c>
      <c r="C108" s="863" t="s">
        <v>2230</v>
      </c>
      <c r="D108" s="947" t="s">
        <v>2255</v>
      </c>
      <c r="E108" s="893">
        <v>50000</v>
      </c>
      <c r="F108" s="895">
        <v>3</v>
      </c>
      <c r="G108" s="893">
        <v>0</v>
      </c>
      <c r="H108" s="898">
        <f>IF(G108=0,IF($D$110="FIXE",E108,IF(G108&gt;F108*$J$32,G108,F108*$J$32)),G108)</f>
        <v>50000</v>
      </c>
      <c r="I108" s="1294">
        <f>IF(B108="N/A",0,INDEX(colMOD2HT,MATCH(B108,colMOD2,0)))</f>
        <v>0</v>
      </c>
      <c r="J108" s="1295">
        <f>H108*I108</f>
        <v>0</v>
      </c>
      <c r="K108" s="1290">
        <v>0</v>
      </c>
      <c r="L108" s="1291">
        <f t="shared" ref="L108:L110" si="24">IF($D$56="monthly",K108/12*$D$43,K108/365*$D$42)</f>
        <v>0</v>
      </c>
      <c r="M108" s="1290">
        <f t="shared" ref="M108:M110" si="25">IF($D$56="monthly",J108/12*$D$43,J108/365*$D$42)</f>
        <v>0</v>
      </c>
      <c r="N108" s="1290">
        <f>(M108*TAXE)+(L108)</f>
        <v>0</v>
      </c>
    </row>
    <row r="109" spans="1:14" ht="27.95" customHeight="1">
      <c r="A109" s="1462"/>
      <c r="B109" s="924" t="s">
        <v>2863</v>
      </c>
      <c r="C109" s="952" t="s">
        <v>2324</v>
      </c>
      <c r="D109" s="866" t="s">
        <v>2224</v>
      </c>
      <c r="E109" s="893">
        <v>50000</v>
      </c>
      <c r="F109" s="895">
        <v>3</v>
      </c>
      <c r="G109" s="893">
        <v>0</v>
      </c>
      <c r="H109" s="898">
        <f>IF(G109=0,IF($D$110="FIXE",E109,IF(G109&gt;F109*$J$32,G109,F109*$J$32)),G109)</f>
        <v>50000</v>
      </c>
      <c r="I109" s="1294">
        <f>IF(B109="N/A",0,INDEX(colMOD3HT,MATCH(B109,colMOD3,0)))</f>
        <v>8.5379310344827581E-4</v>
      </c>
      <c r="J109" s="1295">
        <f>H109*I109</f>
        <v>42.689655172413794</v>
      </c>
      <c r="K109" s="1290">
        <v>0</v>
      </c>
      <c r="L109" s="1291">
        <f t="shared" si="24"/>
        <v>0</v>
      </c>
      <c r="M109" s="1290">
        <f t="shared" si="25"/>
        <v>211.69390647142183</v>
      </c>
      <c r="N109" s="1290">
        <f>(M109*TAXE)+(L109)</f>
        <v>220.16166273027872</v>
      </c>
    </row>
    <row r="110" spans="1:14" ht="27.95" customHeight="1">
      <c r="A110" s="1463"/>
      <c r="B110" s="924" t="s">
        <v>2224</v>
      </c>
      <c r="C110" s="953" t="s">
        <v>2667</v>
      </c>
      <c r="D110" s="981" t="s">
        <v>2138</v>
      </c>
      <c r="E110" s="893">
        <v>50000</v>
      </c>
      <c r="F110" s="895">
        <v>3</v>
      </c>
      <c r="G110" s="893">
        <v>0</v>
      </c>
      <c r="H110" s="898">
        <f>IF(G110=0,IF($D$110="FIXE",E110,IF(G110&gt;F110*$J$32,G110,F110*$J$32)),G110)</f>
        <v>50000</v>
      </c>
      <c r="I110" s="1294">
        <f>IF(B110="N/A",0,INDEX(colMOD4HT,MATCH(B110,colMOD4,0)))</f>
        <v>0</v>
      </c>
      <c r="J110" s="1295">
        <f>H110*I110</f>
        <v>0</v>
      </c>
      <c r="K110" s="1290">
        <v>0</v>
      </c>
      <c r="L110" s="1291">
        <f t="shared" si="24"/>
        <v>0</v>
      </c>
      <c r="M110" s="1290">
        <f t="shared" si="25"/>
        <v>0</v>
      </c>
      <c r="N110" s="1290">
        <f>(M110*TAXE)+(L110)</f>
        <v>0</v>
      </c>
    </row>
    <row r="111" spans="1:14" ht="27.95" customHeight="1">
      <c r="A111" s="55"/>
      <c r="B111" s="908" t="e">
        <f>IF(INDEX(colAssureur,MATCH(B107,colchoice,0))=INDEX(colAssureur,MATCH(B108,colchoice,0)),INDEX(colAssureur,MATCH(B108,colchoice,0)), "FAUX PARAMETRAGE")</f>
        <v>#N/A</v>
      </c>
      <c r="C111" s="939"/>
      <c r="D111" s="939"/>
      <c r="E111" s="939"/>
      <c r="F111" s="944"/>
      <c r="G111" s="939"/>
      <c r="H111" s="939"/>
      <c r="I111" s="1293">
        <f>SUM(I107:I110)</f>
        <v>1.5448275862068965E-3</v>
      </c>
      <c r="J111" s="1150"/>
      <c r="K111" s="1150"/>
      <c r="L111" s="1150"/>
      <c r="M111" s="959">
        <f>SUM(M107:M110)</f>
        <v>383.03259329239495</v>
      </c>
      <c r="N111" s="959">
        <f>SUM(N107:N110)</f>
        <v>398.35389702409077</v>
      </c>
    </row>
    <row r="112" spans="1:14" ht="27.95" customHeight="1">
      <c r="A112" s="55"/>
      <c r="B112" s="968" t="s">
        <v>194</v>
      </c>
      <c r="C112" s="1459" t="s">
        <v>2656</v>
      </c>
      <c r="D112" s="1460"/>
      <c r="E112" s="894" t="s">
        <v>2669</v>
      </c>
      <c r="F112" s="894" t="s">
        <v>2668</v>
      </c>
      <c r="G112" s="894" t="s">
        <v>2655</v>
      </c>
      <c r="H112" s="897" t="s">
        <v>2235</v>
      </c>
      <c r="I112" s="894" t="s">
        <v>2651</v>
      </c>
      <c r="J112" s="942" t="s">
        <v>2259</v>
      </c>
      <c r="K112" s="942" t="s">
        <v>2650</v>
      </c>
      <c r="L112" s="942" t="s">
        <v>2665</v>
      </c>
      <c r="M112" s="942" t="s">
        <v>27</v>
      </c>
      <c r="N112" s="942" t="s">
        <v>2136</v>
      </c>
    </row>
    <row r="113" spans="1:14" ht="27.95" customHeight="1">
      <c r="A113" s="55"/>
      <c r="B113" s="960" t="s">
        <v>2224</v>
      </c>
      <c r="C113" s="953" t="s">
        <v>2324</v>
      </c>
      <c r="D113" s="955" t="s">
        <v>2224</v>
      </c>
      <c r="E113" s="976">
        <f>$K$32</f>
        <v>0</v>
      </c>
      <c r="F113" s="963">
        <v>1</v>
      </c>
      <c r="G113" s="961">
        <v>0</v>
      </c>
      <c r="H113" s="898">
        <f>IF(G113=0,IF($D$114="FIXE",E113,IF(G113&gt;F113*E113,G113,F113*E113)),G113)</f>
        <v>0</v>
      </c>
      <c r="I113" s="962">
        <f>IF(B113="N/A",0,INDEX(colMOD5HT,MATCH(B113,colMOD5,0)))</f>
        <v>0</v>
      </c>
      <c r="J113" s="964">
        <f>H113*I113</f>
        <v>0</v>
      </c>
      <c r="K113" s="965">
        <v>0</v>
      </c>
      <c r="L113" s="966">
        <f>IF($D$56="monthly",K113/12*MAXMONTHS,K113/365*MAXDAYS)</f>
        <v>0</v>
      </c>
      <c r="M113" s="967">
        <f>IF($D$56="monthly",J113/12*MAXMONTHS,J113/365*MAXDAYS)</f>
        <v>0</v>
      </c>
      <c r="N113" s="967">
        <f>(M113*TAXE)+(L113)</f>
        <v>0</v>
      </c>
    </row>
    <row r="114" spans="1:14" ht="27.95" customHeight="1">
      <c r="A114" s="55"/>
      <c r="B114" s="960" t="s">
        <v>2224</v>
      </c>
      <c r="C114" s="957" t="s">
        <v>2667</v>
      </c>
      <c r="D114" s="981" t="s">
        <v>2140</v>
      </c>
      <c r="E114" s="976">
        <f>$K$32</f>
        <v>0</v>
      </c>
      <c r="F114" s="963">
        <v>1</v>
      </c>
      <c r="G114" s="961">
        <v>0</v>
      </c>
      <c r="H114" s="898">
        <f>IF(G114=0,IF($D$114="FIXE",E114,IF(G114&gt;F114*E114,G114,F114*E114)),G114)</f>
        <v>0</v>
      </c>
      <c r="I114" s="962">
        <f>IF(B114="N/A",0,INDEX(colMOD6HT,MATCH(B114,colMOD6,0)))</f>
        <v>0</v>
      </c>
      <c r="J114" s="964">
        <f>H114*I114</f>
        <v>0</v>
      </c>
      <c r="K114" s="965">
        <v>0</v>
      </c>
      <c r="L114" s="966">
        <f>IF($D$56="monthly",K114/12*MAXMONTHS,K114/365*MAXDAYS)</f>
        <v>0</v>
      </c>
      <c r="M114" s="965">
        <f>IF($D$56="monthly",J114/12*MAXMONTHS,J114/365*MAXDAYS)</f>
        <v>0</v>
      </c>
      <c r="N114" s="965">
        <f>(M114*TAXE)+(L114)</f>
        <v>0</v>
      </c>
    </row>
    <row r="115" spans="1:14" ht="27.95" customHeight="1">
      <c r="A115" s="55"/>
      <c r="B115" s="908" t="str">
        <f>IF(INDEX(colAssureur,MATCH(B113,colchoice,0))=INDEX(colAssureur,MATCH(B114,colchoice,0)),INDEX(colAssureur,MATCH(B114,colchoice,0)), "FAUX PARAMETRAGE")</f>
        <v>N/A</v>
      </c>
      <c r="C115" s="944"/>
      <c r="D115" s="995"/>
      <c r="E115" s="879"/>
      <c r="F115" s="899"/>
      <c r="G115" s="900"/>
      <c r="H115" s="899"/>
      <c r="I115" s="1060">
        <f>SUM(I113:I114)</f>
        <v>0</v>
      </c>
      <c r="J115" s="901"/>
      <c r="K115" s="255"/>
      <c r="L115" s="255"/>
      <c r="M115" s="959">
        <f>SUM(M113:M114)</f>
        <v>0</v>
      </c>
      <c r="N115" s="959">
        <f>SUM(N113:N114)</f>
        <v>0</v>
      </c>
    </row>
    <row r="116" spans="1:14" ht="27.95" customHeight="1">
      <c r="A116" s="55"/>
      <c r="B116" s="1020"/>
      <c r="C116" s="944"/>
      <c r="D116" s="995"/>
      <c r="E116" s="879"/>
      <c r="F116" s="944"/>
      <c r="G116" s="925"/>
      <c r="H116" s="925"/>
      <c r="I116" s="925"/>
      <c r="J116" s="925"/>
      <c r="K116" s="925"/>
      <c r="L116" s="879"/>
      <c r="M116" s="939"/>
      <c r="N116" s="939"/>
    </row>
    <row r="117" spans="1:14" ht="27.95" customHeight="1">
      <c r="A117" s="55"/>
      <c r="B117" s="878"/>
      <c r="C117" s="944"/>
      <c r="D117" s="995"/>
      <c r="E117" s="879"/>
      <c r="F117" s="944"/>
      <c r="G117" s="939"/>
      <c r="H117" s="939"/>
      <c r="I117" s="939"/>
      <c r="J117" s="939"/>
      <c r="K117" s="939"/>
      <c r="L117" s="939"/>
      <c r="M117" s="939"/>
      <c r="N117" s="939"/>
    </row>
    <row r="118" spans="1:14" ht="27.95" customHeight="1"/>
    <row r="119" spans="1:14" ht="27.95" customHeight="1"/>
    <row r="120" spans="1:14" ht="27.95" customHeight="1"/>
  </sheetData>
  <mergeCells count="61">
    <mergeCell ref="A48:A51"/>
    <mergeCell ref="A73:A76"/>
    <mergeCell ref="A99:A102"/>
    <mergeCell ref="A16:F16"/>
    <mergeCell ref="G13:K13"/>
    <mergeCell ref="G14:K14"/>
    <mergeCell ref="C13:F13"/>
    <mergeCell ref="C14:F14"/>
    <mergeCell ref="I18:N18"/>
    <mergeCell ref="I19:N19"/>
    <mergeCell ref="I20:N20"/>
    <mergeCell ref="I21:N21"/>
    <mergeCell ref="A41:A43"/>
    <mergeCell ref="B19:D19"/>
    <mergeCell ref="B18:D18"/>
    <mergeCell ref="C86:D86"/>
    <mergeCell ref="H2:N6"/>
    <mergeCell ref="L13:M13"/>
    <mergeCell ref="L14:M14"/>
    <mergeCell ref="L8:M8"/>
    <mergeCell ref="L9:M9"/>
    <mergeCell ref="L10:M10"/>
    <mergeCell ref="L11:M11"/>
    <mergeCell ref="L12:M12"/>
    <mergeCell ref="I12:K12"/>
    <mergeCell ref="C10:G10"/>
    <mergeCell ref="I8:K8"/>
    <mergeCell ref="I9:K9"/>
    <mergeCell ref="I10:K10"/>
    <mergeCell ref="I11:K11"/>
    <mergeCell ref="C8:G8"/>
    <mergeCell ref="C9:G9"/>
    <mergeCell ref="C11:G11"/>
    <mergeCell ref="C12:G12"/>
    <mergeCell ref="C60:D60"/>
    <mergeCell ref="H16:N16"/>
    <mergeCell ref="I17:N17"/>
    <mergeCell ref="C47:D47"/>
    <mergeCell ref="C54:D54"/>
    <mergeCell ref="I22:N22"/>
    <mergeCell ref="I23:N23"/>
    <mergeCell ref="I24:N24"/>
    <mergeCell ref="C41:D41"/>
    <mergeCell ref="B22:D22"/>
    <mergeCell ref="B23:D23"/>
    <mergeCell ref="B24:D24"/>
    <mergeCell ref="B17:D17"/>
    <mergeCell ref="B20:D20"/>
    <mergeCell ref="B21:D21"/>
    <mergeCell ref="A55:A58"/>
    <mergeCell ref="A81:A84"/>
    <mergeCell ref="C80:D80"/>
    <mergeCell ref="C66:D66"/>
    <mergeCell ref="C72:D72"/>
    <mergeCell ref="A66:A68"/>
    <mergeCell ref="C106:D106"/>
    <mergeCell ref="A107:A110"/>
    <mergeCell ref="C112:D112"/>
    <mergeCell ref="C98:D98"/>
    <mergeCell ref="A92:A94"/>
    <mergeCell ref="C92:D92"/>
  </mergeCells>
  <dataValidations count="10">
    <dataValidation type="list" allowBlank="1" showInputMessage="1" showErrorMessage="1" sqref="B113">
      <formula1>$J$195:$J$261</formula1>
    </dataValidation>
    <dataValidation type="list" allowBlank="1" showInputMessage="1" showErrorMessage="1" sqref="B114">
      <formula1>$K$195:$K$261</formula1>
    </dataValidation>
    <dataValidation type="list" allowBlank="1" showInputMessage="1" showErrorMessage="1" sqref="B99">
      <formula1>$F$1:$F$194</formula1>
    </dataValidation>
    <dataValidation type="list" allowBlank="1" showInputMessage="1" showErrorMessage="1" sqref="B100">
      <formula1>$G$1:$G$194</formula1>
    </dataValidation>
    <dataValidation type="list" allowBlank="1" showInputMessage="1" showErrorMessage="1" sqref="B109">
      <formula1>$H$195:$H$261</formula1>
    </dataValidation>
    <dataValidation type="list" allowBlank="1" showInputMessage="1" showErrorMessage="1" sqref="B107">
      <formula1>$F$195:$F$261</formula1>
    </dataValidation>
    <dataValidation type="list" allowBlank="1" showInputMessage="1" showErrorMessage="1" sqref="B108">
      <formula1>$G$195:$G$261</formula1>
    </dataValidation>
    <dataValidation type="list" allowBlank="1" showInputMessage="1" showErrorMessage="1" sqref="B110">
      <formula1>$I$195:$I$261</formula1>
    </dataValidation>
    <dataValidation type="list" allowBlank="1" showInputMessage="1" showErrorMessage="1" sqref="B101">
      <formula1>$H$1:$H$194</formula1>
    </dataValidation>
    <dataValidation type="list" allowBlank="1" showInputMessage="1" showErrorMessage="1" sqref="B102">
      <formula1>$I$1:$I$194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&amp;Z&amp;F</oddHeader>
    <oddFooter>&amp;F&amp;RPage &amp;P</oddFooter>
  </headerFooter>
  <rowBreaks count="4" manualBreakCount="4">
    <brk id="25" max="13" man="1"/>
    <brk id="39" max="13" man="1"/>
    <brk id="64" max="13" man="1"/>
    <brk id="9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200025</xdr:colOff>
                    <xdr:row>41</xdr:row>
                    <xdr:rowOff>38100</xdr:rowOff>
                  </from>
                  <to>
                    <xdr:col>1</xdr:col>
                    <xdr:colOff>3400425</xdr:colOff>
                    <xdr:row>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42</xdr:row>
                    <xdr:rowOff>57150</xdr:rowOff>
                  </from>
                  <to>
                    <xdr:col>1</xdr:col>
                    <xdr:colOff>3419475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1</xdr:col>
                    <xdr:colOff>314325</xdr:colOff>
                    <xdr:row>67</xdr:row>
                    <xdr:rowOff>38100</xdr:rowOff>
                  </from>
                  <to>
                    <xdr:col>1</xdr:col>
                    <xdr:colOff>3267075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10</xdr:row>
                    <xdr:rowOff>57150</xdr:rowOff>
                  </from>
                  <to>
                    <xdr:col>1</xdr:col>
                    <xdr:colOff>3648075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Drop Down 14">
              <controlPr defaultSize="0" autoLine="0" autoPict="0">
                <anchor mov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3619500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Drop Down 20">
              <controlPr defaultSize="0" autoLine="0" autoPict="0">
                <anchor moveWithCells="1">
                  <from>
                    <xdr:col>1</xdr:col>
                    <xdr:colOff>19050</xdr:colOff>
                    <xdr:row>11</xdr:row>
                    <xdr:rowOff>85725</xdr:rowOff>
                  </from>
                  <to>
                    <xdr:col>1</xdr:col>
                    <xdr:colOff>3629025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 Down 21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66675</xdr:rowOff>
                  </from>
                  <to>
                    <xdr:col>1</xdr:col>
                    <xdr:colOff>3619500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Drop Down 23">
              <controlPr defaultSize="0" autoLine="0" autoPict="0">
                <anchor moveWithCells="1">
                  <from>
                    <xdr:col>1</xdr:col>
                    <xdr:colOff>323850</xdr:colOff>
                    <xdr:row>66</xdr:row>
                    <xdr:rowOff>76200</xdr:rowOff>
                  </from>
                  <to>
                    <xdr:col>1</xdr:col>
                    <xdr:colOff>3248025</xdr:colOff>
                    <xdr:row>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2" name="Drop Down 29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1</xdr:col>
                    <xdr:colOff>1362075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3" name="Drop Down 30">
              <controlPr defaultSize="0" autoLine="0" autoPict="0">
                <anchor moveWithCells="1">
                  <from>
                    <xdr:col>1</xdr:col>
                    <xdr:colOff>57150</xdr:colOff>
                    <xdr:row>26</xdr:row>
                    <xdr:rowOff>38100</xdr:rowOff>
                  </from>
                  <to>
                    <xdr:col>1</xdr:col>
                    <xdr:colOff>3219450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Drop Down 31">
              <controlPr defaultSize="0" autoLine="0" autoPict="0">
                <anchor moveWithCells="1">
                  <from>
                    <xdr:col>1</xdr:col>
                    <xdr:colOff>57150</xdr:colOff>
                    <xdr:row>27</xdr:row>
                    <xdr:rowOff>47625</xdr:rowOff>
                  </from>
                  <to>
                    <xdr:col>1</xdr:col>
                    <xdr:colOff>3190875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5" name="Check Box 33">
              <controlPr defaultSize="0" autoFill="0" autoLine="0" autoPict="0">
                <anchor moveWithCells="1">
                  <from>
                    <xdr:col>1</xdr:col>
                    <xdr:colOff>66675</xdr:colOff>
                    <xdr:row>28</xdr:row>
                    <xdr:rowOff>66675</xdr:rowOff>
                  </from>
                  <to>
                    <xdr:col>1</xdr:col>
                    <xdr:colOff>1666875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6" name="Drop Down 37">
              <controlPr defaultSize="0" autoLine="0" autoPict="0">
                <anchor moveWithCells="1">
                  <from>
                    <xdr:col>1</xdr:col>
                    <xdr:colOff>314325</xdr:colOff>
                    <xdr:row>93</xdr:row>
                    <xdr:rowOff>38100</xdr:rowOff>
                  </from>
                  <to>
                    <xdr:col>1</xdr:col>
                    <xdr:colOff>3267075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7" name="Drop Down 38">
              <controlPr defaultSize="0" autoLine="0" autoPict="0">
                <anchor moveWithCells="1">
                  <from>
                    <xdr:col>1</xdr:col>
                    <xdr:colOff>323850</xdr:colOff>
                    <xdr:row>92</xdr:row>
                    <xdr:rowOff>76200</xdr:rowOff>
                  </from>
                  <to>
                    <xdr:col>1</xdr:col>
                    <xdr:colOff>3248025</xdr:colOff>
                    <xdr:row>92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Rates!$J$202:$J$268</xm:f>
          </x14:formula1>
          <xm:sqref>B61 B87</xm:sqref>
        </x14:dataValidation>
        <x14:dataValidation type="list" allowBlank="1" showInputMessage="1" showErrorMessage="1">
          <x14:formula1>
            <xm:f>Rates!$K$202:$K$268</xm:f>
          </x14:formula1>
          <xm:sqref>B62 B88</xm:sqref>
        </x14:dataValidation>
        <x14:dataValidation type="list" allowBlank="1" showInputMessage="1" showErrorMessage="1">
          <x14:formula1>
            <xm:f>Rates!$F$1:$F$201</xm:f>
          </x14:formula1>
          <xm:sqref>B48 B73</xm:sqref>
        </x14:dataValidation>
        <x14:dataValidation type="list" allowBlank="1" showInputMessage="1" showErrorMessage="1">
          <x14:formula1>
            <xm:f>Rates!$G$1:$G$201</xm:f>
          </x14:formula1>
          <xm:sqref>B49 B74</xm:sqref>
        </x14:dataValidation>
        <x14:dataValidation type="list" allowBlank="1" showInputMessage="1" showErrorMessage="1">
          <x14:formula1>
            <xm:f>Rates!$H$202:$H$268</xm:f>
          </x14:formula1>
          <xm:sqref>B57</xm:sqref>
        </x14:dataValidation>
        <x14:dataValidation type="list" allowBlank="1" showInputMessage="1" showErrorMessage="1">
          <x14:formula1>
            <xm:f>Rates!$F$202:$F$268</xm:f>
          </x14:formula1>
          <xm:sqref>B55</xm:sqref>
        </x14:dataValidation>
        <x14:dataValidation type="list" allowBlank="1" showInputMessage="1" showErrorMessage="1">
          <x14:formula1>
            <xm:f>Rates!$G$202:$G$268</xm:f>
          </x14:formula1>
          <xm:sqref>B56 B82</xm:sqref>
        </x14:dataValidation>
        <x14:dataValidation type="list" allowBlank="1" showInputMessage="1" showErrorMessage="1">
          <x14:formula1>
            <xm:f>Rates!$I$202:$I$268</xm:f>
          </x14:formula1>
          <xm:sqref>B58 B84</xm:sqref>
        </x14:dataValidation>
        <x14:dataValidation type="list" allowBlank="1" showInputMessage="1" showErrorMessage="1">
          <x14:formula1>
            <xm:f>LIST!$I$1:$I$5</xm:f>
          </x14:formula1>
          <xm:sqref>D109 D113 D102 D76 D57 D51 D87 D83 D61</xm:sqref>
        </x14:dataValidation>
        <x14:dataValidation type="list" allowBlank="1" showInputMessage="1" showErrorMessage="1">
          <x14:formula1>
            <xm:f>LIST!$H$1:$H$3</xm:f>
          </x14:formula1>
          <xm:sqref>D108 D101 D75 D56 D50 D82</xm:sqref>
        </x14:dataValidation>
        <x14:dataValidation type="list" allowBlank="1" showInputMessage="1" showErrorMessage="1">
          <x14:formula1>
            <xm:f>LIST!$E$1:$E$5</xm:f>
          </x14:formula1>
          <xm:sqref>D110 D114 D62 D58 D88 D84</xm:sqref>
        </x14:dataValidation>
        <x14:dataValidation type="list" allowBlank="1" showInputMessage="1" showErrorMessage="1">
          <x14:formula1>
            <xm:f>Rates!$H$1:$H$201</xm:f>
          </x14:formula1>
          <xm:sqref>B50 B75</xm:sqref>
        </x14:dataValidation>
        <x14:dataValidation type="list" allowBlank="1" showInputMessage="1" showErrorMessage="1">
          <x14:formula1>
            <xm:f>Rates!$I$1:$I$201</xm:f>
          </x14:formula1>
          <xm:sqref>B51 B76</xm:sqref>
        </x14:dataValidation>
        <x14:dataValidation type="list" allowBlank="1" showInputMessage="1" showErrorMessage="1">
          <x14:formula1>
            <xm:f>Rates!$F$185:$F$268</xm:f>
          </x14:formula1>
          <xm:sqref>B81</xm:sqref>
        </x14:dataValidation>
        <x14:dataValidation type="list" allowBlank="1" showInputMessage="1" showErrorMessage="1">
          <x14:formula1>
            <xm:f>Rates!$H$185:$H$268</xm:f>
          </x14:formula1>
          <xm:sqref>B83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</sheetPr>
  <dimension ref="A2:R215"/>
  <sheetViews>
    <sheetView view="pageBreakPreview" topLeftCell="A22" zoomScaleSheetLayoutView="100" workbookViewId="0">
      <selection activeCell="C12" sqref="C12:F12"/>
    </sheetView>
  </sheetViews>
  <sheetFormatPr baseColWidth="10" defaultColWidth="11.42578125" defaultRowHeight="15"/>
  <cols>
    <col min="1" max="1" width="11.5703125" style="831" bestFit="1" customWidth="1"/>
    <col min="2" max="2" width="11.42578125" style="831"/>
    <col min="3" max="3" width="16.5703125" style="831" customWidth="1"/>
    <col min="4" max="4" width="19.5703125" style="831" customWidth="1"/>
    <col min="5" max="5" width="15.28515625" style="831" customWidth="1"/>
    <col min="6" max="6" width="13.28515625" style="831" customWidth="1"/>
    <col min="7" max="7" width="26.5703125" style="831" customWidth="1"/>
    <col min="8" max="8" width="8.5703125" style="831" customWidth="1"/>
    <col min="9" max="9" width="24.85546875" style="831" customWidth="1"/>
    <col min="10" max="10" width="11.42578125" style="831"/>
    <col min="11" max="11" width="15" style="831" customWidth="1"/>
    <col min="12" max="14" width="11.42578125" style="831"/>
    <col min="15" max="15" width="14.42578125" style="831" bestFit="1" customWidth="1"/>
    <col min="16" max="17" width="11.5703125" style="831" bestFit="1" customWidth="1"/>
    <col min="18" max="16384" width="11.42578125" style="831"/>
  </cols>
  <sheetData>
    <row r="2" spans="1:17">
      <c r="B2" s="1526" t="str">
        <f>certificateNB</f>
        <v>12522.3</v>
      </c>
      <c r="C2" s="1517" t="str">
        <f>YACHTNAME</f>
        <v xml:space="preserve">IDOL            </v>
      </c>
      <c r="D2" s="1518"/>
      <c r="E2" s="1519"/>
      <c r="G2" s="917" t="s">
        <v>34</v>
      </c>
      <c r="H2" s="918"/>
      <c r="I2" s="919">
        <f>IF(Admin!E4="","",Admin!E4)</f>
        <v>41760</v>
      </c>
    </row>
    <row r="3" spans="1:17">
      <c r="B3" s="1526"/>
      <c r="C3" s="1520"/>
      <c r="D3" s="1521"/>
      <c r="E3" s="1522"/>
      <c r="G3" s="920" t="s">
        <v>180</v>
      </c>
      <c r="H3" s="878"/>
      <c r="I3" s="921">
        <f>IF(Admin!E5="","",Admin!E5)</f>
        <v>42930</v>
      </c>
    </row>
    <row r="4" spans="1:17">
      <c r="B4" s="1526"/>
      <c r="C4" s="1523"/>
      <c r="D4" s="1524"/>
      <c r="E4" s="1525"/>
      <c r="G4" s="922" t="s">
        <v>181</v>
      </c>
      <c r="H4" s="907"/>
      <c r="I4" s="923" t="str">
        <f>IF(Admin!E6="","",Admin!E6)</f>
        <v/>
      </c>
    </row>
    <row r="5" spans="1:17" ht="24.95" customHeight="1">
      <c r="A5" s="54"/>
      <c r="B5" s="775"/>
      <c r="C5" s="775"/>
      <c r="D5" s="840"/>
      <c r="E5" s="840"/>
      <c r="F5" s="50"/>
      <c r="G5" s="775"/>
      <c r="H5" s="840"/>
      <c r="I5" s="840"/>
      <c r="J5" s="840"/>
      <c r="K5" s="840"/>
      <c r="L5" s="775"/>
      <c r="M5" s="56"/>
      <c r="N5" s="57"/>
      <c r="O5" s="57"/>
      <c r="P5" s="57"/>
      <c r="Q5" s="58"/>
    </row>
    <row r="6" spans="1:17" ht="24.95" customHeight="1">
      <c r="A6" s="854">
        <f>IF(Admin!G17="","",Admin!G17)</f>
        <v>0</v>
      </c>
      <c r="B6" s="855">
        <f>IF(Admin!H17="","",Admin!H17)</f>
        <v>41760</v>
      </c>
      <c r="C6" s="1633" t="str">
        <f>IF(Admin!I17="","",Admin!I17)</f>
        <v/>
      </c>
      <c r="D6" s="1633"/>
      <c r="E6" s="1633"/>
      <c r="F6" s="1634"/>
      <c r="G6" s="881" t="str">
        <f>lig1_POL_MED</f>
        <v>L2025408</v>
      </c>
      <c r="H6" s="1629" t="str">
        <f>Modules!E23</f>
        <v>Perfect S for Captain only</v>
      </c>
      <c r="I6" s="1629"/>
      <c r="J6" s="1629"/>
      <c r="K6" s="1629"/>
      <c r="L6" s="1629"/>
      <c r="M6" s="1629"/>
      <c r="N6" s="1629"/>
      <c r="O6" s="1629"/>
      <c r="P6" s="1630"/>
      <c r="Q6" s="852" t="str">
        <f>Admin!D49</f>
        <v>EUR</v>
      </c>
    </row>
    <row r="7" spans="1:17" ht="24.95" customHeight="1">
      <c r="A7" s="909">
        <f>IF(Admin!G18="","",Admin!G18)</f>
        <v>1</v>
      </c>
      <c r="B7" s="888">
        <f>IF(Admin!H18="","",Admin!H18)</f>
        <v>41835</v>
      </c>
      <c r="C7" s="1474" t="str">
        <f>IF(Admin!I18="","",Admin!I18)</f>
        <v/>
      </c>
      <c r="D7" s="1474"/>
      <c r="E7" s="1474"/>
      <c r="F7" s="1475"/>
      <c r="G7" s="882" t="str">
        <f>lig2_POL_MED</f>
        <v>L2024408</v>
      </c>
      <c r="H7" s="1631" t="str">
        <f>Modules!E52</f>
        <v>StandardMLC S for All others on board</v>
      </c>
      <c r="I7" s="1631"/>
      <c r="J7" s="1631"/>
      <c r="K7" s="1631"/>
      <c r="L7" s="1631"/>
      <c r="M7" s="1631"/>
      <c r="N7" s="1631"/>
      <c r="O7" s="1631"/>
      <c r="P7" s="1632"/>
      <c r="Q7" s="1052" t="str">
        <f>Admin!D74</f>
        <v>EUR</v>
      </c>
    </row>
    <row r="8" spans="1:17" ht="24.95" customHeight="1">
      <c r="A8" s="909">
        <f>IF(Admin!G19="","",Admin!G19)</f>
        <v>2</v>
      </c>
      <c r="B8" s="888">
        <f>IF(Admin!H19="","",Admin!H19)</f>
        <v>42200</v>
      </c>
      <c r="C8" s="1474" t="str">
        <f>IF(Admin!I19="","",Admin!I19)</f>
        <v>PrestigeS+ComfortMLCS F3 limité</v>
      </c>
      <c r="D8" s="1474"/>
      <c r="E8" s="1474"/>
      <c r="F8" s="1475"/>
      <c r="G8" s="882">
        <f>lig3_POL_MED</f>
        <v>140494</v>
      </c>
      <c r="H8" s="1631" t="str">
        <f>Modules!E77</f>
        <v>Medical Excellent and Homeland for Day Workers</v>
      </c>
      <c r="I8" s="1631"/>
      <c r="J8" s="1631"/>
      <c r="K8" s="1631"/>
      <c r="L8" s="1631"/>
      <c r="M8" s="1631"/>
      <c r="N8" s="1631"/>
      <c r="O8" s="1631"/>
      <c r="P8" s="1632"/>
      <c r="Q8" s="1052" t="str">
        <f>Admin!D100</f>
        <v>EUR</v>
      </c>
    </row>
    <row r="9" spans="1:17" s="877" customFormat="1" ht="24.95" customHeight="1">
      <c r="A9" s="909">
        <f>IF(Admin!G20="","",Admin!G20)</f>
        <v>2</v>
      </c>
      <c r="B9" s="888">
        <f>IF(Admin!H20="","",Admin!H20)</f>
        <v>42566</v>
      </c>
      <c r="C9" s="1474" t="str">
        <f>IF(Admin!I20="","",Admin!I20)</f>
        <v>chgt de CG Anker et Henner Portugal</v>
      </c>
      <c r="D9" s="1474"/>
      <c r="E9" s="1474"/>
      <c r="F9" s="1475"/>
      <c r="G9" s="882"/>
      <c r="H9" s="1631"/>
      <c r="I9" s="1631"/>
      <c r="J9" s="1631"/>
      <c r="K9" s="1631"/>
      <c r="L9" s="1631"/>
      <c r="M9" s="1631"/>
      <c r="N9" s="1631"/>
      <c r="O9" s="1631"/>
      <c r="P9" s="1632"/>
      <c r="Q9" s="1052"/>
    </row>
    <row r="10" spans="1:17" s="877" customFormat="1" ht="24.95" customHeight="1">
      <c r="A10" s="909">
        <f>IF(Admin!G21="","",Admin!G21)</f>
        <v>3</v>
      </c>
      <c r="B10" s="888">
        <f>IF(Admin!H21="","",Admin!H21)</f>
        <v>42750</v>
      </c>
      <c r="C10" s="1474" t="str">
        <f>IF(Admin!I21="","",Admin!I21)</f>
        <v>PerfectS/StandardMLCS F3 limitée</v>
      </c>
      <c r="D10" s="1474"/>
      <c r="E10" s="1474"/>
      <c r="F10" s="1475"/>
      <c r="G10" s="883"/>
      <c r="H10" s="1635"/>
      <c r="I10" s="1635"/>
      <c r="J10" s="1635"/>
      <c r="K10" s="1635"/>
      <c r="L10" s="1635"/>
      <c r="M10" s="1635"/>
      <c r="N10" s="1635"/>
      <c r="O10" s="1635"/>
      <c r="P10" s="1636"/>
      <c r="Q10" s="1052"/>
    </row>
    <row r="11" spans="1:17" ht="24.95" customHeight="1">
      <c r="A11" s="909" t="str">
        <f>IF(Admin!G22="","",Admin!G22)</f>
        <v/>
      </c>
      <c r="B11" s="888" t="str">
        <f>IF(Admin!H22="","",Admin!H22)</f>
        <v/>
      </c>
      <c r="C11" s="1476" t="str">
        <f>IF(Admin!I22="","",Admin!I22)</f>
        <v/>
      </c>
      <c r="D11" s="1476"/>
      <c r="E11" s="1476"/>
      <c r="F11" s="1477"/>
      <c r="G11" s="867">
        <f>lig1_POL_PREVOY</f>
        <v>240450</v>
      </c>
      <c r="H11" s="1631" t="str">
        <f>Modules!F23</f>
        <v>Formula 3: LOL&amp;PTD 300% annual salary  1000000 EUR limit per year, 100% annual salary  125000 EUR limit per year for Captain only</v>
      </c>
      <c r="I11" s="1631"/>
      <c r="J11" s="1631"/>
      <c r="K11" s="1631"/>
      <c r="L11" s="1631"/>
      <c r="M11" s="1631"/>
      <c r="N11" s="1631"/>
      <c r="O11" s="1631"/>
      <c r="P11" s="1632"/>
      <c r="Q11" s="1052" t="str">
        <f>Admin!D55</f>
        <v>EUR</v>
      </c>
    </row>
    <row r="12" spans="1:17" ht="24.95" customHeight="1">
      <c r="A12" s="909" t="str">
        <f>IF(Admin!G23="","",Admin!G23)</f>
        <v/>
      </c>
      <c r="B12" s="888" t="str">
        <f>IF(Admin!H23="","",Admin!H23)</f>
        <v/>
      </c>
      <c r="C12" s="1476" t="str">
        <f>IF(Admin!I23="","",Admin!I23)</f>
        <v/>
      </c>
      <c r="D12" s="1476"/>
      <c r="E12" s="1476"/>
      <c r="F12" s="1477"/>
      <c r="G12" s="867">
        <f>lig2_POL_PREVO</f>
        <v>240303</v>
      </c>
      <c r="H12" s="1631" t="str">
        <f>Modules!F52</f>
        <v>Formula 3: LOL&amp;PTD 300% annual salary  1000000 EUR limit per year, 100% annual salary  450000 EUR limit per year for All others on board</v>
      </c>
      <c r="I12" s="1631"/>
      <c r="J12" s="1631"/>
      <c r="K12" s="1631"/>
      <c r="L12" s="1631"/>
      <c r="M12" s="1631"/>
      <c r="N12" s="1631"/>
      <c r="O12" s="1631"/>
      <c r="P12" s="1632"/>
      <c r="Q12" s="1052" t="str">
        <f>Admin!D81</f>
        <v>EUR</v>
      </c>
    </row>
    <row r="13" spans="1:17" ht="24.95" customHeight="1">
      <c r="A13" s="910" t="str">
        <f>IF(Admin!G24="","",Admin!G24)</f>
        <v/>
      </c>
      <c r="B13" s="911" t="str">
        <f>IF(Admin!H24="","",Admin!H24)</f>
        <v/>
      </c>
      <c r="C13" s="1478" t="str">
        <f>IF(Admin!I24="","",Admin!I24)</f>
        <v/>
      </c>
      <c r="D13" s="1478"/>
      <c r="E13" s="1478"/>
      <c r="F13" s="1479"/>
      <c r="G13" s="868">
        <f>lig3_POL_PREVOY</f>
        <v>140494</v>
      </c>
      <c r="H13" s="1631" t="str">
        <f>Modules!F77</f>
        <v>Formula Day Worker: LOL&amp;PTD 50000 EUR ,  for Day Workers</v>
      </c>
      <c r="I13" s="1631"/>
      <c r="J13" s="1631"/>
      <c r="K13" s="1631"/>
      <c r="L13" s="1631"/>
      <c r="M13" s="1631"/>
      <c r="N13" s="1631"/>
      <c r="O13" s="1631"/>
      <c r="P13" s="1632"/>
      <c r="Q13" s="1052" t="str">
        <f>Admin!D107</f>
        <v>EUR</v>
      </c>
    </row>
    <row r="14" spans="1:17" ht="15.75" thickBot="1">
      <c r="A14" s="775"/>
      <c r="B14" s="775"/>
      <c r="C14" s="775"/>
      <c r="D14" s="840"/>
      <c r="E14" s="840"/>
      <c r="F14" s="50"/>
      <c r="G14" s="1637"/>
      <c r="H14" s="1637"/>
      <c r="I14" s="1637"/>
      <c r="J14" s="1637"/>
      <c r="K14" s="1637"/>
      <c r="L14" s="1637"/>
      <c r="M14" s="852"/>
      <c r="N14" s="852"/>
      <c r="O14" s="852"/>
      <c r="P14" s="852"/>
      <c r="Q14" s="852"/>
    </row>
    <row r="15" spans="1:17" ht="15.75" thickBot="1">
      <c r="A15" s="59"/>
      <c r="B15" s="60"/>
      <c r="C15" s="60"/>
      <c r="D15" s="60"/>
      <c r="E15" s="60"/>
      <c r="F15" s="60"/>
      <c r="G15" s="61"/>
      <c r="H15" s="61"/>
      <c r="I15" s="61"/>
      <c r="J15" s="61"/>
      <c r="K15" s="61"/>
      <c r="L15" s="61"/>
      <c r="M15" s="62"/>
      <c r="N15" s="62"/>
      <c r="O15" s="62"/>
      <c r="P15" s="62"/>
      <c r="Q15" s="51"/>
    </row>
    <row r="16" spans="1:17">
      <c r="A16" s="1553">
        <v>42566</v>
      </c>
      <c r="B16" s="1554"/>
      <c r="C16" s="1577" t="s">
        <v>2908</v>
      </c>
      <c r="D16" s="1577"/>
      <c r="E16" s="1577"/>
      <c r="F16" s="1577"/>
      <c r="G16" s="1559" t="str">
        <f>certificateNB</f>
        <v>12522.3</v>
      </c>
      <c r="H16" s="1561" t="str">
        <f>YACHTNAME</f>
        <v xml:space="preserve">IDOL            </v>
      </c>
      <c r="I16" s="1562"/>
      <c r="J16" s="1562"/>
      <c r="K16" s="1562"/>
      <c r="L16" s="1563"/>
      <c r="M16" s="1569" t="s">
        <v>198</v>
      </c>
      <c r="N16" s="1570"/>
      <c r="O16" s="1548">
        <v>40544</v>
      </c>
      <c r="P16" s="1551" t="s">
        <v>199</v>
      </c>
      <c r="Q16" s="1552">
        <v>1</v>
      </c>
    </row>
    <row r="17" spans="1:18" ht="15.75" thickBot="1">
      <c r="A17" s="1555"/>
      <c r="B17" s="1556"/>
      <c r="C17" s="1578"/>
      <c r="D17" s="1578"/>
      <c r="E17" s="1578"/>
      <c r="F17" s="1578"/>
      <c r="G17" s="1560"/>
      <c r="H17" s="1564"/>
      <c r="I17" s="1638"/>
      <c r="J17" s="1638"/>
      <c r="K17" s="1638"/>
      <c r="L17" s="1608"/>
      <c r="M17" s="1569"/>
      <c r="N17" s="1570"/>
      <c r="O17" s="1548"/>
      <c r="P17" s="1551"/>
      <c r="Q17" s="1552"/>
    </row>
    <row r="18" spans="1:18" ht="24.95" customHeight="1">
      <c r="A18" s="1093">
        <v>0</v>
      </c>
      <c r="B18" s="1092" t="s">
        <v>12</v>
      </c>
      <c r="C18" s="1584"/>
      <c r="D18" s="1584"/>
      <c r="E18" s="1584"/>
      <c r="F18" s="1584"/>
      <c r="G18" s="1166" t="s">
        <v>2902</v>
      </c>
      <c r="H18" s="1538" t="s">
        <v>2909</v>
      </c>
      <c r="I18" s="1538"/>
      <c r="J18" s="1538"/>
      <c r="K18" s="1538"/>
      <c r="L18" s="1538"/>
      <c r="M18" s="1539" t="s">
        <v>2494</v>
      </c>
      <c r="N18" s="1539"/>
      <c r="O18" s="825">
        <v>3649.68</v>
      </c>
      <c r="P18" s="1544">
        <f>A16</f>
        <v>42566</v>
      </c>
      <c r="Q18" s="1576" t="str">
        <f>Q6</f>
        <v>EUR</v>
      </c>
      <c r="R18" s="831">
        <v>1</v>
      </c>
    </row>
    <row r="19" spans="1:18" ht="24.95" customHeight="1">
      <c r="A19" s="1093">
        <v>0</v>
      </c>
      <c r="B19" s="1092" t="s">
        <v>200</v>
      </c>
      <c r="C19" s="1541"/>
      <c r="D19" s="1541"/>
      <c r="E19" s="1541"/>
      <c r="F19" s="1541"/>
      <c r="G19" s="1166" t="s">
        <v>2910</v>
      </c>
      <c r="H19" s="1538" t="s">
        <v>2911</v>
      </c>
      <c r="I19" s="1538"/>
      <c r="J19" s="1538"/>
      <c r="K19" s="1538"/>
      <c r="L19" s="1538"/>
      <c r="M19" s="1539" t="s">
        <v>2585</v>
      </c>
      <c r="N19" s="1539"/>
      <c r="O19" s="825">
        <v>3131.83</v>
      </c>
      <c r="P19" s="1544"/>
      <c r="Q19" s="1576"/>
      <c r="R19" s="831">
        <v>2</v>
      </c>
    </row>
    <row r="20" spans="1:18" ht="24.95" customHeight="1">
      <c r="A20" s="1093">
        <v>0</v>
      </c>
      <c r="B20" s="1092"/>
      <c r="C20" s="1541"/>
      <c r="D20" s="1541"/>
      <c r="E20" s="1541"/>
      <c r="F20" s="1541"/>
      <c r="G20" s="1166"/>
      <c r="H20" s="1591"/>
      <c r="I20" s="1591"/>
      <c r="J20" s="1591"/>
      <c r="K20" s="1591"/>
      <c r="L20" s="1591"/>
      <c r="M20" s="1539" t="s">
        <v>206</v>
      </c>
      <c r="N20" s="1539"/>
      <c r="O20" s="825">
        <v>0</v>
      </c>
      <c r="P20" s="1544"/>
      <c r="Q20" s="1576"/>
      <c r="R20" s="831">
        <v>3</v>
      </c>
    </row>
    <row r="21" spans="1:18" ht="59.25" customHeight="1">
      <c r="A21" s="1409">
        <v>0</v>
      </c>
      <c r="B21" s="1094" t="s">
        <v>201</v>
      </c>
      <c r="C21" s="1543"/>
      <c r="D21" s="1543"/>
      <c r="E21" s="1543"/>
      <c r="F21" s="1543"/>
      <c r="G21" s="63">
        <v>240303</v>
      </c>
      <c r="H21" s="1538" t="s">
        <v>2912</v>
      </c>
      <c r="I21" s="1538"/>
      <c r="J21" s="1538"/>
      <c r="K21" s="1538"/>
      <c r="L21" s="1538"/>
      <c r="M21" s="1539" t="s">
        <v>2586</v>
      </c>
      <c r="N21" s="1539"/>
      <c r="O21" s="825">
        <v>11270.15</v>
      </c>
      <c r="P21" s="1544"/>
      <c r="Q21" s="1576"/>
      <c r="R21" s="831">
        <v>4</v>
      </c>
    </row>
    <row r="22" spans="1:18" ht="41.25" customHeight="1">
      <c r="A22" s="1409">
        <v>0</v>
      </c>
      <c r="B22" s="1094" t="s">
        <v>207</v>
      </c>
      <c r="C22" s="1543"/>
      <c r="D22" s="1543"/>
      <c r="E22" s="1543"/>
      <c r="F22" s="1543"/>
      <c r="G22" s="823"/>
      <c r="H22" s="1575"/>
      <c r="I22" s="1575"/>
      <c r="J22" s="1575"/>
      <c r="K22" s="1575"/>
      <c r="L22" s="1575"/>
      <c r="M22" s="1539" t="s">
        <v>2587</v>
      </c>
      <c r="N22" s="1539"/>
      <c r="O22" s="768">
        <v>0</v>
      </c>
      <c r="P22" s="1544"/>
      <c r="Q22" s="752">
        <f>RECAPITULATIF!T21</f>
        <v>191.99</v>
      </c>
      <c r="R22" s="831">
        <v>5</v>
      </c>
    </row>
    <row r="23" spans="1:18" ht="24.95" customHeight="1">
      <c r="A23" s="1571"/>
      <c r="B23" s="1537"/>
      <c r="C23" s="1537"/>
      <c r="D23" s="1537"/>
      <c r="E23" s="1537"/>
      <c r="F23" s="1537"/>
      <c r="G23" s="1166"/>
      <c r="H23" s="1538"/>
      <c r="I23" s="1538"/>
      <c r="J23" s="1538"/>
      <c r="K23" s="1538"/>
      <c r="L23" s="1538"/>
      <c r="M23" s="1539" t="s">
        <v>2588</v>
      </c>
      <c r="N23" s="1539"/>
      <c r="O23" s="768">
        <v>0</v>
      </c>
      <c r="P23" s="1544">
        <v>42749</v>
      </c>
      <c r="Q23" s="1527"/>
      <c r="R23" s="831">
        <v>6</v>
      </c>
    </row>
    <row r="24" spans="1:18" ht="24.95" customHeight="1">
      <c r="A24" s="1571"/>
      <c r="B24" s="1537"/>
      <c r="C24" s="1537"/>
      <c r="D24" s="1537"/>
      <c r="E24" s="1537"/>
      <c r="F24" s="1537"/>
      <c r="G24" s="822"/>
      <c r="H24" s="1528"/>
      <c r="I24" s="1528"/>
      <c r="J24" s="1528"/>
      <c r="K24" s="1528"/>
      <c r="L24" s="1528"/>
      <c r="M24" s="1529" t="s">
        <v>202</v>
      </c>
      <c r="N24" s="1529"/>
      <c r="O24" s="768">
        <v>96</v>
      </c>
      <c r="P24" s="1544"/>
      <c r="Q24" s="1527"/>
      <c r="R24" s="831">
        <v>7</v>
      </c>
    </row>
    <row r="25" spans="1:18" ht="33" customHeight="1">
      <c r="A25" s="1571"/>
      <c r="B25" s="1537"/>
      <c r="C25" s="1537"/>
      <c r="D25" s="1537"/>
      <c r="E25" s="1537"/>
      <c r="F25" s="1537"/>
      <c r="G25" s="1166">
        <v>140494</v>
      </c>
      <c r="H25" s="1530" t="s">
        <v>2505</v>
      </c>
      <c r="I25" s="1530"/>
      <c r="J25" s="1530"/>
      <c r="K25" s="1530"/>
      <c r="L25" s="1530"/>
      <c r="M25" s="1531" t="s">
        <v>203</v>
      </c>
      <c r="N25" s="1531"/>
      <c r="O25" s="769">
        <v>914.06</v>
      </c>
      <c r="P25" s="1544"/>
      <c r="Q25" s="1532"/>
      <c r="R25" s="831">
        <v>8</v>
      </c>
    </row>
    <row r="26" spans="1:18" ht="15" customHeight="1" thickBot="1">
      <c r="A26" s="1571"/>
      <c r="B26" s="1537"/>
      <c r="C26" s="1537"/>
      <c r="D26" s="1537"/>
      <c r="E26" s="1537"/>
      <c r="F26" s="1537"/>
      <c r="G26" s="1533"/>
      <c r="H26" s="1533"/>
      <c r="I26" s="1533"/>
      <c r="J26" s="1533"/>
      <c r="K26" s="1533"/>
      <c r="L26" s="1533"/>
      <c r="M26" s="1534" t="s">
        <v>204</v>
      </c>
      <c r="N26" s="1534"/>
      <c r="O26" s="751">
        <v>0</v>
      </c>
      <c r="P26" s="1544"/>
      <c r="Q26" s="1532"/>
      <c r="R26" s="831">
        <v>9</v>
      </c>
    </row>
    <row r="27" spans="1:18" ht="15" customHeight="1" thickBot="1">
      <c r="A27" s="1571"/>
      <c r="B27" s="1537"/>
      <c r="C27" s="1537"/>
      <c r="D27" s="1537"/>
      <c r="E27" s="1537"/>
      <c r="F27" s="1537"/>
      <c r="G27" s="1533"/>
      <c r="H27" s="1533"/>
      <c r="I27" s="1533"/>
      <c r="J27" s="1533"/>
      <c r="K27" s="1533"/>
      <c r="L27" s="1533"/>
      <c r="M27" s="1535" t="s">
        <v>205</v>
      </c>
      <c r="N27" s="1536"/>
      <c r="O27" s="767">
        <v>19061.72</v>
      </c>
      <c r="P27" s="1544"/>
      <c r="Q27" s="1532"/>
      <c r="R27" s="831">
        <v>10</v>
      </c>
    </row>
    <row r="28" spans="1:18" ht="15.75" customHeight="1" thickBot="1">
      <c r="A28" s="1572"/>
      <c r="B28" s="1627"/>
      <c r="C28" s="1627"/>
      <c r="D28" s="1627"/>
      <c r="E28" s="1627"/>
      <c r="F28" s="1627"/>
      <c r="G28" s="1628"/>
      <c r="H28" s="1628"/>
      <c r="I28" s="1628"/>
      <c r="J28" s="1628"/>
      <c r="K28" s="1628"/>
      <c r="L28" s="1628"/>
      <c r="Q28" s="1532"/>
    </row>
    <row r="29" spans="1:18">
      <c r="A29" s="1553">
        <v>42750</v>
      </c>
      <c r="B29" s="1554"/>
      <c r="C29" s="1557" t="s">
        <v>3079</v>
      </c>
      <c r="D29" s="1557"/>
      <c r="E29" s="1557"/>
      <c r="F29" s="1557"/>
      <c r="G29" s="1559" t="s">
        <v>2889</v>
      </c>
      <c r="H29" s="1561" t="s">
        <v>2890</v>
      </c>
      <c r="I29" s="1562"/>
      <c r="J29" s="1562"/>
      <c r="K29" s="1562"/>
      <c r="L29" s="1563"/>
      <c r="M29" s="1569" t="s">
        <v>198</v>
      </c>
      <c r="N29" s="1570"/>
      <c r="O29" s="1548">
        <f>A29</f>
        <v>42750</v>
      </c>
      <c r="P29" s="1551" t="s">
        <v>199</v>
      </c>
      <c r="Q29" s="1552">
        <v>2</v>
      </c>
    </row>
    <row r="30" spans="1:18" ht="15.75" thickBot="1">
      <c r="A30" s="1555"/>
      <c r="B30" s="1556"/>
      <c r="C30" s="1558"/>
      <c r="D30" s="1558"/>
      <c r="E30" s="1558"/>
      <c r="F30" s="1558"/>
      <c r="G30" s="1560"/>
      <c r="H30" s="1564"/>
      <c r="I30" s="1623"/>
      <c r="J30" s="1623"/>
      <c r="K30" s="1623"/>
      <c r="L30" s="1608"/>
      <c r="M30" s="1569"/>
      <c r="N30" s="1570"/>
      <c r="O30" s="1548"/>
      <c r="P30" s="1551"/>
      <c r="Q30" s="1552"/>
    </row>
    <row r="31" spans="1:18" ht="24.95" customHeight="1">
      <c r="A31" s="1093">
        <v>0</v>
      </c>
      <c r="B31" s="1092" t="s">
        <v>12</v>
      </c>
      <c r="C31" s="1584"/>
      <c r="D31" s="1584"/>
      <c r="E31" s="1584"/>
      <c r="F31" s="1584"/>
      <c r="G31" s="1166" t="s">
        <v>2902</v>
      </c>
      <c r="H31" s="1538" t="s">
        <v>2909</v>
      </c>
      <c r="I31" s="1538"/>
      <c r="J31" s="1538"/>
      <c r="K31" s="1538"/>
      <c r="L31" s="1538"/>
      <c r="M31" s="1539" t="s">
        <v>2494</v>
      </c>
      <c r="N31" s="1539"/>
      <c r="O31" s="825">
        <v>-1013.8</v>
      </c>
      <c r="P31" s="1544">
        <f>A29</f>
        <v>42750</v>
      </c>
      <c r="Q31" s="1576" t="str">
        <f>Q6</f>
        <v>EUR</v>
      </c>
      <c r="R31" s="831">
        <v>1</v>
      </c>
    </row>
    <row r="32" spans="1:18" ht="24.95" customHeight="1">
      <c r="A32" s="1384">
        <v>0</v>
      </c>
      <c r="B32" s="1092" t="s">
        <v>200</v>
      </c>
      <c r="C32" s="1541"/>
      <c r="D32" s="1541"/>
      <c r="E32" s="1541"/>
      <c r="F32" s="1541"/>
      <c r="G32" s="1166" t="s">
        <v>2910</v>
      </c>
      <c r="H32" s="1538" t="s">
        <v>2911</v>
      </c>
      <c r="I32" s="1538"/>
      <c r="J32" s="1538"/>
      <c r="K32" s="1538"/>
      <c r="L32" s="1538"/>
      <c r="M32" s="1539" t="s">
        <v>2585</v>
      </c>
      <c r="N32" s="1539"/>
      <c r="O32" s="825">
        <v>313.18</v>
      </c>
      <c r="P32" s="1544"/>
      <c r="Q32" s="1576"/>
      <c r="R32" s="831">
        <v>2</v>
      </c>
    </row>
    <row r="33" spans="1:18" ht="24.95" customHeight="1">
      <c r="A33" s="1384">
        <v>0</v>
      </c>
      <c r="B33" s="1094" t="s">
        <v>2891</v>
      </c>
      <c r="C33" s="1541"/>
      <c r="D33" s="1541"/>
      <c r="E33" s="1541"/>
      <c r="F33" s="1541"/>
      <c r="G33" s="1166"/>
      <c r="H33" s="1591"/>
      <c r="I33" s="1591"/>
      <c r="J33" s="1591"/>
      <c r="K33" s="1591"/>
      <c r="L33" s="1591"/>
      <c r="M33" s="1539" t="s">
        <v>206</v>
      </c>
      <c r="N33" s="1539"/>
      <c r="O33" s="825">
        <v>0</v>
      </c>
      <c r="P33" s="1544"/>
      <c r="Q33" s="1576"/>
      <c r="R33" s="831">
        <v>3</v>
      </c>
    </row>
    <row r="34" spans="1:18" ht="55.5" customHeight="1">
      <c r="A34" s="1385"/>
      <c r="B34" s="1094" t="s">
        <v>201</v>
      </c>
      <c r="C34" s="1543"/>
      <c r="D34" s="1543"/>
      <c r="E34" s="1543"/>
      <c r="F34" s="1543"/>
      <c r="G34" s="63">
        <v>240303</v>
      </c>
      <c r="H34" s="1538" t="s">
        <v>2912</v>
      </c>
      <c r="I34" s="1538"/>
      <c r="J34" s="1538"/>
      <c r="K34" s="1538"/>
      <c r="L34" s="1538"/>
      <c r="M34" s="1539" t="s">
        <v>2586</v>
      </c>
      <c r="N34" s="1539"/>
      <c r="O34" s="825">
        <v>92.63</v>
      </c>
      <c r="P34" s="1544"/>
      <c r="Q34" s="1576"/>
      <c r="R34" s="831">
        <v>4</v>
      </c>
    </row>
    <row r="35" spans="1:18" ht="36" customHeight="1">
      <c r="A35" s="1385"/>
      <c r="B35" s="1386"/>
      <c r="C35" s="1543"/>
      <c r="D35" s="1543"/>
      <c r="E35" s="1543"/>
      <c r="F35" s="1543"/>
      <c r="G35" s="63"/>
      <c r="H35" s="1538"/>
      <c r="I35" s="1538"/>
      <c r="J35" s="1538"/>
      <c r="K35" s="1538"/>
      <c r="L35" s="1538"/>
      <c r="M35" s="1539" t="s">
        <v>2587</v>
      </c>
      <c r="N35" s="1539"/>
      <c r="O35" s="768">
        <v>0</v>
      </c>
      <c r="P35" s="1544"/>
      <c r="Q35" s="752">
        <f>RECAPITULATIF!T22</f>
        <v>-7.99</v>
      </c>
      <c r="R35" s="831">
        <v>5</v>
      </c>
    </row>
    <row r="36" spans="1:18" ht="24.95" customHeight="1">
      <c r="A36" s="1571"/>
      <c r="B36" s="1537"/>
      <c r="C36" s="1537"/>
      <c r="D36" s="1537"/>
      <c r="E36" s="1537"/>
      <c r="F36" s="1537"/>
      <c r="G36" s="1166"/>
      <c r="H36" s="1538"/>
      <c r="I36" s="1538"/>
      <c r="J36" s="1538"/>
      <c r="K36" s="1538"/>
      <c r="L36" s="1538"/>
      <c r="M36" s="1539" t="s">
        <v>2588</v>
      </c>
      <c r="N36" s="1539"/>
      <c r="O36" s="768">
        <v>0</v>
      </c>
      <c r="P36" s="1544">
        <v>42930</v>
      </c>
      <c r="Q36" s="1527"/>
      <c r="R36" s="831">
        <v>6</v>
      </c>
    </row>
    <row r="37" spans="1:18" ht="30" customHeight="1">
      <c r="A37" s="1571"/>
      <c r="B37" s="1537"/>
      <c r="C37" s="1537"/>
      <c r="D37" s="1537"/>
      <c r="E37" s="1537"/>
      <c r="F37" s="1537"/>
      <c r="G37" s="822"/>
      <c r="H37" s="1528"/>
      <c r="I37" s="1528"/>
      <c r="J37" s="1528"/>
      <c r="K37" s="1528"/>
      <c r="L37" s="1528"/>
      <c r="M37" s="1529" t="s">
        <v>202</v>
      </c>
      <c r="N37" s="1529"/>
      <c r="O37" s="768">
        <v>-4</v>
      </c>
      <c r="P37" s="1544"/>
      <c r="Q37" s="1527"/>
      <c r="R37" s="831">
        <v>7</v>
      </c>
    </row>
    <row r="38" spans="1:18" ht="30" customHeight="1">
      <c r="A38" s="1571"/>
      <c r="B38" s="1537"/>
      <c r="C38" s="1537"/>
      <c r="D38" s="1537"/>
      <c r="E38" s="1537"/>
      <c r="F38" s="1537"/>
      <c r="G38" s="63">
        <v>140494</v>
      </c>
      <c r="H38" s="1530" t="s">
        <v>2772</v>
      </c>
      <c r="I38" s="1530"/>
      <c r="J38" s="1530"/>
      <c r="K38" s="1530"/>
      <c r="L38" s="1620"/>
      <c r="M38" s="1531" t="s">
        <v>203</v>
      </c>
      <c r="N38" s="1531"/>
      <c r="O38" s="769">
        <v>-32.31</v>
      </c>
      <c r="P38" s="1544"/>
      <c r="Q38" s="1532"/>
      <c r="R38" s="831">
        <v>8</v>
      </c>
    </row>
    <row r="39" spans="1:18" ht="18" customHeight="1" thickBot="1">
      <c r="A39" s="1571"/>
      <c r="B39" s="1537"/>
      <c r="C39" s="1537"/>
      <c r="D39" s="1537"/>
      <c r="E39" s="1537"/>
      <c r="F39" s="1537"/>
      <c r="G39" s="1533"/>
      <c r="H39" s="1533"/>
      <c r="I39" s="1533"/>
      <c r="J39" s="1533"/>
      <c r="K39" s="1533"/>
      <c r="L39" s="1533"/>
      <c r="M39" s="1534" t="s">
        <v>204</v>
      </c>
      <c r="N39" s="1534"/>
      <c r="O39" s="751">
        <v>0</v>
      </c>
      <c r="P39" s="1544"/>
      <c r="Q39" s="1532"/>
      <c r="R39" s="831">
        <v>9</v>
      </c>
    </row>
    <row r="40" spans="1:18" ht="22.5" customHeight="1" thickBot="1">
      <c r="A40" s="1571"/>
      <c r="B40" s="1537"/>
      <c r="C40" s="1537"/>
      <c r="D40" s="1537"/>
      <c r="E40" s="1537"/>
      <c r="F40" s="1537"/>
      <c r="G40" s="1533"/>
      <c r="H40" s="1533"/>
      <c r="I40" s="1533"/>
      <c r="J40" s="1533"/>
      <c r="K40" s="1533"/>
      <c r="L40" s="1533"/>
      <c r="M40" s="1535" t="s">
        <v>205</v>
      </c>
      <c r="N40" s="1536"/>
      <c r="O40" s="767">
        <v>-644.29999999999995</v>
      </c>
      <c r="P40" s="1544"/>
      <c r="Q40" s="1532"/>
      <c r="R40" s="831">
        <v>10</v>
      </c>
    </row>
    <row r="41" spans="1:18" ht="15.75" customHeight="1" thickBot="1">
      <c r="A41" s="1572"/>
      <c r="B41" s="1619"/>
      <c r="C41" s="1619"/>
      <c r="D41" s="1619"/>
      <c r="E41" s="1619"/>
      <c r="F41" s="1619"/>
      <c r="G41" s="1616"/>
      <c r="H41" s="1616"/>
      <c r="I41" s="1616"/>
      <c r="J41" s="1616"/>
      <c r="K41" s="1616"/>
      <c r="L41" s="1616"/>
      <c r="M41" s="1626"/>
      <c r="N41" s="1626"/>
      <c r="O41" s="1626"/>
      <c r="P41" s="1626"/>
      <c r="Q41" s="1532"/>
    </row>
    <row r="42" spans="1:18">
      <c r="A42" s="1553"/>
      <c r="B42" s="1554"/>
      <c r="C42" s="1624"/>
      <c r="D42" s="1624"/>
      <c r="E42" s="1624"/>
      <c r="F42" s="1624"/>
      <c r="G42" s="1559" t="s">
        <v>2889</v>
      </c>
      <c r="H42" s="1561" t="s">
        <v>2890</v>
      </c>
      <c r="I42" s="1562"/>
      <c r="J42" s="1562"/>
      <c r="K42" s="1562"/>
      <c r="L42" s="1563"/>
      <c r="M42" s="1569" t="s">
        <v>198</v>
      </c>
      <c r="N42" s="1570"/>
      <c r="O42" s="1548">
        <f>A42</f>
        <v>0</v>
      </c>
      <c r="P42" s="1551" t="s">
        <v>199</v>
      </c>
      <c r="Q42" s="1552">
        <v>3</v>
      </c>
    </row>
    <row r="43" spans="1:18" ht="15.75" thickBot="1">
      <c r="A43" s="1555"/>
      <c r="B43" s="1556"/>
      <c r="C43" s="1625"/>
      <c r="D43" s="1625"/>
      <c r="E43" s="1625"/>
      <c r="F43" s="1625"/>
      <c r="G43" s="1560"/>
      <c r="H43" s="1564"/>
      <c r="I43" s="1623"/>
      <c r="J43" s="1623"/>
      <c r="K43" s="1623"/>
      <c r="L43" s="1608"/>
      <c r="M43" s="1569"/>
      <c r="N43" s="1570"/>
      <c r="O43" s="1548"/>
      <c r="P43" s="1551"/>
      <c r="Q43" s="1552"/>
    </row>
    <row r="44" spans="1:18" ht="24.95" customHeight="1">
      <c r="A44" s="1093">
        <v>0</v>
      </c>
      <c r="B44" s="1092" t="s">
        <v>12</v>
      </c>
      <c r="C44" s="1545"/>
      <c r="D44" s="1545"/>
      <c r="E44" s="1545"/>
      <c r="F44" s="1545"/>
      <c r="G44" s="822"/>
      <c r="H44" s="1546"/>
      <c r="I44" s="1546"/>
      <c r="J44" s="1546"/>
      <c r="K44" s="1546"/>
      <c r="L44" s="1546"/>
      <c r="M44" s="1539" t="s">
        <v>2494</v>
      </c>
      <c r="N44" s="1539"/>
      <c r="O44" s="825">
        <v>0</v>
      </c>
      <c r="P44" s="1544">
        <f>A42</f>
        <v>0</v>
      </c>
      <c r="Q44" s="1576" t="str">
        <f>Q6</f>
        <v>EUR</v>
      </c>
      <c r="R44" s="831">
        <v>1</v>
      </c>
    </row>
    <row r="45" spans="1:18" ht="24.95" customHeight="1">
      <c r="A45" s="1384">
        <v>0</v>
      </c>
      <c r="B45" s="1092" t="s">
        <v>200</v>
      </c>
      <c r="C45" s="1541"/>
      <c r="D45" s="1541"/>
      <c r="E45" s="1541"/>
      <c r="F45" s="1541"/>
      <c r="G45" s="1166"/>
      <c r="H45" s="1538"/>
      <c r="I45" s="1538"/>
      <c r="J45" s="1538"/>
      <c r="K45" s="1538"/>
      <c r="L45" s="1538"/>
      <c r="M45" s="1539" t="s">
        <v>2585</v>
      </c>
      <c r="N45" s="1539"/>
      <c r="O45" s="825">
        <v>0</v>
      </c>
      <c r="P45" s="1544"/>
      <c r="Q45" s="1576"/>
      <c r="R45" s="831">
        <v>2</v>
      </c>
    </row>
    <row r="46" spans="1:18" ht="24.95" customHeight="1">
      <c r="A46" s="1384">
        <v>0</v>
      </c>
      <c r="B46" s="1094" t="s">
        <v>2891</v>
      </c>
      <c r="C46" s="1541"/>
      <c r="D46" s="1541"/>
      <c r="E46" s="1541"/>
      <c r="F46" s="1541"/>
      <c r="G46" s="1166"/>
      <c r="H46" s="1591"/>
      <c r="I46" s="1591"/>
      <c r="J46" s="1591"/>
      <c r="K46" s="1591"/>
      <c r="L46" s="1591"/>
      <c r="M46" s="1539" t="s">
        <v>206</v>
      </c>
      <c r="N46" s="1539"/>
      <c r="O46" s="825">
        <v>0</v>
      </c>
      <c r="P46" s="1544"/>
      <c r="Q46" s="1576"/>
      <c r="R46" s="831">
        <v>3</v>
      </c>
    </row>
    <row r="47" spans="1:18" ht="54.75" customHeight="1">
      <c r="A47" s="1385"/>
      <c r="B47" s="1094" t="s">
        <v>201</v>
      </c>
      <c r="C47" s="1543"/>
      <c r="D47" s="1543"/>
      <c r="E47" s="1543"/>
      <c r="F47" s="1543"/>
      <c r="G47" s="63"/>
      <c r="H47" s="1538"/>
      <c r="I47" s="1538"/>
      <c r="J47" s="1538"/>
      <c r="K47" s="1538"/>
      <c r="L47" s="1538"/>
      <c r="M47" s="1539" t="s">
        <v>2586</v>
      </c>
      <c r="N47" s="1539"/>
      <c r="O47" s="825">
        <v>0</v>
      </c>
      <c r="P47" s="1544"/>
      <c r="Q47" s="1576"/>
      <c r="R47" s="831">
        <v>4</v>
      </c>
    </row>
    <row r="48" spans="1:18" ht="35.1" customHeight="1">
      <c r="A48" s="1385"/>
      <c r="B48" s="1386"/>
      <c r="C48" s="1543"/>
      <c r="D48" s="1543"/>
      <c r="E48" s="1543"/>
      <c r="F48" s="1543"/>
      <c r="G48" s="63"/>
      <c r="H48" s="1538"/>
      <c r="I48" s="1538"/>
      <c r="J48" s="1538"/>
      <c r="K48" s="1538"/>
      <c r="L48" s="1538"/>
      <c r="M48" s="1539" t="s">
        <v>2587</v>
      </c>
      <c r="N48" s="1539"/>
      <c r="O48" s="768">
        <v>0</v>
      </c>
      <c r="P48" s="1544"/>
      <c r="Q48" s="752">
        <f>RECAPITULATIF!T23</f>
        <v>0</v>
      </c>
      <c r="R48" s="831">
        <v>5</v>
      </c>
    </row>
    <row r="49" spans="1:18" ht="24.95" customHeight="1">
      <c r="A49" s="1571"/>
      <c r="B49" s="1537"/>
      <c r="C49" s="1537"/>
      <c r="D49" s="1537"/>
      <c r="E49" s="1537"/>
      <c r="F49" s="1537"/>
      <c r="G49" s="1166"/>
      <c r="H49" s="1538"/>
      <c r="I49" s="1538"/>
      <c r="J49" s="1538"/>
      <c r="K49" s="1538"/>
      <c r="L49" s="1538"/>
      <c r="M49" s="1539" t="s">
        <v>2588</v>
      </c>
      <c r="N49" s="1539"/>
      <c r="O49" s="768">
        <v>0</v>
      </c>
      <c r="P49" s="1544"/>
      <c r="Q49" s="1527"/>
      <c r="R49" s="831">
        <v>6</v>
      </c>
    </row>
    <row r="50" spans="1:18" ht="24.95" customHeight="1">
      <c r="A50" s="1571"/>
      <c r="B50" s="1537"/>
      <c r="C50" s="1537"/>
      <c r="D50" s="1537"/>
      <c r="E50" s="1537"/>
      <c r="F50" s="1537"/>
      <c r="G50" s="822"/>
      <c r="H50" s="1528"/>
      <c r="I50" s="1528"/>
      <c r="J50" s="1528"/>
      <c r="K50" s="1528"/>
      <c r="L50" s="1528"/>
      <c r="M50" s="1529" t="s">
        <v>202</v>
      </c>
      <c r="N50" s="1529"/>
      <c r="O50" s="768">
        <v>0</v>
      </c>
      <c r="P50" s="1544"/>
      <c r="Q50" s="1527"/>
      <c r="R50" s="831">
        <v>7</v>
      </c>
    </row>
    <row r="51" spans="1:18" ht="22.5" customHeight="1">
      <c r="A51" s="1571"/>
      <c r="B51" s="1537"/>
      <c r="C51" s="1537"/>
      <c r="D51" s="1537"/>
      <c r="E51" s="1537"/>
      <c r="F51" s="1537"/>
      <c r="G51" s="63">
        <v>140494</v>
      </c>
      <c r="H51" s="1530" t="s">
        <v>2772</v>
      </c>
      <c r="I51" s="1530"/>
      <c r="J51" s="1530"/>
      <c r="K51" s="1530"/>
      <c r="L51" s="1620"/>
      <c r="M51" s="1531" t="s">
        <v>203</v>
      </c>
      <c r="N51" s="1531"/>
      <c r="O51" s="769">
        <v>0</v>
      </c>
      <c r="P51" s="1544"/>
      <c r="Q51" s="1532"/>
      <c r="R51" s="831">
        <v>8</v>
      </c>
    </row>
    <row r="52" spans="1:18" ht="15" customHeight="1" thickBot="1">
      <c r="A52" s="1571"/>
      <c r="B52" s="1537"/>
      <c r="C52" s="1537"/>
      <c r="D52" s="1537"/>
      <c r="E52" s="1537"/>
      <c r="F52" s="1537"/>
      <c r="G52" s="1533"/>
      <c r="H52" s="1533"/>
      <c r="I52" s="1533"/>
      <c r="J52" s="1533"/>
      <c r="K52" s="1533"/>
      <c r="L52" s="1533"/>
      <c r="M52" s="1534" t="s">
        <v>204</v>
      </c>
      <c r="N52" s="1534"/>
      <c r="O52" s="751">
        <v>0</v>
      </c>
      <c r="P52" s="1544"/>
      <c r="Q52" s="1532"/>
      <c r="R52" s="831">
        <v>9</v>
      </c>
    </row>
    <row r="53" spans="1:18" ht="25.5" customHeight="1" thickBot="1">
      <c r="A53" s="1571"/>
      <c r="B53" s="1537"/>
      <c r="C53" s="1537"/>
      <c r="D53" s="1537"/>
      <c r="E53" s="1537"/>
      <c r="F53" s="1537"/>
      <c r="G53" s="1533"/>
      <c r="H53" s="1533"/>
      <c r="I53" s="1533"/>
      <c r="J53" s="1533"/>
      <c r="K53" s="1533"/>
      <c r="L53" s="1533"/>
      <c r="M53" s="1535" t="s">
        <v>205</v>
      </c>
      <c r="N53" s="1536"/>
      <c r="O53" s="767">
        <v>0</v>
      </c>
      <c r="P53" s="1544"/>
      <c r="Q53" s="1532"/>
      <c r="R53" s="831">
        <v>10</v>
      </c>
    </row>
    <row r="54" spans="1:18" ht="15.75" customHeight="1" thickBot="1">
      <c r="A54" s="1572"/>
      <c r="B54" s="1619"/>
      <c r="C54" s="1619"/>
      <c r="D54" s="1619"/>
      <c r="E54" s="1619"/>
      <c r="F54" s="1619"/>
      <c r="G54" s="1616"/>
      <c r="H54" s="1616"/>
      <c r="I54" s="1616"/>
      <c r="J54" s="1616"/>
      <c r="K54" s="1616"/>
      <c r="L54" s="1616"/>
      <c r="M54" s="572"/>
      <c r="N54" s="572"/>
      <c r="O54" s="572"/>
      <c r="P54" s="572"/>
      <c r="Q54" s="1532"/>
    </row>
    <row r="55" spans="1:18" ht="15.75" customHeight="1" thickBot="1">
      <c r="A55" s="669"/>
      <c r="B55" s="670"/>
      <c r="C55" s="670"/>
      <c r="D55" s="670"/>
      <c r="E55" s="670"/>
      <c r="F55" s="670"/>
      <c r="G55" s="668"/>
      <c r="H55" s="668"/>
      <c r="I55" s="668"/>
      <c r="J55" s="668"/>
      <c r="K55" s="668"/>
      <c r="L55" s="668"/>
      <c r="M55" s="671"/>
      <c r="N55" s="671"/>
      <c r="O55" s="671"/>
      <c r="P55" s="671"/>
      <c r="Q55" s="843"/>
    </row>
    <row r="56" spans="1:18">
      <c r="A56" s="1553"/>
      <c r="B56" s="1554"/>
      <c r="C56" s="1577"/>
      <c r="D56" s="1577"/>
      <c r="E56" s="1577"/>
      <c r="F56" s="1621"/>
      <c r="G56" s="1559" t="s">
        <v>2892</v>
      </c>
      <c r="H56" s="1561" t="s">
        <v>2890</v>
      </c>
      <c r="I56" s="1562"/>
      <c r="J56" s="1562"/>
      <c r="K56" s="1562"/>
      <c r="L56" s="1563"/>
      <c r="M56" s="1569" t="s">
        <v>198</v>
      </c>
      <c r="N56" s="1570"/>
      <c r="O56" s="1548">
        <f>A56</f>
        <v>0</v>
      </c>
      <c r="P56" s="1551" t="s">
        <v>199</v>
      </c>
      <c r="Q56" s="1552">
        <v>4</v>
      </c>
    </row>
    <row r="57" spans="1:18" ht="15.75" thickBot="1">
      <c r="A57" s="1555"/>
      <c r="B57" s="1556"/>
      <c r="C57" s="1578"/>
      <c r="D57" s="1578"/>
      <c r="E57" s="1578"/>
      <c r="F57" s="1622"/>
      <c r="G57" s="1560"/>
      <c r="H57" s="1564"/>
      <c r="I57" s="1623"/>
      <c r="J57" s="1623"/>
      <c r="K57" s="1623"/>
      <c r="L57" s="1608"/>
      <c r="M57" s="1569"/>
      <c r="N57" s="1570"/>
      <c r="O57" s="1548"/>
      <c r="P57" s="1551"/>
      <c r="Q57" s="1552"/>
    </row>
    <row r="58" spans="1:18" ht="24.95" customHeight="1">
      <c r="A58" s="1093">
        <v>0</v>
      </c>
      <c r="B58" s="1092" t="s">
        <v>12</v>
      </c>
      <c r="C58" s="1545"/>
      <c r="D58" s="1545"/>
      <c r="E58" s="1545"/>
      <c r="F58" s="1545"/>
      <c r="G58" s="822"/>
      <c r="H58" s="1546"/>
      <c r="I58" s="1546"/>
      <c r="J58" s="1546"/>
      <c r="K58" s="1546"/>
      <c r="L58" s="1546"/>
      <c r="M58" s="1539" t="s">
        <v>2494</v>
      </c>
      <c r="N58" s="1539"/>
      <c r="O58" s="825">
        <v>0</v>
      </c>
      <c r="P58" s="1544">
        <f>A56</f>
        <v>0</v>
      </c>
      <c r="Q58" s="1576" t="str">
        <f>Q6</f>
        <v>EUR</v>
      </c>
      <c r="R58" s="831">
        <v>1</v>
      </c>
    </row>
    <row r="59" spans="1:18" ht="24.95" customHeight="1">
      <c r="A59" s="1384">
        <v>0</v>
      </c>
      <c r="B59" s="1092" t="s">
        <v>200</v>
      </c>
      <c r="C59" s="1541"/>
      <c r="D59" s="1541"/>
      <c r="E59" s="1541"/>
      <c r="F59" s="1541"/>
      <c r="G59" s="1166"/>
      <c r="H59" s="1538"/>
      <c r="I59" s="1538"/>
      <c r="J59" s="1538"/>
      <c r="K59" s="1538"/>
      <c r="L59" s="1538"/>
      <c r="M59" s="1539" t="s">
        <v>2585</v>
      </c>
      <c r="N59" s="1539"/>
      <c r="O59" s="825">
        <v>0</v>
      </c>
      <c r="P59" s="1544"/>
      <c r="Q59" s="1576"/>
      <c r="R59" s="831">
        <v>2</v>
      </c>
    </row>
    <row r="60" spans="1:18" ht="24.95" customHeight="1">
      <c r="A60" s="1384">
        <v>0</v>
      </c>
      <c r="B60" s="1094" t="s">
        <v>2891</v>
      </c>
      <c r="C60" s="1541"/>
      <c r="D60" s="1541"/>
      <c r="E60" s="1541"/>
      <c r="F60" s="1541"/>
      <c r="G60" s="1166"/>
      <c r="H60" s="1591"/>
      <c r="I60" s="1591"/>
      <c r="J60" s="1591"/>
      <c r="K60" s="1591"/>
      <c r="L60" s="1591"/>
      <c r="M60" s="1539" t="s">
        <v>206</v>
      </c>
      <c r="N60" s="1539"/>
      <c r="O60" s="825">
        <v>0</v>
      </c>
      <c r="P60" s="1544"/>
      <c r="Q60" s="1576"/>
      <c r="R60" s="831">
        <v>3</v>
      </c>
    </row>
    <row r="61" spans="1:18" ht="35.1" customHeight="1">
      <c r="A61" s="1385"/>
      <c r="B61" s="1094" t="s">
        <v>201</v>
      </c>
      <c r="C61" s="1543"/>
      <c r="D61" s="1543"/>
      <c r="E61" s="1543"/>
      <c r="F61" s="1543"/>
      <c r="G61" s="63"/>
      <c r="H61" s="1538"/>
      <c r="I61" s="1538"/>
      <c r="J61" s="1538"/>
      <c r="K61" s="1538"/>
      <c r="L61" s="1538"/>
      <c r="M61" s="1539" t="s">
        <v>2586</v>
      </c>
      <c r="N61" s="1539"/>
      <c r="O61" s="825">
        <v>0</v>
      </c>
      <c r="P61" s="1544"/>
      <c r="Q61" s="1576"/>
      <c r="R61" s="831">
        <v>4</v>
      </c>
    </row>
    <row r="62" spans="1:18" ht="35.1" customHeight="1">
      <c r="A62" s="1385"/>
      <c r="B62" s="1386"/>
      <c r="C62" s="1543"/>
      <c r="D62" s="1543"/>
      <c r="E62" s="1543"/>
      <c r="F62" s="1543"/>
      <c r="G62" s="63"/>
      <c r="H62" s="1538"/>
      <c r="I62" s="1538"/>
      <c r="J62" s="1538"/>
      <c r="K62" s="1538"/>
      <c r="L62" s="1538"/>
      <c r="M62" s="1539" t="s">
        <v>2587</v>
      </c>
      <c r="N62" s="1539"/>
      <c r="O62" s="768">
        <v>0</v>
      </c>
      <c r="P62" s="1544"/>
      <c r="Q62" s="752">
        <f>RECAPITULATIF!T24</f>
        <v>0</v>
      </c>
      <c r="R62" s="831">
        <v>5</v>
      </c>
    </row>
    <row r="63" spans="1:18" ht="24.95" customHeight="1">
      <c r="A63" s="1571"/>
      <c r="B63" s="1537"/>
      <c r="C63" s="1537"/>
      <c r="D63" s="1537"/>
      <c r="E63" s="1537"/>
      <c r="F63" s="1537"/>
      <c r="G63" s="1166"/>
      <c r="H63" s="1538"/>
      <c r="I63" s="1538"/>
      <c r="J63" s="1538"/>
      <c r="K63" s="1538"/>
      <c r="L63" s="1538"/>
      <c r="M63" s="1539" t="s">
        <v>2588</v>
      </c>
      <c r="N63" s="1539"/>
      <c r="O63" s="768">
        <v>0</v>
      </c>
      <c r="P63" s="1544"/>
      <c r="Q63" s="1527"/>
      <c r="R63" s="831">
        <v>6</v>
      </c>
    </row>
    <row r="64" spans="1:18" ht="24.95" customHeight="1">
      <c r="A64" s="1571"/>
      <c r="B64" s="1537"/>
      <c r="C64" s="1537"/>
      <c r="D64" s="1537"/>
      <c r="E64" s="1537"/>
      <c r="F64" s="1537"/>
      <c r="G64" s="63"/>
      <c r="H64" s="1528"/>
      <c r="I64" s="1528"/>
      <c r="J64" s="1528"/>
      <c r="K64" s="1528"/>
      <c r="L64" s="1528"/>
      <c r="M64" s="1529" t="s">
        <v>202</v>
      </c>
      <c r="N64" s="1529"/>
      <c r="O64" s="768">
        <v>0</v>
      </c>
      <c r="P64" s="1544"/>
      <c r="Q64" s="1527"/>
      <c r="R64" s="831">
        <v>7</v>
      </c>
    </row>
    <row r="65" spans="1:18" ht="24" customHeight="1">
      <c r="A65" s="1571"/>
      <c r="B65" s="1537"/>
      <c r="C65" s="1537"/>
      <c r="D65" s="1537"/>
      <c r="E65" s="1537"/>
      <c r="F65" s="1537"/>
      <c r="G65" s="63">
        <v>140494</v>
      </c>
      <c r="H65" s="1530" t="s">
        <v>2772</v>
      </c>
      <c r="I65" s="1530"/>
      <c r="J65" s="1530"/>
      <c r="K65" s="1530"/>
      <c r="L65" s="1620"/>
      <c r="M65" s="1531" t="s">
        <v>203</v>
      </c>
      <c r="N65" s="1531"/>
      <c r="O65" s="769">
        <v>0</v>
      </c>
      <c r="P65" s="1544"/>
      <c r="Q65" s="1532"/>
      <c r="R65" s="831">
        <v>8</v>
      </c>
    </row>
    <row r="66" spans="1:18" ht="15.75" customHeight="1" thickBot="1">
      <c r="A66" s="1571"/>
      <c r="B66" s="1537"/>
      <c r="C66" s="1537"/>
      <c r="D66" s="1537"/>
      <c r="E66" s="1537"/>
      <c r="F66" s="1537"/>
      <c r="G66" s="1533"/>
      <c r="H66" s="1533"/>
      <c r="I66" s="1533"/>
      <c r="J66" s="1533"/>
      <c r="K66" s="1533"/>
      <c r="L66" s="1533"/>
      <c r="M66" s="1534" t="s">
        <v>204</v>
      </c>
      <c r="N66" s="1534"/>
      <c r="O66" s="751">
        <v>0</v>
      </c>
      <c r="P66" s="1544"/>
      <c r="Q66" s="1532"/>
      <c r="R66" s="831">
        <v>9</v>
      </c>
    </row>
    <row r="67" spans="1:18" ht="15.75" customHeight="1" thickBot="1">
      <c r="A67" s="1571"/>
      <c r="B67" s="1537"/>
      <c r="C67" s="1537"/>
      <c r="D67" s="1537"/>
      <c r="E67" s="1537"/>
      <c r="F67" s="1537"/>
      <c r="G67" s="1533"/>
      <c r="H67" s="1533"/>
      <c r="I67" s="1533"/>
      <c r="J67" s="1533"/>
      <c r="K67" s="1533"/>
      <c r="L67" s="1533"/>
      <c r="M67" s="1535" t="s">
        <v>205</v>
      </c>
      <c r="N67" s="1536"/>
      <c r="O67" s="767">
        <v>0</v>
      </c>
      <c r="P67" s="1544"/>
      <c r="Q67" s="1532"/>
      <c r="R67" s="831">
        <v>10</v>
      </c>
    </row>
    <row r="68" spans="1:18" ht="15.75" customHeight="1" thickBot="1">
      <c r="A68" s="1572"/>
      <c r="B68" s="1619"/>
      <c r="C68" s="1619"/>
      <c r="D68" s="1619"/>
      <c r="E68" s="1619"/>
      <c r="F68" s="1619"/>
      <c r="G68" s="1616"/>
      <c r="H68" s="1616"/>
      <c r="I68" s="1616"/>
      <c r="J68" s="1616"/>
      <c r="K68" s="1616"/>
      <c r="L68" s="1616"/>
      <c r="Q68" s="1532"/>
    </row>
    <row r="69" spans="1:18">
      <c r="A69" s="1553"/>
      <c r="B69" s="1554"/>
      <c r="C69" s="1557"/>
      <c r="D69" s="1557"/>
      <c r="E69" s="1557"/>
      <c r="F69" s="1557"/>
      <c r="G69" s="1559" t="str">
        <f>certificateNB</f>
        <v>12522.3</v>
      </c>
      <c r="H69" s="1561" t="str">
        <f>YACHTNAME</f>
        <v xml:space="preserve">IDOL            </v>
      </c>
      <c r="I69" s="1562"/>
      <c r="J69" s="1562"/>
      <c r="K69" s="1562"/>
      <c r="L69" s="1563"/>
      <c r="M69" s="1601" t="s">
        <v>198</v>
      </c>
      <c r="N69" s="1602"/>
      <c r="O69" s="1613">
        <f>A69</f>
        <v>0</v>
      </c>
      <c r="P69" s="1614" t="s">
        <v>199</v>
      </c>
      <c r="Q69" s="1552">
        <v>5</v>
      </c>
    </row>
    <row r="70" spans="1:18" ht="15.75" thickBot="1">
      <c r="A70" s="1555"/>
      <c r="B70" s="1556"/>
      <c r="C70" s="1558"/>
      <c r="D70" s="1558"/>
      <c r="E70" s="1558"/>
      <c r="F70" s="1558"/>
      <c r="G70" s="1560"/>
      <c r="H70" s="1564"/>
      <c r="I70" s="1623"/>
      <c r="J70" s="1623"/>
      <c r="K70" s="1623"/>
      <c r="L70" s="1608"/>
      <c r="M70" s="1603"/>
      <c r="N70" s="1567"/>
      <c r="O70" s="1547"/>
      <c r="P70" s="1550"/>
      <c r="Q70" s="1552"/>
    </row>
    <row r="71" spans="1:18" ht="24.95" customHeight="1">
      <c r="A71" s="1093">
        <v>0</v>
      </c>
      <c r="B71" s="1092" t="s">
        <v>12</v>
      </c>
      <c r="C71" s="1545"/>
      <c r="D71" s="1545"/>
      <c r="E71" s="1545"/>
      <c r="F71" s="1545"/>
      <c r="G71" s="822"/>
      <c r="H71" s="1546"/>
      <c r="I71" s="1546"/>
      <c r="J71" s="1546"/>
      <c r="K71" s="1546"/>
      <c r="L71" s="1546"/>
      <c r="M71" s="1539" t="s">
        <v>2494</v>
      </c>
      <c r="N71" s="1539"/>
      <c r="O71" s="825">
        <v>0</v>
      </c>
      <c r="P71" s="1544">
        <f>A69</f>
        <v>0</v>
      </c>
      <c r="Q71" s="1576" t="str">
        <f>Q8</f>
        <v>EUR</v>
      </c>
      <c r="R71" s="831">
        <v>1</v>
      </c>
    </row>
    <row r="72" spans="1:18" ht="24.95" customHeight="1">
      <c r="A72" s="1093">
        <v>0</v>
      </c>
      <c r="B72" s="1092" t="s">
        <v>200</v>
      </c>
      <c r="C72" s="1545"/>
      <c r="D72" s="1545"/>
      <c r="E72" s="1545"/>
      <c r="F72" s="1545"/>
      <c r="G72" s="1166"/>
      <c r="H72" s="1538"/>
      <c r="I72" s="1538"/>
      <c r="J72" s="1538"/>
      <c r="K72" s="1538"/>
      <c r="L72" s="1538"/>
      <c r="M72" s="1539" t="s">
        <v>2585</v>
      </c>
      <c r="N72" s="1539"/>
      <c r="O72" s="825">
        <v>0</v>
      </c>
      <c r="P72" s="1544"/>
      <c r="Q72" s="1576"/>
      <c r="R72" s="831">
        <v>2</v>
      </c>
    </row>
    <row r="73" spans="1:18" ht="24.95" customHeight="1">
      <c r="A73" s="1093">
        <v>0</v>
      </c>
      <c r="B73" s="1092"/>
      <c r="C73" s="1545"/>
      <c r="D73" s="1545"/>
      <c r="E73" s="1545"/>
      <c r="F73" s="1545"/>
      <c r="G73" s="1166"/>
      <c r="H73" s="1591"/>
      <c r="I73" s="1591"/>
      <c r="J73" s="1591"/>
      <c r="K73" s="1591"/>
      <c r="L73" s="1591"/>
      <c r="M73" s="1539" t="s">
        <v>206</v>
      </c>
      <c r="N73" s="1539"/>
      <c r="O73" s="825">
        <v>0</v>
      </c>
      <c r="P73" s="1544"/>
      <c r="Q73" s="1576"/>
      <c r="R73" s="831">
        <v>3</v>
      </c>
    </row>
    <row r="74" spans="1:18" ht="35.1" customHeight="1">
      <c r="A74" s="1384">
        <v>0</v>
      </c>
      <c r="B74" s="1094" t="s">
        <v>201</v>
      </c>
      <c r="C74" s="1592"/>
      <c r="D74" s="1592"/>
      <c r="E74" s="1592"/>
      <c r="F74" s="1592"/>
      <c r="G74" s="63"/>
      <c r="H74" s="1538"/>
      <c r="I74" s="1538"/>
      <c r="J74" s="1538"/>
      <c r="K74" s="1538"/>
      <c r="L74" s="1538"/>
      <c r="M74" s="1539" t="s">
        <v>2586</v>
      </c>
      <c r="N74" s="1539"/>
      <c r="O74" s="825">
        <v>0</v>
      </c>
      <c r="P74" s="1544"/>
      <c r="Q74" s="1576"/>
      <c r="R74" s="831">
        <v>4</v>
      </c>
    </row>
    <row r="75" spans="1:18" ht="35.1" customHeight="1">
      <c r="A75" s="1384">
        <v>0</v>
      </c>
      <c r="B75" s="1094" t="s">
        <v>207</v>
      </c>
      <c r="C75" s="1543"/>
      <c r="D75" s="1543"/>
      <c r="E75" s="1543"/>
      <c r="F75" s="1543"/>
      <c r="G75" s="63"/>
      <c r="H75" s="1538"/>
      <c r="I75" s="1538"/>
      <c r="J75" s="1538"/>
      <c r="K75" s="1538"/>
      <c r="L75" s="1538"/>
      <c r="M75" s="1539" t="s">
        <v>2587</v>
      </c>
      <c r="N75" s="1539"/>
      <c r="O75" s="768">
        <v>0</v>
      </c>
      <c r="P75" s="1544"/>
      <c r="Q75" s="752">
        <f>RECAPITULATIF!T25</f>
        <v>0</v>
      </c>
      <c r="R75" s="831">
        <v>5</v>
      </c>
    </row>
    <row r="76" spans="1:18" ht="24.95" customHeight="1">
      <c r="A76" s="1571"/>
      <c r="B76" s="1537"/>
      <c r="C76" s="1537"/>
      <c r="D76" s="1537"/>
      <c r="E76" s="1537"/>
      <c r="F76" s="1537"/>
      <c r="G76" s="1166"/>
      <c r="H76" s="1538"/>
      <c r="I76" s="1538"/>
      <c r="J76" s="1538"/>
      <c r="K76" s="1538"/>
      <c r="L76" s="1538"/>
      <c r="M76" s="1539" t="s">
        <v>2588</v>
      </c>
      <c r="N76" s="1539"/>
      <c r="O76" s="768">
        <v>0</v>
      </c>
      <c r="P76" s="1544"/>
      <c r="Q76" s="1527"/>
      <c r="R76" s="831">
        <v>6</v>
      </c>
    </row>
    <row r="77" spans="1:18" ht="30" customHeight="1">
      <c r="A77" s="1571"/>
      <c r="B77" s="1537"/>
      <c r="C77" s="1537"/>
      <c r="D77" s="1537"/>
      <c r="E77" s="1537"/>
      <c r="F77" s="1537"/>
      <c r="G77" s="822"/>
      <c r="H77" s="1528"/>
      <c r="I77" s="1528"/>
      <c r="J77" s="1528"/>
      <c r="K77" s="1528"/>
      <c r="L77" s="1528"/>
      <c r="M77" s="1529" t="s">
        <v>202</v>
      </c>
      <c r="N77" s="1529"/>
      <c r="O77" s="768">
        <v>0</v>
      </c>
      <c r="P77" s="1544"/>
      <c r="Q77" s="1527"/>
      <c r="R77" s="831">
        <v>7</v>
      </c>
    </row>
    <row r="78" spans="1:18" ht="23.25" customHeight="1">
      <c r="A78" s="1571"/>
      <c r="B78" s="1537"/>
      <c r="C78" s="1537"/>
      <c r="D78" s="1537"/>
      <c r="E78" s="1537"/>
      <c r="F78" s="1537"/>
      <c r="G78" s="1166">
        <v>140494</v>
      </c>
      <c r="H78" s="1585" t="s">
        <v>2539</v>
      </c>
      <c r="I78" s="1585"/>
      <c r="J78" s="1585"/>
      <c r="K78" s="1585"/>
      <c r="L78" s="1586"/>
      <c r="M78" s="1531" t="s">
        <v>203</v>
      </c>
      <c r="N78" s="1531"/>
      <c r="O78" s="769">
        <v>0</v>
      </c>
      <c r="P78" s="1544"/>
      <c r="Q78" s="1532"/>
      <c r="R78" s="831">
        <v>8</v>
      </c>
    </row>
    <row r="79" spans="1:18" ht="15.75" customHeight="1" thickBot="1">
      <c r="A79" s="1571"/>
      <c r="B79" s="1537"/>
      <c r="C79" s="1537"/>
      <c r="D79" s="1537"/>
      <c r="E79" s="1537"/>
      <c r="F79" s="1537"/>
      <c r="G79" s="1533"/>
      <c r="H79" s="1533"/>
      <c r="I79" s="1533"/>
      <c r="J79" s="1533"/>
      <c r="K79" s="1533"/>
      <c r="L79" s="1533"/>
      <c r="M79" s="1534" t="s">
        <v>204</v>
      </c>
      <c r="N79" s="1534"/>
      <c r="O79" s="751">
        <v>0</v>
      </c>
      <c r="P79" s="1544"/>
      <c r="Q79" s="1532"/>
      <c r="R79" s="831">
        <v>9</v>
      </c>
    </row>
    <row r="80" spans="1:18" ht="15.75" customHeight="1" thickBot="1">
      <c r="A80" s="1571"/>
      <c r="B80" s="1537"/>
      <c r="C80" s="1537"/>
      <c r="D80" s="1537"/>
      <c r="E80" s="1537"/>
      <c r="F80" s="1537"/>
      <c r="G80" s="1533"/>
      <c r="H80" s="1533"/>
      <c r="I80" s="1533"/>
      <c r="J80" s="1533"/>
      <c r="K80" s="1533"/>
      <c r="L80" s="1533"/>
      <c r="M80" s="1535" t="s">
        <v>205</v>
      </c>
      <c r="N80" s="1536"/>
      <c r="O80" s="767">
        <v>0</v>
      </c>
      <c r="P80" s="1544"/>
      <c r="Q80" s="1532"/>
      <c r="R80" s="831">
        <v>10</v>
      </c>
    </row>
    <row r="81" spans="1:18" ht="15.75" customHeight="1" thickBot="1">
      <c r="A81" s="1572"/>
      <c r="B81" s="1619"/>
      <c r="C81" s="1619"/>
      <c r="D81" s="1619"/>
      <c r="E81" s="1619"/>
      <c r="F81" s="1619"/>
      <c r="G81" s="1616"/>
      <c r="H81" s="1616"/>
      <c r="I81" s="1616"/>
      <c r="J81" s="1616"/>
      <c r="K81" s="1616"/>
      <c r="L81" s="1616"/>
      <c r="M81" s="1617"/>
      <c r="N81" s="1617"/>
      <c r="O81" s="1617"/>
      <c r="P81" s="1618"/>
      <c r="Q81" s="1532"/>
    </row>
    <row r="82" spans="1:18">
      <c r="A82" s="1553"/>
      <c r="B82" s="1554"/>
      <c r="C82" s="1599"/>
      <c r="D82" s="1599"/>
      <c r="E82" s="1599"/>
      <c r="F82" s="1599"/>
      <c r="G82" s="1559" t="str">
        <f>certificateNB</f>
        <v>12522.3</v>
      </c>
      <c r="H82" s="1561" t="str">
        <f>YACHTNAME</f>
        <v xml:space="preserve">IDOL            </v>
      </c>
      <c r="I82" s="1562"/>
      <c r="J82" s="1562"/>
      <c r="K82" s="1562"/>
      <c r="L82" s="1563"/>
      <c r="M82" s="1601" t="s">
        <v>198</v>
      </c>
      <c r="N82" s="1602"/>
      <c r="O82" s="1613">
        <f>A82</f>
        <v>0</v>
      </c>
      <c r="P82" s="1614" t="s">
        <v>199</v>
      </c>
      <c r="Q82" s="1552">
        <v>6</v>
      </c>
    </row>
    <row r="83" spans="1:18" ht="15.75" thickBot="1">
      <c r="A83" s="1555"/>
      <c r="B83" s="1556"/>
      <c r="C83" s="1600"/>
      <c r="D83" s="1600"/>
      <c r="E83" s="1600"/>
      <c r="F83" s="1600"/>
      <c r="G83" s="1560"/>
      <c r="H83" s="1564"/>
      <c r="I83" s="1588"/>
      <c r="J83" s="1588"/>
      <c r="K83" s="1588"/>
      <c r="L83" s="1589"/>
      <c r="M83" s="1603"/>
      <c r="N83" s="1567"/>
      <c r="O83" s="1547"/>
      <c r="P83" s="1550"/>
      <c r="Q83" s="1552"/>
    </row>
    <row r="84" spans="1:18" ht="24.95" customHeight="1">
      <c r="A84" s="818">
        <v>0</v>
      </c>
      <c r="B84" s="819" t="s">
        <v>12</v>
      </c>
      <c r="C84" s="1615"/>
      <c r="D84" s="1615"/>
      <c r="E84" s="1615"/>
      <c r="F84" s="1615"/>
      <c r="G84" s="822"/>
      <c r="H84" s="1546"/>
      <c r="I84" s="1546"/>
      <c r="J84" s="1546"/>
      <c r="K84" s="1546"/>
      <c r="L84" s="1546"/>
      <c r="M84" s="1539" t="s">
        <v>2494</v>
      </c>
      <c r="N84" s="1539"/>
      <c r="O84" s="825">
        <v>0</v>
      </c>
      <c r="P84" s="1544">
        <f>A82</f>
        <v>0</v>
      </c>
      <c r="Q84" s="1576" t="str">
        <f>Q11</f>
        <v>EUR</v>
      </c>
      <c r="R84" s="831">
        <v>1</v>
      </c>
    </row>
    <row r="85" spans="1:18" ht="24.95" customHeight="1">
      <c r="A85" s="818">
        <v>0</v>
      </c>
      <c r="B85" s="819" t="s">
        <v>200</v>
      </c>
      <c r="C85" s="1615"/>
      <c r="D85" s="1615"/>
      <c r="E85" s="1615"/>
      <c r="F85" s="1615"/>
      <c r="G85" s="1166"/>
      <c r="H85" s="1538"/>
      <c r="I85" s="1538"/>
      <c r="J85" s="1538"/>
      <c r="K85" s="1538"/>
      <c r="L85" s="1538"/>
      <c r="M85" s="1539" t="s">
        <v>2585</v>
      </c>
      <c r="N85" s="1539"/>
      <c r="O85" s="825">
        <v>0</v>
      </c>
      <c r="P85" s="1544"/>
      <c r="Q85" s="1576"/>
      <c r="R85" s="831">
        <v>2</v>
      </c>
    </row>
    <row r="86" spans="1:18" ht="24.95" customHeight="1">
      <c r="A86" s="818">
        <v>0</v>
      </c>
      <c r="B86" s="819"/>
      <c r="C86" s="1545"/>
      <c r="D86" s="1545"/>
      <c r="E86" s="1545"/>
      <c r="F86" s="1545"/>
      <c r="G86" s="1166"/>
      <c r="H86" s="1591"/>
      <c r="I86" s="1591"/>
      <c r="J86" s="1591"/>
      <c r="K86" s="1591"/>
      <c r="L86" s="1591"/>
      <c r="M86" s="1539" t="s">
        <v>206</v>
      </c>
      <c r="N86" s="1539"/>
      <c r="O86" s="825">
        <v>0</v>
      </c>
      <c r="P86" s="1544"/>
      <c r="Q86" s="1576"/>
      <c r="R86" s="831">
        <v>3</v>
      </c>
    </row>
    <row r="87" spans="1:18" ht="35.1" customHeight="1">
      <c r="A87" s="841">
        <v>0</v>
      </c>
      <c r="B87" s="821" t="s">
        <v>201</v>
      </c>
      <c r="C87" s="1592"/>
      <c r="D87" s="1592"/>
      <c r="E87" s="1592"/>
      <c r="F87" s="1592"/>
      <c r="G87" s="63"/>
      <c r="H87" s="1538"/>
      <c r="I87" s="1538"/>
      <c r="J87" s="1538"/>
      <c r="K87" s="1538"/>
      <c r="L87" s="1538"/>
      <c r="M87" s="1539" t="s">
        <v>2586</v>
      </c>
      <c r="N87" s="1539"/>
      <c r="O87" s="825">
        <v>0</v>
      </c>
      <c r="P87" s="1544"/>
      <c r="Q87" s="1576"/>
      <c r="R87" s="831">
        <v>4</v>
      </c>
    </row>
    <row r="88" spans="1:18" ht="35.1" customHeight="1">
      <c r="A88" s="841">
        <v>0</v>
      </c>
      <c r="B88" s="821" t="s">
        <v>207</v>
      </c>
      <c r="C88" s="1543"/>
      <c r="D88" s="1543"/>
      <c r="E88" s="1543"/>
      <c r="F88" s="1543"/>
      <c r="G88" s="63"/>
      <c r="H88" s="1538"/>
      <c r="I88" s="1538"/>
      <c r="J88" s="1538"/>
      <c r="K88" s="1538"/>
      <c r="L88" s="1538"/>
      <c r="M88" s="1539" t="s">
        <v>2587</v>
      </c>
      <c r="N88" s="1539"/>
      <c r="O88" s="768">
        <v>0</v>
      </c>
      <c r="P88" s="1544"/>
      <c r="Q88" s="752">
        <f>RECAPITULATIF!T26</f>
        <v>0</v>
      </c>
      <c r="R88" s="831">
        <v>5</v>
      </c>
    </row>
    <row r="89" spans="1:18" ht="24.95" customHeight="1">
      <c r="A89" s="1537"/>
      <c r="B89" s="1537"/>
      <c r="C89" s="1537"/>
      <c r="D89" s="1537"/>
      <c r="E89" s="1537"/>
      <c r="F89" s="1537"/>
      <c r="G89" s="1166"/>
      <c r="H89" s="1538"/>
      <c r="I89" s="1538"/>
      <c r="J89" s="1538"/>
      <c r="K89" s="1538"/>
      <c r="L89" s="1538"/>
      <c r="M89" s="1539" t="s">
        <v>2588</v>
      </c>
      <c r="N89" s="1539"/>
      <c r="O89" s="768">
        <v>0</v>
      </c>
      <c r="P89" s="1544"/>
      <c r="Q89" s="1527"/>
      <c r="R89" s="831">
        <v>6</v>
      </c>
    </row>
    <row r="90" spans="1:18" ht="27" customHeight="1">
      <c r="A90" s="1537"/>
      <c r="B90" s="1537"/>
      <c r="C90" s="1537"/>
      <c r="D90" s="1537"/>
      <c r="E90" s="1537"/>
      <c r="F90" s="1537"/>
      <c r="G90" s="822"/>
      <c r="H90" s="1528"/>
      <c r="I90" s="1528"/>
      <c r="J90" s="1528"/>
      <c r="K90" s="1528"/>
      <c r="L90" s="1528"/>
      <c r="M90" s="1529" t="s">
        <v>202</v>
      </c>
      <c r="N90" s="1529"/>
      <c r="O90" s="768">
        <v>0</v>
      </c>
      <c r="P90" s="1544"/>
      <c r="Q90" s="1527"/>
      <c r="R90" s="831">
        <v>7</v>
      </c>
    </row>
    <row r="91" spans="1:18" ht="36.75" customHeight="1">
      <c r="A91" s="1537"/>
      <c r="B91" s="1537"/>
      <c r="C91" s="1537"/>
      <c r="D91" s="1537"/>
      <c r="E91" s="1537"/>
      <c r="F91" s="1537"/>
      <c r="G91" s="1166">
        <v>140494</v>
      </c>
      <c r="H91" s="1585" t="s">
        <v>2539</v>
      </c>
      <c r="I91" s="1585"/>
      <c r="J91" s="1585"/>
      <c r="K91" s="1585"/>
      <c r="L91" s="1586"/>
      <c r="M91" s="1531" t="s">
        <v>203</v>
      </c>
      <c r="N91" s="1531"/>
      <c r="O91" s="769">
        <v>0</v>
      </c>
      <c r="P91" s="1544"/>
      <c r="Q91" s="1532"/>
      <c r="R91" s="831">
        <v>8</v>
      </c>
    </row>
    <row r="92" spans="1:18" ht="15.75" thickBot="1">
      <c r="A92" s="1537"/>
      <c r="B92" s="1537"/>
      <c r="C92" s="1537"/>
      <c r="D92" s="1537"/>
      <c r="E92" s="1537"/>
      <c r="F92" s="1537"/>
      <c r="G92" s="1595"/>
      <c r="H92" s="1595"/>
      <c r="I92" s="1595"/>
      <c r="J92" s="1595"/>
      <c r="K92" s="1595"/>
      <c r="L92" s="1595"/>
      <c r="M92" s="1534" t="s">
        <v>204</v>
      </c>
      <c r="N92" s="1534"/>
      <c r="O92" s="751">
        <v>0</v>
      </c>
      <c r="P92" s="1544"/>
      <c r="Q92" s="1532"/>
      <c r="R92" s="831">
        <v>9</v>
      </c>
    </row>
    <row r="93" spans="1:18" ht="15.75" thickBot="1">
      <c r="A93" s="1537"/>
      <c r="B93" s="1537"/>
      <c r="C93" s="1537"/>
      <c r="D93" s="1537"/>
      <c r="E93" s="1537"/>
      <c r="F93" s="1537"/>
      <c r="G93" s="1595"/>
      <c r="H93" s="1595"/>
      <c r="I93" s="1595"/>
      <c r="J93" s="1595"/>
      <c r="K93" s="1595"/>
      <c r="L93" s="1595"/>
      <c r="M93" s="1535" t="s">
        <v>205</v>
      </c>
      <c r="N93" s="1536"/>
      <c r="O93" s="767">
        <v>0</v>
      </c>
      <c r="P93" s="1544"/>
      <c r="Q93" s="1532"/>
      <c r="R93" s="831">
        <v>10</v>
      </c>
    </row>
    <row r="94" spans="1:18">
      <c r="A94" s="1537"/>
      <c r="B94" s="1537"/>
      <c r="C94" s="1537"/>
      <c r="D94" s="1537"/>
      <c r="E94" s="1537"/>
      <c r="F94" s="1537"/>
      <c r="G94" s="1595"/>
      <c r="H94" s="1595"/>
      <c r="I94" s="1595"/>
      <c r="J94" s="1595"/>
      <c r="K94" s="1595"/>
      <c r="L94" s="1595"/>
      <c r="M94" s="674"/>
      <c r="N94" s="704"/>
      <c r="O94" s="704"/>
      <c r="P94" s="701"/>
      <c r="Q94" s="1532"/>
    </row>
    <row r="95" spans="1:18" ht="18.75" thickBot="1">
      <c r="A95" s="842"/>
      <c r="B95" s="842"/>
      <c r="C95" s="842"/>
      <c r="D95" s="842"/>
      <c r="E95" s="842"/>
      <c r="F95" s="842"/>
      <c r="G95" s="844"/>
      <c r="H95" s="844"/>
      <c r="I95" s="844"/>
      <c r="J95" s="844"/>
      <c r="K95" s="844"/>
      <c r="L95" s="844"/>
      <c r="M95" s="665"/>
      <c r="N95" s="666"/>
      <c r="O95" s="666"/>
      <c r="P95" s="667"/>
      <c r="Q95" s="843"/>
    </row>
    <row r="96" spans="1:18">
      <c r="A96" s="1553"/>
      <c r="B96" s="1554"/>
      <c r="C96" s="1577"/>
      <c r="D96" s="1577"/>
      <c r="E96" s="1577"/>
      <c r="F96" s="1577"/>
      <c r="G96" s="1559" t="str">
        <f>certificateNB</f>
        <v>12522.3</v>
      </c>
      <c r="H96" s="1561" t="str">
        <f>YACHTNAME</f>
        <v xml:space="preserve">IDOL            </v>
      </c>
      <c r="I96" s="1562"/>
      <c r="J96" s="1562"/>
      <c r="K96" s="1562"/>
      <c r="L96" s="1563"/>
      <c r="M96" s="1609" t="s">
        <v>198</v>
      </c>
      <c r="N96" s="1610"/>
      <c r="O96" s="1593">
        <f>A96</f>
        <v>0</v>
      </c>
      <c r="P96" s="1596" t="s">
        <v>199</v>
      </c>
      <c r="Q96" s="1598">
        <v>7</v>
      </c>
    </row>
    <row r="97" spans="1:18" ht="15.75" thickBot="1">
      <c r="A97" s="1604"/>
      <c r="B97" s="1605"/>
      <c r="C97" s="1606"/>
      <c r="D97" s="1606"/>
      <c r="E97" s="1606"/>
      <c r="F97" s="1606"/>
      <c r="G97" s="1560"/>
      <c r="H97" s="1564"/>
      <c r="I97" s="1607"/>
      <c r="J97" s="1607"/>
      <c r="K97" s="1607"/>
      <c r="L97" s="1608"/>
      <c r="M97" s="1611"/>
      <c r="N97" s="1612"/>
      <c r="O97" s="1594"/>
      <c r="P97" s="1597"/>
      <c r="Q97" s="1598"/>
    </row>
    <row r="98" spans="1:18" ht="24.95" customHeight="1">
      <c r="A98" s="818">
        <v>0</v>
      </c>
      <c r="B98" s="819" t="s">
        <v>12</v>
      </c>
      <c r="C98" s="1545"/>
      <c r="D98" s="1545"/>
      <c r="E98" s="1545"/>
      <c r="F98" s="1545"/>
      <c r="G98" s="820"/>
      <c r="H98" s="1538"/>
      <c r="I98" s="1538"/>
      <c r="J98" s="1538"/>
      <c r="K98" s="1538"/>
      <c r="L98" s="1538"/>
      <c r="M98" s="1539" t="s">
        <v>2494</v>
      </c>
      <c r="N98" s="1539"/>
      <c r="O98" s="825">
        <v>0</v>
      </c>
      <c r="P98" s="1544">
        <f>A96</f>
        <v>0</v>
      </c>
      <c r="Q98" s="1576" t="str">
        <f>Q6</f>
        <v>EUR</v>
      </c>
      <c r="R98" s="831">
        <v>1</v>
      </c>
    </row>
    <row r="99" spans="1:18" ht="24.95" customHeight="1">
      <c r="A99" s="818">
        <v>0</v>
      </c>
      <c r="B99" s="819" t="s">
        <v>200</v>
      </c>
      <c r="C99" s="1545"/>
      <c r="D99" s="1545"/>
      <c r="E99" s="1545"/>
      <c r="F99" s="1545"/>
      <c r="G99" s="820"/>
      <c r="H99" s="1538"/>
      <c r="I99" s="1538"/>
      <c r="J99" s="1538"/>
      <c r="K99" s="1538"/>
      <c r="L99" s="1538"/>
      <c r="M99" s="1539" t="s">
        <v>2585</v>
      </c>
      <c r="N99" s="1539"/>
      <c r="O99" s="825">
        <v>0</v>
      </c>
      <c r="P99" s="1544"/>
      <c r="Q99" s="1576"/>
      <c r="R99" s="831">
        <v>2</v>
      </c>
    </row>
    <row r="100" spans="1:18" ht="24.95" customHeight="1">
      <c r="A100" s="818">
        <v>0</v>
      </c>
      <c r="B100" s="819"/>
      <c r="C100" s="1545"/>
      <c r="D100" s="1545"/>
      <c r="E100" s="1545"/>
      <c r="F100" s="1545"/>
      <c r="G100" s="820"/>
      <c r="H100" s="1591"/>
      <c r="I100" s="1591"/>
      <c r="J100" s="1591"/>
      <c r="K100" s="1591"/>
      <c r="L100" s="1591"/>
      <c r="M100" s="1539" t="s">
        <v>206</v>
      </c>
      <c r="N100" s="1539"/>
      <c r="O100" s="825">
        <v>0</v>
      </c>
      <c r="P100" s="1544"/>
      <c r="Q100" s="1576"/>
      <c r="R100" s="831">
        <v>3</v>
      </c>
    </row>
    <row r="101" spans="1:18" ht="35.1" customHeight="1">
      <c r="A101" s="841">
        <v>0</v>
      </c>
      <c r="B101" s="821" t="s">
        <v>201</v>
      </c>
      <c r="C101" s="1592"/>
      <c r="D101" s="1592"/>
      <c r="E101" s="1592"/>
      <c r="F101" s="1592"/>
      <c r="G101" s="820"/>
      <c r="H101" s="1538"/>
      <c r="I101" s="1538"/>
      <c r="J101" s="1538"/>
      <c r="K101" s="1538"/>
      <c r="L101" s="1538"/>
      <c r="M101" s="1539" t="s">
        <v>2586</v>
      </c>
      <c r="N101" s="1539"/>
      <c r="O101" s="825">
        <v>0</v>
      </c>
      <c r="P101" s="1544"/>
      <c r="Q101" s="1576"/>
      <c r="R101" s="831">
        <v>4</v>
      </c>
    </row>
    <row r="102" spans="1:18" ht="35.1" customHeight="1">
      <c r="A102" s="841">
        <v>0</v>
      </c>
      <c r="B102" s="821" t="s">
        <v>207</v>
      </c>
      <c r="C102" s="1543"/>
      <c r="D102" s="1543"/>
      <c r="E102" s="1543"/>
      <c r="F102" s="1543"/>
      <c r="G102" s="820"/>
      <c r="H102" s="1538"/>
      <c r="I102" s="1538"/>
      <c r="J102" s="1538"/>
      <c r="K102" s="1538"/>
      <c r="L102" s="1538"/>
      <c r="M102" s="1539" t="s">
        <v>2587</v>
      </c>
      <c r="N102" s="1539"/>
      <c r="O102" s="768"/>
      <c r="P102" s="1544"/>
      <c r="Q102" s="752">
        <f>RECAPITULATIF!T27</f>
        <v>0</v>
      </c>
      <c r="R102" s="831">
        <v>5</v>
      </c>
    </row>
    <row r="103" spans="1:18" ht="24.95" customHeight="1">
      <c r="A103" s="1571"/>
      <c r="B103" s="1537"/>
      <c r="C103" s="1537"/>
      <c r="D103" s="1537"/>
      <c r="E103" s="1537"/>
      <c r="F103" s="1537"/>
      <c r="G103" s="820"/>
      <c r="H103" s="1538"/>
      <c r="I103" s="1538"/>
      <c r="J103" s="1538"/>
      <c r="K103" s="1538"/>
      <c r="L103" s="1538"/>
      <c r="M103" s="1539" t="s">
        <v>2588</v>
      </c>
      <c r="N103" s="1539"/>
      <c r="O103" s="768">
        <v>0</v>
      </c>
      <c r="P103" s="1544"/>
      <c r="Q103" s="1527"/>
      <c r="R103" s="831">
        <v>6</v>
      </c>
    </row>
    <row r="104" spans="1:18" ht="33" customHeight="1">
      <c r="A104" s="1571"/>
      <c r="B104" s="1537"/>
      <c r="C104" s="1537"/>
      <c r="D104" s="1537"/>
      <c r="E104" s="1537"/>
      <c r="F104" s="1537"/>
      <c r="G104" s="822"/>
      <c r="H104" s="1528"/>
      <c r="I104" s="1528"/>
      <c r="J104" s="1528"/>
      <c r="K104" s="1528"/>
      <c r="L104" s="1528"/>
      <c r="M104" s="1529" t="s">
        <v>202</v>
      </c>
      <c r="N104" s="1529"/>
      <c r="O104" s="768">
        <v>0</v>
      </c>
      <c r="P104" s="1544"/>
      <c r="Q104" s="1527"/>
      <c r="R104" s="831">
        <v>7</v>
      </c>
    </row>
    <row r="105" spans="1:18" ht="29.25" customHeight="1">
      <c r="A105" s="1571"/>
      <c r="B105" s="1537"/>
      <c r="C105" s="1537"/>
      <c r="D105" s="1537"/>
      <c r="E105" s="1537"/>
      <c r="F105" s="1537"/>
      <c r="G105" s="820">
        <v>140494</v>
      </c>
      <c r="H105" s="1585" t="s">
        <v>2539</v>
      </c>
      <c r="I105" s="1585"/>
      <c r="J105" s="1585"/>
      <c r="K105" s="1585"/>
      <c r="L105" s="1586"/>
      <c r="M105" s="1531" t="s">
        <v>203</v>
      </c>
      <c r="N105" s="1531"/>
      <c r="O105" s="769">
        <v>0</v>
      </c>
      <c r="P105" s="1544"/>
      <c r="Q105" s="1532"/>
      <c r="R105" s="831">
        <v>8</v>
      </c>
    </row>
    <row r="106" spans="1:18" ht="15.75" thickBot="1">
      <c r="A106" s="1571"/>
      <c r="B106" s="1537"/>
      <c r="C106" s="1537"/>
      <c r="D106" s="1537"/>
      <c r="E106" s="1537"/>
      <c r="F106" s="1537"/>
      <c r="G106" s="1533"/>
      <c r="H106" s="1533"/>
      <c r="I106" s="1533"/>
      <c r="J106" s="1533"/>
      <c r="K106" s="1533"/>
      <c r="L106" s="1533"/>
      <c r="M106" s="1534" t="s">
        <v>204</v>
      </c>
      <c r="N106" s="1534"/>
      <c r="O106" s="751">
        <v>0</v>
      </c>
      <c r="P106" s="1544"/>
      <c r="Q106" s="1532"/>
      <c r="R106" s="831">
        <v>9</v>
      </c>
    </row>
    <row r="107" spans="1:18" ht="15.75" thickBot="1">
      <c r="A107" s="1571"/>
      <c r="B107" s="1537"/>
      <c r="C107" s="1537"/>
      <c r="D107" s="1537"/>
      <c r="E107" s="1537"/>
      <c r="F107" s="1537"/>
      <c r="G107" s="1533"/>
      <c r="H107" s="1533"/>
      <c r="I107" s="1533"/>
      <c r="J107" s="1533"/>
      <c r="K107" s="1533"/>
      <c r="L107" s="1533"/>
      <c r="M107" s="1535" t="s">
        <v>205</v>
      </c>
      <c r="N107" s="1536"/>
      <c r="O107" s="767">
        <v>0</v>
      </c>
      <c r="P107" s="1544"/>
      <c r="Q107" s="1532"/>
      <c r="R107" s="831">
        <v>10</v>
      </c>
    </row>
    <row r="108" spans="1:18" ht="15.75" thickBot="1">
      <c r="A108" s="1572"/>
      <c r="B108" s="1590"/>
      <c r="C108" s="1590"/>
      <c r="D108" s="1590"/>
      <c r="E108" s="1590"/>
      <c r="F108" s="1590"/>
      <c r="G108" s="1587"/>
      <c r="H108" s="1587"/>
      <c r="I108" s="1587"/>
      <c r="J108" s="1587"/>
      <c r="K108" s="1587"/>
      <c r="L108" s="1587"/>
      <c r="M108" s="665"/>
      <c r="N108" s="666"/>
      <c r="O108" s="666"/>
      <c r="P108" s="667"/>
      <c r="Q108" s="1532"/>
    </row>
    <row r="109" spans="1:18">
      <c r="A109" s="1553"/>
      <c r="B109" s="1554"/>
      <c r="C109" s="1577"/>
      <c r="D109" s="1577"/>
      <c r="E109" s="1577"/>
      <c r="F109" s="1577"/>
      <c r="G109" s="1559" t="str">
        <f>certificateNB</f>
        <v>12522.3</v>
      </c>
      <c r="H109" s="1561" t="str">
        <f>YACHTNAME</f>
        <v xml:space="preserve">IDOL            </v>
      </c>
      <c r="I109" s="1562"/>
      <c r="J109" s="1562"/>
      <c r="K109" s="1562"/>
      <c r="L109" s="1563"/>
      <c r="M109" s="1567" t="s">
        <v>198</v>
      </c>
      <c r="N109" s="1568"/>
      <c r="O109" s="1547">
        <v>0</v>
      </c>
      <c r="P109" s="1550" t="s">
        <v>199</v>
      </c>
      <c r="Q109" s="1552">
        <v>8</v>
      </c>
    </row>
    <row r="110" spans="1:18" ht="15.75" thickBot="1">
      <c r="A110" s="1555"/>
      <c r="B110" s="1556"/>
      <c r="C110" s="1578"/>
      <c r="D110" s="1578"/>
      <c r="E110" s="1578"/>
      <c r="F110" s="1578"/>
      <c r="G110" s="1560"/>
      <c r="H110" s="1564"/>
      <c r="I110" s="1588"/>
      <c r="J110" s="1588"/>
      <c r="K110" s="1588"/>
      <c r="L110" s="1589"/>
      <c r="M110" s="1569"/>
      <c r="N110" s="1570"/>
      <c r="O110" s="1548"/>
      <c r="P110" s="1551"/>
      <c r="Q110" s="1552"/>
    </row>
    <row r="111" spans="1:18" ht="24.95" customHeight="1">
      <c r="A111" s="818">
        <v>0</v>
      </c>
      <c r="B111" s="819" t="s">
        <v>12</v>
      </c>
      <c r="C111" s="1545"/>
      <c r="D111" s="1545"/>
      <c r="E111" s="1545"/>
      <c r="F111" s="1545"/>
      <c r="G111" s="820"/>
      <c r="H111" s="1538"/>
      <c r="I111" s="1538"/>
      <c r="J111" s="1538"/>
      <c r="K111" s="1538"/>
      <c r="L111" s="1538"/>
      <c r="M111" s="1539" t="s">
        <v>2494</v>
      </c>
      <c r="N111" s="1539"/>
      <c r="O111" s="825">
        <v>0</v>
      </c>
      <c r="P111" s="1544">
        <f>A109</f>
        <v>0</v>
      </c>
      <c r="Q111" s="1576" t="str">
        <f>Q6</f>
        <v>EUR</v>
      </c>
      <c r="R111" s="831">
        <v>1</v>
      </c>
    </row>
    <row r="112" spans="1:18" ht="24.95" customHeight="1">
      <c r="A112" s="818">
        <v>0</v>
      </c>
      <c r="B112" s="819" t="s">
        <v>200</v>
      </c>
      <c r="C112" s="1545"/>
      <c r="D112" s="1545"/>
      <c r="E112" s="1545"/>
      <c r="F112" s="1545"/>
      <c r="G112" s="820"/>
      <c r="H112" s="1538"/>
      <c r="I112" s="1538"/>
      <c r="J112" s="1538"/>
      <c r="K112" s="1538"/>
      <c r="L112" s="1538"/>
      <c r="M112" s="1539" t="s">
        <v>2585</v>
      </c>
      <c r="N112" s="1539"/>
      <c r="O112" s="825">
        <v>0</v>
      </c>
      <c r="P112" s="1544"/>
      <c r="Q112" s="1576"/>
      <c r="R112" s="831">
        <v>2</v>
      </c>
    </row>
    <row r="113" spans="1:18" ht="24.95" customHeight="1">
      <c r="A113" s="818">
        <v>0</v>
      </c>
      <c r="B113" s="819"/>
      <c r="C113" s="1545"/>
      <c r="D113" s="1545"/>
      <c r="E113" s="1545"/>
      <c r="F113" s="1545"/>
      <c r="G113" s="820"/>
      <c r="H113" s="1591"/>
      <c r="I113" s="1591"/>
      <c r="J113" s="1591"/>
      <c r="K113" s="1591"/>
      <c r="L113" s="1591"/>
      <c r="M113" s="1539" t="s">
        <v>206</v>
      </c>
      <c r="N113" s="1539"/>
      <c r="O113" s="825">
        <v>0</v>
      </c>
      <c r="P113" s="1544"/>
      <c r="Q113" s="1576"/>
      <c r="R113" s="831">
        <v>3</v>
      </c>
    </row>
    <row r="114" spans="1:18" ht="24.95" customHeight="1">
      <c r="A114" s="841">
        <v>0</v>
      </c>
      <c r="B114" s="821" t="s">
        <v>201</v>
      </c>
      <c r="C114" s="1592"/>
      <c r="D114" s="1592"/>
      <c r="E114" s="1592"/>
      <c r="F114" s="1592"/>
      <c r="G114" s="820"/>
      <c r="H114" s="1538"/>
      <c r="I114" s="1538"/>
      <c r="J114" s="1538"/>
      <c r="K114" s="1538"/>
      <c r="L114" s="1538"/>
      <c r="M114" s="1539" t="s">
        <v>2586</v>
      </c>
      <c r="N114" s="1539"/>
      <c r="O114" s="825">
        <v>0</v>
      </c>
      <c r="P114" s="1544"/>
      <c r="Q114" s="1576"/>
      <c r="R114" s="831">
        <v>4</v>
      </c>
    </row>
    <row r="115" spans="1:18" ht="24.95" customHeight="1">
      <c r="A115" s="841">
        <v>0</v>
      </c>
      <c r="B115" s="821" t="s">
        <v>207</v>
      </c>
      <c r="C115" s="1543"/>
      <c r="D115" s="1543"/>
      <c r="E115" s="1543"/>
      <c r="F115" s="1543"/>
      <c r="G115" s="820"/>
      <c r="H115" s="1538"/>
      <c r="I115" s="1538"/>
      <c r="J115" s="1538"/>
      <c r="K115" s="1538"/>
      <c r="L115" s="1538"/>
      <c r="M115" s="1539" t="s">
        <v>2587</v>
      </c>
      <c r="N115" s="1539"/>
      <c r="O115" s="768"/>
      <c r="P115" s="1544"/>
      <c r="Q115" s="752">
        <f>RECAPITULATIF!T28</f>
        <v>0</v>
      </c>
      <c r="R115" s="831">
        <v>5</v>
      </c>
    </row>
    <row r="116" spans="1:18" ht="24.95" customHeight="1">
      <c r="A116" s="1571"/>
      <c r="B116" s="1537"/>
      <c r="C116" s="1537"/>
      <c r="D116" s="1537"/>
      <c r="E116" s="1537"/>
      <c r="F116" s="1537"/>
      <c r="G116" s="820"/>
      <c r="H116" s="1538"/>
      <c r="I116" s="1538"/>
      <c r="J116" s="1538"/>
      <c r="K116" s="1538"/>
      <c r="L116" s="1538"/>
      <c r="M116" s="1539" t="s">
        <v>2588</v>
      </c>
      <c r="N116" s="1539"/>
      <c r="O116" s="768">
        <v>0</v>
      </c>
      <c r="P116" s="1544"/>
      <c r="Q116" s="1527"/>
      <c r="R116" s="831">
        <v>6</v>
      </c>
    </row>
    <row r="117" spans="1:18" ht="24.95" customHeight="1">
      <c r="A117" s="1571"/>
      <c r="B117" s="1537"/>
      <c r="C117" s="1537"/>
      <c r="D117" s="1537"/>
      <c r="E117" s="1537"/>
      <c r="F117" s="1537"/>
      <c r="G117" s="822"/>
      <c r="H117" s="1528"/>
      <c r="I117" s="1528"/>
      <c r="J117" s="1528"/>
      <c r="K117" s="1528"/>
      <c r="L117" s="1528"/>
      <c r="M117" s="1529" t="s">
        <v>202</v>
      </c>
      <c r="N117" s="1529"/>
      <c r="O117" s="768">
        <v>0</v>
      </c>
      <c r="P117" s="1544"/>
      <c r="Q117" s="1527"/>
      <c r="R117" s="831">
        <v>7</v>
      </c>
    </row>
    <row r="118" spans="1:18" ht="31.5" customHeight="1">
      <c r="A118" s="1571"/>
      <c r="B118" s="1537"/>
      <c r="C118" s="1537"/>
      <c r="D118" s="1537"/>
      <c r="E118" s="1537"/>
      <c r="F118" s="1537"/>
      <c r="G118" s="820">
        <v>140494</v>
      </c>
      <c r="H118" s="1585" t="s">
        <v>2539</v>
      </c>
      <c r="I118" s="1585"/>
      <c r="J118" s="1585"/>
      <c r="K118" s="1585"/>
      <c r="L118" s="1586"/>
      <c r="M118" s="1531" t="s">
        <v>203</v>
      </c>
      <c r="N118" s="1531"/>
      <c r="O118" s="769">
        <v>0</v>
      </c>
      <c r="P118" s="1544"/>
      <c r="Q118" s="1532"/>
      <c r="R118" s="831">
        <v>8</v>
      </c>
    </row>
    <row r="119" spans="1:18" ht="15.75" thickBot="1">
      <c r="A119" s="1571"/>
      <c r="B119" s="1537"/>
      <c r="C119" s="1537"/>
      <c r="D119" s="1537"/>
      <c r="E119" s="1537"/>
      <c r="F119" s="1537"/>
      <c r="G119" s="1533"/>
      <c r="H119" s="1533"/>
      <c r="I119" s="1533"/>
      <c r="J119" s="1533"/>
      <c r="K119" s="1533"/>
      <c r="L119" s="1533"/>
      <c r="M119" s="1534" t="s">
        <v>204</v>
      </c>
      <c r="N119" s="1534"/>
      <c r="O119" s="751">
        <v>0</v>
      </c>
      <c r="P119" s="1544"/>
      <c r="Q119" s="1532"/>
      <c r="R119" s="831">
        <v>9</v>
      </c>
    </row>
    <row r="120" spans="1:18" ht="15.75" thickBot="1">
      <c r="A120" s="1571"/>
      <c r="B120" s="1537"/>
      <c r="C120" s="1537"/>
      <c r="D120" s="1537"/>
      <c r="E120" s="1537"/>
      <c r="F120" s="1537"/>
      <c r="G120" s="1533"/>
      <c r="H120" s="1533"/>
      <c r="I120" s="1533"/>
      <c r="J120" s="1533"/>
      <c r="K120" s="1533"/>
      <c r="L120" s="1533"/>
      <c r="M120" s="1535" t="s">
        <v>205</v>
      </c>
      <c r="N120" s="1536"/>
      <c r="O120" s="767">
        <v>0</v>
      </c>
      <c r="P120" s="1544"/>
      <c r="Q120" s="1532"/>
      <c r="R120" s="831">
        <v>10</v>
      </c>
    </row>
    <row r="121" spans="1:18" ht="15.75" thickBot="1">
      <c r="A121" s="1572"/>
      <c r="B121" s="1590"/>
      <c r="C121" s="1590"/>
      <c r="D121" s="1590"/>
      <c r="E121" s="1590"/>
      <c r="F121" s="1590"/>
      <c r="G121" s="1587"/>
      <c r="H121" s="1587"/>
      <c r="I121" s="1587"/>
      <c r="J121" s="1587"/>
      <c r="K121" s="1587"/>
      <c r="L121" s="1587"/>
      <c r="M121" s="665"/>
      <c r="N121" s="666"/>
      <c r="O121" s="666"/>
      <c r="P121" s="667"/>
      <c r="Q121" s="1532"/>
    </row>
    <row r="122" spans="1:18">
      <c r="A122" s="1553"/>
      <c r="B122" s="1554"/>
      <c r="C122" s="1557"/>
      <c r="D122" s="1557"/>
      <c r="E122" s="1557"/>
      <c r="F122" s="1557"/>
      <c r="G122" s="1559" t="str">
        <f>certificateNB</f>
        <v>12522.3</v>
      </c>
      <c r="H122" s="1561" t="str">
        <f>YACHTNAME</f>
        <v xml:space="preserve">IDOL            </v>
      </c>
      <c r="I122" s="1562"/>
      <c r="J122" s="1562"/>
      <c r="K122" s="1562"/>
      <c r="L122" s="1563"/>
      <c r="M122" s="1567" t="s">
        <v>198</v>
      </c>
      <c r="N122" s="1568"/>
      <c r="O122" s="1547">
        <f>A122</f>
        <v>0</v>
      </c>
      <c r="P122" s="1550" t="s">
        <v>199</v>
      </c>
      <c r="Q122" s="1552">
        <v>9</v>
      </c>
    </row>
    <row r="123" spans="1:18" ht="15.75" thickBot="1">
      <c r="A123" s="1555"/>
      <c r="B123" s="1556"/>
      <c r="C123" s="1558"/>
      <c r="D123" s="1558"/>
      <c r="E123" s="1558"/>
      <c r="F123" s="1558"/>
      <c r="G123" s="1560"/>
      <c r="H123" s="1564"/>
      <c r="I123" s="1565"/>
      <c r="J123" s="1565"/>
      <c r="K123" s="1565"/>
      <c r="L123" s="1566"/>
      <c r="M123" s="1569"/>
      <c r="N123" s="1570"/>
      <c r="O123" s="1548"/>
      <c r="P123" s="1551"/>
      <c r="Q123" s="1552"/>
    </row>
    <row r="124" spans="1:18" ht="24.95" customHeight="1">
      <c r="A124" s="818">
        <v>0</v>
      </c>
      <c r="B124" s="819" t="s">
        <v>12</v>
      </c>
      <c r="C124" s="1584"/>
      <c r="D124" s="1584"/>
      <c r="E124" s="1584"/>
      <c r="F124" s="1584"/>
      <c r="G124" s="750"/>
      <c r="H124" s="1575"/>
      <c r="I124" s="1575"/>
      <c r="J124" s="1575"/>
      <c r="K124" s="1575"/>
      <c r="L124" s="1575"/>
      <c r="M124" s="1539" t="s">
        <v>2494</v>
      </c>
      <c r="N124" s="1539"/>
      <c r="O124" s="825">
        <v>0</v>
      </c>
      <c r="P124" s="1544">
        <f>A122</f>
        <v>0</v>
      </c>
      <c r="Q124" s="1576" t="str">
        <f>Q6</f>
        <v>EUR</v>
      </c>
      <c r="R124" s="831">
        <v>1</v>
      </c>
    </row>
    <row r="125" spans="1:18" ht="24.95" customHeight="1">
      <c r="A125" s="818">
        <v>0</v>
      </c>
      <c r="B125" s="819" t="s">
        <v>200</v>
      </c>
      <c r="C125" s="1541"/>
      <c r="D125" s="1541"/>
      <c r="E125" s="1541"/>
      <c r="F125" s="1541"/>
      <c r="G125" s="750"/>
      <c r="H125" s="1575"/>
      <c r="I125" s="1575"/>
      <c r="J125" s="1575"/>
      <c r="K125" s="1575"/>
      <c r="L125" s="1575"/>
      <c r="M125" s="1539" t="s">
        <v>2585</v>
      </c>
      <c r="N125" s="1539"/>
      <c r="O125" s="825">
        <v>0</v>
      </c>
      <c r="P125" s="1544"/>
      <c r="Q125" s="1576"/>
      <c r="R125" s="831">
        <v>2</v>
      </c>
    </row>
    <row r="126" spans="1:18" ht="24.95" customHeight="1">
      <c r="A126" s="818">
        <v>0</v>
      </c>
      <c r="B126" s="819"/>
      <c r="C126" s="1541"/>
      <c r="D126" s="1541"/>
      <c r="E126" s="1541"/>
      <c r="F126" s="1541"/>
      <c r="G126" s="750"/>
      <c r="H126" s="1574"/>
      <c r="I126" s="1574"/>
      <c r="J126" s="1574"/>
      <c r="K126" s="1574"/>
      <c r="L126" s="1574"/>
      <c r="M126" s="1539" t="s">
        <v>206</v>
      </c>
      <c r="N126" s="1539"/>
      <c r="O126" s="825">
        <v>0</v>
      </c>
      <c r="P126" s="1544"/>
      <c r="Q126" s="1576"/>
      <c r="R126" s="831">
        <v>3</v>
      </c>
    </row>
    <row r="127" spans="1:18" ht="35.1" customHeight="1">
      <c r="A127" s="841">
        <v>0</v>
      </c>
      <c r="B127" s="821" t="s">
        <v>201</v>
      </c>
      <c r="C127" s="1543"/>
      <c r="D127" s="1543"/>
      <c r="E127" s="1543"/>
      <c r="F127" s="1543"/>
      <c r="G127" s="823"/>
      <c r="H127" s="1575"/>
      <c r="I127" s="1575"/>
      <c r="J127" s="1575"/>
      <c r="K127" s="1575"/>
      <c r="L127" s="1575"/>
      <c r="M127" s="1539" t="s">
        <v>2586</v>
      </c>
      <c r="N127" s="1539"/>
      <c r="O127" s="825">
        <v>0</v>
      </c>
      <c r="P127" s="1544"/>
      <c r="Q127" s="1576"/>
      <c r="R127" s="831">
        <v>4</v>
      </c>
    </row>
    <row r="128" spans="1:18" ht="35.1" customHeight="1">
      <c r="A128" s="841">
        <v>0</v>
      </c>
      <c r="B128" s="821" t="s">
        <v>207</v>
      </c>
      <c r="C128" s="1543"/>
      <c r="D128" s="1543"/>
      <c r="E128" s="1543"/>
      <c r="F128" s="1543"/>
      <c r="G128" s="823"/>
      <c r="H128" s="1575"/>
      <c r="I128" s="1575"/>
      <c r="J128" s="1575"/>
      <c r="K128" s="1575"/>
      <c r="L128" s="1575"/>
      <c r="M128" s="1539" t="s">
        <v>2587</v>
      </c>
      <c r="N128" s="1539"/>
      <c r="O128" s="768"/>
      <c r="P128" s="1544"/>
      <c r="Q128" s="752">
        <f>RECAPITULATIF!T29</f>
        <v>0</v>
      </c>
      <c r="R128" s="831">
        <v>5</v>
      </c>
    </row>
    <row r="129" spans="1:18" ht="24.95" customHeight="1">
      <c r="A129" s="1571"/>
      <c r="B129" s="1537"/>
      <c r="C129" s="1537"/>
      <c r="D129" s="1537"/>
      <c r="E129" s="1537"/>
      <c r="F129" s="1537"/>
      <c r="G129" s="820"/>
      <c r="H129" s="1538"/>
      <c r="I129" s="1538"/>
      <c r="J129" s="1538"/>
      <c r="K129" s="1538"/>
      <c r="L129" s="1538"/>
      <c r="M129" s="1539" t="s">
        <v>2588</v>
      </c>
      <c r="N129" s="1539"/>
      <c r="O129" s="768">
        <v>0</v>
      </c>
      <c r="P129" s="1544"/>
      <c r="Q129" s="1527"/>
      <c r="R129" s="831">
        <v>6</v>
      </c>
    </row>
    <row r="130" spans="1:18" ht="24.95" customHeight="1">
      <c r="A130" s="1571"/>
      <c r="B130" s="1537"/>
      <c r="C130" s="1537"/>
      <c r="D130" s="1537"/>
      <c r="E130" s="1537"/>
      <c r="F130" s="1537"/>
      <c r="G130" s="822"/>
      <c r="H130" s="1528"/>
      <c r="I130" s="1528"/>
      <c r="J130" s="1528"/>
      <c r="K130" s="1528"/>
      <c r="L130" s="1528"/>
      <c r="M130" s="1529" t="s">
        <v>202</v>
      </c>
      <c r="N130" s="1529"/>
      <c r="O130" s="768">
        <v>0</v>
      </c>
      <c r="P130" s="1544"/>
      <c r="Q130" s="1527"/>
      <c r="R130" s="831">
        <v>7</v>
      </c>
    </row>
    <row r="131" spans="1:18" ht="39.75" customHeight="1">
      <c r="A131" s="1571"/>
      <c r="B131" s="1537"/>
      <c r="C131" s="1537"/>
      <c r="D131" s="1537"/>
      <c r="E131" s="1537"/>
      <c r="F131" s="1537"/>
      <c r="G131" s="820">
        <v>140494</v>
      </c>
      <c r="H131" s="1530" t="s">
        <v>2505</v>
      </c>
      <c r="I131" s="1530"/>
      <c r="J131" s="1530"/>
      <c r="K131" s="1530"/>
      <c r="L131" s="1530"/>
      <c r="M131" s="1531" t="s">
        <v>203</v>
      </c>
      <c r="N131" s="1531"/>
      <c r="O131" s="769">
        <v>0</v>
      </c>
      <c r="P131" s="1544"/>
      <c r="Q131" s="1532"/>
      <c r="R131" s="831">
        <v>8</v>
      </c>
    </row>
    <row r="132" spans="1:18" ht="15.75" thickBot="1">
      <c r="A132" s="1571"/>
      <c r="B132" s="1537"/>
      <c r="C132" s="1537"/>
      <c r="D132" s="1537"/>
      <c r="E132" s="1537"/>
      <c r="F132" s="1537"/>
      <c r="G132" s="1533"/>
      <c r="H132" s="1533"/>
      <c r="I132" s="1533"/>
      <c r="J132" s="1533"/>
      <c r="K132" s="1533"/>
      <c r="L132" s="1533"/>
      <c r="M132" s="1534" t="s">
        <v>204</v>
      </c>
      <c r="N132" s="1534"/>
      <c r="O132" s="751">
        <v>0</v>
      </c>
      <c r="P132" s="1544"/>
      <c r="Q132" s="1532"/>
      <c r="R132" s="831">
        <v>9</v>
      </c>
    </row>
    <row r="133" spans="1:18" ht="15.75" thickBot="1">
      <c r="A133" s="1571"/>
      <c r="B133" s="1537"/>
      <c r="C133" s="1537"/>
      <c r="D133" s="1537"/>
      <c r="E133" s="1537"/>
      <c r="F133" s="1537"/>
      <c r="G133" s="1533"/>
      <c r="H133" s="1533"/>
      <c r="I133" s="1533"/>
      <c r="J133" s="1533"/>
      <c r="K133" s="1533"/>
      <c r="L133" s="1533"/>
      <c r="M133" s="1535" t="s">
        <v>205</v>
      </c>
      <c r="N133" s="1536"/>
      <c r="O133" s="767">
        <v>0</v>
      </c>
      <c r="P133" s="1544"/>
      <c r="Q133" s="1532"/>
      <c r="R133" s="831">
        <v>10</v>
      </c>
    </row>
    <row r="134" spans="1:18">
      <c r="A134" s="1571"/>
      <c r="B134" s="1537"/>
      <c r="C134" s="1537"/>
      <c r="D134" s="1537"/>
      <c r="E134" s="1537"/>
      <c r="F134" s="1537"/>
      <c r="G134" s="1533"/>
      <c r="H134" s="1533"/>
      <c r="I134" s="1533"/>
      <c r="J134" s="1533"/>
      <c r="K134" s="1533"/>
      <c r="L134" s="1533"/>
      <c r="M134" s="1540"/>
      <c r="N134" s="1540"/>
      <c r="O134" s="1540"/>
      <c r="P134" s="1581"/>
      <c r="Q134" s="1532"/>
    </row>
    <row r="135" spans="1:18" ht="15.75" thickBot="1">
      <c r="A135" s="1572"/>
      <c r="B135" s="1580"/>
      <c r="C135" s="1580"/>
      <c r="D135" s="1580"/>
      <c r="E135" s="1580"/>
      <c r="F135" s="1580"/>
      <c r="G135" s="1579"/>
      <c r="H135" s="1579"/>
      <c r="I135" s="1579"/>
      <c r="J135" s="1579"/>
      <c r="K135" s="1579"/>
      <c r="L135" s="1579"/>
      <c r="M135" s="1582"/>
      <c r="N135" s="1582"/>
      <c r="O135" s="1582"/>
      <c r="P135" s="1583"/>
      <c r="Q135" s="843"/>
    </row>
    <row r="136" spans="1:18">
      <c r="A136" s="1553"/>
      <c r="B136" s="1554"/>
      <c r="C136" s="1577"/>
      <c r="D136" s="1577"/>
      <c r="E136" s="1577"/>
      <c r="F136" s="1577"/>
      <c r="G136" s="1559" t="str">
        <f>certificateNB</f>
        <v>12522.3</v>
      </c>
      <c r="H136" s="1561" t="str">
        <f>YACHTNAME</f>
        <v xml:space="preserve">IDOL            </v>
      </c>
      <c r="I136" s="1562"/>
      <c r="J136" s="1562"/>
      <c r="K136" s="1562"/>
      <c r="L136" s="1563"/>
      <c r="M136" s="1567" t="s">
        <v>198</v>
      </c>
      <c r="N136" s="1568"/>
      <c r="O136" s="1547">
        <f>A136</f>
        <v>0</v>
      </c>
      <c r="P136" s="1550" t="s">
        <v>199</v>
      </c>
      <c r="Q136" s="1552">
        <v>10</v>
      </c>
    </row>
    <row r="137" spans="1:18" ht="15.75" thickBot="1">
      <c r="A137" s="1555"/>
      <c r="B137" s="1556"/>
      <c r="C137" s="1578"/>
      <c r="D137" s="1578"/>
      <c r="E137" s="1578"/>
      <c r="F137" s="1578"/>
      <c r="G137" s="1560"/>
      <c r="H137" s="1564"/>
      <c r="I137" s="1565"/>
      <c r="J137" s="1565"/>
      <c r="K137" s="1565"/>
      <c r="L137" s="1566"/>
      <c r="M137" s="1569"/>
      <c r="N137" s="1570"/>
      <c r="O137" s="1548"/>
      <c r="P137" s="1551"/>
      <c r="Q137" s="1552"/>
    </row>
    <row r="138" spans="1:18" ht="24.95" customHeight="1">
      <c r="A138" s="818">
        <v>0</v>
      </c>
      <c r="B138" s="819" t="s">
        <v>12</v>
      </c>
      <c r="C138" s="1545"/>
      <c r="D138" s="1545"/>
      <c r="E138" s="1545"/>
      <c r="F138" s="1545"/>
      <c r="G138" s="750"/>
      <c r="H138" s="1575"/>
      <c r="I138" s="1575"/>
      <c r="J138" s="1575"/>
      <c r="K138" s="1575"/>
      <c r="L138" s="1575"/>
      <c r="M138" s="1539" t="s">
        <v>2494</v>
      </c>
      <c r="N138" s="1539"/>
      <c r="O138" s="825">
        <v>0</v>
      </c>
      <c r="P138" s="1544">
        <f>A136</f>
        <v>0</v>
      </c>
      <c r="Q138" s="1576" t="str">
        <f>Q6</f>
        <v>EUR</v>
      </c>
      <c r="R138" s="831">
        <v>1</v>
      </c>
    </row>
    <row r="139" spans="1:18" ht="24.95" customHeight="1">
      <c r="A139" s="818">
        <v>0</v>
      </c>
      <c r="B139" s="819" t="s">
        <v>200</v>
      </c>
      <c r="C139" s="1541"/>
      <c r="D139" s="1541"/>
      <c r="E139" s="1541"/>
      <c r="F139" s="1541"/>
      <c r="G139" s="750"/>
      <c r="H139" s="1575"/>
      <c r="I139" s="1575"/>
      <c r="J139" s="1575"/>
      <c r="K139" s="1575"/>
      <c r="L139" s="1575"/>
      <c r="M139" s="1539" t="s">
        <v>2585</v>
      </c>
      <c r="N139" s="1539"/>
      <c r="O139" s="825">
        <v>0</v>
      </c>
      <c r="P139" s="1544"/>
      <c r="Q139" s="1576"/>
      <c r="R139" s="831">
        <v>2</v>
      </c>
    </row>
    <row r="140" spans="1:18" ht="24.95" customHeight="1">
      <c r="A140" s="818">
        <v>0</v>
      </c>
      <c r="B140" s="819"/>
      <c r="C140" s="1541"/>
      <c r="D140" s="1541"/>
      <c r="E140" s="1541"/>
      <c r="F140" s="1541"/>
      <c r="G140" s="750"/>
      <c r="H140" s="1574"/>
      <c r="I140" s="1574"/>
      <c r="J140" s="1574"/>
      <c r="K140" s="1574"/>
      <c r="L140" s="1574"/>
      <c r="M140" s="1539" t="s">
        <v>206</v>
      </c>
      <c r="N140" s="1539"/>
      <c r="O140" s="825">
        <v>0</v>
      </c>
      <c r="P140" s="1544"/>
      <c r="Q140" s="1576"/>
      <c r="R140" s="831">
        <v>3</v>
      </c>
    </row>
    <row r="141" spans="1:18" ht="35.1" customHeight="1">
      <c r="A141" s="841">
        <v>0</v>
      </c>
      <c r="B141" s="821" t="s">
        <v>201</v>
      </c>
      <c r="C141" s="1543"/>
      <c r="D141" s="1543"/>
      <c r="E141" s="1543"/>
      <c r="F141" s="1543"/>
      <c r="G141" s="823"/>
      <c r="H141" s="1575"/>
      <c r="I141" s="1575"/>
      <c r="J141" s="1575"/>
      <c r="K141" s="1575"/>
      <c r="L141" s="1575"/>
      <c r="M141" s="1539" t="s">
        <v>2586</v>
      </c>
      <c r="N141" s="1539"/>
      <c r="O141" s="825">
        <v>0</v>
      </c>
      <c r="P141" s="1544"/>
      <c r="Q141" s="1576"/>
      <c r="R141" s="831">
        <v>4</v>
      </c>
    </row>
    <row r="142" spans="1:18" ht="35.1" customHeight="1">
      <c r="A142" s="841">
        <v>0</v>
      </c>
      <c r="B142" s="821" t="s">
        <v>207</v>
      </c>
      <c r="C142" s="1543"/>
      <c r="D142" s="1543"/>
      <c r="E142" s="1543"/>
      <c r="F142" s="1543"/>
      <c r="G142" s="823"/>
      <c r="H142" s="1575"/>
      <c r="I142" s="1575"/>
      <c r="J142" s="1575"/>
      <c r="K142" s="1575"/>
      <c r="L142" s="1575"/>
      <c r="M142" s="1539" t="s">
        <v>2587</v>
      </c>
      <c r="N142" s="1539"/>
      <c r="O142" s="768"/>
      <c r="P142" s="1544"/>
      <c r="Q142" s="752">
        <f>RECAPITULATIF!T30</f>
        <v>0</v>
      </c>
      <c r="R142" s="831">
        <v>5</v>
      </c>
    </row>
    <row r="143" spans="1:18" ht="24.95" customHeight="1">
      <c r="A143" s="1571"/>
      <c r="B143" s="1537"/>
      <c r="C143" s="1537"/>
      <c r="D143" s="1537"/>
      <c r="E143" s="1537"/>
      <c r="F143" s="1537"/>
      <c r="G143" s="820"/>
      <c r="H143" s="1538"/>
      <c r="I143" s="1538"/>
      <c r="J143" s="1538"/>
      <c r="K143" s="1538"/>
      <c r="L143" s="1538"/>
      <c r="M143" s="1539" t="s">
        <v>2588</v>
      </c>
      <c r="N143" s="1539"/>
      <c r="O143" s="768">
        <v>0</v>
      </c>
      <c r="P143" s="1544"/>
      <c r="Q143" s="1527"/>
      <c r="R143" s="831">
        <v>6</v>
      </c>
    </row>
    <row r="144" spans="1:18" ht="24.95" customHeight="1">
      <c r="A144" s="1571"/>
      <c r="B144" s="1537"/>
      <c r="C144" s="1537"/>
      <c r="D144" s="1537"/>
      <c r="E144" s="1537"/>
      <c r="F144" s="1537"/>
      <c r="G144" s="822"/>
      <c r="H144" s="1528"/>
      <c r="I144" s="1528"/>
      <c r="J144" s="1528"/>
      <c r="K144" s="1528"/>
      <c r="L144" s="1528"/>
      <c r="M144" s="1529" t="s">
        <v>202</v>
      </c>
      <c r="N144" s="1529"/>
      <c r="O144" s="768">
        <v>0</v>
      </c>
      <c r="P144" s="1544"/>
      <c r="Q144" s="1527"/>
      <c r="R144" s="831">
        <v>7</v>
      </c>
    </row>
    <row r="145" spans="1:18" ht="39" customHeight="1">
      <c r="A145" s="1571"/>
      <c r="B145" s="1537"/>
      <c r="C145" s="1537"/>
      <c r="D145" s="1537"/>
      <c r="E145" s="1537"/>
      <c r="F145" s="1537"/>
      <c r="G145" s="820">
        <v>140494</v>
      </c>
      <c r="H145" s="1530" t="s">
        <v>2505</v>
      </c>
      <c r="I145" s="1530"/>
      <c r="J145" s="1530"/>
      <c r="K145" s="1530"/>
      <c r="L145" s="1530"/>
      <c r="M145" s="1531" t="s">
        <v>203</v>
      </c>
      <c r="N145" s="1531"/>
      <c r="O145" s="769">
        <v>0</v>
      </c>
      <c r="P145" s="1544"/>
      <c r="Q145" s="1532"/>
      <c r="R145" s="831">
        <v>8</v>
      </c>
    </row>
    <row r="146" spans="1:18" ht="15.75" thickBot="1">
      <c r="A146" s="1571"/>
      <c r="B146" s="1537"/>
      <c r="C146" s="1537"/>
      <c r="D146" s="1537"/>
      <c r="E146" s="1537"/>
      <c r="F146" s="1537"/>
      <c r="G146" s="1533"/>
      <c r="H146" s="1533"/>
      <c r="I146" s="1533"/>
      <c r="J146" s="1533"/>
      <c r="K146" s="1533"/>
      <c r="L146" s="1533"/>
      <c r="M146" s="1534" t="s">
        <v>204</v>
      </c>
      <c r="N146" s="1534"/>
      <c r="O146" s="751">
        <v>0</v>
      </c>
      <c r="P146" s="1544"/>
      <c r="Q146" s="1532"/>
      <c r="R146" s="831">
        <v>9</v>
      </c>
    </row>
    <row r="147" spans="1:18" ht="15.75" thickBot="1">
      <c r="A147" s="1571"/>
      <c r="B147" s="1537"/>
      <c r="C147" s="1537"/>
      <c r="D147" s="1537"/>
      <c r="E147" s="1537"/>
      <c r="F147" s="1537"/>
      <c r="G147" s="1533"/>
      <c r="H147" s="1533"/>
      <c r="I147" s="1533"/>
      <c r="J147" s="1533"/>
      <c r="K147" s="1533"/>
      <c r="L147" s="1533"/>
      <c r="M147" s="1535" t="s">
        <v>205</v>
      </c>
      <c r="N147" s="1536"/>
      <c r="O147" s="767">
        <v>0</v>
      </c>
      <c r="P147" s="1544"/>
      <c r="Q147" s="1532"/>
      <c r="R147" s="831">
        <v>10</v>
      </c>
    </row>
    <row r="148" spans="1:18" ht="15.75" thickBot="1">
      <c r="A148" s="1572"/>
      <c r="B148" s="1573"/>
      <c r="C148" s="1573"/>
      <c r="D148" s="1573"/>
      <c r="E148" s="1573"/>
      <c r="F148" s="1573"/>
      <c r="G148" s="1549"/>
      <c r="H148" s="1549"/>
      <c r="I148" s="1549"/>
      <c r="J148" s="1549"/>
      <c r="K148" s="1549"/>
      <c r="L148" s="1549"/>
      <c r="M148" s="665"/>
      <c r="N148" s="666"/>
      <c r="O148" s="666"/>
      <c r="P148" s="667"/>
      <c r="Q148" s="1532"/>
    </row>
    <row r="149" spans="1:18">
      <c r="A149" s="1553"/>
      <c r="B149" s="1554"/>
      <c r="C149" s="1557"/>
      <c r="D149" s="1557"/>
      <c r="E149" s="1557"/>
      <c r="F149" s="1557"/>
      <c r="G149" s="1559" t="str">
        <f>certificateNB</f>
        <v>12522.3</v>
      </c>
      <c r="H149" s="1561" t="str">
        <f>YACHTNAME</f>
        <v xml:space="preserve">IDOL            </v>
      </c>
      <c r="I149" s="1562"/>
      <c r="J149" s="1562"/>
      <c r="K149" s="1562"/>
      <c r="L149" s="1563"/>
      <c r="M149" s="1567" t="s">
        <v>198</v>
      </c>
      <c r="N149" s="1568"/>
      <c r="O149" s="1547">
        <f>A149</f>
        <v>0</v>
      </c>
      <c r="P149" s="1550" t="s">
        <v>199</v>
      </c>
      <c r="Q149" s="1552">
        <v>11</v>
      </c>
    </row>
    <row r="150" spans="1:18" ht="15.75" thickBot="1">
      <c r="A150" s="1555"/>
      <c r="B150" s="1556"/>
      <c r="C150" s="1558"/>
      <c r="D150" s="1558"/>
      <c r="E150" s="1558"/>
      <c r="F150" s="1558"/>
      <c r="G150" s="1560"/>
      <c r="H150" s="1564"/>
      <c r="I150" s="1565"/>
      <c r="J150" s="1565"/>
      <c r="K150" s="1565"/>
      <c r="L150" s="1566"/>
      <c r="M150" s="1569"/>
      <c r="N150" s="1570"/>
      <c r="O150" s="1548"/>
      <c r="P150" s="1551"/>
      <c r="Q150" s="1552"/>
    </row>
    <row r="151" spans="1:18" ht="24.95" customHeight="1">
      <c r="A151" s="818">
        <v>0</v>
      </c>
      <c r="B151" s="819" t="s">
        <v>12</v>
      </c>
      <c r="C151" s="1545"/>
      <c r="D151" s="1545"/>
      <c r="E151" s="1545"/>
      <c r="F151" s="1545"/>
      <c r="G151" s="822"/>
      <c r="H151" s="1546"/>
      <c r="I151" s="1546"/>
      <c r="J151" s="1546"/>
      <c r="K151" s="1546"/>
      <c r="L151" s="1546"/>
      <c r="M151" s="1539" t="s">
        <v>2494</v>
      </c>
      <c r="N151" s="1539"/>
      <c r="O151" s="825">
        <v>0</v>
      </c>
      <c r="P151" s="1544">
        <f>A149</f>
        <v>0</v>
      </c>
      <c r="Q151" s="1527" t="str">
        <f>Q6</f>
        <v>EUR</v>
      </c>
      <c r="R151" s="831">
        <v>1</v>
      </c>
    </row>
    <row r="152" spans="1:18" ht="24.95" customHeight="1">
      <c r="A152" s="818">
        <v>0</v>
      </c>
      <c r="B152" s="819" t="s">
        <v>200</v>
      </c>
      <c r="C152" s="1541"/>
      <c r="D152" s="1541"/>
      <c r="E152" s="1541"/>
      <c r="F152" s="1541"/>
      <c r="G152" s="822"/>
      <c r="H152" s="1546"/>
      <c r="I152" s="1546"/>
      <c r="J152" s="1546"/>
      <c r="K152" s="1546"/>
      <c r="L152" s="1546"/>
      <c r="M152" s="1539" t="s">
        <v>2585</v>
      </c>
      <c r="N152" s="1539"/>
      <c r="O152" s="825">
        <v>0</v>
      </c>
      <c r="P152" s="1544"/>
      <c r="Q152" s="1527"/>
      <c r="R152" s="831">
        <v>2</v>
      </c>
    </row>
    <row r="153" spans="1:18" ht="24.95" customHeight="1">
      <c r="A153" s="818">
        <v>0</v>
      </c>
      <c r="B153" s="819"/>
      <c r="C153" s="1541"/>
      <c r="D153" s="1541"/>
      <c r="E153" s="1541"/>
      <c r="F153" s="1541"/>
      <c r="G153" s="822"/>
      <c r="H153" s="1542"/>
      <c r="I153" s="1542"/>
      <c r="J153" s="1542"/>
      <c r="K153" s="1542"/>
      <c r="L153" s="1542"/>
      <c r="M153" s="1539" t="s">
        <v>206</v>
      </c>
      <c r="N153" s="1539"/>
      <c r="O153" s="825">
        <v>0</v>
      </c>
      <c r="P153" s="1544"/>
      <c r="Q153" s="1527"/>
      <c r="R153" s="831">
        <v>3</v>
      </c>
    </row>
    <row r="154" spans="1:18" ht="35.1" customHeight="1">
      <c r="A154" s="841">
        <v>0</v>
      </c>
      <c r="B154" s="821" t="s">
        <v>201</v>
      </c>
      <c r="C154" s="1543"/>
      <c r="D154" s="1543"/>
      <c r="E154" s="1543"/>
      <c r="F154" s="1543"/>
      <c r="G154" s="820"/>
      <c r="H154" s="1538"/>
      <c r="I154" s="1538"/>
      <c r="J154" s="1538"/>
      <c r="K154" s="1538"/>
      <c r="L154" s="1538"/>
      <c r="M154" s="1539" t="s">
        <v>2586</v>
      </c>
      <c r="N154" s="1539"/>
      <c r="O154" s="825">
        <v>0</v>
      </c>
      <c r="P154" s="1544"/>
      <c r="Q154" s="1527"/>
      <c r="R154" s="831">
        <v>4</v>
      </c>
    </row>
    <row r="155" spans="1:18" ht="35.1" customHeight="1">
      <c r="A155" s="841">
        <v>0</v>
      </c>
      <c r="B155" s="821" t="s">
        <v>207</v>
      </c>
      <c r="C155" s="1543"/>
      <c r="D155" s="1543"/>
      <c r="E155" s="1543"/>
      <c r="F155" s="1543"/>
      <c r="G155" s="820"/>
      <c r="H155" s="1538"/>
      <c r="I155" s="1538"/>
      <c r="J155" s="1538"/>
      <c r="K155" s="1538"/>
      <c r="L155" s="1538"/>
      <c r="M155" s="1539" t="s">
        <v>2587</v>
      </c>
      <c r="N155" s="1539"/>
      <c r="O155" s="768"/>
      <c r="P155" s="1544"/>
      <c r="Q155" s="752">
        <f>RECAPITULATIF!T31</f>
        <v>0</v>
      </c>
      <c r="R155" s="831">
        <v>5</v>
      </c>
    </row>
    <row r="156" spans="1:18" ht="24.95" customHeight="1">
      <c r="A156" s="1571"/>
      <c r="B156" s="1537"/>
      <c r="C156" s="1537"/>
      <c r="D156" s="1537"/>
      <c r="E156" s="1537"/>
      <c r="F156" s="1537"/>
      <c r="G156" s="820"/>
      <c r="H156" s="1538"/>
      <c r="I156" s="1538"/>
      <c r="J156" s="1538"/>
      <c r="K156" s="1538"/>
      <c r="L156" s="1538"/>
      <c r="M156" s="1539" t="s">
        <v>2588</v>
      </c>
      <c r="N156" s="1539"/>
      <c r="O156" s="768">
        <v>0</v>
      </c>
      <c r="P156" s="1544"/>
      <c r="Q156" s="1527"/>
      <c r="R156" s="831">
        <v>6</v>
      </c>
    </row>
    <row r="157" spans="1:18" ht="24.95" customHeight="1">
      <c r="A157" s="1571"/>
      <c r="B157" s="1537"/>
      <c r="C157" s="1537"/>
      <c r="D157" s="1537"/>
      <c r="E157" s="1537"/>
      <c r="F157" s="1537"/>
      <c r="G157" s="63"/>
      <c r="H157" s="1528"/>
      <c r="I157" s="1528"/>
      <c r="J157" s="1528"/>
      <c r="K157" s="1528"/>
      <c r="L157" s="1528"/>
      <c r="M157" s="1529" t="s">
        <v>202</v>
      </c>
      <c r="N157" s="1529"/>
      <c r="O157" s="768">
        <v>0</v>
      </c>
      <c r="P157" s="1544"/>
      <c r="Q157" s="1527"/>
      <c r="R157" s="831">
        <v>7</v>
      </c>
    </row>
    <row r="158" spans="1:18" ht="35.25" customHeight="1">
      <c r="A158" s="1571"/>
      <c r="B158" s="1537"/>
      <c r="C158" s="1537"/>
      <c r="D158" s="1537"/>
      <c r="E158" s="1537"/>
      <c r="F158" s="1537"/>
      <c r="G158" s="820">
        <v>140494</v>
      </c>
      <c r="H158" s="1530" t="s">
        <v>2505</v>
      </c>
      <c r="I158" s="1530"/>
      <c r="J158" s="1530"/>
      <c r="K158" s="1530"/>
      <c r="L158" s="1530"/>
      <c r="M158" s="1531" t="s">
        <v>203</v>
      </c>
      <c r="N158" s="1531"/>
      <c r="O158" s="769">
        <v>0</v>
      </c>
      <c r="P158" s="1544"/>
      <c r="Q158" s="1532"/>
      <c r="R158" s="831">
        <v>8</v>
      </c>
    </row>
    <row r="159" spans="1:18" ht="15.75" thickBot="1">
      <c r="A159" s="1571"/>
      <c r="B159" s="1537"/>
      <c r="C159" s="1537"/>
      <c r="D159" s="1537"/>
      <c r="E159" s="1537"/>
      <c r="F159" s="1537"/>
      <c r="G159" s="1533"/>
      <c r="H159" s="1533"/>
      <c r="I159" s="1533"/>
      <c r="J159" s="1533"/>
      <c r="K159" s="1533"/>
      <c r="L159" s="1533"/>
      <c r="M159" s="1534" t="s">
        <v>204</v>
      </c>
      <c r="N159" s="1534"/>
      <c r="O159" s="751">
        <v>0</v>
      </c>
      <c r="P159" s="1544"/>
      <c r="Q159" s="1532"/>
      <c r="R159" s="831">
        <v>9</v>
      </c>
    </row>
    <row r="160" spans="1:18" ht="15.75" thickBot="1">
      <c r="A160" s="1571"/>
      <c r="B160" s="1537"/>
      <c r="C160" s="1537"/>
      <c r="D160" s="1537"/>
      <c r="E160" s="1537"/>
      <c r="F160" s="1537"/>
      <c r="G160" s="1533"/>
      <c r="H160" s="1533"/>
      <c r="I160" s="1533"/>
      <c r="J160" s="1533"/>
      <c r="K160" s="1533"/>
      <c r="L160" s="1533"/>
      <c r="M160" s="1535" t="s">
        <v>205</v>
      </c>
      <c r="N160" s="1536"/>
      <c r="O160" s="767">
        <v>0</v>
      </c>
      <c r="P160" s="1544"/>
      <c r="Q160" s="1532"/>
      <c r="R160" s="831">
        <v>10</v>
      </c>
    </row>
    <row r="161" spans="1:18" ht="15.75" thickBot="1">
      <c r="A161" s="1572"/>
      <c r="B161" s="1573"/>
      <c r="C161" s="1573"/>
      <c r="D161" s="1573"/>
      <c r="E161" s="1573"/>
      <c r="F161" s="1573"/>
      <c r="G161" s="1549"/>
      <c r="H161" s="1549"/>
      <c r="I161" s="1549"/>
      <c r="J161" s="1549"/>
      <c r="K161" s="1549"/>
      <c r="L161" s="1549"/>
      <c r="M161" s="665"/>
      <c r="N161" s="666"/>
      <c r="O161" s="666"/>
      <c r="P161" s="667"/>
      <c r="Q161" s="1532"/>
    </row>
    <row r="162" spans="1:18">
      <c r="A162" s="1553"/>
      <c r="B162" s="1554"/>
      <c r="C162" s="1557"/>
      <c r="D162" s="1557"/>
      <c r="E162" s="1557"/>
      <c r="F162" s="1557"/>
      <c r="G162" s="1559" t="str">
        <f>certificateNB</f>
        <v>12522.3</v>
      </c>
      <c r="H162" s="1561" t="str">
        <f>YACHTNAME</f>
        <v xml:space="preserve">IDOL            </v>
      </c>
      <c r="I162" s="1562"/>
      <c r="J162" s="1562"/>
      <c r="K162" s="1562"/>
      <c r="L162" s="1563"/>
      <c r="M162" s="1567" t="s">
        <v>198</v>
      </c>
      <c r="N162" s="1568"/>
      <c r="O162" s="1547">
        <f>A162</f>
        <v>0</v>
      </c>
      <c r="P162" s="1550" t="s">
        <v>199</v>
      </c>
      <c r="Q162" s="1552">
        <v>12</v>
      </c>
    </row>
    <row r="163" spans="1:18" ht="15.75" thickBot="1">
      <c r="A163" s="1555"/>
      <c r="B163" s="1556"/>
      <c r="C163" s="1558"/>
      <c r="D163" s="1558"/>
      <c r="E163" s="1558"/>
      <c r="F163" s="1558"/>
      <c r="G163" s="1560"/>
      <c r="H163" s="1564"/>
      <c r="I163" s="1565"/>
      <c r="J163" s="1565"/>
      <c r="K163" s="1565"/>
      <c r="L163" s="1566"/>
      <c r="M163" s="1569"/>
      <c r="N163" s="1570"/>
      <c r="O163" s="1548"/>
      <c r="P163" s="1551"/>
      <c r="Q163" s="1552"/>
    </row>
    <row r="164" spans="1:18" ht="24.95" customHeight="1">
      <c r="A164" s="818">
        <v>0</v>
      </c>
      <c r="B164" s="819" t="s">
        <v>12</v>
      </c>
      <c r="C164" s="1545"/>
      <c r="D164" s="1545"/>
      <c r="E164" s="1545"/>
      <c r="F164" s="1545"/>
      <c r="G164" s="822"/>
      <c r="H164" s="1546"/>
      <c r="I164" s="1546"/>
      <c r="J164" s="1546"/>
      <c r="K164" s="1546"/>
      <c r="L164" s="1546"/>
      <c r="M164" s="1539" t="s">
        <v>2494</v>
      </c>
      <c r="N164" s="1539"/>
      <c r="O164" s="825">
        <v>0</v>
      </c>
      <c r="P164" s="1544">
        <f>A162</f>
        <v>0</v>
      </c>
      <c r="Q164" s="1527" t="str">
        <f>Q6</f>
        <v>EUR</v>
      </c>
      <c r="R164" s="831">
        <v>1</v>
      </c>
    </row>
    <row r="165" spans="1:18" ht="24.95" customHeight="1">
      <c r="A165" s="818">
        <v>0</v>
      </c>
      <c r="B165" s="819" t="s">
        <v>200</v>
      </c>
      <c r="C165" s="1541"/>
      <c r="D165" s="1541"/>
      <c r="E165" s="1541"/>
      <c r="F165" s="1541"/>
      <c r="G165" s="822"/>
      <c r="H165" s="1546"/>
      <c r="I165" s="1546"/>
      <c r="J165" s="1546"/>
      <c r="K165" s="1546"/>
      <c r="L165" s="1546"/>
      <c r="M165" s="1539" t="s">
        <v>2585</v>
      </c>
      <c r="N165" s="1539"/>
      <c r="O165" s="825">
        <v>0</v>
      </c>
      <c r="P165" s="1544"/>
      <c r="Q165" s="1527"/>
      <c r="R165" s="831">
        <v>2</v>
      </c>
    </row>
    <row r="166" spans="1:18" ht="24.95" customHeight="1">
      <c r="A166" s="818">
        <v>0</v>
      </c>
      <c r="B166" s="819"/>
      <c r="C166" s="1541"/>
      <c r="D166" s="1541"/>
      <c r="E166" s="1541"/>
      <c r="F166" s="1541"/>
      <c r="G166" s="822"/>
      <c r="H166" s="1542"/>
      <c r="I166" s="1542"/>
      <c r="J166" s="1542"/>
      <c r="K166" s="1542"/>
      <c r="L166" s="1542"/>
      <c r="M166" s="1539" t="s">
        <v>206</v>
      </c>
      <c r="N166" s="1539"/>
      <c r="O166" s="825">
        <v>0</v>
      </c>
      <c r="P166" s="1544"/>
      <c r="Q166" s="1527"/>
      <c r="R166" s="831">
        <v>3</v>
      </c>
    </row>
    <row r="167" spans="1:18" ht="24.95" customHeight="1">
      <c r="A167" s="841">
        <v>0</v>
      </c>
      <c r="B167" s="821" t="s">
        <v>201</v>
      </c>
      <c r="C167" s="1543"/>
      <c r="D167" s="1543"/>
      <c r="E167" s="1543"/>
      <c r="F167" s="1543"/>
      <c r="G167" s="820"/>
      <c r="H167" s="1538"/>
      <c r="I167" s="1538"/>
      <c r="J167" s="1538"/>
      <c r="K167" s="1538"/>
      <c r="L167" s="1538"/>
      <c r="M167" s="1539" t="s">
        <v>2586</v>
      </c>
      <c r="N167" s="1539"/>
      <c r="O167" s="825">
        <v>0</v>
      </c>
      <c r="P167" s="1544"/>
      <c r="Q167" s="1527"/>
      <c r="R167" s="831">
        <v>4</v>
      </c>
    </row>
    <row r="168" spans="1:18" ht="24.95" customHeight="1">
      <c r="A168" s="841">
        <v>0</v>
      </c>
      <c r="B168" s="821" t="s">
        <v>207</v>
      </c>
      <c r="C168" s="1543"/>
      <c r="D168" s="1543"/>
      <c r="E168" s="1543"/>
      <c r="F168" s="1543"/>
      <c r="G168" s="820"/>
      <c r="H168" s="1538"/>
      <c r="I168" s="1538"/>
      <c r="J168" s="1538"/>
      <c r="K168" s="1538"/>
      <c r="L168" s="1538"/>
      <c r="M168" s="1539" t="s">
        <v>2587</v>
      </c>
      <c r="N168" s="1539"/>
      <c r="O168" s="768"/>
      <c r="P168" s="1544"/>
      <c r="Q168" s="752">
        <f>RECAPITULATIF!T32</f>
        <v>0</v>
      </c>
      <c r="R168" s="831">
        <v>5</v>
      </c>
    </row>
    <row r="169" spans="1:18" ht="24.95" customHeight="1">
      <c r="A169" s="1537"/>
      <c r="B169" s="1537"/>
      <c r="C169" s="1537"/>
      <c r="D169" s="1537"/>
      <c r="E169" s="1537"/>
      <c r="F169" s="1537"/>
      <c r="G169" s="820"/>
      <c r="H169" s="1538"/>
      <c r="I169" s="1538"/>
      <c r="J169" s="1538"/>
      <c r="K169" s="1538"/>
      <c r="L169" s="1538"/>
      <c r="M169" s="1539" t="s">
        <v>2588</v>
      </c>
      <c r="N169" s="1539"/>
      <c r="O169" s="768">
        <v>0</v>
      </c>
      <c r="P169" s="1544"/>
      <c r="Q169" s="1527"/>
      <c r="R169" s="831">
        <v>6</v>
      </c>
    </row>
    <row r="170" spans="1:18" ht="24.95" customHeight="1">
      <c r="A170" s="1537"/>
      <c r="B170" s="1537"/>
      <c r="C170" s="1537"/>
      <c r="D170" s="1537"/>
      <c r="E170" s="1537"/>
      <c r="F170" s="1537"/>
      <c r="G170" s="63"/>
      <c r="H170" s="1528"/>
      <c r="I170" s="1528"/>
      <c r="J170" s="1528"/>
      <c r="K170" s="1528"/>
      <c r="L170" s="1528"/>
      <c r="M170" s="1529" t="s">
        <v>202</v>
      </c>
      <c r="N170" s="1529"/>
      <c r="O170" s="768">
        <v>0</v>
      </c>
      <c r="P170" s="1544"/>
      <c r="Q170" s="1527"/>
      <c r="R170" s="831">
        <v>7</v>
      </c>
    </row>
    <row r="171" spans="1:18" ht="40.5" customHeight="1">
      <c r="A171" s="1537"/>
      <c r="B171" s="1537"/>
      <c r="C171" s="1537"/>
      <c r="D171" s="1537"/>
      <c r="E171" s="1537"/>
      <c r="F171" s="1537"/>
      <c r="G171" s="820">
        <v>140494</v>
      </c>
      <c r="H171" s="1530" t="s">
        <v>2505</v>
      </c>
      <c r="I171" s="1530"/>
      <c r="J171" s="1530"/>
      <c r="K171" s="1530"/>
      <c r="L171" s="1530"/>
      <c r="M171" s="1531" t="s">
        <v>203</v>
      </c>
      <c r="N171" s="1531"/>
      <c r="O171" s="769">
        <v>0</v>
      </c>
      <c r="P171" s="1544"/>
      <c r="Q171" s="1532"/>
      <c r="R171" s="831">
        <v>8</v>
      </c>
    </row>
    <row r="172" spans="1:18" ht="15.75" thickBot="1">
      <c r="A172" s="1537"/>
      <c r="B172" s="1537"/>
      <c r="C172" s="1537"/>
      <c r="D172" s="1537"/>
      <c r="E172" s="1537"/>
      <c r="F172" s="1537"/>
      <c r="G172" s="1533"/>
      <c r="H172" s="1533"/>
      <c r="I172" s="1533"/>
      <c r="J172" s="1533"/>
      <c r="K172" s="1533"/>
      <c r="L172" s="1533"/>
      <c r="M172" s="1534" t="s">
        <v>204</v>
      </c>
      <c r="N172" s="1534"/>
      <c r="O172" s="751">
        <v>0</v>
      </c>
      <c r="P172" s="1544"/>
      <c r="Q172" s="1532"/>
      <c r="R172" s="831">
        <v>9</v>
      </c>
    </row>
    <row r="173" spans="1:18" ht="15.75" thickBot="1">
      <c r="A173" s="1537"/>
      <c r="B173" s="1537"/>
      <c r="C173" s="1537"/>
      <c r="D173" s="1537"/>
      <c r="E173" s="1537"/>
      <c r="F173" s="1537"/>
      <c r="G173" s="1533"/>
      <c r="H173" s="1533"/>
      <c r="I173" s="1533"/>
      <c r="J173" s="1533"/>
      <c r="K173" s="1533"/>
      <c r="L173" s="1533"/>
      <c r="M173" s="1535" t="s">
        <v>205</v>
      </c>
      <c r="N173" s="1536"/>
      <c r="O173" s="767">
        <v>0</v>
      </c>
      <c r="P173" s="1544"/>
      <c r="Q173" s="1532"/>
      <c r="R173" s="831">
        <v>10</v>
      </c>
    </row>
    <row r="174" spans="1:18">
      <c r="A174" s="1537"/>
      <c r="B174" s="1537"/>
      <c r="C174" s="1537"/>
      <c r="D174" s="1537"/>
      <c r="E174" s="1537"/>
      <c r="F174" s="1537"/>
      <c r="G174" s="1533"/>
      <c r="H174" s="1533"/>
      <c r="I174" s="1533"/>
      <c r="J174" s="1533"/>
      <c r="K174" s="1533"/>
      <c r="L174" s="1533"/>
      <c r="M174" s="1540"/>
      <c r="N174" s="1540"/>
      <c r="O174" s="1540"/>
      <c r="P174" s="1540"/>
      <c r="Q174" s="1532"/>
    </row>
    <row r="175" spans="1:18" ht="15.75" thickBot="1">
      <c r="A175" s="1537"/>
      <c r="B175" s="1537"/>
      <c r="C175" s="1537"/>
      <c r="D175" s="1537"/>
      <c r="E175" s="1537"/>
      <c r="F175" s="1537"/>
      <c r="G175" s="1533"/>
      <c r="H175" s="1533"/>
      <c r="I175" s="1533"/>
      <c r="J175" s="1533"/>
      <c r="K175" s="1533"/>
      <c r="L175" s="1533"/>
      <c r="M175" s="1540"/>
      <c r="N175" s="1540"/>
      <c r="O175" s="1540"/>
      <c r="P175" s="1540"/>
    </row>
    <row r="176" spans="1:18">
      <c r="A176" s="1553"/>
      <c r="B176" s="1554"/>
      <c r="C176" s="1577"/>
      <c r="D176" s="1577"/>
      <c r="E176" s="1577"/>
      <c r="F176" s="1577"/>
      <c r="G176" s="1559" t="str">
        <f>certificateNB</f>
        <v>12522.3</v>
      </c>
      <c r="H176" s="1561" t="str">
        <f>YACHTNAME</f>
        <v xml:space="preserve">IDOL            </v>
      </c>
      <c r="I176" s="1562"/>
      <c r="J176" s="1562"/>
      <c r="K176" s="1562"/>
      <c r="L176" s="1563"/>
      <c r="M176" s="1567" t="s">
        <v>198</v>
      </c>
      <c r="N176" s="1568"/>
      <c r="O176" s="1547">
        <f>A176</f>
        <v>0</v>
      </c>
      <c r="P176" s="1550" t="s">
        <v>199</v>
      </c>
      <c r="Q176" s="1552">
        <v>13</v>
      </c>
    </row>
    <row r="177" spans="1:18" ht="15.75" thickBot="1">
      <c r="A177" s="1555"/>
      <c r="B177" s="1556"/>
      <c r="C177" s="1578"/>
      <c r="D177" s="1578"/>
      <c r="E177" s="1578"/>
      <c r="F177" s="1578"/>
      <c r="G177" s="1560"/>
      <c r="H177" s="1564"/>
      <c r="I177" s="1565"/>
      <c r="J177" s="1565"/>
      <c r="K177" s="1565"/>
      <c r="L177" s="1566"/>
      <c r="M177" s="1569"/>
      <c r="N177" s="1570"/>
      <c r="O177" s="1548"/>
      <c r="P177" s="1551"/>
      <c r="Q177" s="1552"/>
    </row>
    <row r="178" spans="1:18" ht="24.95" customHeight="1">
      <c r="A178" s="818">
        <v>0</v>
      </c>
      <c r="B178" s="819" t="s">
        <v>12</v>
      </c>
      <c r="C178" s="1545"/>
      <c r="D178" s="1545"/>
      <c r="E178" s="1545"/>
      <c r="F178" s="1545"/>
      <c r="G178" s="750"/>
      <c r="H178" s="1575"/>
      <c r="I178" s="1575"/>
      <c r="J178" s="1575"/>
      <c r="K178" s="1575"/>
      <c r="L178" s="1575"/>
      <c r="M178" s="1539" t="s">
        <v>2494</v>
      </c>
      <c r="N178" s="1539"/>
      <c r="O178" s="825">
        <v>0</v>
      </c>
      <c r="P178" s="1544">
        <f>A176</f>
        <v>0</v>
      </c>
      <c r="Q178" s="1576" t="str">
        <f>H32</f>
        <v>ComfortMLC S  for select members</v>
      </c>
      <c r="R178" s="831">
        <v>1</v>
      </c>
    </row>
    <row r="179" spans="1:18" ht="24.95" customHeight="1">
      <c r="A179" s="818">
        <v>0</v>
      </c>
      <c r="B179" s="819" t="s">
        <v>200</v>
      </c>
      <c r="C179" s="1541"/>
      <c r="D179" s="1541"/>
      <c r="E179" s="1541"/>
      <c r="F179" s="1541"/>
      <c r="G179" s="750"/>
      <c r="H179" s="1575"/>
      <c r="I179" s="1575"/>
      <c r="J179" s="1575"/>
      <c r="K179" s="1575"/>
      <c r="L179" s="1575"/>
      <c r="M179" s="1539" t="s">
        <v>2585</v>
      </c>
      <c r="N179" s="1539"/>
      <c r="O179" s="825">
        <v>0</v>
      </c>
      <c r="P179" s="1544"/>
      <c r="Q179" s="1576"/>
      <c r="R179" s="831">
        <v>2</v>
      </c>
    </row>
    <row r="180" spans="1:18" ht="24.95" customHeight="1">
      <c r="A180" s="818">
        <v>0</v>
      </c>
      <c r="B180" s="819"/>
      <c r="C180" s="1541"/>
      <c r="D180" s="1541"/>
      <c r="E180" s="1541"/>
      <c r="F180" s="1541"/>
      <c r="G180" s="750"/>
      <c r="H180" s="1574"/>
      <c r="I180" s="1574"/>
      <c r="J180" s="1574"/>
      <c r="K180" s="1574"/>
      <c r="L180" s="1574"/>
      <c r="M180" s="1539" t="s">
        <v>206</v>
      </c>
      <c r="N180" s="1539"/>
      <c r="O180" s="825">
        <v>0</v>
      </c>
      <c r="P180" s="1544"/>
      <c r="Q180" s="1576"/>
      <c r="R180" s="831">
        <v>3</v>
      </c>
    </row>
    <row r="181" spans="1:18" ht="35.1" customHeight="1">
      <c r="A181" s="841">
        <v>0</v>
      </c>
      <c r="B181" s="821" t="s">
        <v>201</v>
      </c>
      <c r="C181" s="1543"/>
      <c r="D181" s="1543"/>
      <c r="E181" s="1543"/>
      <c r="F181" s="1543"/>
      <c r="G181" s="823"/>
      <c r="H181" s="1575"/>
      <c r="I181" s="1575"/>
      <c r="J181" s="1575"/>
      <c r="K181" s="1575"/>
      <c r="L181" s="1575"/>
      <c r="M181" s="1539" t="s">
        <v>2586</v>
      </c>
      <c r="N181" s="1539"/>
      <c r="O181" s="825">
        <v>0</v>
      </c>
      <c r="P181" s="1544"/>
      <c r="Q181" s="1576"/>
      <c r="R181" s="831">
        <v>4</v>
      </c>
    </row>
    <row r="182" spans="1:18" ht="35.1" customHeight="1">
      <c r="A182" s="841">
        <v>0</v>
      </c>
      <c r="B182" s="821" t="s">
        <v>207</v>
      </c>
      <c r="C182" s="1543"/>
      <c r="D182" s="1543"/>
      <c r="E182" s="1543"/>
      <c r="F182" s="1543"/>
      <c r="G182" s="823"/>
      <c r="H182" s="1575"/>
      <c r="I182" s="1575"/>
      <c r="J182" s="1575"/>
      <c r="K182" s="1575"/>
      <c r="L182" s="1575"/>
      <c r="M182" s="1539" t="s">
        <v>2587</v>
      </c>
      <c r="N182" s="1539"/>
      <c r="O182" s="768"/>
      <c r="P182" s="1544"/>
      <c r="Q182" s="752">
        <f>RECAPITULATIF!T33</f>
        <v>0</v>
      </c>
      <c r="R182" s="831">
        <v>5</v>
      </c>
    </row>
    <row r="183" spans="1:18" ht="24.95" customHeight="1">
      <c r="A183" s="1571"/>
      <c r="B183" s="1537"/>
      <c r="C183" s="1537"/>
      <c r="D183" s="1537"/>
      <c r="E183" s="1537"/>
      <c r="F183" s="1537"/>
      <c r="G183" s="820"/>
      <c r="H183" s="1538"/>
      <c r="I183" s="1538"/>
      <c r="J183" s="1538"/>
      <c r="K183" s="1538"/>
      <c r="L183" s="1538"/>
      <c r="M183" s="1539" t="s">
        <v>2588</v>
      </c>
      <c r="N183" s="1539"/>
      <c r="O183" s="768">
        <v>0</v>
      </c>
      <c r="P183" s="1544"/>
      <c r="Q183" s="1527"/>
      <c r="R183" s="831">
        <v>6</v>
      </c>
    </row>
    <row r="184" spans="1:18" ht="24.95" customHeight="1">
      <c r="A184" s="1571"/>
      <c r="B184" s="1537"/>
      <c r="C184" s="1537"/>
      <c r="D184" s="1537"/>
      <c r="E184" s="1537"/>
      <c r="F184" s="1537"/>
      <c r="G184" s="822"/>
      <c r="H184" s="1528"/>
      <c r="I184" s="1528"/>
      <c r="J184" s="1528"/>
      <c r="K184" s="1528"/>
      <c r="L184" s="1528"/>
      <c r="M184" s="1529" t="s">
        <v>202</v>
      </c>
      <c r="N184" s="1529"/>
      <c r="O184" s="768">
        <v>0</v>
      </c>
      <c r="P184" s="1544"/>
      <c r="Q184" s="1527"/>
      <c r="R184" s="831">
        <v>7</v>
      </c>
    </row>
    <row r="185" spans="1:18" ht="39" customHeight="1">
      <c r="A185" s="1571"/>
      <c r="B185" s="1537"/>
      <c r="C185" s="1537"/>
      <c r="D185" s="1537"/>
      <c r="E185" s="1537"/>
      <c r="F185" s="1537"/>
      <c r="G185" s="820">
        <v>140494</v>
      </c>
      <c r="H185" s="1530" t="s">
        <v>2505</v>
      </c>
      <c r="I185" s="1530"/>
      <c r="J185" s="1530"/>
      <c r="K185" s="1530"/>
      <c r="L185" s="1530"/>
      <c r="M185" s="1531" t="s">
        <v>203</v>
      </c>
      <c r="N185" s="1531"/>
      <c r="O185" s="769">
        <v>0</v>
      </c>
      <c r="P185" s="1544"/>
      <c r="Q185" s="1532"/>
      <c r="R185" s="831">
        <v>8</v>
      </c>
    </row>
    <row r="186" spans="1:18" ht="15.75" thickBot="1">
      <c r="A186" s="1571"/>
      <c r="B186" s="1537"/>
      <c r="C186" s="1537"/>
      <c r="D186" s="1537"/>
      <c r="E186" s="1537"/>
      <c r="F186" s="1537"/>
      <c r="G186" s="1533"/>
      <c r="H186" s="1533"/>
      <c r="I186" s="1533"/>
      <c r="J186" s="1533"/>
      <c r="K186" s="1533"/>
      <c r="L186" s="1533"/>
      <c r="M186" s="1534" t="s">
        <v>204</v>
      </c>
      <c r="N186" s="1534"/>
      <c r="O186" s="751">
        <v>0</v>
      </c>
      <c r="P186" s="1544"/>
      <c r="Q186" s="1532"/>
      <c r="R186" s="831">
        <v>9</v>
      </c>
    </row>
    <row r="187" spans="1:18" ht="15.75" thickBot="1">
      <c r="A187" s="1571"/>
      <c r="B187" s="1537"/>
      <c r="C187" s="1537"/>
      <c r="D187" s="1537"/>
      <c r="E187" s="1537"/>
      <c r="F187" s="1537"/>
      <c r="G187" s="1533"/>
      <c r="H187" s="1533"/>
      <c r="I187" s="1533"/>
      <c r="J187" s="1533"/>
      <c r="K187" s="1533"/>
      <c r="L187" s="1533"/>
      <c r="M187" s="1535" t="s">
        <v>205</v>
      </c>
      <c r="N187" s="1536"/>
      <c r="O187" s="767">
        <v>0</v>
      </c>
      <c r="P187" s="1544"/>
      <c r="Q187" s="1532"/>
      <c r="R187" s="831">
        <v>10</v>
      </c>
    </row>
    <row r="188" spans="1:18" ht="15.75" thickBot="1">
      <c r="A188" s="1572"/>
      <c r="B188" s="1573"/>
      <c r="C188" s="1573"/>
      <c r="D188" s="1573"/>
      <c r="E188" s="1573"/>
      <c r="F188" s="1573"/>
      <c r="G188" s="1549"/>
      <c r="H188" s="1549"/>
      <c r="I188" s="1549"/>
      <c r="J188" s="1549"/>
      <c r="K188" s="1549"/>
      <c r="L188" s="1549"/>
      <c r="M188" s="665"/>
      <c r="N188" s="666"/>
      <c r="O188" s="666"/>
      <c r="P188" s="667"/>
      <c r="Q188" s="1532"/>
    </row>
    <row r="189" spans="1:18">
      <c r="A189" s="1553"/>
      <c r="B189" s="1554"/>
      <c r="C189" s="1557"/>
      <c r="D189" s="1557"/>
      <c r="E189" s="1557"/>
      <c r="F189" s="1557"/>
      <c r="G189" s="1559" t="str">
        <f>certificateNB</f>
        <v>12522.3</v>
      </c>
      <c r="H189" s="1561" t="str">
        <f>YACHTNAME</f>
        <v xml:space="preserve">IDOL            </v>
      </c>
      <c r="I189" s="1562"/>
      <c r="J189" s="1562"/>
      <c r="K189" s="1562"/>
      <c r="L189" s="1563"/>
      <c r="M189" s="1567" t="s">
        <v>198</v>
      </c>
      <c r="N189" s="1568"/>
      <c r="O189" s="1547">
        <f>A189</f>
        <v>0</v>
      </c>
      <c r="P189" s="1550" t="s">
        <v>199</v>
      </c>
      <c r="Q189" s="1552">
        <v>14</v>
      </c>
    </row>
    <row r="190" spans="1:18" ht="15.75" thickBot="1">
      <c r="A190" s="1555"/>
      <c r="B190" s="1556"/>
      <c r="C190" s="1558"/>
      <c r="D190" s="1558"/>
      <c r="E190" s="1558"/>
      <c r="F190" s="1558"/>
      <c r="G190" s="1560"/>
      <c r="H190" s="1564"/>
      <c r="I190" s="1565"/>
      <c r="J190" s="1565"/>
      <c r="K190" s="1565"/>
      <c r="L190" s="1566"/>
      <c r="M190" s="1569"/>
      <c r="N190" s="1570"/>
      <c r="O190" s="1548"/>
      <c r="P190" s="1551"/>
      <c r="Q190" s="1552"/>
    </row>
    <row r="191" spans="1:18" ht="24.95" customHeight="1">
      <c r="A191" s="818">
        <v>0</v>
      </c>
      <c r="B191" s="819" t="s">
        <v>12</v>
      </c>
      <c r="C191" s="1545"/>
      <c r="D191" s="1545"/>
      <c r="E191" s="1545"/>
      <c r="F191" s="1545"/>
      <c r="G191" s="822"/>
      <c r="H191" s="1546"/>
      <c r="I191" s="1546"/>
      <c r="J191" s="1546"/>
      <c r="K191" s="1546"/>
      <c r="L191" s="1546"/>
      <c r="M191" s="1539" t="s">
        <v>2494</v>
      </c>
      <c r="N191" s="1539"/>
      <c r="O191" s="825">
        <v>0</v>
      </c>
      <c r="P191" s="1544">
        <f>A189</f>
        <v>0</v>
      </c>
      <c r="Q191" s="1527" t="str">
        <f>H32</f>
        <v>ComfortMLC S  for select members</v>
      </c>
      <c r="R191" s="831">
        <v>1</v>
      </c>
    </row>
    <row r="192" spans="1:18" ht="24.95" customHeight="1">
      <c r="A192" s="818">
        <v>0</v>
      </c>
      <c r="B192" s="819" t="s">
        <v>200</v>
      </c>
      <c r="C192" s="1541"/>
      <c r="D192" s="1541"/>
      <c r="E192" s="1541"/>
      <c r="F192" s="1541"/>
      <c r="G192" s="822"/>
      <c r="H192" s="1546"/>
      <c r="I192" s="1546"/>
      <c r="J192" s="1546"/>
      <c r="K192" s="1546"/>
      <c r="L192" s="1546"/>
      <c r="M192" s="1539" t="s">
        <v>2585</v>
      </c>
      <c r="N192" s="1539"/>
      <c r="O192" s="825">
        <v>0</v>
      </c>
      <c r="P192" s="1544"/>
      <c r="Q192" s="1527"/>
      <c r="R192" s="831">
        <v>2</v>
      </c>
    </row>
    <row r="193" spans="1:18" ht="24.95" customHeight="1">
      <c r="A193" s="818">
        <v>0</v>
      </c>
      <c r="B193" s="819"/>
      <c r="C193" s="1541"/>
      <c r="D193" s="1541"/>
      <c r="E193" s="1541"/>
      <c r="F193" s="1541"/>
      <c r="G193" s="822"/>
      <c r="H193" s="1542"/>
      <c r="I193" s="1542"/>
      <c r="J193" s="1542"/>
      <c r="K193" s="1542"/>
      <c r="L193" s="1542"/>
      <c r="M193" s="1539" t="s">
        <v>206</v>
      </c>
      <c r="N193" s="1539"/>
      <c r="O193" s="825">
        <v>0</v>
      </c>
      <c r="P193" s="1544"/>
      <c r="Q193" s="1527"/>
      <c r="R193" s="831">
        <v>3</v>
      </c>
    </row>
    <row r="194" spans="1:18" ht="35.1" customHeight="1">
      <c r="A194" s="841">
        <v>0</v>
      </c>
      <c r="B194" s="821" t="s">
        <v>201</v>
      </c>
      <c r="C194" s="1543"/>
      <c r="D194" s="1543"/>
      <c r="E194" s="1543"/>
      <c r="F194" s="1543"/>
      <c r="G194" s="820"/>
      <c r="H194" s="1538"/>
      <c r="I194" s="1538"/>
      <c r="J194" s="1538"/>
      <c r="K194" s="1538"/>
      <c r="L194" s="1538"/>
      <c r="M194" s="1539" t="s">
        <v>2586</v>
      </c>
      <c r="N194" s="1539"/>
      <c r="O194" s="825">
        <v>0</v>
      </c>
      <c r="P194" s="1544"/>
      <c r="Q194" s="1527"/>
      <c r="R194" s="831">
        <v>4</v>
      </c>
    </row>
    <row r="195" spans="1:18" ht="35.1" customHeight="1">
      <c r="A195" s="841">
        <v>0</v>
      </c>
      <c r="B195" s="821" t="s">
        <v>207</v>
      </c>
      <c r="C195" s="1543"/>
      <c r="D195" s="1543"/>
      <c r="E195" s="1543"/>
      <c r="F195" s="1543"/>
      <c r="G195" s="820"/>
      <c r="H195" s="1538"/>
      <c r="I195" s="1538"/>
      <c r="J195" s="1538"/>
      <c r="K195" s="1538"/>
      <c r="L195" s="1538"/>
      <c r="M195" s="1539" t="s">
        <v>2587</v>
      </c>
      <c r="N195" s="1539"/>
      <c r="O195" s="768"/>
      <c r="P195" s="1544"/>
      <c r="Q195" s="752">
        <f>RECAPITULATIF!T34</f>
        <v>0</v>
      </c>
      <c r="R195" s="831">
        <v>5</v>
      </c>
    </row>
    <row r="196" spans="1:18" ht="24.95" customHeight="1">
      <c r="A196" s="1571"/>
      <c r="B196" s="1537"/>
      <c r="C196" s="1537"/>
      <c r="D196" s="1537"/>
      <c r="E196" s="1537"/>
      <c r="F196" s="1537"/>
      <c r="G196" s="820"/>
      <c r="H196" s="1538"/>
      <c r="I196" s="1538"/>
      <c r="J196" s="1538"/>
      <c r="K196" s="1538"/>
      <c r="L196" s="1538"/>
      <c r="M196" s="1539" t="s">
        <v>2588</v>
      </c>
      <c r="N196" s="1539"/>
      <c r="O196" s="768">
        <v>0</v>
      </c>
      <c r="P196" s="1544"/>
      <c r="Q196" s="1527"/>
      <c r="R196" s="831">
        <v>6</v>
      </c>
    </row>
    <row r="197" spans="1:18" ht="24.95" customHeight="1">
      <c r="A197" s="1571"/>
      <c r="B197" s="1537"/>
      <c r="C197" s="1537"/>
      <c r="D197" s="1537"/>
      <c r="E197" s="1537"/>
      <c r="F197" s="1537"/>
      <c r="G197" s="63"/>
      <c r="H197" s="1528"/>
      <c r="I197" s="1528"/>
      <c r="J197" s="1528"/>
      <c r="K197" s="1528"/>
      <c r="L197" s="1528"/>
      <c r="M197" s="1529" t="s">
        <v>202</v>
      </c>
      <c r="N197" s="1529"/>
      <c r="O197" s="768">
        <v>0</v>
      </c>
      <c r="P197" s="1544"/>
      <c r="Q197" s="1527"/>
      <c r="R197" s="831">
        <v>7</v>
      </c>
    </row>
    <row r="198" spans="1:18" ht="35.25" customHeight="1">
      <c r="A198" s="1571"/>
      <c r="B198" s="1537"/>
      <c r="C198" s="1537"/>
      <c r="D198" s="1537"/>
      <c r="E198" s="1537"/>
      <c r="F198" s="1537"/>
      <c r="G198" s="820">
        <v>140494</v>
      </c>
      <c r="H198" s="1530" t="s">
        <v>2505</v>
      </c>
      <c r="I198" s="1530"/>
      <c r="J198" s="1530"/>
      <c r="K198" s="1530"/>
      <c r="L198" s="1530"/>
      <c r="M198" s="1531" t="s">
        <v>203</v>
      </c>
      <c r="N198" s="1531"/>
      <c r="O198" s="769">
        <v>0</v>
      </c>
      <c r="P198" s="1544"/>
      <c r="Q198" s="1532"/>
      <c r="R198" s="831">
        <v>8</v>
      </c>
    </row>
    <row r="199" spans="1:18" ht="15.75" thickBot="1">
      <c r="A199" s="1571"/>
      <c r="B199" s="1537"/>
      <c r="C199" s="1537"/>
      <c r="D199" s="1537"/>
      <c r="E199" s="1537"/>
      <c r="F199" s="1537"/>
      <c r="G199" s="1533"/>
      <c r="H199" s="1533"/>
      <c r="I199" s="1533"/>
      <c r="J199" s="1533"/>
      <c r="K199" s="1533"/>
      <c r="L199" s="1533"/>
      <c r="M199" s="1534" t="s">
        <v>204</v>
      </c>
      <c r="N199" s="1534"/>
      <c r="O199" s="751">
        <v>0</v>
      </c>
      <c r="P199" s="1544"/>
      <c r="Q199" s="1532"/>
      <c r="R199" s="831">
        <v>9</v>
      </c>
    </row>
    <row r="200" spans="1:18" ht="15.75" thickBot="1">
      <c r="A200" s="1571"/>
      <c r="B200" s="1537"/>
      <c r="C200" s="1537"/>
      <c r="D200" s="1537"/>
      <c r="E200" s="1537"/>
      <c r="F200" s="1537"/>
      <c r="G200" s="1533"/>
      <c r="H200" s="1533"/>
      <c r="I200" s="1533"/>
      <c r="J200" s="1533"/>
      <c r="K200" s="1533"/>
      <c r="L200" s="1533"/>
      <c r="M200" s="1535" t="s">
        <v>205</v>
      </c>
      <c r="N200" s="1536"/>
      <c r="O200" s="767">
        <v>0</v>
      </c>
      <c r="P200" s="1544"/>
      <c r="Q200" s="1532"/>
      <c r="R200" s="831">
        <v>10</v>
      </c>
    </row>
    <row r="201" spans="1:18" ht="15.75" thickBot="1">
      <c r="A201" s="1572"/>
      <c r="B201" s="1573"/>
      <c r="C201" s="1573"/>
      <c r="D201" s="1573"/>
      <c r="E201" s="1573"/>
      <c r="F201" s="1573"/>
      <c r="G201" s="1549"/>
      <c r="H201" s="1549"/>
      <c r="I201" s="1549"/>
      <c r="J201" s="1549"/>
      <c r="K201" s="1549"/>
      <c r="L201" s="1549"/>
      <c r="M201" s="665"/>
      <c r="N201" s="666"/>
      <c r="O201" s="666"/>
      <c r="P201" s="667"/>
      <c r="Q201" s="1532"/>
    </row>
    <row r="202" spans="1:18">
      <c r="A202" s="1553"/>
      <c r="B202" s="1554"/>
      <c r="C202" s="1557"/>
      <c r="D202" s="1557"/>
      <c r="E202" s="1557"/>
      <c r="F202" s="1557"/>
      <c r="G202" s="1559" t="str">
        <f>certificateNB</f>
        <v>12522.3</v>
      </c>
      <c r="H202" s="1561" t="str">
        <f>YACHTNAME</f>
        <v xml:space="preserve">IDOL            </v>
      </c>
      <c r="I202" s="1562"/>
      <c r="J202" s="1562"/>
      <c r="K202" s="1562"/>
      <c r="L202" s="1563"/>
      <c r="M202" s="1567" t="s">
        <v>198</v>
      </c>
      <c r="N202" s="1568"/>
      <c r="O202" s="1547">
        <f>A202</f>
        <v>0</v>
      </c>
      <c r="P202" s="1550" t="s">
        <v>199</v>
      </c>
      <c r="Q202" s="1552">
        <v>15</v>
      </c>
    </row>
    <row r="203" spans="1:18" ht="15.75" thickBot="1">
      <c r="A203" s="1555"/>
      <c r="B203" s="1556"/>
      <c r="C203" s="1558"/>
      <c r="D203" s="1558"/>
      <c r="E203" s="1558"/>
      <c r="F203" s="1558"/>
      <c r="G203" s="1560"/>
      <c r="H203" s="1564"/>
      <c r="I203" s="1565"/>
      <c r="J203" s="1565"/>
      <c r="K203" s="1565"/>
      <c r="L203" s="1566"/>
      <c r="M203" s="1569"/>
      <c r="N203" s="1570"/>
      <c r="O203" s="1548"/>
      <c r="P203" s="1551"/>
      <c r="Q203" s="1552"/>
    </row>
    <row r="204" spans="1:18" ht="24.95" customHeight="1">
      <c r="A204" s="818">
        <v>0</v>
      </c>
      <c r="B204" s="819" t="s">
        <v>12</v>
      </c>
      <c r="C204" s="1545"/>
      <c r="D204" s="1545"/>
      <c r="E204" s="1545"/>
      <c r="F204" s="1545"/>
      <c r="G204" s="822"/>
      <c r="H204" s="1546"/>
      <c r="I204" s="1546"/>
      <c r="J204" s="1546"/>
      <c r="K204" s="1546"/>
      <c r="L204" s="1546"/>
      <c r="M204" s="1539" t="s">
        <v>2494</v>
      </c>
      <c r="N204" s="1539"/>
      <c r="O204" s="825">
        <v>0</v>
      </c>
      <c r="P204" s="1544">
        <f>A202</f>
        <v>0</v>
      </c>
      <c r="Q204" s="1527" t="str">
        <f>H32</f>
        <v>ComfortMLC S  for select members</v>
      </c>
      <c r="R204" s="831">
        <v>1</v>
      </c>
    </row>
    <row r="205" spans="1:18" ht="24.95" customHeight="1">
      <c r="A205" s="818">
        <v>0</v>
      </c>
      <c r="B205" s="819" t="s">
        <v>200</v>
      </c>
      <c r="C205" s="1541"/>
      <c r="D205" s="1541"/>
      <c r="E205" s="1541"/>
      <c r="F205" s="1541"/>
      <c r="G205" s="822"/>
      <c r="H205" s="1546"/>
      <c r="I205" s="1546"/>
      <c r="J205" s="1546"/>
      <c r="K205" s="1546"/>
      <c r="L205" s="1546"/>
      <c r="M205" s="1539" t="s">
        <v>2585</v>
      </c>
      <c r="N205" s="1539"/>
      <c r="O205" s="825">
        <v>0</v>
      </c>
      <c r="P205" s="1544"/>
      <c r="Q205" s="1527"/>
      <c r="R205" s="831">
        <v>2</v>
      </c>
    </row>
    <row r="206" spans="1:18" ht="24.95" customHeight="1">
      <c r="A206" s="818">
        <v>0</v>
      </c>
      <c r="B206" s="819"/>
      <c r="C206" s="1541"/>
      <c r="D206" s="1541"/>
      <c r="E206" s="1541"/>
      <c r="F206" s="1541"/>
      <c r="G206" s="822"/>
      <c r="H206" s="1542"/>
      <c r="I206" s="1542"/>
      <c r="J206" s="1542"/>
      <c r="K206" s="1542"/>
      <c r="L206" s="1542"/>
      <c r="M206" s="1539" t="s">
        <v>206</v>
      </c>
      <c r="N206" s="1539"/>
      <c r="O206" s="825">
        <v>0</v>
      </c>
      <c r="P206" s="1544"/>
      <c r="Q206" s="1527"/>
      <c r="R206" s="831">
        <v>3</v>
      </c>
    </row>
    <row r="207" spans="1:18" ht="24.95" customHeight="1">
      <c r="A207" s="841">
        <v>0</v>
      </c>
      <c r="B207" s="821" t="s">
        <v>201</v>
      </c>
      <c r="C207" s="1543"/>
      <c r="D207" s="1543"/>
      <c r="E207" s="1543"/>
      <c r="F207" s="1543"/>
      <c r="G207" s="820"/>
      <c r="H207" s="1538"/>
      <c r="I207" s="1538"/>
      <c r="J207" s="1538"/>
      <c r="K207" s="1538"/>
      <c r="L207" s="1538"/>
      <c r="M207" s="1539" t="s">
        <v>2586</v>
      </c>
      <c r="N207" s="1539"/>
      <c r="O207" s="825">
        <v>0</v>
      </c>
      <c r="P207" s="1544"/>
      <c r="Q207" s="1527"/>
      <c r="R207" s="831">
        <v>4</v>
      </c>
    </row>
    <row r="208" spans="1:18" ht="24.95" customHeight="1">
      <c r="A208" s="841">
        <v>0</v>
      </c>
      <c r="B208" s="821" t="s">
        <v>207</v>
      </c>
      <c r="C208" s="1543"/>
      <c r="D208" s="1543"/>
      <c r="E208" s="1543"/>
      <c r="F208" s="1543"/>
      <c r="G208" s="820"/>
      <c r="H208" s="1538"/>
      <c r="I208" s="1538"/>
      <c r="J208" s="1538"/>
      <c r="K208" s="1538"/>
      <c r="L208" s="1538"/>
      <c r="M208" s="1539" t="s">
        <v>2587</v>
      </c>
      <c r="N208" s="1539"/>
      <c r="O208" s="768"/>
      <c r="P208" s="1544"/>
      <c r="Q208" s="752">
        <f>RECAPITULATIF!T35</f>
        <v>0</v>
      </c>
      <c r="R208" s="831">
        <v>5</v>
      </c>
    </row>
    <row r="209" spans="1:18" ht="24.95" customHeight="1">
      <c r="A209" s="1537"/>
      <c r="B209" s="1537"/>
      <c r="C209" s="1537"/>
      <c r="D209" s="1537"/>
      <c r="E209" s="1537"/>
      <c r="F209" s="1537"/>
      <c r="G209" s="820"/>
      <c r="H209" s="1538"/>
      <c r="I209" s="1538"/>
      <c r="J209" s="1538"/>
      <c r="K209" s="1538"/>
      <c r="L209" s="1538"/>
      <c r="M209" s="1539" t="s">
        <v>2588</v>
      </c>
      <c r="N209" s="1539"/>
      <c r="O209" s="768">
        <v>0</v>
      </c>
      <c r="P209" s="1544"/>
      <c r="Q209" s="1527"/>
      <c r="R209" s="831">
        <v>6</v>
      </c>
    </row>
    <row r="210" spans="1:18" ht="24.95" customHeight="1">
      <c r="A210" s="1537"/>
      <c r="B210" s="1537"/>
      <c r="C210" s="1537"/>
      <c r="D210" s="1537"/>
      <c r="E210" s="1537"/>
      <c r="F210" s="1537"/>
      <c r="G210" s="63"/>
      <c r="H210" s="1528"/>
      <c r="I210" s="1528"/>
      <c r="J210" s="1528"/>
      <c r="K210" s="1528"/>
      <c r="L210" s="1528"/>
      <c r="M210" s="1529" t="s">
        <v>202</v>
      </c>
      <c r="N210" s="1529"/>
      <c r="O210" s="768">
        <v>0</v>
      </c>
      <c r="P210" s="1544"/>
      <c r="Q210" s="1527"/>
      <c r="R210" s="831">
        <v>7</v>
      </c>
    </row>
    <row r="211" spans="1:18" ht="40.5" customHeight="1">
      <c r="A211" s="1537"/>
      <c r="B211" s="1537"/>
      <c r="C211" s="1537"/>
      <c r="D211" s="1537"/>
      <c r="E211" s="1537"/>
      <c r="F211" s="1537"/>
      <c r="G211" s="820">
        <v>140494</v>
      </c>
      <c r="H211" s="1530" t="s">
        <v>2505</v>
      </c>
      <c r="I211" s="1530"/>
      <c r="J211" s="1530"/>
      <c r="K211" s="1530"/>
      <c r="L211" s="1530"/>
      <c r="M211" s="1531" t="s">
        <v>203</v>
      </c>
      <c r="N211" s="1531"/>
      <c r="O211" s="769">
        <v>0</v>
      </c>
      <c r="P211" s="1544"/>
      <c r="Q211" s="1532"/>
      <c r="R211" s="831">
        <v>8</v>
      </c>
    </row>
    <row r="212" spans="1:18" ht="15.75" thickBot="1">
      <c r="A212" s="1537"/>
      <c r="B212" s="1537"/>
      <c r="C212" s="1537"/>
      <c r="D212" s="1537"/>
      <c r="E212" s="1537"/>
      <c r="F212" s="1537"/>
      <c r="G212" s="1533"/>
      <c r="H212" s="1533"/>
      <c r="I212" s="1533"/>
      <c r="J212" s="1533"/>
      <c r="K212" s="1533"/>
      <c r="L212" s="1533"/>
      <c r="M212" s="1534" t="s">
        <v>204</v>
      </c>
      <c r="N212" s="1534"/>
      <c r="O212" s="751">
        <v>0</v>
      </c>
      <c r="P212" s="1544"/>
      <c r="Q212" s="1532"/>
      <c r="R212" s="831">
        <v>9</v>
      </c>
    </row>
    <row r="213" spans="1:18" ht="15.75" thickBot="1">
      <c r="A213" s="1537"/>
      <c r="B213" s="1537"/>
      <c r="C213" s="1537"/>
      <c r="D213" s="1537"/>
      <c r="E213" s="1537"/>
      <c r="F213" s="1537"/>
      <c r="G213" s="1533"/>
      <c r="H213" s="1533"/>
      <c r="I213" s="1533"/>
      <c r="J213" s="1533"/>
      <c r="K213" s="1533"/>
      <c r="L213" s="1533"/>
      <c r="M213" s="1535" t="s">
        <v>205</v>
      </c>
      <c r="N213" s="1536"/>
      <c r="O213" s="767">
        <v>0</v>
      </c>
      <c r="P213" s="1544"/>
      <c r="Q213" s="1532"/>
      <c r="R213" s="831">
        <v>10</v>
      </c>
    </row>
    <row r="214" spans="1:18">
      <c r="A214" s="1537"/>
      <c r="B214" s="1537"/>
      <c r="C214" s="1537"/>
      <c r="D214" s="1537"/>
      <c r="E214" s="1537"/>
      <c r="F214" s="1537"/>
      <c r="G214" s="1533"/>
      <c r="H214" s="1533"/>
      <c r="I214" s="1533"/>
      <c r="J214" s="1533"/>
      <c r="K214" s="1533"/>
      <c r="L214" s="1533"/>
      <c r="M214" s="1540"/>
      <c r="N214" s="1540"/>
      <c r="O214" s="1540"/>
      <c r="P214" s="1540"/>
      <c r="Q214" s="1532"/>
    </row>
    <row r="215" spans="1:18">
      <c r="A215" s="1537"/>
      <c r="B215" s="1537"/>
      <c r="C215" s="1537"/>
      <c r="D215" s="1537"/>
      <c r="E215" s="1537"/>
      <c r="F215" s="1537"/>
      <c r="G215" s="1533"/>
      <c r="H215" s="1533"/>
      <c r="I215" s="1533"/>
      <c r="J215" s="1533"/>
      <c r="K215" s="1533"/>
      <c r="L215" s="1533"/>
      <c r="M215" s="1540"/>
      <c r="N215" s="1540"/>
      <c r="O215" s="1540"/>
      <c r="P215" s="1540"/>
    </row>
  </sheetData>
  <mergeCells count="594">
    <mergeCell ref="A16:B17"/>
    <mergeCell ref="H6:P6"/>
    <mergeCell ref="H8:P8"/>
    <mergeCell ref="H7:P7"/>
    <mergeCell ref="C6:F6"/>
    <mergeCell ref="C7:F7"/>
    <mergeCell ref="C8:F8"/>
    <mergeCell ref="C11:F11"/>
    <mergeCell ref="C12:F12"/>
    <mergeCell ref="C13:F13"/>
    <mergeCell ref="C9:F9"/>
    <mergeCell ref="C10:F10"/>
    <mergeCell ref="H9:P9"/>
    <mergeCell ref="H10:P10"/>
    <mergeCell ref="G14:L14"/>
    <mergeCell ref="G16:G17"/>
    <mergeCell ref="H16:L17"/>
    <mergeCell ref="M16:N17"/>
    <mergeCell ref="H11:P11"/>
    <mergeCell ref="H12:P12"/>
    <mergeCell ref="H13:P13"/>
    <mergeCell ref="O16:O17"/>
    <mergeCell ref="P16:P17"/>
    <mergeCell ref="Q16:Q17"/>
    <mergeCell ref="M18:N18"/>
    <mergeCell ref="P18:P22"/>
    <mergeCell ref="Q18:Q21"/>
    <mergeCell ref="M22:N22"/>
    <mergeCell ref="C16:F17"/>
    <mergeCell ref="C18:F18"/>
    <mergeCell ref="M19:N19"/>
    <mergeCell ref="M20:N20"/>
    <mergeCell ref="M21:N21"/>
    <mergeCell ref="C21:F21"/>
    <mergeCell ref="C22:F22"/>
    <mergeCell ref="H22:L22"/>
    <mergeCell ref="H19:L19"/>
    <mergeCell ref="H18:L18"/>
    <mergeCell ref="H21:L21"/>
    <mergeCell ref="H20:L20"/>
    <mergeCell ref="A23:F28"/>
    <mergeCell ref="C19:F19"/>
    <mergeCell ref="C20:F20"/>
    <mergeCell ref="P23:P27"/>
    <mergeCell ref="Q23:Q24"/>
    <mergeCell ref="H24:L24"/>
    <mergeCell ref="M24:N24"/>
    <mergeCell ref="H25:L25"/>
    <mergeCell ref="M25:N25"/>
    <mergeCell ref="Q25:Q28"/>
    <mergeCell ref="G26:L28"/>
    <mergeCell ref="M26:N26"/>
    <mergeCell ref="M27:N27"/>
    <mergeCell ref="H23:L23"/>
    <mergeCell ref="M23:N23"/>
    <mergeCell ref="A29:B30"/>
    <mergeCell ref="C29:F30"/>
    <mergeCell ref="G29:G30"/>
    <mergeCell ref="H29:L30"/>
    <mergeCell ref="M29:N30"/>
    <mergeCell ref="O29:O30"/>
    <mergeCell ref="P29:P30"/>
    <mergeCell ref="Q29:Q30"/>
    <mergeCell ref="C33:F33"/>
    <mergeCell ref="H33:L33"/>
    <mergeCell ref="M33:N33"/>
    <mergeCell ref="C31:F31"/>
    <mergeCell ref="H31:L31"/>
    <mergeCell ref="M31:N31"/>
    <mergeCell ref="P31:P35"/>
    <mergeCell ref="Q31:Q34"/>
    <mergeCell ref="C32:F32"/>
    <mergeCell ref="H32:L32"/>
    <mergeCell ref="M32:N32"/>
    <mergeCell ref="C35:F35"/>
    <mergeCell ref="H35:L35"/>
    <mergeCell ref="M35:N35"/>
    <mergeCell ref="C34:F34"/>
    <mergeCell ref="H34:L34"/>
    <mergeCell ref="P36:P40"/>
    <mergeCell ref="Q36:Q37"/>
    <mergeCell ref="H37:L37"/>
    <mergeCell ref="M37:N37"/>
    <mergeCell ref="H38:L38"/>
    <mergeCell ref="M38:N38"/>
    <mergeCell ref="Q38:Q41"/>
    <mergeCell ref="G39:L41"/>
    <mergeCell ref="M39:N39"/>
    <mergeCell ref="M40:N40"/>
    <mergeCell ref="H36:L36"/>
    <mergeCell ref="M36:N36"/>
    <mergeCell ref="M41:P41"/>
    <mergeCell ref="P44:P48"/>
    <mergeCell ref="Q44:Q47"/>
    <mergeCell ref="C45:F45"/>
    <mergeCell ref="H45:L45"/>
    <mergeCell ref="M45:N45"/>
    <mergeCell ref="C48:F48"/>
    <mergeCell ref="H48:L48"/>
    <mergeCell ref="M48:N48"/>
    <mergeCell ref="A42:B43"/>
    <mergeCell ref="C42:F43"/>
    <mergeCell ref="G42:G43"/>
    <mergeCell ref="H42:L43"/>
    <mergeCell ref="M42:N43"/>
    <mergeCell ref="O42:O43"/>
    <mergeCell ref="P42:P43"/>
    <mergeCell ref="Q42:Q43"/>
    <mergeCell ref="M34:N34"/>
    <mergeCell ref="A49:F54"/>
    <mergeCell ref="H49:L49"/>
    <mergeCell ref="M49:N49"/>
    <mergeCell ref="C46:F46"/>
    <mergeCell ref="H46:L46"/>
    <mergeCell ref="M46:N46"/>
    <mergeCell ref="C47:F47"/>
    <mergeCell ref="H47:L47"/>
    <mergeCell ref="M47:N47"/>
    <mergeCell ref="C44:F44"/>
    <mergeCell ref="H44:L44"/>
    <mergeCell ref="M44:N44"/>
    <mergeCell ref="A36:F41"/>
    <mergeCell ref="P49:P53"/>
    <mergeCell ref="Q49:Q50"/>
    <mergeCell ref="H50:L50"/>
    <mergeCell ref="M50:N50"/>
    <mergeCell ref="H51:L51"/>
    <mergeCell ref="M51:N51"/>
    <mergeCell ref="Q51:Q54"/>
    <mergeCell ref="G52:L54"/>
    <mergeCell ref="M52:N52"/>
    <mergeCell ref="M53:N53"/>
    <mergeCell ref="O56:O57"/>
    <mergeCell ref="P56:P57"/>
    <mergeCell ref="Q56:Q57"/>
    <mergeCell ref="C60:F60"/>
    <mergeCell ref="H60:L60"/>
    <mergeCell ref="M60:N60"/>
    <mergeCell ref="C61:F61"/>
    <mergeCell ref="H61:L61"/>
    <mergeCell ref="M61:N61"/>
    <mergeCell ref="C58:F58"/>
    <mergeCell ref="H58:L58"/>
    <mergeCell ref="C59:F59"/>
    <mergeCell ref="H59:L59"/>
    <mergeCell ref="M59:N59"/>
    <mergeCell ref="P58:P62"/>
    <mergeCell ref="Q58:Q61"/>
    <mergeCell ref="C62:F62"/>
    <mergeCell ref="H62:L62"/>
    <mergeCell ref="M62:N62"/>
    <mergeCell ref="A56:B57"/>
    <mergeCell ref="C56:F57"/>
    <mergeCell ref="G56:G57"/>
    <mergeCell ref="H56:L57"/>
    <mergeCell ref="M56:N57"/>
    <mergeCell ref="M58:N58"/>
    <mergeCell ref="A69:B70"/>
    <mergeCell ref="C69:F70"/>
    <mergeCell ref="G69:G70"/>
    <mergeCell ref="H69:L70"/>
    <mergeCell ref="M69:N70"/>
    <mergeCell ref="A63:F68"/>
    <mergeCell ref="O69:O70"/>
    <mergeCell ref="P63:P67"/>
    <mergeCell ref="Q63:Q64"/>
    <mergeCell ref="H64:L64"/>
    <mergeCell ref="M64:N64"/>
    <mergeCell ref="H65:L65"/>
    <mergeCell ref="M65:N65"/>
    <mergeCell ref="Q65:Q68"/>
    <mergeCell ref="G66:L68"/>
    <mergeCell ref="M66:N66"/>
    <mergeCell ref="M67:N67"/>
    <mergeCell ref="P69:P70"/>
    <mergeCell ref="Q69:Q70"/>
    <mergeCell ref="H63:L63"/>
    <mergeCell ref="M63:N63"/>
    <mergeCell ref="C71:F71"/>
    <mergeCell ref="H71:L71"/>
    <mergeCell ref="M71:N71"/>
    <mergeCell ref="P71:P75"/>
    <mergeCell ref="Q71:Q74"/>
    <mergeCell ref="C72:F72"/>
    <mergeCell ref="H72:L72"/>
    <mergeCell ref="M72:N72"/>
    <mergeCell ref="C75:F75"/>
    <mergeCell ref="H75:L75"/>
    <mergeCell ref="M75:N75"/>
    <mergeCell ref="A76:F81"/>
    <mergeCell ref="H76:L76"/>
    <mergeCell ref="M76:N76"/>
    <mergeCell ref="C73:F73"/>
    <mergeCell ref="H73:L73"/>
    <mergeCell ref="M73:N73"/>
    <mergeCell ref="C74:F74"/>
    <mergeCell ref="H74:L74"/>
    <mergeCell ref="M74:N74"/>
    <mergeCell ref="P76:P80"/>
    <mergeCell ref="Q76:Q77"/>
    <mergeCell ref="H77:L77"/>
    <mergeCell ref="M77:N77"/>
    <mergeCell ref="M78:N78"/>
    <mergeCell ref="Q78:Q81"/>
    <mergeCell ref="G79:L81"/>
    <mergeCell ref="M79:N79"/>
    <mergeCell ref="M80:N80"/>
    <mergeCell ref="M81:P81"/>
    <mergeCell ref="H78:L78"/>
    <mergeCell ref="O82:O83"/>
    <mergeCell ref="P82:P83"/>
    <mergeCell ref="Q82:Q83"/>
    <mergeCell ref="C86:F86"/>
    <mergeCell ref="H86:L86"/>
    <mergeCell ref="M86:N86"/>
    <mergeCell ref="C87:F87"/>
    <mergeCell ref="H87:L87"/>
    <mergeCell ref="M87:N87"/>
    <mergeCell ref="C84:F84"/>
    <mergeCell ref="H84:L84"/>
    <mergeCell ref="C85:F85"/>
    <mergeCell ref="H85:L85"/>
    <mergeCell ref="M85:N85"/>
    <mergeCell ref="P84:P88"/>
    <mergeCell ref="Q84:Q87"/>
    <mergeCell ref="C88:F88"/>
    <mergeCell ref="H88:L88"/>
    <mergeCell ref="M88:N88"/>
    <mergeCell ref="A82:B83"/>
    <mergeCell ref="C82:F83"/>
    <mergeCell ref="G82:G83"/>
    <mergeCell ref="H82:L83"/>
    <mergeCell ref="M82:N83"/>
    <mergeCell ref="M84:N84"/>
    <mergeCell ref="A96:B97"/>
    <mergeCell ref="C96:F97"/>
    <mergeCell ref="G96:G97"/>
    <mergeCell ref="H96:L97"/>
    <mergeCell ref="M96:N97"/>
    <mergeCell ref="A89:F94"/>
    <mergeCell ref="O96:O97"/>
    <mergeCell ref="P89:P93"/>
    <mergeCell ref="Q89:Q90"/>
    <mergeCell ref="H90:L90"/>
    <mergeCell ref="M90:N90"/>
    <mergeCell ref="H91:L91"/>
    <mergeCell ref="M91:N91"/>
    <mergeCell ref="Q91:Q94"/>
    <mergeCell ref="G92:L94"/>
    <mergeCell ref="M92:N92"/>
    <mergeCell ref="M93:N93"/>
    <mergeCell ref="P96:P97"/>
    <mergeCell ref="Q96:Q97"/>
    <mergeCell ref="H89:L89"/>
    <mergeCell ref="M89:N89"/>
    <mergeCell ref="C98:F98"/>
    <mergeCell ref="H98:L98"/>
    <mergeCell ref="M98:N98"/>
    <mergeCell ref="P98:P102"/>
    <mergeCell ref="Q98:Q101"/>
    <mergeCell ref="C99:F99"/>
    <mergeCell ref="H99:L99"/>
    <mergeCell ref="M99:N99"/>
    <mergeCell ref="C102:F102"/>
    <mergeCell ref="H102:L102"/>
    <mergeCell ref="M102:N102"/>
    <mergeCell ref="A103:F108"/>
    <mergeCell ref="H103:L103"/>
    <mergeCell ref="M103:N103"/>
    <mergeCell ref="C100:F100"/>
    <mergeCell ref="H100:L100"/>
    <mergeCell ref="M100:N100"/>
    <mergeCell ref="C101:F101"/>
    <mergeCell ref="H101:L101"/>
    <mergeCell ref="M101:N101"/>
    <mergeCell ref="P103:P107"/>
    <mergeCell ref="Q103:Q104"/>
    <mergeCell ref="H104:L104"/>
    <mergeCell ref="M104:N104"/>
    <mergeCell ref="H105:L105"/>
    <mergeCell ref="M105:N105"/>
    <mergeCell ref="Q105:Q108"/>
    <mergeCell ref="G106:L108"/>
    <mergeCell ref="M106:N106"/>
    <mergeCell ref="M107:N107"/>
    <mergeCell ref="O109:O110"/>
    <mergeCell ref="P109:P110"/>
    <mergeCell ref="Q109:Q110"/>
    <mergeCell ref="C113:F113"/>
    <mergeCell ref="H113:L113"/>
    <mergeCell ref="M113:N113"/>
    <mergeCell ref="C114:F114"/>
    <mergeCell ref="H114:L114"/>
    <mergeCell ref="M114:N114"/>
    <mergeCell ref="C111:F111"/>
    <mergeCell ref="H111:L111"/>
    <mergeCell ref="C112:F112"/>
    <mergeCell ref="H112:L112"/>
    <mergeCell ref="M112:N112"/>
    <mergeCell ref="P111:P115"/>
    <mergeCell ref="Q111:Q114"/>
    <mergeCell ref="C115:F115"/>
    <mergeCell ref="H115:L115"/>
    <mergeCell ref="M115:N115"/>
    <mergeCell ref="A109:B110"/>
    <mergeCell ref="C109:F110"/>
    <mergeCell ref="G109:G110"/>
    <mergeCell ref="H109:L110"/>
    <mergeCell ref="M109:N110"/>
    <mergeCell ref="M111:N111"/>
    <mergeCell ref="A122:B123"/>
    <mergeCell ref="C122:F123"/>
    <mergeCell ref="G122:G123"/>
    <mergeCell ref="H122:L123"/>
    <mergeCell ref="M122:N123"/>
    <mergeCell ref="A116:F121"/>
    <mergeCell ref="O122:O123"/>
    <mergeCell ref="P116:P120"/>
    <mergeCell ref="Q116:Q117"/>
    <mergeCell ref="H117:L117"/>
    <mergeCell ref="M117:N117"/>
    <mergeCell ref="H118:L118"/>
    <mergeCell ref="M118:N118"/>
    <mergeCell ref="Q118:Q121"/>
    <mergeCell ref="G119:L121"/>
    <mergeCell ref="M119:N119"/>
    <mergeCell ref="M120:N120"/>
    <mergeCell ref="P122:P123"/>
    <mergeCell ref="Q122:Q123"/>
    <mergeCell ref="H116:L116"/>
    <mergeCell ref="M116:N116"/>
    <mergeCell ref="C124:F124"/>
    <mergeCell ref="H124:L124"/>
    <mergeCell ref="M124:N124"/>
    <mergeCell ref="P124:P128"/>
    <mergeCell ref="Q124:Q127"/>
    <mergeCell ref="C125:F125"/>
    <mergeCell ref="H125:L125"/>
    <mergeCell ref="M125:N125"/>
    <mergeCell ref="C128:F128"/>
    <mergeCell ref="H128:L128"/>
    <mergeCell ref="M128:N128"/>
    <mergeCell ref="A129:F135"/>
    <mergeCell ref="H129:L129"/>
    <mergeCell ref="M129:N129"/>
    <mergeCell ref="M134:P135"/>
    <mergeCell ref="C126:F126"/>
    <mergeCell ref="H126:L126"/>
    <mergeCell ref="M126:N126"/>
    <mergeCell ref="C127:F127"/>
    <mergeCell ref="H127:L127"/>
    <mergeCell ref="M127:N127"/>
    <mergeCell ref="P129:P133"/>
    <mergeCell ref="Q129:Q130"/>
    <mergeCell ref="H130:L130"/>
    <mergeCell ref="M130:N130"/>
    <mergeCell ref="H131:L131"/>
    <mergeCell ref="M131:N131"/>
    <mergeCell ref="Q131:Q134"/>
    <mergeCell ref="G132:L135"/>
    <mergeCell ref="M132:N132"/>
    <mergeCell ref="M133:N133"/>
    <mergeCell ref="O136:O137"/>
    <mergeCell ref="P136:P137"/>
    <mergeCell ref="Q136:Q137"/>
    <mergeCell ref="C140:F140"/>
    <mergeCell ref="H140:L140"/>
    <mergeCell ref="M140:N140"/>
    <mergeCell ref="C141:F141"/>
    <mergeCell ref="H141:L141"/>
    <mergeCell ref="M141:N141"/>
    <mergeCell ref="C138:F138"/>
    <mergeCell ref="H138:L138"/>
    <mergeCell ref="C139:F139"/>
    <mergeCell ref="H139:L139"/>
    <mergeCell ref="M139:N139"/>
    <mergeCell ref="P138:P142"/>
    <mergeCell ref="Q138:Q141"/>
    <mergeCell ref="C142:F142"/>
    <mergeCell ref="H142:L142"/>
    <mergeCell ref="M142:N142"/>
    <mergeCell ref="A136:B137"/>
    <mergeCell ref="C136:F137"/>
    <mergeCell ref="G136:G137"/>
    <mergeCell ref="H136:L137"/>
    <mergeCell ref="M136:N137"/>
    <mergeCell ref="M138:N138"/>
    <mergeCell ref="A149:B150"/>
    <mergeCell ref="C149:F150"/>
    <mergeCell ref="G149:G150"/>
    <mergeCell ref="H149:L150"/>
    <mergeCell ref="M149:N150"/>
    <mergeCell ref="A143:F148"/>
    <mergeCell ref="O149:O150"/>
    <mergeCell ref="P143:P147"/>
    <mergeCell ref="Q143:Q144"/>
    <mergeCell ref="H144:L144"/>
    <mergeCell ref="M144:N144"/>
    <mergeCell ref="H145:L145"/>
    <mergeCell ref="M145:N145"/>
    <mergeCell ref="Q145:Q148"/>
    <mergeCell ref="G146:L148"/>
    <mergeCell ref="M146:N146"/>
    <mergeCell ref="M147:N147"/>
    <mergeCell ref="P149:P150"/>
    <mergeCell ref="Q149:Q150"/>
    <mergeCell ref="H143:L143"/>
    <mergeCell ref="M143:N143"/>
    <mergeCell ref="C151:F151"/>
    <mergeCell ref="H151:L151"/>
    <mergeCell ref="M151:N151"/>
    <mergeCell ref="P151:P155"/>
    <mergeCell ref="Q151:Q154"/>
    <mergeCell ref="C152:F152"/>
    <mergeCell ref="H152:L152"/>
    <mergeCell ref="M152:N152"/>
    <mergeCell ref="C155:F155"/>
    <mergeCell ref="H155:L155"/>
    <mergeCell ref="M155:N155"/>
    <mergeCell ref="A156:F161"/>
    <mergeCell ref="H156:L156"/>
    <mergeCell ref="M156:N156"/>
    <mergeCell ref="C153:F153"/>
    <mergeCell ref="H153:L153"/>
    <mergeCell ref="M153:N153"/>
    <mergeCell ref="C154:F154"/>
    <mergeCell ref="H154:L154"/>
    <mergeCell ref="M154:N154"/>
    <mergeCell ref="P156:P160"/>
    <mergeCell ref="Q156:Q157"/>
    <mergeCell ref="H157:L157"/>
    <mergeCell ref="M157:N157"/>
    <mergeCell ref="H158:L158"/>
    <mergeCell ref="M158:N158"/>
    <mergeCell ref="Q158:Q161"/>
    <mergeCell ref="G159:L161"/>
    <mergeCell ref="M159:N159"/>
    <mergeCell ref="M160:N160"/>
    <mergeCell ref="A162:B163"/>
    <mergeCell ref="C162:F163"/>
    <mergeCell ref="G162:G163"/>
    <mergeCell ref="H162:L163"/>
    <mergeCell ref="M162:N163"/>
    <mergeCell ref="O162:O163"/>
    <mergeCell ref="P162:P163"/>
    <mergeCell ref="Q162:Q163"/>
    <mergeCell ref="C166:F166"/>
    <mergeCell ref="H166:L166"/>
    <mergeCell ref="M166:N166"/>
    <mergeCell ref="C164:F164"/>
    <mergeCell ref="H164:L164"/>
    <mergeCell ref="M164:N164"/>
    <mergeCell ref="P164:P168"/>
    <mergeCell ref="Q164:Q167"/>
    <mergeCell ref="C165:F165"/>
    <mergeCell ref="H165:L165"/>
    <mergeCell ref="M165:N165"/>
    <mergeCell ref="C168:F168"/>
    <mergeCell ref="H168:L168"/>
    <mergeCell ref="M168:N168"/>
    <mergeCell ref="C167:F167"/>
    <mergeCell ref="H167:L167"/>
    <mergeCell ref="P169:P173"/>
    <mergeCell ref="Q169:Q170"/>
    <mergeCell ref="H170:L170"/>
    <mergeCell ref="M170:N170"/>
    <mergeCell ref="H171:L171"/>
    <mergeCell ref="M171:N171"/>
    <mergeCell ref="Q171:Q174"/>
    <mergeCell ref="G172:L175"/>
    <mergeCell ref="M172:N172"/>
    <mergeCell ref="M173:N173"/>
    <mergeCell ref="H169:L169"/>
    <mergeCell ref="M169:N169"/>
    <mergeCell ref="M174:P175"/>
    <mergeCell ref="P178:P182"/>
    <mergeCell ref="Q178:Q181"/>
    <mergeCell ref="C179:F179"/>
    <mergeCell ref="H179:L179"/>
    <mergeCell ref="M179:N179"/>
    <mergeCell ref="C182:F182"/>
    <mergeCell ref="H182:L182"/>
    <mergeCell ref="M182:N182"/>
    <mergeCell ref="A176:B177"/>
    <mergeCell ref="C176:F177"/>
    <mergeCell ref="G176:G177"/>
    <mergeCell ref="H176:L177"/>
    <mergeCell ref="M176:N177"/>
    <mergeCell ref="O176:O177"/>
    <mergeCell ref="P176:P177"/>
    <mergeCell ref="Q176:Q177"/>
    <mergeCell ref="M167:N167"/>
    <mergeCell ref="A183:F188"/>
    <mergeCell ref="H183:L183"/>
    <mergeCell ref="M183:N183"/>
    <mergeCell ref="C180:F180"/>
    <mergeCell ref="H180:L180"/>
    <mergeCell ref="M180:N180"/>
    <mergeCell ref="C181:F181"/>
    <mergeCell ref="H181:L181"/>
    <mergeCell ref="M181:N181"/>
    <mergeCell ref="C178:F178"/>
    <mergeCell ref="H178:L178"/>
    <mergeCell ref="M178:N178"/>
    <mergeCell ref="A169:F175"/>
    <mergeCell ref="P183:P187"/>
    <mergeCell ref="Q183:Q184"/>
    <mergeCell ref="H184:L184"/>
    <mergeCell ref="M184:N184"/>
    <mergeCell ref="H185:L185"/>
    <mergeCell ref="M185:N185"/>
    <mergeCell ref="Q185:Q188"/>
    <mergeCell ref="G186:L188"/>
    <mergeCell ref="M186:N186"/>
    <mergeCell ref="M187:N187"/>
    <mergeCell ref="O189:O190"/>
    <mergeCell ref="P189:P190"/>
    <mergeCell ref="Q189:Q190"/>
    <mergeCell ref="C193:F193"/>
    <mergeCell ref="H193:L193"/>
    <mergeCell ref="M193:N193"/>
    <mergeCell ref="C194:F194"/>
    <mergeCell ref="H194:L194"/>
    <mergeCell ref="M194:N194"/>
    <mergeCell ref="C191:F191"/>
    <mergeCell ref="H191:L191"/>
    <mergeCell ref="C192:F192"/>
    <mergeCell ref="H192:L192"/>
    <mergeCell ref="M192:N192"/>
    <mergeCell ref="P191:P195"/>
    <mergeCell ref="Q191:Q194"/>
    <mergeCell ref="C195:F195"/>
    <mergeCell ref="H195:L195"/>
    <mergeCell ref="M195:N195"/>
    <mergeCell ref="A189:B190"/>
    <mergeCell ref="C189:F190"/>
    <mergeCell ref="G189:G190"/>
    <mergeCell ref="H189:L190"/>
    <mergeCell ref="M189:N190"/>
    <mergeCell ref="M191:N191"/>
    <mergeCell ref="A202:B203"/>
    <mergeCell ref="C202:F203"/>
    <mergeCell ref="G202:G203"/>
    <mergeCell ref="H202:L203"/>
    <mergeCell ref="M202:N203"/>
    <mergeCell ref="A196:F201"/>
    <mergeCell ref="O202:O203"/>
    <mergeCell ref="P196:P200"/>
    <mergeCell ref="Q196:Q197"/>
    <mergeCell ref="H197:L197"/>
    <mergeCell ref="M197:N197"/>
    <mergeCell ref="H198:L198"/>
    <mergeCell ref="M198:N198"/>
    <mergeCell ref="Q198:Q201"/>
    <mergeCell ref="G199:L201"/>
    <mergeCell ref="M199:N199"/>
    <mergeCell ref="M200:N200"/>
    <mergeCell ref="P202:P203"/>
    <mergeCell ref="Q202:Q203"/>
    <mergeCell ref="H196:L196"/>
    <mergeCell ref="M196:N196"/>
    <mergeCell ref="M204:N204"/>
    <mergeCell ref="P204:P208"/>
    <mergeCell ref="Q204:Q207"/>
    <mergeCell ref="C205:F205"/>
    <mergeCell ref="H205:L205"/>
    <mergeCell ref="M205:N205"/>
    <mergeCell ref="C208:F208"/>
    <mergeCell ref="H208:L208"/>
    <mergeCell ref="M208:N208"/>
    <mergeCell ref="C2:E4"/>
    <mergeCell ref="B2:B4"/>
    <mergeCell ref="Q209:Q210"/>
    <mergeCell ref="H210:L210"/>
    <mergeCell ref="M210:N210"/>
    <mergeCell ref="H211:L211"/>
    <mergeCell ref="M211:N211"/>
    <mergeCell ref="Q211:Q214"/>
    <mergeCell ref="G212:L215"/>
    <mergeCell ref="M212:N212"/>
    <mergeCell ref="M213:N213"/>
    <mergeCell ref="A209:F215"/>
    <mergeCell ref="H209:L209"/>
    <mergeCell ref="M209:N209"/>
    <mergeCell ref="M214:P215"/>
    <mergeCell ref="C206:F206"/>
    <mergeCell ref="H206:L206"/>
    <mergeCell ref="M206:N206"/>
    <mergeCell ref="C207:F207"/>
    <mergeCell ref="H207:L207"/>
    <mergeCell ref="M207:N207"/>
    <mergeCell ref="P209:P213"/>
    <mergeCell ref="C204:F204"/>
    <mergeCell ref="H204:L204"/>
  </mergeCells>
  <pageMargins left="0.7" right="0.7" top="0.75" bottom="0.75" header="0.3" footer="0.3"/>
  <pageSetup paperSize="9" scale="49" orientation="landscape" r:id="rId1"/>
  <rowBreaks count="5" manualBreakCount="5">
    <brk id="41" max="16" man="1"/>
    <brk id="81" max="16" man="1"/>
    <brk id="95" max="16" man="1"/>
    <brk id="135" max="16" man="1"/>
    <brk id="175" max="1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0000"/>
  </sheetPr>
  <dimension ref="A1:CR121"/>
  <sheetViews>
    <sheetView topLeftCell="A4" zoomScale="118" zoomScaleNormal="118" workbookViewId="0">
      <pane xSplit="8" topLeftCell="R1" activePane="topRight" state="frozen"/>
      <selection activeCell="E1" sqref="E1"/>
      <selection pane="topRight" activeCell="AW53" sqref="AW53:AW54"/>
    </sheetView>
  </sheetViews>
  <sheetFormatPr baseColWidth="10" defaultColWidth="11.42578125" defaultRowHeight="15" outlineLevelRow="1"/>
  <cols>
    <col min="1" max="1" width="19" style="375" hidden="1" customWidth="1"/>
    <col min="2" max="2" width="17.140625" hidden="1" customWidth="1"/>
    <col min="4" max="4" width="9.85546875" customWidth="1"/>
    <col min="6" max="6" width="9.28515625" customWidth="1"/>
    <col min="9" max="10" width="11.42578125" style="287" customWidth="1"/>
    <col min="11" max="16" width="11.42578125" customWidth="1"/>
    <col min="17" max="17" width="9.28515625" style="778" customWidth="1"/>
    <col min="18" max="19" width="11.42578125" customWidth="1"/>
    <col min="20" max="20" width="10.42578125" customWidth="1"/>
    <col min="21" max="22" width="11.42578125" customWidth="1"/>
    <col min="23" max="23" width="11.42578125" style="287" customWidth="1"/>
    <col min="24" max="24" width="11.42578125" style="1105" customWidth="1"/>
    <col min="25" max="26" width="11.42578125" customWidth="1"/>
    <col min="27" max="28" width="11.42578125" style="287" customWidth="1"/>
    <col min="29" max="29" width="11.42578125" style="939" customWidth="1"/>
    <col min="30" max="30" width="11.42578125" style="287" customWidth="1"/>
    <col min="31" max="31" width="11.42578125" style="1150" customWidth="1"/>
    <col min="32" max="32" width="10.28515625" style="447" customWidth="1"/>
    <col min="33" max="33" width="38.28515625" style="287" customWidth="1"/>
    <col min="34" max="34" width="38.140625" customWidth="1"/>
    <col min="35" max="35" width="10.7109375" style="287" customWidth="1"/>
    <col min="36" max="36" width="9.42578125" style="287" customWidth="1"/>
    <col min="37" max="38" width="9.42578125" style="831" customWidth="1"/>
    <col min="39" max="39" width="16" style="447" customWidth="1"/>
    <col min="40" max="40" width="10" style="287" customWidth="1"/>
    <col min="41" max="41" width="10" style="447" customWidth="1"/>
    <col min="42" max="43" width="10" style="375" customWidth="1"/>
    <col min="45" max="45" width="11.42578125" style="1150"/>
    <col min="46" max="46" width="9.42578125" customWidth="1"/>
    <col min="47" max="47" width="10.7109375" style="1150" customWidth="1"/>
    <col min="48" max="48" width="47.85546875" style="287" customWidth="1"/>
    <col min="49" max="49" width="43.85546875" customWidth="1"/>
    <col min="50" max="50" width="10.28515625" style="1150" customWidth="1"/>
    <col min="51" max="51" width="10.140625" style="1150" customWidth="1"/>
    <col min="52" max="52" width="11.5703125" style="1150" customWidth="1"/>
    <col min="53" max="53" width="14" style="1150" customWidth="1"/>
    <col min="54" max="54" width="14.7109375" style="1150" customWidth="1"/>
    <col min="55" max="55" width="10" style="1150" customWidth="1"/>
    <col min="56" max="58" width="11.42578125" style="1150" customWidth="1"/>
    <col min="59" max="59" width="12.5703125" customWidth="1"/>
    <col min="60" max="66" width="11.42578125" customWidth="1"/>
    <col min="67" max="67" width="8.42578125" style="287" customWidth="1"/>
    <col min="68" max="68" width="11" style="287" customWidth="1"/>
    <col min="69" max="70" width="11.42578125" customWidth="1"/>
    <col min="71" max="71" width="9.140625" style="287" customWidth="1"/>
    <col min="72" max="72" width="9.5703125" style="287" customWidth="1"/>
    <col min="73" max="74" width="11.42578125" customWidth="1"/>
    <col min="75" max="75" width="19.7109375" style="447" customWidth="1"/>
    <col min="76" max="76" width="11.42578125" customWidth="1"/>
    <col min="77" max="77" width="11.42578125" style="447" customWidth="1"/>
    <col min="78" max="79" width="11.42578125" style="375" customWidth="1"/>
    <col min="80" max="80" width="11.42578125" style="1150" customWidth="1"/>
    <col min="82" max="82" width="37" style="1150" customWidth="1"/>
    <col min="83" max="83" width="41" style="1150" customWidth="1"/>
    <col min="84" max="84" width="9.42578125" style="1150" customWidth="1"/>
    <col min="85" max="85" width="6.42578125" style="1150" customWidth="1"/>
    <col min="86" max="86" width="19.7109375" style="1150" customWidth="1"/>
    <col min="87" max="90" width="11.42578125" style="1150" customWidth="1"/>
    <col min="91" max="93" width="11.42578125" customWidth="1"/>
    <col min="94" max="94" width="11.85546875" customWidth="1"/>
    <col min="95" max="96" width="12.42578125" customWidth="1"/>
    <col min="97" max="347" width="11.42578125" customWidth="1"/>
  </cols>
  <sheetData>
    <row r="1" spans="1:96" ht="24.95" customHeight="1" thickBot="1">
      <c r="F1" s="1668" t="s">
        <v>2859</v>
      </c>
      <c r="G1" s="1668"/>
      <c r="H1" s="1668"/>
      <c r="I1" s="290"/>
      <c r="J1" s="290"/>
      <c r="K1" s="260"/>
      <c r="L1" s="260"/>
      <c r="M1" s="157"/>
      <c r="N1" s="260"/>
      <c r="O1" s="260"/>
      <c r="P1" s="260"/>
      <c r="Q1" s="584"/>
      <c r="R1" s="260"/>
      <c r="S1" s="260"/>
      <c r="T1" s="260"/>
      <c r="U1" s="1703" t="s">
        <v>2150</v>
      </c>
      <c r="V1" s="1703"/>
      <c r="W1" s="1703"/>
      <c r="X1" s="1113"/>
      <c r="Y1" s="352"/>
      <c r="AA1" s="1706" t="s">
        <v>2132</v>
      </c>
      <c r="AB1" s="1707"/>
      <c r="AC1" s="1333">
        <f ca="1">R11</f>
        <v>726000</v>
      </c>
      <c r="AD1" s="1150"/>
      <c r="AE1" s="1232" t="s">
        <v>2138</v>
      </c>
      <c r="AF1" s="1232" t="s">
        <v>2230</v>
      </c>
      <c r="AG1" s="1725" t="s">
        <v>2814</v>
      </c>
      <c r="AH1" s="1726"/>
      <c r="AI1" s="1329"/>
      <c r="AJ1" s="1329"/>
      <c r="AK1" s="1109"/>
      <c r="AL1" s="1109"/>
      <c r="AM1" s="1327"/>
      <c r="AN1" s="503"/>
      <c r="AO1" s="504"/>
      <c r="AP1" s="390"/>
      <c r="AQ1" s="1151"/>
      <c r="AT1" s="1232" t="s">
        <v>2366</v>
      </c>
      <c r="AU1" s="1232" t="s">
        <v>2230</v>
      </c>
      <c r="AV1" s="1727" t="s">
        <v>2838</v>
      </c>
      <c r="AW1" s="1728"/>
      <c r="AX1" s="1720" t="s">
        <v>2162</v>
      </c>
      <c r="AY1" s="1733" t="s">
        <v>2237</v>
      </c>
      <c r="AZ1" s="1733"/>
      <c r="BA1" s="1733"/>
      <c r="BB1" s="1733"/>
      <c r="BC1" s="1734" t="s">
        <v>2143</v>
      </c>
      <c r="BD1" s="1734"/>
      <c r="BE1" s="1734"/>
      <c r="BF1" s="1734"/>
      <c r="BG1" s="1735" t="s">
        <v>2144</v>
      </c>
      <c r="BH1" s="1735"/>
      <c r="BI1" s="1735"/>
      <c r="BJ1" s="1735"/>
      <c r="BK1" s="1689" t="s">
        <v>2145</v>
      </c>
      <c r="BL1" s="1689"/>
      <c r="BM1" s="1689"/>
      <c r="BN1" s="1689"/>
      <c r="BO1" s="1714" t="s">
        <v>2146</v>
      </c>
      <c r="BP1" s="1714"/>
      <c r="BQ1" s="1714"/>
      <c r="BR1" s="1714"/>
      <c r="BS1" s="1708" t="s">
        <v>2147</v>
      </c>
      <c r="BT1" s="1708"/>
      <c r="BU1" s="1708"/>
      <c r="BV1" s="1708"/>
      <c r="BW1" s="1711" t="s">
        <v>2838</v>
      </c>
      <c r="BX1" s="1711"/>
      <c r="BY1" s="1711"/>
      <c r="BZ1" s="1711"/>
      <c r="CA1" s="1711"/>
      <c r="CB1" s="1285"/>
      <c r="CC1" s="1127"/>
      <c r="CD1" s="1669" t="s">
        <v>2861</v>
      </c>
      <c r="CE1" s="1670"/>
      <c r="CF1" s="1286"/>
      <c r="CG1" s="1286"/>
      <c r="CH1" s="1286"/>
      <c r="CI1" s="1286"/>
      <c r="CJ1" s="1286"/>
      <c r="CK1" s="1286"/>
      <c r="CL1" s="1286"/>
      <c r="CM1" s="1286"/>
      <c r="CN1" s="1286"/>
      <c r="CO1" s="1286"/>
      <c r="CP1" s="1286"/>
      <c r="CQ1" s="1286"/>
      <c r="CR1" s="1286"/>
    </row>
    <row r="2" spans="1:96" ht="24.95" customHeight="1" thickBot="1">
      <c r="E2" s="226"/>
      <c r="F2" s="1712" t="s">
        <v>2275</v>
      </c>
      <c r="G2" s="1713"/>
      <c r="H2" s="1713"/>
      <c r="I2" s="290"/>
      <c r="J2" s="290"/>
      <c r="K2" s="260"/>
      <c r="L2" s="260"/>
      <c r="M2" s="290"/>
      <c r="N2" s="260"/>
      <c r="O2" s="260"/>
      <c r="P2" s="260"/>
      <c r="R2" s="260"/>
      <c r="S2" s="260"/>
      <c r="T2" s="260"/>
      <c r="U2" s="1703" t="s">
        <v>2220</v>
      </c>
      <c r="V2" s="1703"/>
      <c r="W2" s="1703"/>
      <c r="X2" s="1113"/>
      <c r="Y2" s="352"/>
      <c r="AA2" s="1706" t="s">
        <v>2133</v>
      </c>
      <c r="AB2" s="1707"/>
      <c r="AC2" s="1333">
        <f ca="1">S11</f>
        <v>352372.60273972602</v>
      </c>
      <c r="AD2" s="1150"/>
      <c r="AE2" s="1325" t="s">
        <v>2866</v>
      </c>
      <c r="AF2" s="1313" t="s">
        <v>2254</v>
      </c>
      <c r="AG2" s="1723" t="s">
        <v>2363</v>
      </c>
      <c r="AH2" s="1724"/>
      <c r="AI2" s="1329"/>
      <c r="AJ2" s="1329"/>
      <c r="AK2" s="1109"/>
      <c r="AL2" s="1109"/>
      <c r="AM2" s="1696" t="s">
        <v>2319</v>
      </c>
      <c r="AN2" s="1696"/>
      <c r="AO2" s="1697"/>
      <c r="AP2" s="1698" t="s">
        <v>2816</v>
      </c>
      <c r="AQ2" s="1699"/>
      <c r="AT2" s="1312" t="s">
        <v>2140</v>
      </c>
      <c r="AU2" s="1313" t="s">
        <v>2255</v>
      </c>
      <c r="AV2" s="1729" t="s">
        <v>2241</v>
      </c>
      <c r="AW2" s="1730"/>
      <c r="AX2" s="1721"/>
      <c r="AY2" s="1710" t="s">
        <v>2363</v>
      </c>
      <c r="AZ2" s="1710"/>
      <c r="BA2" s="1710"/>
      <c r="BB2" s="1311">
        <f>AT4</f>
        <v>6.9103448275862072E-4</v>
      </c>
      <c r="BC2" s="1710" t="s">
        <v>2363</v>
      </c>
      <c r="BD2" s="1710"/>
      <c r="BE2" s="1710"/>
      <c r="BF2" s="1311">
        <f>AT5</f>
        <v>1.7282758620689655E-3</v>
      </c>
      <c r="BG2" s="1710" t="s">
        <v>2363</v>
      </c>
      <c r="BH2" s="1710"/>
      <c r="BI2" s="1710"/>
      <c r="BJ2" s="1311">
        <f>AT6</f>
        <v>8.5379310344827581E-4</v>
      </c>
      <c r="BK2" s="1710" t="s">
        <v>2363</v>
      </c>
      <c r="BL2" s="1710"/>
      <c r="BM2" s="1710"/>
      <c r="BN2" s="1311">
        <f>AT7</f>
        <v>2.0537931034482759E-3</v>
      </c>
      <c r="BO2" s="1710" t="s">
        <v>2363</v>
      </c>
      <c r="BP2" s="1710"/>
      <c r="BQ2" s="1710"/>
      <c r="BR2" s="1311">
        <f>AT8</f>
        <v>8.1144827586206898E-3</v>
      </c>
      <c r="BS2" s="1710" t="s">
        <v>2363</v>
      </c>
      <c r="BT2" s="1710"/>
      <c r="BU2" s="1710"/>
      <c r="BV2" s="1311">
        <f>AT9</f>
        <v>1.6216551724137933E-2</v>
      </c>
      <c r="BW2" s="1715" t="s">
        <v>2319</v>
      </c>
      <c r="BX2" s="1715"/>
      <c r="BY2" s="1715"/>
      <c r="BZ2" s="1716" t="s">
        <v>2816</v>
      </c>
      <c r="CA2" s="1716"/>
      <c r="CB2" s="1285"/>
      <c r="CC2" s="1127"/>
      <c r="CD2" s="1671"/>
      <c r="CE2" s="1672"/>
      <c r="CF2" s="1286"/>
      <c r="CG2" s="1286"/>
      <c r="CH2" s="1286"/>
      <c r="CI2" s="1286"/>
      <c r="CJ2" s="1286"/>
      <c r="CK2" s="1286"/>
      <c r="CL2" s="1286"/>
      <c r="CM2" s="1286"/>
      <c r="CN2" s="1286"/>
      <c r="CO2" s="1286"/>
      <c r="CP2" s="1286"/>
      <c r="CQ2" s="1286"/>
      <c r="CR2" s="1286"/>
    </row>
    <row r="3" spans="1:96" ht="24.95" customHeight="1">
      <c r="C3" s="226"/>
      <c r="D3" s="226"/>
      <c r="E3" s="226"/>
      <c r="F3" s="226"/>
      <c r="G3" s="157"/>
      <c r="I3" s="290"/>
      <c r="J3" s="290"/>
      <c r="K3" s="260"/>
      <c r="L3" s="260"/>
      <c r="M3" s="290"/>
      <c r="N3" s="260"/>
      <c r="O3" s="260"/>
      <c r="P3" s="260"/>
      <c r="R3" s="260"/>
      <c r="S3" s="260"/>
      <c r="T3" s="260"/>
      <c r="U3" s="1703" t="s">
        <v>0</v>
      </c>
      <c r="V3" s="1703"/>
      <c r="W3" s="1703"/>
      <c r="X3" s="1113"/>
      <c r="Y3" s="649">
        <f ca="1">AB13+AD13+AC13</f>
        <v>12578.223331728497</v>
      </c>
      <c r="AA3" s="1706" t="s">
        <v>1</v>
      </c>
      <c r="AB3" s="1707"/>
      <c r="AC3" s="1333">
        <f>M11</f>
        <v>75</v>
      </c>
      <c r="AD3" s="1150"/>
      <c r="AE3" s="1232" t="s">
        <v>1804</v>
      </c>
      <c r="AF3" s="1232" t="s">
        <v>1804</v>
      </c>
      <c r="AG3" s="1232" t="s">
        <v>2864</v>
      </c>
      <c r="AH3" s="1232" t="s">
        <v>2865</v>
      </c>
      <c r="AI3" s="1280" t="s">
        <v>2148</v>
      </c>
      <c r="AJ3" s="1328" t="s">
        <v>2870</v>
      </c>
      <c r="AK3" s="1328" t="s">
        <v>2869</v>
      </c>
      <c r="AL3" s="1328" t="s">
        <v>2871</v>
      </c>
      <c r="AM3" s="398" t="s">
        <v>2319</v>
      </c>
      <c r="AN3" s="256" t="s">
        <v>2320</v>
      </c>
      <c r="AO3" s="282" t="s">
        <v>2527</v>
      </c>
      <c r="AP3" s="398" t="s">
        <v>2246</v>
      </c>
      <c r="AQ3" s="398" t="s">
        <v>2247</v>
      </c>
      <c r="AT3" s="445" t="s">
        <v>2867</v>
      </c>
      <c r="AU3" s="445" t="s">
        <v>2867</v>
      </c>
      <c r="AV3" s="1232" t="s">
        <v>2753</v>
      </c>
      <c r="AW3" s="1232" t="s">
        <v>2868</v>
      </c>
      <c r="AX3" s="1722"/>
      <c r="AY3" s="1651" t="s">
        <v>2138</v>
      </c>
      <c r="AZ3" s="1651"/>
      <c r="BA3" s="1301">
        <f>Admin!E55</f>
        <v>100000</v>
      </c>
      <c r="BB3" s="1709" t="s">
        <v>1804</v>
      </c>
      <c r="BC3" s="1651" t="s">
        <v>2138</v>
      </c>
      <c r="BD3" s="1651"/>
      <c r="BE3" s="1301">
        <f>Admin!E56</f>
        <v>100000</v>
      </c>
      <c r="BF3" s="1709" t="s">
        <v>1804</v>
      </c>
      <c r="BG3" s="1651" t="s">
        <v>2138</v>
      </c>
      <c r="BH3" s="1651"/>
      <c r="BI3" s="1301">
        <f>Admin!E57</f>
        <v>100000</v>
      </c>
      <c r="BJ3" s="1709" t="s">
        <v>1804</v>
      </c>
      <c r="BK3" s="1651" t="s">
        <v>2138</v>
      </c>
      <c r="BL3" s="1651"/>
      <c r="BM3" s="1301">
        <f>Admin!E58</f>
        <v>100000</v>
      </c>
      <c r="BN3" s="1709" t="s">
        <v>1804</v>
      </c>
      <c r="BO3" s="1651" t="s">
        <v>2138</v>
      </c>
      <c r="BP3" s="1651"/>
      <c r="BQ3" s="1301">
        <f>Admin!E61</f>
        <v>315386.30136986304</v>
      </c>
      <c r="BR3" s="1709" t="s">
        <v>1804</v>
      </c>
      <c r="BS3" s="1651" t="s">
        <v>2138</v>
      </c>
      <c r="BT3" s="1651"/>
      <c r="BU3" s="1301">
        <f>Admin!E62</f>
        <v>315386.30136986304</v>
      </c>
      <c r="BV3" s="1709" t="s">
        <v>1804</v>
      </c>
      <c r="BW3" s="1232" t="s">
        <v>2319</v>
      </c>
      <c r="BX3" s="1232" t="s">
        <v>2320</v>
      </c>
      <c r="BY3" s="1232" t="s">
        <v>2140</v>
      </c>
      <c r="BZ3" s="1232" t="s">
        <v>2246</v>
      </c>
      <c r="CA3" s="1232" t="s">
        <v>2247</v>
      </c>
      <c r="CB3" s="1285"/>
      <c r="CC3" s="1127"/>
      <c r="CD3" s="1287"/>
      <c r="CE3" s="1287"/>
      <c r="CF3" s="1286"/>
      <c r="CG3" s="1286"/>
      <c r="CH3" s="1286"/>
      <c r="CI3" s="1286"/>
      <c r="CJ3" s="1286"/>
      <c r="CK3" s="1286"/>
      <c r="CL3" s="1286"/>
      <c r="CM3" s="1286"/>
      <c r="CN3" s="1286"/>
      <c r="CO3" s="1286"/>
      <c r="CP3" s="1286"/>
      <c r="CQ3" s="1286"/>
      <c r="CR3" s="1286"/>
    </row>
    <row r="4" spans="1:96" ht="24.95" customHeight="1">
      <c r="C4" s="226"/>
      <c r="D4" s="226"/>
      <c r="E4" s="226"/>
      <c r="F4" s="226"/>
      <c r="I4" s="290"/>
      <c r="J4" s="290"/>
      <c r="K4" s="260"/>
      <c r="L4" s="260"/>
      <c r="M4" s="290"/>
      <c r="N4" s="260"/>
      <c r="O4" s="260"/>
      <c r="P4" s="260"/>
      <c r="R4" s="260"/>
      <c r="S4" s="260"/>
      <c r="T4" s="260"/>
      <c r="U4" s="1703" t="s">
        <v>2526</v>
      </c>
      <c r="V4" s="1703"/>
      <c r="W4" s="1703"/>
      <c r="X4" s="1113"/>
      <c r="Y4" s="647">
        <f ca="1">((AD13*TAXE)/O11)</f>
        <v>3.8500828606184236</v>
      </c>
      <c r="AA4" s="1706" t="s">
        <v>2123</v>
      </c>
      <c r="AB4" s="1707"/>
      <c r="AC4" s="1334">
        <f>IF(N3=0,Calcul!AL10,#REF!*Calcul!#REF!*1.04)</f>
        <v>94.257399999999976</v>
      </c>
      <c r="AD4" s="1150"/>
      <c r="AE4" s="1336">
        <f>Admin!I48</f>
        <v>1165.3846153846152</v>
      </c>
      <c r="AF4" s="1336">
        <f>Admin!I73</f>
        <v>569.03846153846143</v>
      </c>
      <c r="AG4" s="1313" t="str">
        <f>Admin!B48</f>
        <v>2017EURAIG Luxembourg-Healthcare PlanPerfect S</v>
      </c>
      <c r="AH4" s="1313" t="str">
        <f>Admin!B73</f>
        <v>2016EURAIG Luxembourg-Healthcare PlanStandardMLC S</v>
      </c>
      <c r="AI4" s="1324">
        <v>0.1</v>
      </c>
      <c r="AJ4" s="1330">
        <f>(AE4*(1-$AI$4))/12*$AO$4</f>
        <v>524.42307692307691</v>
      </c>
      <c r="AK4" s="1330">
        <f>(AF4*(1-$AI$5))/12*$AO$5</f>
        <v>2944.7740384615381</v>
      </c>
      <c r="AL4" s="1330">
        <f>SUM(AJ4:AK4)</f>
        <v>3469.1971153846152</v>
      </c>
      <c r="AM4" s="252" t="s">
        <v>2316</v>
      </c>
      <c r="AN4" s="1394">
        <v>14</v>
      </c>
      <c r="AO4" s="609">
        <v>6</v>
      </c>
      <c r="AP4" s="254">
        <v>1</v>
      </c>
      <c r="AQ4" s="254">
        <v>0</v>
      </c>
      <c r="AT4" s="1326">
        <f>Admin!I55</f>
        <v>6.9103448275862072E-4</v>
      </c>
      <c r="AU4" s="1152"/>
      <c r="AV4" s="1314" t="str">
        <f>Admin!B55</f>
        <v>2017EURAnker Verzekeringen n.v.-Death AccidentFormula 3</v>
      </c>
      <c r="AW4" s="1314" t="str">
        <f>Admin!B81</f>
        <v>2017EURAnker Verzekeringen n.v.-Death AccidentFormula 3</v>
      </c>
      <c r="AX4" s="1317">
        <f ca="1">BB7</f>
        <v>342.67737364194619</v>
      </c>
      <c r="AY4" s="1652" t="s">
        <v>2140</v>
      </c>
      <c r="AZ4" s="1651"/>
      <c r="BA4" s="1302">
        <f>Admin!F55</f>
        <v>3</v>
      </c>
      <c r="BB4" s="1709"/>
      <c r="BC4" s="1651" t="s">
        <v>2140</v>
      </c>
      <c r="BD4" s="1651"/>
      <c r="BE4" s="1302">
        <f>Admin!F56</f>
        <v>3</v>
      </c>
      <c r="BF4" s="1709"/>
      <c r="BG4" s="1651" t="s">
        <v>2140</v>
      </c>
      <c r="BH4" s="1651"/>
      <c r="BI4" s="1302">
        <f>Admin!F57</f>
        <v>3</v>
      </c>
      <c r="BJ4" s="1709"/>
      <c r="BK4" s="1651" t="s">
        <v>2140</v>
      </c>
      <c r="BL4" s="1651"/>
      <c r="BM4" s="1302">
        <f>Admin!F58</f>
        <v>3</v>
      </c>
      <c r="BN4" s="1709"/>
      <c r="BO4" s="1651" t="s">
        <v>2140</v>
      </c>
      <c r="BP4" s="1651"/>
      <c r="BQ4" s="1302">
        <f>Admin!F61</f>
        <v>1</v>
      </c>
      <c r="BR4" s="1709"/>
      <c r="BS4" s="1651" t="s">
        <v>2140</v>
      </c>
      <c r="BT4" s="1651"/>
      <c r="BU4" s="1302">
        <f>Admin!F62</f>
        <v>1</v>
      </c>
      <c r="BV4" s="1709"/>
      <c r="BW4" s="1315" t="s">
        <v>2224</v>
      </c>
      <c r="BX4" s="1291">
        <v>10</v>
      </c>
      <c r="BY4" s="1316">
        <v>0</v>
      </c>
      <c r="BZ4" s="1316">
        <v>1</v>
      </c>
      <c r="CA4" s="1316">
        <v>0</v>
      </c>
      <c r="CB4" s="1285"/>
      <c r="CC4" s="1127"/>
      <c r="CD4" s="1287"/>
      <c r="CE4" s="1287"/>
      <c r="CF4" s="1286"/>
      <c r="CG4" s="1286"/>
      <c r="CH4" s="1286"/>
      <c r="CI4" s="1286"/>
      <c r="CJ4" s="1286"/>
      <c r="CK4" s="1286"/>
      <c r="CL4" s="1286"/>
      <c r="CM4" s="1286"/>
      <c r="CN4" s="1286"/>
      <c r="CO4" s="1286"/>
      <c r="CP4" s="1286"/>
      <c r="CQ4" s="1286"/>
      <c r="CR4" s="1286"/>
    </row>
    <row r="5" spans="1:96" ht="39" customHeight="1">
      <c r="C5" s="226"/>
      <c r="D5" s="226"/>
      <c r="E5" s="226"/>
      <c r="F5" s="336"/>
      <c r="G5" s="337"/>
      <c r="H5" s="337"/>
      <c r="I5" s="290"/>
      <c r="J5" s="290"/>
      <c r="K5" s="260"/>
      <c r="L5" s="260"/>
      <c r="M5" s="290"/>
      <c r="N5" s="260"/>
      <c r="O5" s="260"/>
      <c r="P5" s="260"/>
      <c r="Q5" s="337"/>
      <c r="R5" s="260"/>
      <c r="S5" s="260"/>
      <c r="U5" s="1703"/>
      <c r="V5" s="1703"/>
      <c r="W5" s="1703"/>
      <c r="X5" s="1113"/>
      <c r="Y5" s="352"/>
      <c r="AA5" s="1706" t="s">
        <v>2126</v>
      </c>
      <c r="AB5" s="1707"/>
      <c r="AC5" s="1335">
        <v>0</v>
      </c>
      <c r="AE5" s="1336">
        <f>Admin!I49</f>
        <v>190.38461538461539</v>
      </c>
      <c r="AF5" s="1336">
        <f>Admin!I74</f>
        <v>126.92307692307692</v>
      </c>
      <c r="AG5" s="1313" t="str">
        <f>Admin!B49</f>
        <v>2017EURAIG Luxembourg-Assistance and RepatriationPerfect S</v>
      </c>
      <c r="AH5" s="1313" t="str">
        <f>Admin!B74</f>
        <v>2016EURAIG Luxembourg-Assistance and RepatriationStandardMLC S</v>
      </c>
      <c r="AI5" s="1324">
        <v>0.1</v>
      </c>
      <c r="AJ5" s="1330">
        <f t="shared" ref="AJ5:AJ7" si="0">(AE5*(1-$AI$4))/12*$AO$4</f>
        <v>85.67307692307692</v>
      </c>
      <c r="AK5" s="1330">
        <f t="shared" ref="AK5:AK7" si="1">(AF5*(1-$AI$5))/12*$AO$5</f>
        <v>656.82692307692298</v>
      </c>
      <c r="AL5" s="1330">
        <f t="shared" ref="AL5:AL8" si="2">SUM(AJ5:AK5)</f>
        <v>742.49999999999989</v>
      </c>
      <c r="AM5" s="1076" t="s">
        <v>2316</v>
      </c>
      <c r="AN5" s="1394">
        <v>15.1752</v>
      </c>
      <c r="AO5" s="609">
        <v>69</v>
      </c>
      <c r="AP5" s="390"/>
      <c r="AQ5" s="390"/>
      <c r="AT5" s="1326">
        <f>Admin!I56</f>
        <v>1.7282758620689655E-3</v>
      </c>
      <c r="AU5" s="1152"/>
      <c r="AV5" s="1136" t="str">
        <f>Admin!B56</f>
        <v>2017EURAnker Verzekeringen n.v.-Death illnessFormula 3</v>
      </c>
      <c r="AW5" s="1314" t="str">
        <f>Admin!B82</f>
        <v>2017EURAnker Verzekeringen n.v.-Death illnessFormula 3</v>
      </c>
      <c r="AX5" s="1317">
        <f ca="1">BF7</f>
        <v>857.03542749173357</v>
      </c>
      <c r="AY5" s="1652" t="s">
        <v>2364</v>
      </c>
      <c r="AZ5" s="1651"/>
      <c r="BA5" s="1301">
        <f ca="1">masse_salariale*BA4</f>
        <v>1057117.8082191781</v>
      </c>
      <c r="BB5" s="1303">
        <f ca="1">BA5*BB2</f>
        <v>730.50485781766656</v>
      </c>
      <c r="BC5" s="1651" t="s">
        <v>2364</v>
      </c>
      <c r="BD5" s="1651"/>
      <c r="BE5" s="1301">
        <f ca="1">masse_salariale*BE4</f>
        <v>1057117.8082191781</v>
      </c>
      <c r="BF5" s="1303">
        <f ca="1">BE5*BF2</f>
        <v>1826.9911913084554</v>
      </c>
      <c r="BG5" s="1651" t="s">
        <v>2364</v>
      </c>
      <c r="BH5" s="1651"/>
      <c r="BI5" s="1301">
        <f ca="1">masse_salariale*BI4</f>
        <v>1057117.8082191781</v>
      </c>
      <c r="BJ5" s="1303">
        <f ca="1">BI5*BJ2</f>
        <v>902.55989418989134</v>
      </c>
      <c r="BK5" s="1651" t="s">
        <v>2364</v>
      </c>
      <c r="BL5" s="1651"/>
      <c r="BM5" s="1301">
        <f ca="1">masse_salariale*BM4</f>
        <v>1057117.8082191781</v>
      </c>
      <c r="BN5" s="1303">
        <f ca="1">BM5*BN2</f>
        <v>2171.1012640529052</v>
      </c>
      <c r="BO5" s="1651" t="s">
        <v>2364</v>
      </c>
      <c r="BP5" s="1651"/>
      <c r="BQ5" s="1301">
        <f ca="1">masse_salariale*BQ4</f>
        <v>352372.60273972602</v>
      </c>
      <c r="BR5" s="1303">
        <f ca="1">BQ5*BR2</f>
        <v>2859.3214095418043</v>
      </c>
      <c r="BS5" s="1651" t="s">
        <v>2364</v>
      </c>
      <c r="BT5" s="1651"/>
      <c r="BU5" s="1301">
        <f ca="1">masse_salariale*BU4</f>
        <v>352372.60273972602</v>
      </c>
      <c r="BV5" s="1303">
        <f ca="1">BU5*BV2</f>
        <v>5714.2685384978749</v>
      </c>
      <c r="BW5" s="1307"/>
      <c r="BX5" s="1308"/>
      <c r="BY5" s="1308"/>
      <c r="BZ5" s="399"/>
      <c r="CA5" s="399"/>
      <c r="CB5" s="1285"/>
      <c r="CC5" s="1127"/>
      <c r="CD5" s="1287"/>
      <c r="CE5" s="1287"/>
      <c r="CF5" s="1286"/>
      <c r="CG5" s="1286"/>
      <c r="CH5" s="1286"/>
      <c r="CI5" s="1286"/>
      <c r="CJ5" s="1286"/>
      <c r="CK5" s="1286"/>
      <c r="CL5" s="1286"/>
      <c r="CM5" s="1286"/>
      <c r="CN5" s="1286"/>
      <c r="CO5" s="1286"/>
      <c r="CP5" s="1286"/>
      <c r="CQ5" s="1286"/>
      <c r="CR5" s="1286"/>
    </row>
    <row r="6" spans="1:96" ht="20.100000000000001" customHeight="1">
      <c r="C6" s="226"/>
      <c r="D6" s="226"/>
      <c r="E6" s="226"/>
      <c r="F6" s="336"/>
      <c r="U6" s="1703" t="s">
        <v>2221</v>
      </c>
      <c r="V6" s="1703"/>
      <c r="W6" s="1703"/>
      <c r="X6" s="1113"/>
      <c r="Y6" s="353">
        <f ca="1">Y3*TAXE</f>
        <v>13081.352264997637</v>
      </c>
      <c r="AA6" s="1706" t="s">
        <v>2127</v>
      </c>
      <c r="AB6" s="1707"/>
      <c r="AC6" s="1334">
        <f>AC4+AC5</f>
        <v>94.257399999999976</v>
      </c>
      <c r="AE6" s="1336">
        <f>Admin!I50</f>
        <v>0</v>
      </c>
      <c r="AF6" s="1336">
        <f>Admin!I75</f>
        <v>0</v>
      </c>
      <c r="AG6" s="1313" t="str">
        <f>Admin!B50</f>
        <v>N/A</v>
      </c>
      <c r="AH6" s="1313" t="str">
        <f>Admin!B75</f>
        <v>N/A</v>
      </c>
      <c r="AI6" s="1324">
        <v>0</v>
      </c>
      <c r="AJ6" s="1330">
        <f t="shared" si="0"/>
        <v>0</v>
      </c>
      <c r="AK6" s="1330">
        <f t="shared" si="1"/>
        <v>0</v>
      </c>
      <c r="AL6" s="1330">
        <f t="shared" si="2"/>
        <v>0</v>
      </c>
      <c r="AM6" s="610"/>
      <c r="AN6" s="611"/>
      <c r="AO6" s="611"/>
      <c r="AP6" s="581"/>
      <c r="AQ6" s="390"/>
      <c r="AT6" s="1326">
        <f>Admin!I57</f>
        <v>8.5379310344827581E-4</v>
      </c>
      <c r="AU6" s="1152"/>
      <c r="AV6" s="1136" t="str">
        <f>Admin!B57</f>
        <v>2017EURAnker Verzekeringen n.v.-Permanent Disability AccidentFormula 3</v>
      </c>
      <c r="AW6" s="1314" t="str">
        <f>Admin!B83</f>
        <v>2017EURAnker Verzekeringen n.v.-Permanent Disability AccidentFormula 3</v>
      </c>
      <c r="AX6" s="1317">
        <f ca="1">BJ7</f>
        <v>423.3878129428436</v>
      </c>
      <c r="AY6" s="1652" t="s">
        <v>2363</v>
      </c>
      <c r="AZ6" s="1651"/>
      <c r="BA6" s="1304">
        <f>Admin!G55</f>
        <v>1000000</v>
      </c>
      <c r="BB6" s="1303">
        <f>BA6*BB2</f>
        <v>691.0344827586207</v>
      </c>
      <c r="BC6" s="1651" t="s">
        <v>2363</v>
      </c>
      <c r="BD6" s="1651"/>
      <c r="BE6" s="1304">
        <f>Admin!G56</f>
        <v>1000000</v>
      </c>
      <c r="BF6" s="1303">
        <f>BE6*BF2</f>
        <v>1728.2758620689656</v>
      </c>
      <c r="BG6" s="1651" t="s">
        <v>2363</v>
      </c>
      <c r="BH6" s="1651"/>
      <c r="BI6" s="1304">
        <f>Admin!G57</f>
        <v>1000000</v>
      </c>
      <c r="BJ6" s="1303">
        <f>BI6*BJ2</f>
        <v>853.79310344827582</v>
      </c>
      <c r="BK6" s="1651" t="s">
        <v>2363</v>
      </c>
      <c r="BL6" s="1651"/>
      <c r="BM6" s="1304">
        <f>Admin!G58</f>
        <v>1000000</v>
      </c>
      <c r="BN6" s="1303">
        <f>BM6*BN2</f>
        <v>2053.7931034482758</v>
      </c>
      <c r="BO6" s="1651" t="s">
        <v>2363</v>
      </c>
      <c r="BP6" s="1651"/>
      <c r="BQ6" s="1304">
        <v>125000</v>
      </c>
      <c r="BR6" s="1303">
        <f>BQ6*BR2</f>
        <v>1014.3103448275863</v>
      </c>
      <c r="BS6" s="1651" t="s">
        <v>2363</v>
      </c>
      <c r="BT6" s="1651"/>
      <c r="BU6" s="1304">
        <f>Admin!G62</f>
        <v>125000</v>
      </c>
      <c r="BV6" s="1303">
        <f>BU6*BV2</f>
        <v>2027.0689655172416</v>
      </c>
      <c r="BW6" s="1309"/>
      <c r="BX6" s="1310" t="s">
        <v>194</v>
      </c>
      <c r="BY6" s="1310"/>
      <c r="BZ6" s="399"/>
      <c r="CA6" s="399"/>
      <c r="CB6" s="1285"/>
      <c r="CC6" s="1127"/>
      <c r="CD6" s="1287"/>
      <c r="CE6" s="1287"/>
      <c r="CF6" s="226"/>
      <c r="CG6" s="399"/>
      <c r="CH6" s="399"/>
      <c r="CJ6" s="399"/>
      <c r="CK6" s="399"/>
      <c r="CL6" s="399"/>
      <c r="CM6" s="112"/>
      <c r="CN6" s="112"/>
      <c r="CO6" s="112"/>
      <c r="CP6" s="112"/>
      <c r="CQ6" s="112"/>
      <c r="CR6" s="112"/>
    </row>
    <row r="7" spans="1:96" ht="20.100000000000001" customHeight="1">
      <c r="C7" s="226"/>
      <c r="D7" s="226"/>
      <c r="E7" s="226"/>
      <c r="F7" s="336"/>
      <c r="U7" s="178"/>
      <c r="V7" s="178"/>
      <c r="W7" s="178"/>
      <c r="X7" s="449"/>
      <c r="Y7" s="178"/>
      <c r="Z7" s="178"/>
      <c r="AA7" s="178"/>
      <c r="AB7" s="178"/>
      <c r="AC7" s="449"/>
      <c r="AD7" s="178"/>
      <c r="AE7" s="1336">
        <f>Admin!I51</f>
        <v>0</v>
      </c>
      <c r="AF7" s="1336">
        <f>Admin!I76</f>
        <v>0</v>
      </c>
      <c r="AG7" s="1313" t="str">
        <f>Admin!B51</f>
        <v>N/A</v>
      </c>
      <c r="AH7" s="1313" t="str">
        <f>Admin!B76</f>
        <v>N/A</v>
      </c>
      <c r="AI7" s="1324">
        <v>0</v>
      </c>
      <c r="AJ7" s="1330">
        <f t="shared" si="0"/>
        <v>0</v>
      </c>
      <c r="AK7" s="1330">
        <f t="shared" si="1"/>
        <v>0</v>
      </c>
      <c r="AL7" s="1330">
        <f t="shared" si="2"/>
        <v>0</v>
      </c>
      <c r="AM7" s="610"/>
      <c r="AN7" s="610"/>
      <c r="AO7" s="611"/>
      <c r="AP7" s="581"/>
      <c r="AT7" s="1326">
        <f>Admin!I58</f>
        <v>2.0537931034482759E-3</v>
      </c>
      <c r="AU7" s="1152"/>
      <c r="AV7" s="1136" t="str">
        <f>Admin!B58</f>
        <v>2017EURAnker Verzekeringen n.v.-Permanent Disability illnessFormula 3</v>
      </c>
      <c r="AW7" s="1314" t="str">
        <f>Admin!B84</f>
        <v>2017EURAnker Verzekeringen n.v.-Permanent Disability illnessFormula 3</v>
      </c>
      <c r="AX7" s="1317">
        <f ca="1">BN7</f>
        <v>1018.4563060935286</v>
      </c>
      <c r="AY7" s="1652" t="s">
        <v>2235</v>
      </c>
      <c r="AZ7" s="1651"/>
      <c r="BA7" s="1305">
        <f ca="1">IF(BA6=0,masse_salariale*BA4,IF(masse_salariale*BA4&lt;BA6,masse_salariale*BA4,BA6))</f>
        <v>1000000</v>
      </c>
      <c r="BB7" s="1306">
        <f ca="1">BA7*BB2/365*$AT$10</f>
        <v>342.67737364194619</v>
      </c>
      <c r="BC7" s="1651" t="s">
        <v>2235</v>
      </c>
      <c r="BD7" s="1651"/>
      <c r="BE7" s="1305">
        <f ca="1">IF(BE6=0,masse_salariale*BE4,IF(masse_salariale*BE4&lt;BE6,masse_salariale*BE4,BE6))</f>
        <v>1000000</v>
      </c>
      <c r="BF7" s="1306">
        <f ca="1">BE7*BF2/365*$AT$10</f>
        <v>857.03542749173357</v>
      </c>
      <c r="BG7" s="1651" t="s">
        <v>2235</v>
      </c>
      <c r="BH7" s="1651"/>
      <c r="BI7" s="1305">
        <f ca="1">IF(BI6=0,masse_salariale*BI4,IF(masse_salariale*BI4&lt;BI6,masse_salariale*BI4,BI6))</f>
        <v>1000000</v>
      </c>
      <c r="BJ7" s="1306">
        <f ca="1">BI7*BJ2/365*$AT$10</f>
        <v>423.3878129428436</v>
      </c>
      <c r="BK7" s="1651" t="s">
        <v>2235</v>
      </c>
      <c r="BL7" s="1651"/>
      <c r="BM7" s="1305">
        <f ca="1">IF(BM6=0,masse_salariale*BM4,IF(masse_salariale*BM4&lt;BM6,masse_salariale*BM4,BM6))</f>
        <v>1000000</v>
      </c>
      <c r="BN7" s="1306">
        <f ca="1">BM7*BN2/365*$AT$10</f>
        <v>1018.4563060935286</v>
      </c>
      <c r="BO7" s="1651" t="s">
        <v>2235</v>
      </c>
      <c r="BP7" s="1651"/>
      <c r="BQ7" s="1305">
        <f ca="1">IF(BQ6=0,masse_salariale*BQ4,IF(masse_salariale*BQ4&lt;BQ6,masse_salariale*BQ4,BQ6))</f>
        <v>125000</v>
      </c>
      <c r="BR7" s="1306">
        <f ca="1">BQ7*BR2/365*$AT$10</f>
        <v>502.98677373641948</v>
      </c>
      <c r="BS7" s="1651" t="s">
        <v>2235</v>
      </c>
      <c r="BT7" s="1651"/>
      <c r="BU7" s="1305">
        <f ca="1">IF(BU6=0,masse_salariale*BU4,IF(masse_salariale*BU4&lt;BU6,masse_salariale*BU4,BU6))</f>
        <v>125000</v>
      </c>
      <c r="BV7" s="1306">
        <f ca="1">BU7*BV2/365*$AT$10</f>
        <v>1005.2040623523856</v>
      </c>
      <c r="BW7" s="1309" t="s">
        <v>3094</v>
      </c>
      <c r="BX7" s="1456">
        <f ca="1">BR7+BV7</f>
        <v>1508.1908360888051</v>
      </c>
      <c r="BY7" s="1310"/>
      <c r="CB7" s="1285"/>
      <c r="CC7" s="1127"/>
      <c r="CD7" s="1287"/>
      <c r="CE7" s="1287"/>
      <c r="CF7" s="226"/>
      <c r="CG7" s="399"/>
      <c r="CM7" s="112"/>
      <c r="CN7" s="112"/>
      <c r="CO7" s="112"/>
      <c r="CP7" s="112"/>
      <c r="CQ7" s="112"/>
      <c r="CR7" s="112"/>
    </row>
    <row r="8" spans="1:96" ht="30" customHeight="1" thickBot="1">
      <c r="C8" s="226"/>
      <c r="D8" s="226"/>
      <c r="E8" s="226"/>
      <c r="F8" s="336"/>
      <c r="G8" s="337"/>
      <c r="H8" s="337"/>
      <c r="M8" s="357"/>
      <c r="N8" s="357"/>
      <c r="O8" s="357"/>
      <c r="P8" s="357"/>
      <c r="R8" s="357"/>
      <c r="S8" s="357"/>
      <c r="T8" s="358"/>
      <c r="U8" s="1663" t="str">
        <f>YACHTNAME</f>
        <v xml:space="preserve">IDOL            </v>
      </c>
      <c r="V8" s="1663"/>
      <c r="W8" s="1663"/>
      <c r="X8" s="1664"/>
      <c r="Y8" s="1663"/>
      <c r="Z8" s="1663"/>
      <c r="AA8" s="1663"/>
      <c r="AB8" s="1663"/>
      <c r="AC8" s="1665"/>
      <c r="AD8" s="1663"/>
      <c r="AE8" s="417"/>
      <c r="AG8"/>
      <c r="AH8" s="1229" t="s">
        <v>2319</v>
      </c>
      <c r="AI8" s="1229"/>
      <c r="AJ8" s="1330">
        <f>IF(AM4="N/A",0,AN4/12*AO4)</f>
        <v>7</v>
      </c>
      <c r="AK8" s="1330">
        <f>IF(AM5="N/A",0,AN5/12*AO5)</f>
        <v>87.25739999999999</v>
      </c>
      <c r="AL8" s="1330">
        <f t="shared" si="2"/>
        <v>94.25739999999999</v>
      </c>
      <c r="AM8" s="610"/>
      <c r="AN8" s="611"/>
      <c r="AO8" s="611"/>
      <c r="AP8" s="581"/>
      <c r="AT8" s="1326">
        <f>Admin!I61</f>
        <v>8.1144827586206898E-3</v>
      </c>
      <c r="AU8" s="1326">
        <f>Admin!I87</f>
        <v>8.100689655172414E-3</v>
      </c>
      <c r="AV8" s="1136" t="str">
        <f>Admin!B61</f>
        <v>2017EURAnker Verzekeringen n.v.-Temporary Disability Accident (100%/7/365)</v>
      </c>
      <c r="AW8" s="1314" t="str">
        <f>Admin!B87</f>
        <v>2017EURAnker Verzekeringen n.v.-Temporary Disability Accident (100%/7/120)</v>
      </c>
      <c r="AX8" s="1317">
        <f ca="1">BR7+BR8</f>
        <v>2310.6612187057158</v>
      </c>
      <c r="AY8" s="1300"/>
      <c r="AZ8" s="1300"/>
      <c r="BA8" s="1300"/>
      <c r="BB8" s="1300"/>
      <c r="BC8" s="1297"/>
      <c r="BD8" s="1297"/>
      <c r="BE8" s="1297"/>
      <c r="BF8" s="1297"/>
      <c r="BG8" s="1297"/>
      <c r="BH8" s="1297"/>
      <c r="BI8" s="1297"/>
      <c r="BJ8" s="1297"/>
      <c r="BK8" s="1297"/>
      <c r="BL8" s="1297"/>
      <c r="BM8" s="1297"/>
      <c r="BN8" s="1297"/>
      <c r="BO8" s="1297"/>
      <c r="BP8" s="1297"/>
      <c r="BQ8" s="1305">
        <v>450000</v>
      </c>
      <c r="BR8" s="1306">
        <f>BQ8*AU8/365*$AT$10</f>
        <v>1807.6744449692962</v>
      </c>
      <c r="BS8" s="1297"/>
      <c r="BT8" s="1297"/>
      <c r="BU8" s="1305">
        <v>450000</v>
      </c>
      <c r="BV8" s="1306">
        <f>BU8*AU9/365*$AT$10</f>
        <v>2409.1040151157304</v>
      </c>
      <c r="BW8" s="1309" t="s">
        <v>3093</v>
      </c>
      <c r="BX8" s="1456">
        <f>BR8+BV8</f>
        <v>4216.7784600850264</v>
      </c>
      <c r="BY8" s="1310"/>
      <c r="CB8" s="1285"/>
      <c r="CC8" s="1127"/>
      <c r="CD8" s="1287"/>
      <c r="CE8" s="1287"/>
      <c r="CF8" s="226"/>
      <c r="CM8" s="112"/>
      <c r="CN8" s="112"/>
      <c r="CO8" s="112"/>
      <c r="CP8" s="112"/>
      <c r="CQ8" s="112"/>
      <c r="CR8" s="112"/>
    </row>
    <row r="9" spans="1:96" ht="20.100000000000001" customHeight="1">
      <c r="B9" s="1675" t="s">
        <v>2129</v>
      </c>
      <c r="C9" s="226"/>
      <c r="D9" s="226"/>
      <c r="E9" s="226"/>
      <c r="F9" s="1679" t="s">
        <v>1981</v>
      </c>
      <c r="G9" s="1679" t="s">
        <v>93</v>
      </c>
      <c r="H9" s="1679" t="s">
        <v>1748</v>
      </c>
      <c r="I9" s="1680" t="s">
        <v>2218</v>
      </c>
      <c r="J9" s="1680" t="s">
        <v>2218</v>
      </c>
      <c r="K9" s="1680" t="s">
        <v>1994</v>
      </c>
      <c r="L9" s="1680" t="s">
        <v>1995</v>
      </c>
      <c r="M9" s="1680" t="s">
        <v>2218</v>
      </c>
      <c r="N9" s="1704" t="s">
        <v>2219</v>
      </c>
      <c r="O9" s="1680" t="s">
        <v>2130</v>
      </c>
      <c r="P9" s="1680" t="s">
        <v>2131</v>
      </c>
      <c r="Q9" s="1687" t="s">
        <v>1991</v>
      </c>
      <c r="R9" s="1680" t="s">
        <v>2550</v>
      </c>
      <c r="S9" s="1680" t="s">
        <v>2133</v>
      </c>
      <c r="T9" s="1675" t="s">
        <v>2217</v>
      </c>
      <c r="U9" s="1693" t="s">
        <v>2136</v>
      </c>
      <c r="V9" s="1666" t="s">
        <v>2127</v>
      </c>
      <c r="W9" s="1666" t="s">
        <v>2196</v>
      </c>
      <c r="X9" s="1666" t="s">
        <v>2774</v>
      </c>
      <c r="Y9" s="1683" t="s">
        <v>2211</v>
      </c>
      <c r="Z9" s="1681" t="s">
        <v>2497</v>
      </c>
      <c r="AA9" s="1681"/>
      <c r="AB9" s="1685" t="s">
        <v>2706</v>
      </c>
      <c r="AC9" s="1647" t="s">
        <v>2705</v>
      </c>
      <c r="AD9" s="1691" t="s">
        <v>2205</v>
      </c>
      <c r="AE9" s="417"/>
      <c r="AF9" s="1150"/>
      <c r="AG9" s="1150"/>
      <c r="AH9" s="1229" t="s">
        <v>2136</v>
      </c>
      <c r="AI9" s="1229"/>
      <c r="AJ9" s="1331">
        <f>(SUM(AJ4:AJ7)*TAXE)+AJ8</f>
        <v>641.5</v>
      </c>
      <c r="AK9" s="1331">
        <f>(SUM(AK4:AK7)*TAXE)+AK8</f>
        <v>3832.9223999999995</v>
      </c>
      <c r="AL9" s="1331">
        <f>(SUM(AL4:AL7)*TAXE)+AL8</f>
        <v>4474.4224000000004</v>
      </c>
      <c r="AM9" s="610">
        <f>AL9+AO4+AO5</f>
        <v>4549.4224000000004</v>
      </c>
      <c r="AN9" s="611"/>
      <c r="AO9" s="611"/>
      <c r="AP9" s="581"/>
      <c r="AT9" s="1326">
        <f>Admin!I62</f>
        <v>1.6216551724137933E-2</v>
      </c>
      <c r="AU9" s="1326">
        <f>Admin!I88</f>
        <v>1.0795862068965519E-2</v>
      </c>
      <c r="AV9" s="1136" t="str">
        <f>Admin!B62</f>
        <v>2017EURAnker Verzekeringen n.v.-Temporary Disability illness (100%/7/365)</v>
      </c>
      <c r="AW9" s="1314" t="str">
        <f>Admin!B88</f>
        <v>2017EURAnker Verzekeringen n.v.-Temporary Disability illness (100%/7/120)</v>
      </c>
      <c r="AX9" s="1317">
        <f ca="1">BV7+BV8</f>
        <v>3414.3080774681157</v>
      </c>
      <c r="AY9" s="1151"/>
      <c r="AZ9" s="1151"/>
      <c r="BA9" s="1151"/>
      <c r="BB9" s="1151"/>
      <c r="BN9" s="1338">
        <f>BB2+BF2+BJ2+BN2</f>
        <v>5.326896551724138E-3</v>
      </c>
      <c r="BV9" s="1338">
        <f>BR2+BV2</f>
        <v>2.4331034482758623E-2</v>
      </c>
      <c r="BW9" s="1309"/>
      <c r="CB9" s="1285"/>
      <c r="CC9" s="1127"/>
      <c r="CF9" s="226"/>
      <c r="CM9" s="112"/>
      <c r="CN9" s="112"/>
      <c r="CO9" s="112"/>
      <c r="CP9" s="112"/>
      <c r="CQ9" s="112"/>
      <c r="CR9" s="112"/>
    </row>
    <row r="10" spans="1:96" ht="20.100000000000001" customHeight="1" thickBot="1">
      <c r="B10" s="1675"/>
      <c r="C10" s="226"/>
      <c r="D10" s="226"/>
      <c r="E10" s="226"/>
      <c r="F10" s="1680"/>
      <c r="G10" s="1680"/>
      <c r="H10" s="1680"/>
      <c r="I10" s="1680"/>
      <c r="J10" s="1680"/>
      <c r="K10" s="1680"/>
      <c r="L10" s="1680"/>
      <c r="M10" s="1680"/>
      <c r="N10" s="1705"/>
      <c r="O10" s="1680"/>
      <c r="P10" s="1680"/>
      <c r="Q10" s="1688"/>
      <c r="R10" s="1680"/>
      <c r="S10" s="1680"/>
      <c r="T10" s="1675"/>
      <c r="U10" s="1694"/>
      <c r="V10" s="1667"/>
      <c r="W10" s="1667"/>
      <c r="X10" s="1667"/>
      <c r="Y10" s="1684"/>
      <c r="Z10" s="1682"/>
      <c r="AA10" s="1682"/>
      <c r="AB10" s="1686"/>
      <c r="AC10" s="1648"/>
      <c r="AD10" s="1692"/>
      <c r="AE10" s="417"/>
      <c r="AF10" s="1150"/>
      <c r="AG10" s="1150"/>
      <c r="AH10" s="287"/>
      <c r="AI10" s="289"/>
      <c r="AJ10" s="289"/>
      <c r="AK10" s="754"/>
      <c r="AL10" s="754"/>
      <c r="AM10" s="448"/>
      <c r="AN10" s="289"/>
      <c r="AO10" s="448"/>
      <c r="AP10" s="390"/>
      <c r="AQ10" s="390"/>
      <c r="AT10" s="1731">
        <v>181</v>
      </c>
      <c r="AU10" s="1732"/>
      <c r="AV10" s="816" t="s">
        <v>2622</v>
      </c>
      <c r="AX10" s="1318">
        <f ca="1">SUM(AX4:AX9)</f>
        <v>8366.526216343882</v>
      </c>
      <c r="BG10" s="1150"/>
      <c r="BM10" t="s">
        <v>2137</v>
      </c>
      <c r="BN10" s="1306">
        <f ca="1">BB7+BF7+BJ7+BN7</f>
        <v>2641.5569201700519</v>
      </c>
      <c r="BO10" s="1150"/>
      <c r="BP10" s="1150"/>
      <c r="BQ10" s="1150"/>
      <c r="BR10" s="1150"/>
      <c r="BV10" s="1306">
        <f ca="1">BQ7*BV9</f>
        <v>3041.3793103448279</v>
      </c>
      <c r="BW10" s="225"/>
      <c r="BX10" s="225"/>
      <c r="BY10" s="225"/>
      <c r="BZ10" s="225"/>
      <c r="CA10" s="225"/>
      <c r="CB10" s="1285"/>
      <c r="CC10" s="1127"/>
      <c r="CE10" s="400"/>
      <c r="CF10" s="226"/>
      <c r="CG10" s="400"/>
      <c r="CH10" s="225"/>
      <c r="CI10" s="225"/>
      <c r="CJ10" s="225"/>
      <c r="CK10" s="225"/>
      <c r="CL10" s="225"/>
      <c r="CM10" s="112"/>
      <c r="CN10" s="112"/>
      <c r="CO10" s="112"/>
      <c r="CP10" s="112"/>
      <c r="CQ10" s="112"/>
      <c r="CR10" s="112"/>
    </row>
    <row r="11" spans="1:96" ht="20.100000000000001" customHeight="1" thickBot="1">
      <c r="A11" s="394"/>
      <c r="C11" s="226"/>
      <c r="D11" s="226"/>
      <c r="E11" s="226"/>
      <c r="F11" s="1676" t="s">
        <v>2357</v>
      </c>
      <c r="G11" s="1677"/>
      <c r="H11" s="1677"/>
      <c r="I11" s="345"/>
      <c r="J11" s="345"/>
      <c r="K11" s="346"/>
      <c r="L11" s="346"/>
      <c r="M11" s="346">
        <f>SUMIF((C15:C120),TRUE,(M15:M120))</f>
        <v>75</v>
      </c>
      <c r="N11" s="347"/>
      <c r="O11" s="348">
        <f>SUMIF((C15:C120),TRUE,(O15:O120))</f>
        <v>2260</v>
      </c>
      <c r="P11" s="348">
        <f>SUMIF(($C$15:$C$120),TRUE,(P15:P120))</f>
        <v>2905</v>
      </c>
      <c r="Q11" s="346">
        <f ca="1">SUMIF(($A$15:$B$120),TRUE,(Q15:Q120))</f>
        <v>60500</v>
      </c>
      <c r="R11" s="346">
        <f ca="1">SUMIF(($A$15:$B$120),TRUE,(R15:R120))</f>
        <v>726000</v>
      </c>
      <c r="S11" s="346">
        <f ca="1">SUMIF(($A$15:$B$120),TRUE,(S15:S120))</f>
        <v>352372.60273972602</v>
      </c>
      <c r="T11" s="349"/>
      <c r="U11" s="589">
        <f>SUM(U15:U120)</f>
        <v>19083.94463425603</v>
      </c>
      <c r="V11" s="590">
        <f>SUM(V15:V120)</f>
        <v>94.257399999999976</v>
      </c>
      <c r="W11" s="590">
        <f>SUM(W15:W120)</f>
        <v>727.48797054830936</v>
      </c>
      <c r="X11" s="590">
        <f>SUM(X15:X120)</f>
        <v>0</v>
      </c>
      <c r="Y11" s="590">
        <f t="shared" ref="Y11:AD11" si="3">SUM(Y15:Y120)</f>
        <v>821.74537054830921</v>
      </c>
      <c r="Z11" s="590"/>
      <c r="AA11" s="590">
        <f t="shared" si="3"/>
        <v>75</v>
      </c>
      <c r="AB11" s="591">
        <f t="shared" si="3"/>
        <v>4211.6971153846162</v>
      </c>
      <c r="AC11" s="591">
        <f t="shared" si="3"/>
        <v>0</v>
      </c>
      <c r="AD11" s="591">
        <f t="shared" si="3"/>
        <v>13975.502148323099</v>
      </c>
      <c r="AE11" s="1337">
        <f>AD11*1.04</f>
        <v>14534.522234256025</v>
      </c>
      <c r="AF11" s="1150"/>
      <c r="AG11" s="1150"/>
      <c r="AH11" s="287"/>
      <c r="AI11" s="289"/>
      <c r="AJ11" s="289"/>
      <c r="AK11" s="754"/>
      <c r="AL11" s="754"/>
      <c r="AM11" s="448"/>
      <c r="AN11" s="289"/>
      <c r="AO11" s="448"/>
      <c r="AP11" s="390"/>
      <c r="AQ11" s="390"/>
      <c r="AT11" s="226"/>
      <c r="AU11" s="330"/>
      <c r="AV11" s="375"/>
      <c r="AW11" s="330"/>
      <c r="AX11" s="1317">
        <f>CO12+CR12</f>
        <v>0</v>
      </c>
      <c r="BG11" s="1150"/>
      <c r="BN11" s="1306">
        <f>BB12+BF12+BJ12+BN12</f>
        <v>5631.1572073689176</v>
      </c>
      <c r="BO11" s="1150"/>
      <c r="BP11" s="1150"/>
      <c r="BQ11" s="1150"/>
      <c r="BR11" s="1150"/>
      <c r="BV11" s="1306">
        <f>BR12+BV12</f>
        <v>8344.3449409541809</v>
      </c>
      <c r="BW11" s="225"/>
      <c r="BX11" s="225"/>
      <c r="BY11" s="225"/>
      <c r="BZ11" s="225"/>
      <c r="CA11" s="225"/>
      <c r="CB11" s="1285"/>
      <c r="CC11" s="1127"/>
      <c r="CE11" s="330"/>
      <c r="CF11" s="226"/>
      <c r="CG11" s="330"/>
      <c r="CH11" s="225"/>
      <c r="CI11" s="225"/>
      <c r="CJ11" s="225"/>
      <c r="CK11" s="225"/>
      <c r="CL11" s="225"/>
      <c r="CM11" s="112"/>
      <c r="CN11" s="112"/>
      <c r="CO11" s="112"/>
      <c r="CP11" s="112"/>
      <c r="CQ11" s="112"/>
      <c r="CR11" s="112"/>
    </row>
    <row r="12" spans="1:96" ht="20.100000000000001" customHeight="1" thickBot="1">
      <c r="A12" s="394"/>
      <c r="C12" s="226"/>
      <c r="D12" s="226"/>
      <c r="E12" s="226"/>
      <c r="F12" s="1676" t="s">
        <v>2358</v>
      </c>
      <c r="G12" s="1677"/>
      <c r="H12" s="1677"/>
      <c r="M12" s="341"/>
      <c r="N12" s="341"/>
      <c r="O12" s="341"/>
      <c r="P12" s="341"/>
      <c r="Q12" s="341"/>
      <c r="R12" s="341"/>
      <c r="S12" s="341"/>
      <c r="T12" s="354"/>
      <c r="U12" s="592">
        <f>Source!B34</f>
        <v>12402.478108838</v>
      </c>
      <c r="V12" s="592">
        <f>IF(V11=ROUNDUP(Source!B32,2),"OK",ROUNDUP(Source!B32,2))</f>
        <v>75.400000000000006</v>
      </c>
      <c r="W12" s="592">
        <f>IF(W11=ROUNDUP(Source!B31,2),"OK",ROUNDUP(Source!B31,2))</f>
        <v>471.82</v>
      </c>
      <c r="X12" s="1114"/>
      <c r="Y12" s="592">
        <f>IF(Y11=Source!B31+Source!B32,"OK",Source!B31+Source!B32)</f>
        <v>547.21069649374999</v>
      </c>
      <c r="Z12" s="592"/>
      <c r="AA12" s="592">
        <f>IF(AA11=Source!C26,"OK",Source!C26)</f>
        <v>60</v>
      </c>
      <c r="AB12" s="1649">
        <f>SUMIF(Source!$B$17:$B$24,Calcul!$BC$7,Source!$I$17:$I$24)</f>
        <v>3428.7411959999999</v>
      </c>
      <c r="AC12" s="1650"/>
      <c r="AD12" s="593">
        <f>IF(AD11=SUMIF(Source!$B$17:$B$24,Calcul!$BO$7,Source!$I$17:$I$24),"OK",SUMIF(Source!$B$17:$B$24,"Anker Verzekeringen n,v,",Source!$I$17:$I$24))</f>
        <v>11387.8708965517</v>
      </c>
      <c r="AE12" s="417"/>
      <c r="AF12" s="1150"/>
      <c r="AG12" s="1150"/>
      <c r="AI12" s="289"/>
      <c r="AJ12" s="289"/>
      <c r="AK12" s="754"/>
      <c r="AL12" s="754"/>
      <c r="AM12" s="448"/>
      <c r="AN12" s="289"/>
      <c r="AO12" s="448"/>
      <c r="AP12" s="390"/>
      <c r="AQ12" s="390"/>
      <c r="AT12" s="226"/>
      <c r="AU12" s="1151"/>
      <c r="AW12" s="289"/>
      <c r="AX12" s="1341">
        <f ca="1">AX10+AX11</f>
        <v>8366.526216343882</v>
      </c>
      <c r="AY12" s="1151"/>
      <c r="AZ12" s="1151"/>
      <c r="BA12" s="1151"/>
      <c r="BB12" s="391">
        <f>Calcul!BS10</f>
        <v>730.50485781766622</v>
      </c>
      <c r="BF12" s="772">
        <f>Calcul!BT10</f>
        <v>1826.9911913084554</v>
      </c>
      <c r="BJ12" s="1339">
        <f>Calcul!BU10</f>
        <v>902.55989418989122</v>
      </c>
      <c r="BN12" s="1339">
        <f>Calcul!BV10</f>
        <v>2171.1012640529048</v>
      </c>
      <c r="BR12" s="1339">
        <f>Calcul!BW10</f>
        <v>2782.8674199338684</v>
      </c>
      <c r="BV12" s="1339">
        <f>Calcul!BX10</f>
        <v>5561.4775210203125</v>
      </c>
      <c r="BW12" s="448"/>
      <c r="BX12" s="289"/>
      <c r="BY12" s="448"/>
      <c r="BZ12" s="390"/>
      <c r="CA12" s="390"/>
      <c r="CB12" s="1285"/>
      <c r="CC12" s="1127"/>
      <c r="CE12" s="1151"/>
      <c r="CF12" s="226"/>
      <c r="CG12" s="1151"/>
      <c r="CH12" s="1151"/>
      <c r="CI12" s="1151"/>
      <c r="CJ12" s="1151"/>
      <c r="CK12" s="1151"/>
      <c r="CL12" s="1151"/>
      <c r="CM12" s="112"/>
      <c r="CN12" s="112"/>
      <c r="CO12" s="1340">
        <f>Calcul!OL11</f>
        <v>0</v>
      </c>
      <c r="CP12" s="112"/>
      <c r="CQ12" s="112"/>
      <c r="CR12" s="391">
        <f>Calcul!BK10</f>
        <v>0</v>
      </c>
    </row>
    <row r="13" spans="1:96" ht="20.100000000000001" customHeight="1" thickBot="1">
      <c r="A13" s="394"/>
      <c r="B13" s="1675" t="s">
        <v>2129</v>
      </c>
      <c r="C13" s="226"/>
      <c r="D13" s="226"/>
      <c r="E13" s="226"/>
      <c r="F13" s="1676" t="s">
        <v>2508</v>
      </c>
      <c r="G13" s="1677"/>
      <c r="H13" s="1677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55"/>
      <c r="U13" s="594">
        <f ca="1">(Y13+AA13)+(AB13+AD13)</f>
        <v>13250.609664997637</v>
      </c>
      <c r="V13" s="594">
        <f>AL8</f>
        <v>94.25739999999999</v>
      </c>
      <c r="W13" s="594">
        <f ca="1">(AB13+AD13+AC13)*Admin!E28</f>
        <v>503.12893326913991</v>
      </c>
      <c r="X13" s="1115"/>
      <c r="Y13" s="594">
        <f ca="1">V13+W13</f>
        <v>597.38633326913987</v>
      </c>
      <c r="Z13" s="595"/>
      <c r="AA13" s="594">
        <f>AO4+AO5</f>
        <v>75</v>
      </c>
      <c r="AB13" s="595">
        <f>SUM(AJ4:AK5)</f>
        <v>4211.6971153846152</v>
      </c>
      <c r="AC13" s="945">
        <f>SUM(AJ6:AK7)</f>
        <v>0</v>
      </c>
      <c r="AD13" s="595">
        <f ca="1">AX10</f>
        <v>8366.526216343882</v>
      </c>
      <c r="AE13" s="1322"/>
      <c r="AF13" s="505"/>
      <c r="AG13" s="1678" t="s">
        <v>2167</v>
      </c>
      <c r="AH13" s="1678"/>
      <c r="AI13" s="1182" t="s">
        <v>2000</v>
      </c>
      <c r="AJ13" s="1244" t="s">
        <v>2207</v>
      </c>
      <c r="AK13" s="1244" t="s">
        <v>2763</v>
      </c>
      <c r="AL13" s="1244" t="s">
        <v>2634</v>
      </c>
      <c r="AM13" s="1695" t="s">
        <v>2319</v>
      </c>
      <c r="AN13" s="1696"/>
      <c r="AO13" s="1697"/>
      <c r="AP13" s="1698" t="s">
        <v>2816</v>
      </c>
      <c r="AQ13" s="1699"/>
      <c r="AT13" s="1717" t="s">
        <v>2815</v>
      </c>
      <c r="AU13" s="1718"/>
      <c r="AV13" s="1718"/>
      <c r="AW13" s="1719"/>
      <c r="AX13" s="1319" t="s">
        <v>0</v>
      </c>
      <c r="AY13" s="1643" t="s">
        <v>2237</v>
      </c>
      <c r="AZ13" s="1643"/>
      <c r="BA13" s="1643"/>
      <c r="BB13" s="1662"/>
      <c r="BC13" s="1644" t="s">
        <v>2143</v>
      </c>
      <c r="BD13" s="1645"/>
      <c r="BE13" s="1645"/>
      <c r="BF13" s="1646"/>
      <c r="BG13" s="1653" t="s">
        <v>2144</v>
      </c>
      <c r="BH13" s="1654"/>
      <c r="BI13" s="1654"/>
      <c r="BJ13" s="1655"/>
      <c r="BK13" s="1700" t="s">
        <v>2145</v>
      </c>
      <c r="BL13" s="1701"/>
      <c r="BM13" s="1701"/>
      <c r="BN13" s="1702"/>
      <c r="BO13" s="1656" t="s">
        <v>2146</v>
      </c>
      <c r="BP13" s="1657"/>
      <c r="BQ13" s="1657"/>
      <c r="BR13" s="1658"/>
      <c r="BS13" s="1659" t="s">
        <v>2147</v>
      </c>
      <c r="BT13" s="1660"/>
      <c r="BU13" s="1660"/>
      <c r="BV13" s="1661"/>
      <c r="BW13" s="1639" t="s">
        <v>2319</v>
      </c>
      <c r="BX13" s="1640"/>
      <c r="BY13" s="1641"/>
      <c r="BZ13" s="1642" t="s">
        <v>2816</v>
      </c>
      <c r="CA13" s="1662"/>
      <c r="CB13" s="1285"/>
      <c r="CC13" s="1127"/>
      <c r="CD13" s="1673" t="s">
        <v>2815</v>
      </c>
      <c r="CE13" s="1674"/>
      <c r="CF13" s="226"/>
      <c r="CG13" s="502"/>
      <c r="CH13" s="1639" t="s">
        <v>2319</v>
      </c>
      <c r="CI13" s="1640"/>
      <c r="CJ13" s="1641"/>
      <c r="CK13" s="1642" t="s">
        <v>2816</v>
      </c>
      <c r="CL13" s="1643"/>
      <c r="CM13" s="1717" t="s">
        <v>2237</v>
      </c>
      <c r="CN13" s="1718"/>
      <c r="CO13" s="1719"/>
      <c r="CP13" s="1717" t="s">
        <v>2144</v>
      </c>
      <c r="CQ13" s="1718"/>
      <c r="CR13" s="1719"/>
    </row>
    <row r="14" spans="1:96" ht="21" customHeight="1" outlineLevel="1" thickBot="1">
      <c r="A14" s="395" t="s">
        <v>2252</v>
      </c>
      <c r="B14" s="1675"/>
      <c r="C14" s="249" t="s">
        <v>2367</v>
      </c>
      <c r="D14" s="249" t="s">
        <v>2160</v>
      </c>
      <c r="E14" s="398" t="s">
        <v>2365</v>
      </c>
      <c r="F14" s="343"/>
      <c r="G14" s="344"/>
      <c r="H14" s="344"/>
      <c r="I14" s="1690" t="s">
        <v>2351</v>
      </c>
      <c r="J14" s="1690"/>
      <c r="K14" s="1690" t="s">
        <v>2257</v>
      </c>
      <c r="L14" s="1690"/>
      <c r="M14" s="346">
        <f>SUBTOTAL(9,M15:M120)</f>
        <v>78</v>
      </c>
      <c r="N14" s="344"/>
      <c r="O14" s="344"/>
      <c r="P14" s="344"/>
      <c r="Q14" s="296"/>
      <c r="R14" s="344"/>
      <c r="S14" s="344"/>
      <c r="T14" s="356"/>
      <c r="U14" s="496"/>
      <c r="V14" s="497"/>
      <c r="W14" s="497"/>
      <c r="X14" s="497"/>
      <c r="Y14" s="497"/>
      <c r="Z14" s="497"/>
      <c r="AA14" s="497"/>
      <c r="AB14" s="497"/>
      <c r="AC14" s="946"/>
      <c r="AD14" s="498"/>
      <c r="AE14" s="1323"/>
      <c r="AF14" s="445" t="s">
        <v>2230</v>
      </c>
      <c r="AG14" s="250" t="s">
        <v>592</v>
      </c>
      <c r="AH14" s="250" t="s">
        <v>2258</v>
      </c>
      <c r="AI14" s="251" t="s">
        <v>2148</v>
      </c>
      <c r="AJ14" s="251" t="s">
        <v>2148</v>
      </c>
      <c r="AK14" s="251" t="s">
        <v>2148</v>
      </c>
      <c r="AL14" s="251" t="s">
        <v>2148</v>
      </c>
      <c r="AM14" s="398" t="s">
        <v>2319</v>
      </c>
      <c r="AN14" s="256" t="s">
        <v>2320</v>
      </c>
      <c r="AO14" s="282" t="s">
        <v>2140</v>
      </c>
      <c r="AP14" s="282" t="s">
        <v>2246</v>
      </c>
      <c r="AQ14" s="282" t="s">
        <v>2247</v>
      </c>
      <c r="AT14" s="301" t="s">
        <v>2366</v>
      </c>
      <c r="AU14" s="445" t="s">
        <v>2230</v>
      </c>
      <c r="AV14" s="300" t="s">
        <v>592</v>
      </c>
      <c r="AW14" s="300" t="s">
        <v>2258</v>
      </c>
      <c r="AX14" s="1321">
        <f>SUM(AX15:AX120)</f>
        <v>13975.502148323099</v>
      </c>
      <c r="AY14" s="250" t="s">
        <v>133</v>
      </c>
      <c r="AZ14" s="249" t="s">
        <v>2138</v>
      </c>
      <c r="BA14" s="249" t="s">
        <v>2140</v>
      </c>
      <c r="BB14" s="251" t="s">
        <v>2148</v>
      </c>
      <c r="BC14" s="300" t="s">
        <v>133</v>
      </c>
      <c r="BD14" s="301" t="s">
        <v>2138</v>
      </c>
      <c r="BE14" s="301" t="s">
        <v>2140</v>
      </c>
      <c r="BF14" s="301" t="s">
        <v>2148</v>
      </c>
      <c r="BG14" s="250" t="s">
        <v>133</v>
      </c>
      <c r="BH14" s="249" t="s">
        <v>2138</v>
      </c>
      <c r="BI14" s="249" t="s">
        <v>2140</v>
      </c>
      <c r="BJ14" s="249" t="s">
        <v>2148</v>
      </c>
      <c r="BK14" s="250" t="s">
        <v>133</v>
      </c>
      <c r="BL14" s="249" t="s">
        <v>2138</v>
      </c>
      <c r="BM14" s="249" t="s">
        <v>2140</v>
      </c>
      <c r="BN14" s="249" t="s">
        <v>2148</v>
      </c>
      <c r="BO14" s="249"/>
      <c r="BP14" s="249"/>
      <c r="BQ14" s="249" t="s">
        <v>2140</v>
      </c>
      <c r="BR14" s="249" t="s">
        <v>2148</v>
      </c>
      <c r="BS14" s="302"/>
      <c r="BT14" s="302"/>
      <c r="BU14" s="249" t="s">
        <v>2140</v>
      </c>
      <c r="BV14" s="249" t="s">
        <v>2148</v>
      </c>
      <c r="BW14" s="398" t="s">
        <v>2319</v>
      </c>
      <c r="BX14" s="256" t="s">
        <v>2320</v>
      </c>
      <c r="BY14" s="282" t="s">
        <v>2140</v>
      </c>
      <c r="BZ14" s="282" t="s">
        <v>2246</v>
      </c>
      <c r="CA14" s="282" t="s">
        <v>2247</v>
      </c>
      <c r="CB14" s="1285"/>
      <c r="CC14" s="1127"/>
      <c r="CD14" s="250" t="s">
        <v>592</v>
      </c>
      <c r="CE14" s="250" t="s">
        <v>2258</v>
      </c>
      <c r="CF14" s="249" t="s">
        <v>2366</v>
      </c>
      <c r="CG14" s="445" t="s">
        <v>2230</v>
      </c>
      <c r="CH14" s="1272" t="s">
        <v>2319</v>
      </c>
      <c r="CI14" s="256" t="s">
        <v>2320</v>
      </c>
      <c r="CJ14" s="282" t="s">
        <v>2140</v>
      </c>
      <c r="CK14" s="282" t="s">
        <v>2246</v>
      </c>
      <c r="CL14" s="282" t="s">
        <v>2247</v>
      </c>
      <c r="CM14" s="301" t="s">
        <v>2138</v>
      </c>
      <c r="CN14" s="301" t="s">
        <v>2140</v>
      </c>
      <c r="CO14" s="301" t="s">
        <v>2148</v>
      </c>
      <c r="CP14" s="249" t="s">
        <v>2138</v>
      </c>
      <c r="CQ14" s="249" t="s">
        <v>2140</v>
      </c>
      <c r="CR14" s="249" t="s">
        <v>2148</v>
      </c>
    </row>
    <row r="15" spans="1:96" s="1107" customFormat="1" ht="30" customHeight="1" outlineLevel="1">
      <c r="A15" s="396" t="b">
        <f>Calcul!A15</f>
        <v>0</v>
      </c>
      <c r="B15" s="438" t="str">
        <f t="shared" ref="B15:B46" si="4">IF(A15=FALSE,"",CONCATENATE(C15,F15,N15,K15))</f>
        <v/>
      </c>
      <c r="C15" s="1132" t="b">
        <v>0</v>
      </c>
      <c r="D15" s="827" t="s">
        <v>2293</v>
      </c>
      <c r="E15" s="1075" t="s">
        <v>2139</v>
      </c>
      <c r="F15" s="338" t="str">
        <f>IF(A15=FALSE,"",IF(NAMES!$D$10=FALSE,IF(Detail!H15="","",Detail!H15),IF(Crewlist!D15="","",Crewlist!D15)))</f>
        <v/>
      </c>
      <c r="G15" s="338" t="str">
        <f>IF(A15=FALSE,"",IF(NAMES!$D$10=FALSE,IF(Detail!P15="","",Detail!P15),IF(Crewlist!E15="","",Crewlist!E15)))</f>
        <v/>
      </c>
      <c r="H15" s="338" t="str">
        <f>IF(A15=FALSE,"",IF(NAMES!$D$10=FALSE,IF(Detail!K15="","",Detail!K15),IF(Crewlist!F15="","",Crewlist!F15)))</f>
        <v/>
      </c>
      <c r="I15" s="1345">
        <f>IF(Crewlist!T15="","",Crewlist!T15)</f>
        <v>42566</v>
      </c>
      <c r="J15" s="1345">
        <f>IF(Crewlist!D15="","",IF(Crewlist!U15="",Crewlist!Y15,IF(DATERENOUVMOINS730&lt;&gt;Crewlist!U15&lt;&gt;Crewlist!Y15,Crewlist!U15,DATERENOUVMOINS365)))</f>
        <v>42675</v>
      </c>
      <c r="K15" s="1346">
        <f>IF(Detail!X15="","",Detail!X15)</f>
        <v>42566</v>
      </c>
      <c r="L15" s="1346">
        <f>IF(Detail!H15="","",IF(Detail!Y15="",DATERENOUV,IF(Detail!Y15&gt;Detail!D15,Detail!D15,Detail!Y15)))</f>
        <v>42675</v>
      </c>
      <c r="M15" s="829" t="str">
        <f>IF(A15=FALSE,"",IF(NAMES!$D$10=FALSE,IF(B15=B16,IF(N15=N16,0,(DATEDIF(K15,L15,"M")+1)),(DATEDIF(K15,L15,"M")+1)),IF(B15=B16,IF(N15=N16,0,(DATEDIF(I15,J15,"M")+1)),(DATEDIF(I15,J15,"M")+1))))</f>
        <v/>
      </c>
      <c r="N15" s="829" t="str">
        <f t="shared" ref="N15:N79" si="5">TEXT(K15,"mmmm")</f>
        <v>juillet</v>
      </c>
      <c r="O15" s="340" t="str">
        <f>IF(A15=FALSE,"",IF(NAMES!$D$10=FALSE,IF((DATEDIF(K15,L15,"D")+1)&lt;365,(DATEDIF(K15,L15,"D")+1),365),IF((DATEDIF(I15,J15,"D")+1)&lt;365,(DATEDIF(I15,J15,"D")+1),365)))</f>
        <v/>
      </c>
      <c r="P15" s="340" t="str">
        <f>IF(A15=FALSE,"",IF(NAMES!$D$10=FALSE,IF(L15="",365,DATEDIF(K15,L15,"D")+1),IF(L15="",365,DATEDIF(I15,J15,"D")+1)))</f>
        <v/>
      </c>
      <c r="Q15" s="787" t="str">
        <f>Calcul!X15</f>
        <v/>
      </c>
      <c r="R15" s="787" t="str">
        <f>Calcul!Y15</f>
        <v/>
      </c>
      <c r="S15" s="811" t="str">
        <f>Calcul!AG15</f>
        <v/>
      </c>
      <c r="T15" s="350" t="str">
        <f>IF(A15=FALSE,"",IF(NAMES!$D$10=FALSE,IF(Detail!S15="","",Detail!S15),IF(Crewlist!V15="","",Crewlist!V15)))</f>
        <v/>
      </c>
      <c r="U15" s="335" t="str">
        <f>Calcul!AI15</f>
        <v/>
      </c>
      <c r="V15" s="335" t="str">
        <f>Calcul!AL15</f>
        <v/>
      </c>
      <c r="W15" s="335" t="str">
        <f>Calcul!AM15</f>
        <v/>
      </c>
      <c r="X15" s="335" t="str">
        <f>Calcul!AN15</f>
        <v/>
      </c>
      <c r="Y15" s="335" t="str">
        <f>Calcul!AO15</f>
        <v/>
      </c>
      <c r="Z15" s="335" t="str">
        <f>Calcul!AP15</f>
        <v/>
      </c>
      <c r="AA15" s="335" t="str">
        <f>Calcul!AQ15</f>
        <v/>
      </c>
      <c r="AB15" s="335" t="str">
        <f>IF(C15=FALSE,"",Calcul!BE15+Calcul!BF15)</f>
        <v/>
      </c>
      <c r="AC15" s="989" t="str">
        <f>IF(C15=FALSE,"",(Calcul!BG15+Calcul!BH15)+SUM(Calcul!BI15:BN15))</f>
        <v/>
      </c>
      <c r="AD15" s="989" t="str">
        <f>Calcul!BP15</f>
        <v/>
      </c>
      <c r="AE15" s="1325" t="s">
        <v>2866</v>
      </c>
      <c r="AF15" s="1096" t="s">
        <v>2254</v>
      </c>
      <c r="AG15" s="318" t="str">
        <f>IF(A15=FALSE,"",YEAR(Detail!F15)&amp;Detail!AG15&amp;Detail!AD15&amp;"-"&amp;Detail!AE15)</f>
        <v/>
      </c>
      <c r="AH15" s="1096" t="s">
        <v>3015</v>
      </c>
      <c r="AI15" s="1453">
        <v>0.1</v>
      </c>
      <c r="AJ15" s="1135">
        <f t="shared" ref="AJ15:AJ46" si="6">AI15</f>
        <v>0.1</v>
      </c>
      <c r="AK15" s="1077">
        <f t="shared" ref="AK15:AK46" si="7">CR15</f>
        <v>0</v>
      </c>
      <c r="AL15" s="1077">
        <f t="shared" ref="AL15:AL46" si="8">AK15</f>
        <v>0</v>
      </c>
      <c r="AM15" s="1077" t="s">
        <v>2316</v>
      </c>
      <c r="AN15" s="1394">
        <v>24</v>
      </c>
      <c r="AO15" s="436">
        <v>0</v>
      </c>
      <c r="AP15" s="1077">
        <v>1</v>
      </c>
      <c r="AQ15" s="1077">
        <v>0</v>
      </c>
      <c r="AS15" s="1127"/>
      <c r="AT15" s="826" t="s">
        <v>2140</v>
      </c>
      <c r="AU15" s="1136" t="s">
        <v>2255</v>
      </c>
      <c r="AV15" s="1078" t="str">
        <f>IF(A15=FALSE,"",IF(Detail!AT15="","N/A",YEAR(Detail!F15)&amp;Detail!AW15&amp;Detail!AT15&amp;"-"&amp;Detail!AU15&amp;" (100%/"&amp;Detail!CD15&amp;"/"&amp;Detail!CE15&amp;")"))</f>
        <v/>
      </c>
      <c r="AW15" s="1078" t="s">
        <v>3017</v>
      </c>
      <c r="AX15" s="1320" t="str">
        <f>Calcul!DB15</f>
        <v/>
      </c>
      <c r="AY15" s="1298" t="str">
        <f>IF(A15=FALSE,"",51000+(Detail!AA15*7000))</f>
        <v/>
      </c>
      <c r="AZ15" s="1170">
        <v>50000</v>
      </c>
      <c r="BA15" s="243">
        <v>3</v>
      </c>
      <c r="BB15" s="1135">
        <v>0</v>
      </c>
      <c r="BC15" s="1298" t="str">
        <f>IF(A15=FALSE,"",51000+(Detail!AA15*7000))</f>
        <v/>
      </c>
      <c r="BD15" s="1298">
        <f>AZ15</f>
        <v>50000</v>
      </c>
      <c r="BE15" s="1299">
        <f>BA15</f>
        <v>3</v>
      </c>
      <c r="BF15" s="1284">
        <f>BB15</f>
        <v>0</v>
      </c>
      <c r="BG15" s="397" t="str">
        <f t="shared" ref="BG15:BG46" si="9">IF(A15=FALSE,"",60000)</f>
        <v/>
      </c>
      <c r="BH15" s="1121">
        <v>50000</v>
      </c>
      <c r="BI15" s="243">
        <v>3</v>
      </c>
      <c r="BJ15" s="1077">
        <v>0</v>
      </c>
      <c r="BK15" s="397" t="str">
        <f t="shared" ref="BK15:BK46" si="10">IF(A15=FALSE,"",60000)</f>
        <v/>
      </c>
      <c r="BL15" s="1121">
        <v>50000</v>
      </c>
      <c r="BM15" s="243">
        <v>3</v>
      </c>
      <c r="BN15" s="1077">
        <v>0</v>
      </c>
      <c r="BO15" s="826">
        <v>7</v>
      </c>
      <c r="BP15" s="1075">
        <v>365</v>
      </c>
      <c r="BQ15" s="244">
        <v>1</v>
      </c>
      <c r="BR15" s="1077">
        <v>0</v>
      </c>
      <c r="BS15" s="826">
        <f t="shared" ref="BS15:BS46" si="11">BO15</f>
        <v>7</v>
      </c>
      <c r="BT15" s="1075">
        <f t="shared" ref="BT15:BT46" si="12">BP15</f>
        <v>365</v>
      </c>
      <c r="BU15" s="253">
        <v>1</v>
      </c>
      <c r="BV15" s="1077">
        <v>0</v>
      </c>
      <c r="BW15" s="1077" t="s">
        <v>2224</v>
      </c>
      <c r="BX15" s="257">
        <v>0</v>
      </c>
      <c r="BY15" s="436">
        <v>0.1</v>
      </c>
      <c r="BZ15" s="1077">
        <v>1</v>
      </c>
      <c r="CA15" s="1077">
        <v>0</v>
      </c>
      <c r="CB15" s="1285"/>
      <c r="CC15" s="1127"/>
      <c r="CD15" s="1136" t="str">
        <f>IF(A15=FALSE,"",Calcul!NZ15)</f>
        <v/>
      </c>
      <c r="CE15" s="1136" t="s">
        <v>2224</v>
      </c>
      <c r="CF15" s="1132" t="s">
        <v>2138</v>
      </c>
      <c r="CG15" s="1136" t="s">
        <v>2254</v>
      </c>
      <c r="CH15" s="1135" t="s">
        <v>2224</v>
      </c>
      <c r="CI15" s="257">
        <v>0</v>
      </c>
      <c r="CJ15" s="436">
        <v>0</v>
      </c>
      <c r="CK15" s="1135">
        <v>1</v>
      </c>
      <c r="CL15" s="1135">
        <v>0</v>
      </c>
      <c r="CM15" s="1121">
        <v>100000</v>
      </c>
      <c r="CN15" s="243">
        <v>2</v>
      </c>
      <c r="CO15" s="1077">
        <v>0</v>
      </c>
      <c r="CP15" s="1298">
        <f>CM15</f>
        <v>100000</v>
      </c>
      <c r="CQ15" s="243">
        <v>2</v>
      </c>
      <c r="CR15" s="1077">
        <v>0</v>
      </c>
    </row>
    <row r="16" spans="1:96" s="1107" customFormat="1" ht="30" customHeight="1" outlineLevel="1">
      <c r="A16" s="396" t="b">
        <f>Calcul!A16</f>
        <v>0</v>
      </c>
      <c r="B16" s="438" t="str">
        <f t="shared" si="4"/>
        <v/>
      </c>
      <c r="C16" s="1132" t="b">
        <v>0</v>
      </c>
      <c r="D16" s="1133" t="s">
        <v>2293</v>
      </c>
      <c r="E16" s="1075" t="s">
        <v>2139</v>
      </c>
      <c r="F16" s="338" t="str">
        <f>IF(A16=FALSE,"",IF(NAMES!$D$10=FALSE,IF(Detail!H16="","",Detail!H16),IF(Crewlist!D16="","",Crewlist!D16)))</f>
        <v/>
      </c>
      <c r="G16" s="338" t="str">
        <f>IF(A16=FALSE,"",IF(NAMES!$D$10=FALSE,IF(Detail!P16="","",Detail!P16),IF(Crewlist!E16="","",Crewlist!E16)))</f>
        <v/>
      </c>
      <c r="H16" s="338" t="str">
        <f>IF(A16=FALSE,"",IF(NAMES!$D$10=FALSE,IF(Detail!K16="","",Detail!K16),IF(Crewlist!F16="","",Crewlist!F16)))</f>
        <v/>
      </c>
      <c r="I16" s="1345">
        <f>IF(Crewlist!T16="","",Crewlist!T16)</f>
        <v>42566</v>
      </c>
      <c r="J16" s="1345">
        <f>IF(Crewlist!D16="","",IF(Crewlist!U16="",Crewlist!Y16,IF(DATERENOUVMOINS730&lt;&gt;Crewlist!U16&lt;&gt;Crewlist!Y16,Crewlist!U16,DATERENOUVMOINS365)))</f>
        <v>42675</v>
      </c>
      <c r="K16" s="1346">
        <f>IF(Detail!X16="","",Detail!X16)</f>
        <v>42566</v>
      </c>
      <c r="L16" s="1346">
        <f>IF(Detail!H16="","",IF(Detail!Y16="",DATERENOUV,IF(Detail!Y16&gt;Detail!D16,Detail!D16,Detail!Y16)))</f>
        <v>42675</v>
      </c>
      <c r="M16" s="829" t="str">
        <f>IF(A16=FALSE,"",IF(NAMES!$D$10=FALSE,IF(B16=B17,IF(N16=N17,0,(DATEDIF(K16,L16,"M")+1)),(DATEDIF(K16,L16,"M")+1)),IF(B16=B17,IF(N16=N17,0,(DATEDIF(I16,J16,"M")+1)),(DATEDIF(I16,J16,"M")+1))))</f>
        <v/>
      </c>
      <c r="N16" s="829" t="str">
        <f t="shared" si="5"/>
        <v>juillet</v>
      </c>
      <c r="O16" s="340" t="str">
        <f>IF(A16=FALSE,"",IF(NAMES!$D$10=FALSE,IF((DATEDIF(K16,L16,"D")+1)&lt;365,(DATEDIF(K16,L16,"D")+1),365),IF((DATEDIF(I16,J16,"D")+1)&lt;365,(DATEDIF(I16,J16,"D")+1),365)))</f>
        <v/>
      </c>
      <c r="P16" s="340" t="str">
        <f>IF(A16=FALSE,"",IF(NAMES!$D$10=FALSE,IF(L16="",365,DATEDIF(K16,L16,"D")+1),IF(L16="",365,DATEDIF(I16,J16,"D")+1)))</f>
        <v/>
      </c>
      <c r="Q16" s="787" t="str">
        <f>Calcul!X16</f>
        <v/>
      </c>
      <c r="R16" s="787" t="str">
        <f>Calcul!Y16</f>
        <v/>
      </c>
      <c r="S16" s="811" t="str">
        <f>Calcul!AG16</f>
        <v/>
      </c>
      <c r="T16" s="350" t="str">
        <f>IF(A16=FALSE,"",IF(NAMES!$D$10=FALSE,IF(Detail!S16="","",Detail!S16),IF(Crewlist!V16="","",Crewlist!V16)))</f>
        <v/>
      </c>
      <c r="U16" s="242" t="str">
        <f>Calcul!AI16</f>
        <v/>
      </c>
      <c r="V16" s="242" t="str">
        <f>Calcul!AL16</f>
        <v/>
      </c>
      <c r="W16" s="242" t="str">
        <f>Calcul!AM16</f>
        <v/>
      </c>
      <c r="X16" s="335" t="str">
        <f>Calcul!AN16</f>
        <v/>
      </c>
      <c r="Y16" s="242" t="str">
        <f>Calcul!AO16</f>
        <v/>
      </c>
      <c r="Z16" s="242" t="str">
        <f>Calcul!AP16</f>
        <v/>
      </c>
      <c r="AA16" s="335" t="str">
        <f>Calcul!AQ16</f>
        <v/>
      </c>
      <c r="AB16" s="335" t="str">
        <f>IF(C16=FALSE,"",Calcul!BE16+Calcul!BF16)</f>
        <v/>
      </c>
      <c r="AC16" s="989" t="str">
        <f>IF(C16=FALSE,"",(Calcul!BG16+Calcul!BH16)+SUM(Calcul!BI16:BN16))</f>
        <v/>
      </c>
      <c r="AD16" s="989" t="str">
        <f>Calcul!BP16</f>
        <v/>
      </c>
      <c r="AE16" s="1325" t="s">
        <v>2866</v>
      </c>
      <c r="AF16" s="1096" t="s">
        <v>2254</v>
      </c>
      <c r="AG16" s="318" t="str">
        <f>IF(A16=FALSE,"",YEAR(Detail!F16)&amp;Detail!AG16&amp;Detail!AD16&amp;"-"&amp;Detail!AE16)</f>
        <v/>
      </c>
      <c r="AH16" s="1134" t="s">
        <v>3015</v>
      </c>
      <c r="AI16" s="1453">
        <v>0.1</v>
      </c>
      <c r="AJ16" s="1135">
        <f t="shared" si="6"/>
        <v>0.1</v>
      </c>
      <c r="AK16" s="1077">
        <f t="shared" si="7"/>
        <v>0</v>
      </c>
      <c r="AL16" s="1077">
        <f t="shared" si="8"/>
        <v>0</v>
      </c>
      <c r="AM16" s="1135" t="s">
        <v>2316</v>
      </c>
      <c r="AN16" s="1394">
        <v>24</v>
      </c>
      <c r="AO16" s="436">
        <v>0</v>
      </c>
      <c r="AP16" s="1077">
        <v>1</v>
      </c>
      <c r="AQ16" s="1077">
        <v>0</v>
      </c>
      <c r="AS16" s="1127"/>
      <c r="AT16" s="1132" t="s">
        <v>2140</v>
      </c>
      <c r="AU16" s="1136" t="s">
        <v>2255</v>
      </c>
      <c r="AV16" s="1136" t="str">
        <f>IF(A16=FALSE,"",IF(Detail!AT16="","N/A",YEAR(Detail!F16)&amp;Detail!AW16&amp;Detail!AT16&amp;"-"&amp;Detail!AU16&amp;" (100%/"&amp;Detail!CD16&amp;"/"&amp;Detail!CE16&amp;")"))</f>
        <v/>
      </c>
      <c r="AW16" s="1136" t="s">
        <v>3017</v>
      </c>
      <c r="AX16" s="1320" t="str">
        <f>Calcul!DB16</f>
        <v/>
      </c>
      <c r="AY16" s="1298" t="str">
        <f>IF(A16=FALSE,"",51000+(Detail!AA16*7000))</f>
        <v/>
      </c>
      <c r="AZ16" s="1170">
        <v>50000</v>
      </c>
      <c r="BA16" s="243">
        <v>3</v>
      </c>
      <c r="BB16" s="1135">
        <v>0</v>
      </c>
      <c r="BC16" s="1298" t="str">
        <f>IF(A16=FALSE,"",51000+(Detail!AA16*7000))</f>
        <v/>
      </c>
      <c r="BD16" s="1298">
        <f t="shared" ref="BD16:BD79" si="13">AZ16</f>
        <v>50000</v>
      </c>
      <c r="BE16" s="1299">
        <f t="shared" ref="BE16:BE79" si="14">BA16</f>
        <v>3</v>
      </c>
      <c r="BF16" s="1284">
        <f t="shared" ref="BF16:BF79" si="15">BB16</f>
        <v>0</v>
      </c>
      <c r="BG16" s="397" t="str">
        <f t="shared" si="9"/>
        <v/>
      </c>
      <c r="BH16" s="1121">
        <v>50000</v>
      </c>
      <c r="BI16" s="243">
        <v>3</v>
      </c>
      <c r="BJ16" s="1077">
        <v>0</v>
      </c>
      <c r="BK16" s="397" t="str">
        <f t="shared" si="10"/>
        <v/>
      </c>
      <c r="BL16" s="1138">
        <v>50000</v>
      </c>
      <c r="BM16" s="243">
        <v>3</v>
      </c>
      <c r="BN16" s="1077">
        <v>0</v>
      </c>
      <c r="BO16" s="826">
        <v>7</v>
      </c>
      <c r="BP16" s="1075">
        <v>365</v>
      </c>
      <c r="BQ16" s="244">
        <v>1</v>
      </c>
      <c r="BR16" s="1077">
        <v>0</v>
      </c>
      <c r="BS16" s="826">
        <f t="shared" si="11"/>
        <v>7</v>
      </c>
      <c r="BT16" s="1075">
        <f t="shared" si="12"/>
        <v>365</v>
      </c>
      <c r="BU16" s="253">
        <v>1</v>
      </c>
      <c r="BV16" s="1077">
        <v>0</v>
      </c>
      <c r="BW16" s="1135" t="s">
        <v>2224</v>
      </c>
      <c r="BX16" s="257">
        <v>0</v>
      </c>
      <c r="BY16" s="436">
        <v>0.1</v>
      </c>
      <c r="BZ16" s="1077">
        <v>1</v>
      </c>
      <c r="CA16" s="1077">
        <v>0</v>
      </c>
      <c r="CB16" s="1285"/>
      <c r="CC16" s="1127"/>
      <c r="CD16" s="1136" t="str">
        <f>IF(A16=FALSE,"",Calcul!NZ16)</f>
        <v/>
      </c>
      <c r="CE16" s="1136" t="s">
        <v>2224</v>
      </c>
      <c r="CF16" s="1132" t="s">
        <v>2138</v>
      </c>
      <c r="CG16" s="1136" t="s">
        <v>2254</v>
      </c>
      <c r="CH16" s="1135" t="s">
        <v>2224</v>
      </c>
      <c r="CI16" s="257">
        <v>0</v>
      </c>
      <c r="CJ16" s="436">
        <v>0</v>
      </c>
      <c r="CK16" s="1135">
        <v>1</v>
      </c>
      <c r="CL16" s="1135">
        <v>0</v>
      </c>
      <c r="CM16" s="1170">
        <v>100000</v>
      </c>
      <c r="CN16" s="243">
        <v>2</v>
      </c>
      <c r="CO16" s="1077">
        <v>0</v>
      </c>
      <c r="CP16" s="1298">
        <f t="shared" ref="CP16:CP79" si="16">CM16</f>
        <v>100000</v>
      </c>
      <c r="CQ16" s="243">
        <v>2</v>
      </c>
      <c r="CR16" s="1077">
        <v>0</v>
      </c>
    </row>
    <row r="17" spans="1:96" s="1107" customFormat="1" ht="30" customHeight="1" outlineLevel="1">
      <c r="A17" s="396" t="b">
        <f>Calcul!A17</f>
        <v>0</v>
      </c>
      <c r="B17" s="438" t="str">
        <f t="shared" si="4"/>
        <v/>
      </c>
      <c r="C17" s="1132" t="b">
        <v>0</v>
      </c>
      <c r="D17" s="1133" t="s">
        <v>2293</v>
      </c>
      <c r="E17" s="1075" t="s">
        <v>2139</v>
      </c>
      <c r="F17" s="338" t="str">
        <f>IF(A17=FALSE,"",IF(NAMES!$D$10=FALSE,IF(Detail!H17="","",Detail!H17),IF(Crewlist!D17="","",Crewlist!D17)))</f>
        <v/>
      </c>
      <c r="G17" s="338" t="str">
        <f>IF(A17=FALSE,"",IF(NAMES!$D$10=FALSE,IF(Detail!P17="","",Detail!P17),IF(Crewlist!E17="","",Crewlist!E17)))</f>
        <v/>
      </c>
      <c r="H17" s="338" t="str">
        <f>IF(A17=FALSE,"",IF(NAMES!$D$10=FALSE,IF(Detail!K17="","",Detail!K17),IF(Crewlist!F17="","",Crewlist!F17)))</f>
        <v/>
      </c>
      <c r="I17" s="1345">
        <f>IF(Crewlist!T17="","",Crewlist!T17)</f>
        <v>42675</v>
      </c>
      <c r="J17" s="1345">
        <f>IF(Crewlist!D17="","",IF(Crewlist!U17="",Crewlist!Y17,IF(DATERENOUVMOINS730&lt;&gt;Crewlist!U17&lt;&gt;Crewlist!Y17,Crewlist!U17,DATERENOUVMOINS365)))</f>
        <v>42749</v>
      </c>
      <c r="K17" s="1346">
        <f>IF(Detail!X17="","",Detail!X17)</f>
        <v>42675</v>
      </c>
      <c r="L17" s="1346">
        <f>IF(Detail!H17="","",IF(Detail!Y17="",DATERENOUV,IF(Detail!Y17&gt;Detail!D17,Detail!D17,Detail!Y17)))</f>
        <v>42749</v>
      </c>
      <c r="M17" s="829" t="str">
        <f>IF(A17=FALSE,"",IF(NAMES!$D$10=FALSE,IF(B17=B18,IF(N17=N18,0,(DATEDIF(K17,L17,"M")+1)),(DATEDIF(K17,L17,"M")+1)),IF(B17=B18,IF(N17=N18,0,(DATEDIF(I17,J17,"M")+1)),(DATEDIF(I17,J17,"M")+1))))</f>
        <v/>
      </c>
      <c r="N17" s="829" t="str">
        <f t="shared" si="5"/>
        <v>novembre</v>
      </c>
      <c r="O17" s="340" t="str">
        <f>IF(A17=FALSE,"",IF(NAMES!$D$10=FALSE,IF((DATEDIF(K17,L17,"D")+1)&lt;365,(DATEDIF(K17,L17,"D")+1),365),IF((DATEDIF(I17,J17,"D")+1)&lt;365,(DATEDIF(I17,J17,"D")+1),365)))</f>
        <v/>
      </c>
      <c r="P17" s="340" t="str">
        <f>IF(A17=FALSE,"",IF(NAMES!$D$10=FALSE,IF(L17="",365,DATEDIF(K17,L17,"D")+1),IF(L17="",365,DATEDIF(I17,J17,"D")+1)))</f>
        <v/>
      </c>
      <c r="Q17" s="787" t="str">
        <f>Calcul!X17</f>
        <v/>
      </c>
      <c r="R17" s="787" t="str">
        <f>Calcul!Y17</f>
        <v/>
      </c>
      <c r="S17" s="811" t="str">
        <f>Calcul!AG17</f>
        <v/>
      </c>
      <c r="T17" s="350" t="str">
        <f>IF(A17=FALSE,"",IF(NAMES!$D$10=FALSE,IF(Detail!S17="","",Detail!S17),IF(Crewlist!V17="","",Crewlist!V17)))</f>
        <v/>
      </c>
      <c r="U17" s="242" t="str">
        <f>Calcul!AI17</f>
        <v/>
      </c>
      <c r="V17" s="242" t="str">
        <f>Calcul!AL17</f>
        <v/>
      </c>
      <c r="W17" s="242" t="str">
        <f>Calcul!AM17</f>
        <v/>
      </c>
      <c r="X17" s="335" t="str">
        <f>Calcul!AN17</f>
        <v/>
      </c>
      <c r="Y17" s="242" t="str">
        <f>Calcul!AO17</f>
        <v/>
      </c>
      <c r="Z17" s="242" t="str">
        <f>Calcul!AP17</f>
        <v/>
      </c>
      <c r="AA17" s="335" t="str">
        <f>Calcul!AQ17</f>
        <v/>
      </c>
      <c r="AB17" s="335" t="str">
        <f>IF(C17=FALSE,"",Calcul!BE17+Calcul!BF17)</f>
        <v/>
      </c>
      <c r="AC17" s="989" t="str">
        <f>IF(C17=FALSE,"",(Calcul!BG17+Calcul!BH17)+SUM(Calcul!BI17:BN17))</f>
        <v/>
      </c>
      <c r="AD17" s="989" t="str">
        <f>Calcul!BP17</f>
        <v/>
      </c>
      <c r="AE17" s="1325" t="s">
        <v>2866</v>
      </c>
      <c r="AF17" s="1096" t="s">
        <v>2254</v>
      </c>
      <c r="AG17" s="318" t="str">
        <f>IF(A17=FALSE,"",YEAR(Detail!F17)&amp;Detail!AG17&amp;Detail!AD17&amp;"-"&amp;Detail!AE17)</f>
        <v/>
      </c>
      <c r="AH17" s="1134" t="s">
        <v>3015</v>
      </c>
      <c r="AI17" s="1453">
        <v>0.1</v>
      </c>
      <c r="AJ17" s="1135">
        <f t="shared" si="6"/>
        <v>0.1</v>
      </c>
      <c r="AK17" s="1077">
        <f t="shared" si="7"/>
        <v>0</v>
      </c>
      <c r="AL17" s="1077">
        <f t="shared" si="8"/>
        <v>0</v>
      </c>
      <c r="AM17" s="1135" t="s">
        <v>2316</v>
      </c>
      <c r="AN17" s="1394">
        <v>24</v>
      </c>
      <c r="AO17" s="436">
        <v>0</v>
      </c>
      <c r="AP17" s="1077">
        <v>1</v>
      </c>
      <c r="AQ17" s="1077">
        <v>0</v>
      </c>
      <c r="AS17" s="1127"/>
      <c r="AT17" s="1132" t="s">
        <v>2140</v>
      </c>
      <c r="AU17" s="1136" t="s">
        <v>2255</v>
      </c>
      <c r="AV17" s="1136" t="str">
        <f>IF(A17=FALSE,"",IF(Detail!AT17="","N/A",YEAR(Detail!F17)&amp;Detail!AW17&amp;Detail!AT17&amp;"-"&amp;Detail!AU17&amp;" (100%/"&amp;Detail!CD17&amp;"/"&amp;Detail!CE17&amp;")"))</f>
        <v/>
      </c>
      <c r="AW17" s="1136" t="s">
        <v>3017</v>
      </c>
      <c r="AX17" s="1320" t="str">
        <f>Calcul!DB17</f>
        <v/>
      </c>
      <c r="AY17" s="1298" t="str">
        <f>IF(A17=FALSE,"",51000+(Detail!AA17*7000))</f>
        <v/>
      </c>
      <c r="AZ17" s="1170">
        <v>50000</v>
      </c>
      <c r="BA17" s="243">
        <v>3</v>
      </c>
      <c r="BB17" s="1135">
        <v>0</v>
      </c>
      <c r="BC17" s="1298" t="str">
        <f>IF(A17=FALSE,"",51000+(Detail!AA17*7000))</f>
        <v/>
      </c>
      <c r="BD17" s="1298">
        <f t="shared" si="13"/>
        <v>50000</v>
      </c>
      <c r="BE17" s="1299">
        <f t="shared" si="14"/>
        <v>3</v>
      </c>
      <c r="BF17" s="1284">
        <f t="shared" si="15"/>
        <v>0</v>
      </c>
      <c r="BG17" s="397" t="str">
        <f t="shared" si="9"/>
        <v/>
      </c>
      <c r="BH17" s="1121">
        <v>50000</v>
      </c>
      <c r="BI17" s="243">
        <v>3</v>
      </c>
      <c r="BJ17" s="1077">
        <v>0</v>
      </c>
      <c r="BK17" s="397" t="str">
        <f t="shared" si="10"/>
        <v/>
      </c>
      <c r="BL17" s="1138">
        <v>50000</v>
      </c>
      <c r="BM17" s="243">
        <v>3</v>
      </c>
      <c r="BN17" s="1077">
        <v>0</v>
      </c>
      <c r="BO17" s="826">
        <v>7</v>
      </c>
      <c r="BP17" s="1075">
        <v>365</v>
      </c>
      <c r="BQ17" s="244">
        <v>1</v>
      </c>
      <c r="BR17" s="1077">
        <v>0</v>
      </c>
      <c r="BS17" s="826">
        <f t="shared" si="11"/>
        <v>7</v>
      </c>
      <c r="BT17" s="1075">
        <f t="shared" si="12"/>
        <v>365</v>
      </c>
      <c r="BU17" s="253">
        <v>1</v>
      </c>
      <c r="BV17" s="1077">
        <v>0</v>
      </c>
      <c r="BW17" s="1135" t="s">
        <v>2224</v>
      </c>
      <c r="BX17" s="257">
        <v>0</v>
      </c>
      <c r="BY17" s="436">
        <v>0.1</v>
      </c>
      <c r="BZ17" s="1077">
        <v>1</v>
      </c>
      <c r="CA17" s="1077">
        <v>0</v>
      </c>
      <c r="CB17" s="1285"/>
      <c r="CC17" s="1127"/>
      <c r="CD17" s="1136" t="str">
        <f>IF(A17=FALSE,"",Calcul!NZ17)</f>
        <v/>
      </c>
      <c r="CE17" s="1136" t="s">
        <v>2224</v>
      </c>
      <c r="CF17" s="1132" t="s">
        <v>2138</v>
      </c>
      <c r="CG17" s="1136" t="s">
        <v>2254</v>
      </c>
      <c r="CH17" s="1135" t="s">
        <v>2224</v>
      </c>
      <c r="CI17" s="257">
        <v>0</v>
      </c>
      <c r="CJ17" s="436">
        <v>0</v>
      </c>
      <c r="CK17" s="1135">
        <v>1</v>
      </c>
      <c r="CL17" s="1135">
        <v>0</v>
      </c>
      <c r="CM17" s="1170">
        <v>100000</v>
      </c>
      <c r="CN17" s="243">
        <v>2</v>
      </c>
      <c r="CO17" s="1077">
        <v>0</v>
      </c>
      <c r="CP17" s="1298">
        <f t="shared" si="16"/>
        <v>100000</v>
      </c>
      <c r="CQ17" s="243">
        <v>2</v>
      </c>
      <c r="CR17" s="1077">
        <v>0</v>
      </c>
    </row>
    <row r="18" spans="1:96" s="1107" customFormat="1" ht="30" customHeight="1" outlineLevel="1">
      <c r="A18" s="396" t="b">
        <f>Calcul!A18</f>
        <v>0</v>
      </c>
      <c r="B18" s="438" t="str">
        <f t="shared" si="4"/>
        <v/>
      </c>
      <c r="C18" s="1132" t="b">
        <v>0</v>
      </c>
      <c r="D18" s="1133" t="s">
        <v>2293</v>
      </c>
      <c r="E18" s="1075" t="s">
        <v>2139</v>
      </c>
      <c r="F18" s="338" t="str">
        <f>IF(A18=FALSE,"",IF(NAMES!$D$10=FALSE,IF(Detail!H18="","",Detail!H18),IF(Crewlist!D18="","",Crewlist!D18)))</f>
        <v/>
      </c>
      <c r="G18" s="338" t="str">
        <f>IF(A18=FALSE,"",IF(NAMES!$D$10=FALSE,IF(Detail!P18="","",Detail!P18),IF(Crewlist!E18="","",Crewlist!E18)))</f>
        <v/>
      </c>
      <c r="H18" s="338" t="str">
        <f>IF(A18=FALSE,"",IF(NAMES!$D$10=FALSE,IF(Detail!K18="","",Detail!K18),IF(Crewlist!F18="","",Crewlist!F18)))</f>
        <v/>
      </c>
      <c r="I18" s="1345">
        <f>IF(Crewlist!T18="","",Crewlist!T18)</f>
        <v>42566</v>
      </c>
      <c r="J18" s="1345">
        <f>IF(Crewlist!D18="","",IF(Crewlist!U18="",Crewlist!Y18,IF(DATERENOUVMOINS730&lt;&gt;Crewlist!U18&lt;&gt;Crewlist!Y18,Crewlist!U18,DATERENOUVMOINS365)))</f>
        <v>42675</v>
      </c>
      <c r="K18" s="1346">
        <f>IF(Detail!X18="","",Detail!X18)</f>
        <v>42566</v>
      </c>
      <c r="L18" s="1346">
        <f>IF(Detail!H18="","",IF(Detail!Y18="",DATERENOUV,IF(Detail!Y18&gt;Detail!D18,Detail!D18,Detail!Y18)))</f>
        <v>42675</v>
      </c>
      <c r="M18" s="829" t="str">
        <f>IF(A18=FALSE,"",IF(NAMES!$D$10=FALSE,IF(B18=B19,IF(N18=N19,0,(DATEDIF(K18,L18,"M")+1)),(DATEDIF(K18,L18,"M")+1)),IF(B18=B19,IF(N18=N19,0,(DATEDIF(I18,J18,"M")+1)),(DATEDIF(I18,J18,"M")+1))))</f>
        <v/>
      </c>
      <c r="N18" s="829" t="str">
        <f t="shared" si="5"/>
        <v>juillet</v>
      </c>
      <c r="O18" s="340" t="str">
        <f>IF(A18=FALSE,"",IF(NAMES!$D$10=FALSE,IF((DATEDIF(K18,L18,"D")+1)&lt;365,(DATEDIF(K18,L18,"D")+1),365),IF((DATEDIF(I18,J18,"D")+1)&lt;365,(DATEDIF(I18,J18,"D")+1),365)))</f>
        <v/>
      </c>
      <c r="P18" s="340" t="str">
        <f>IF(A18=FALSE,"",IF(NAMES!$D$10=FALSE,IF(L18="",365,DATEDIF(K18,L18,"D")+1),IF(L18="",365,DATEDIF(I18,J18,"D")+1)))</f>
        <v/>
      </c>
      <c r="Q18" s="787" t="str">
        <f>Calcul!X18</f>
        <v/>
      </c>
      <c r="R18" s="787" t="str">
        <f>Calcul!Y18</f>
        <v/>
      </c>
      <c r="S18" s="811" t="str">
        <f>Calcul!AG18</f>
        <v/>
      </c>
      <c r="T18" s="350" t="str">
        <f>IF(A18=FALSE,"",IF(NAMES!$D$10=FALSE,IF(Detail!S18="","",Detail!S18),IF(Crewlist!V18="","",Crewlist!V18)))</f>
        <v/>
      </c>
      <c r="U18" s="242" t="str">
        <f>Calcul!AI18</f>
        <v/>
      </c>
      <c r="V18" s="242" t="str">
        <f>Calcul!AL18</f>
        <v/>
      </c>
      <c r="W18" s="242" t="str">
        <f>Calcul!AM18</f>
        <v/>
      </c>
      <c r="X18" s="335" t="str">
        <f>Calcul!AN18</f>
        <v/>
      </c>
      <c r="Y18" s="242" t="str">
        <f>Calcul!AO18</f>
        <v/>
      </c>
      <c r="Z18" s="242" t="str">
        <f>Calcul!AP18</f>
        <v/>
      </c>
      <c r="AA18" s="335" t="str">
        <f>Calcul!AQ18</f>
        <v/>
      </c>
      <c r="AB18" s="335" t="str">
        <f>IF(C18=FALSE,"",Calcul!BE18+Calcul!BF18)</f>
        <v/>
      </c>
      <c r="AC18" s="989" t="str">
        <f>IF(C18=FALSE,"",(Calcul!BG18+Calcul!BH18)+SUM(Calcul!BI18:BN18))</f>
        <v/>
      </c>
      <c r="AD18" s="989" t="str">
        <f>Calcul!BP18</f>
        <v/>
      </c>
      <c r="AE18" s="1325" t="s">
        <v>2866</v>
      </c>
      <c r="AF18" s="1096" t="s">
        <v>2254</v>
      </c>
      <c r="AG18" s="318" t="str">
        <f>IF(A18=FALSE,"",YEAR(Detail!F18)&amp;Detail!AG18&amp;Detail!AD18&amp;"-"&amp;Detail!AE18)</f>
        <v/>
      </c>
      <c r="AH18" s="1134" t="s">
        <v>3015</v>
      </c>
      <c r="AI18" s="1453">
        <v>0.1</v>
      </c>
      <c r="AJ18" s="1135">
        <f t="shared" si="6"/>
        <v>0.1</v>
      </c>
      <c r="AK18" s="1077">
        <f t="shared" si="7"/>
        <v>0</v>
      </c>
      <c r="AL18" s="1077">
        <f t="shared" si="8"/>
        <v>0</v>
      </c>
      <c r="AM18" s="1135" t="s">
        <v>2316</v>
      </c>
      <c r="AN18" s="1394">
        <v>24</v>
      </c>
      <c r="AO18" s="436">
        <v>0</v>
      </c>
      <c r="AP18" s="1077">
        <v>1</v>
      </c>
      <c r="AQ18" s="1077">
        <v>0</v>
      </c>
      <c r="AS18" s="1127"/>
      <c r="AT18" s="1132" t="s">
        <v>2140</v>
      </c>
      <c r="AU18" s="1136" t="s">
        <v>2255</v>
      </c>
      <c r="AV18" s="1136" t="str">
        <f>IF(A18=FALSE,"",IF(Detail!AT18="","N/A",YEAR(Detail!F18)&amp;Detail!AW18&amp;Detail!AT18&amp;"-"&amp;Detail!AU18&amp;" (100%/"&amp;Detail!CD18&amp;"/"&amp;Detail!CE18&amp;")"))</f>
        <v/>
      </c>
      <c r="AW18" s="1136" t="s">
        <v>3017</v>
      </c>
      <c r="AX18" s="1320" t="str">
        <f>Calcul!DB18</f>
        <v/>
      </c>
      <c r="AY18" s="1298" t="str">
        <f>IF(A18=FALSE,"",51000+(Detail!AA18*7000))</f>
        <v/>
      </c>
      <c r="AZ18" s="1170">
        <v>50000</v>
      </c>
      <c r="BA18" s="243">
        <v>3</v>
      </c>
      <c r="BB18" s="1135">
        <v>0</v>
      </c>
      <c r="BC18" s="1298" t="str">
        <f>IF(A18=FALSE,"",51000+(Detail!AA18*7000))</f>
        <v/>
      </c>
      <c r="BD18" s="1298">
        <f t="shared" si="13"/>
        <v>50000</v>
      </c>
      <c r="BE18" s="1299">
        <f t="shared" si="14"/>
        <v>3</v>
      </c>
      <c r="BF18" s="1284">
        <f t="shared" si="15"/>
        <v>0</v>
      </c>
      <c r="BG18" s="397" t="str">
        <f t="shared" si="9"/>
        <v/>
      </c>
      <c r="BH18" s="1138">
        <v>50000</v>
      </c>
      <c r="BI18" s="243">
        <v>3</v>
      </c>
      <c r="BJ18" s="1077">
        <v>0</v>
      </c>
      <c r="BK18" s="397" t="str">
        <f t="shared" si="10"/>
        <v/>
      </c>
      <c r="BL18" s="1138">
        <v>50000</v>
      </c>
      <c r="BM18" s="243">
        <v>3</v>
      </c>
      <c r="BN18" s="1077">
        <v>0</v>
      </c>
      <c r="BO18" s="826">
        <v>7</v>
      </c>
      <c r="BP18" s="1075">
        <v>365</v>
      </c>
      <c r="BQ18" s="244">
        <v>1</v>
      </c>
      <c r="BR18" s="1077">
        <v>0</v>
      </c>
      <c r="BS18" s="826">
        <f t="shared" si="11"/>
        <v>7</v>
      </c>
      <c r="BT18" s="1075">
        <f t="shared" si="12"/>
        <v>365</v>
      </c>
      <c r="BU18" s="253">
        <v>1</v>
      </c>
      <c r="BV18" s="1077">
        <v>0</v>
      </c>
      <c r="BW18" s="1135" t="s">
        <v>2224</v>
      </c>
      <c r="BX18" s="257">
        <v>0</v>
      </c>
      <c r="BY18" s="436">
        <v>0.1</v>
      </c>
      <c r="BZ18" s="1077">
        <v>1</v>
      </c>
      <c r="CA18" s="1077">
        <v>0</v>
      </c>
      <c r="CB18" s="1296"/>
      <c r="CD18" s="1136" t="str">
        <f>IF(A18=FALSE,"",Calcul!NZ18)</f>
        <v/>
      </c>
      <c r="CE18" s="1136" t="s">
        <v>2224</v>
      </c>
      <c r="CF18" s="1132" t="s">
        <v>2138</v>
      </c>
      <c r="CG18" s="1136" t="s">
        <v>2254</v>
      </c>
      <c r="CH18" s="1135" t="s">
        <v>2224</v>
      </c>
      <c r="CI18" s="257">
        <v>0</v>
      </c>
      <c r="CJ18" s="436">
        <v>0</v>
      </c>
      <c r="CK18" s="1135">
        <v>1</v>
      </c>
      <c r="CL18" s="1135">
        <v>0</v>
      </c>
      <c r="CM18" s="1170">
        <v>100000</v>
      </c>
      <c r="CN18" s="243">
        <v>2</v>
      </c>
      <c r="CO18" s="1077">
        <v>0</v>
      </c>
      <c r="CP18" s="1298">
        <f t="shared" si="16"/>
        <v>100000</v>
      </c>
      <c r="CQ18" s="243">
        <v>2</v>
      </c>
      <c r="CR18" s="1077">
        <v>0</v>
      </c>
    </row>
    <row r="19" spans="1:96" s="1107" customFormat="1" ht="30" customHeight="1" outlineLevel="1">
      <c r="A19" s="396" t="b">
        <f>Calcul!A19</f>
        <v>0</v>
      </c>
      <c r="B19" s="438" t="str">
        <f t="shared" si="4"/>
        <v/>
      </c>
      <c r="C19" s="1132" t="b">
        <v>0</v>
      </c>
      <c r="D19" s="1133" t="s">
        <v>2293</v>
      </c>
      <c r="E19" s="1075" t="s">
        <v>2139</v>
      </c>
      <c r="F19" s="338" t="str">
        <f>IF(A19=FALSE,"",IF(NAMES!$D$10=FALSE,IF(Detail!H19="","",Detail!H19),IF(Crewlist!D19="","",Crewlist!D19)))</f>
        <v/>
      </c>
      <c r="G19" s="338" t="str">
        <f>IF(A19=FALSE,"",IF(NAMES!$D$10=FALSE,IF(Detail!P19="","",Detail!P19),IF(Crewlist!E19="","",Crewlist!E19)))</f>
        <v/>
      </c>
      <c r="H19" s="338" t="str">
        <f>IF(A19=FALSE,"",IF(NAMES!$D$10=FALSE,IF(Detail!K19="","",Detail!K19),IF(Crewlist!F19="","",Crewlist!F19)))</f>
        <v/>
      </c>
      <c r="I19" s="1345">
        <f>IF(Crewlist!T19="","",Crewlist!T19)</f>
        <v>42675</v>
      </c>
      <c r="J19" s="1345">
        <f>IF(Crewlist!D19="","",IF(Crewlist!U19="",Crewlist!Y19,IF(DATERENOUVMOINS730&lt;&gt;Crewlist!U19&lt;&gt;Crewlist!Y19,Crewlist!U19,DATERENOUVMOINS365)))</f>
        <v>42749</v>
      </c>
      <c r="K19" s="1346">
        <f>IF(Detail!X19="","",Detail!X19)</f>
        <v>42675</v>
      </c>
      <c r="L19" s="1346">
        <f>IF(Detail!H19="","",IF(Detail!Y19="",DATERENOUV,IF(Detail!Y19&gt;Detail!D19,Detail!D19,Detail!Y19)))</f>
        <v>42749</v>
      </c>
      <c r="M19" s="829" t="str">
        <f>IF(A19=FALSE,"",IF(NAMES!$D$10=FALSE,IF(B19=B20,IF(N19=N20,0,(DATEDIF(K19,L19,"M")+1)),(DATEDIF(K19,L19,"M")+1)),IF(B19=B20,IF(N19=N20,0,(DATEDIF(I19,J19,"M")+1)),(DATEDIF(I19,J19,"M")+1))))</f>
        <v/>
      </c>
      <c r="N19" s="829" t="str">
        <f t="shared" si="5"/>
        <v>novembre</v>
      </c>
      <c r="O19" s="340" t="str">
        <f>IF(A19=FALSE,"",IF(NAMES!$D$10=FALSE,IF((DATEDIF(K19,L19,"D")+1)&lt;365,(DATEDIF(K19,L19,"D")+1),365),IF((DATEDIF(I19,J19,"D")+1)&lt;365,(DATEDIF(I19,J19,"D")+1),365)))</f>
        <v/>
      </c>
      <c r="P19" s="340" t="str">
        <f>IF(A19=FALSE,"",IF(NAMES!$D$10=FALSE,IF(L19="",365,DATEDIF(K19,L19,"D")+1),IF(L19="",365,DATEDIF(I19,J19,"D")+1)))</f>
        <v/>
      </c>
      <c r="Q19" s="787" t="str">
        <f>Calcul!X19</f>
        <v/>
      </c>
      <c r="R19" s="787" t="str">
        <f>Calcul!Y19</f>
        <v/>
      </c>
      <c r="S19" s="811" t="str">
        <f>Calcul!AG19</f>
        <v/>
      </c>
      <c r="T19" s="350" t="str">
        <f>IF(A19=FALSE,"",IF(NAMES!$D$10=FALSE,IF(Detail!S19="","",Detail!S19),IF(Crewlist!V19="","",Crewlist!V19)))</f>
        <v/>
      </c>
      <c r="U19" s="242" t="str">
        <f>Calcul!AI19</f>
        <v/>
      </c>
      <c r="V19" s="242" t="str">
        <f>Calcul!AL19</f>
        <v/>
      </c>
      <c r="W19" s="242" t="str">
        <f>Calcul!AM19</f>
        <v/>
      </c>
      <c r="X19" s="335" t="str">
        <f>Calcul!AN19</f>
        <v/>
      </c>
      <c r="Y19" s="242" t="str">
        <f>Calcul!AO19</f>
        <v/>
      </c>
      <c r="Z19" s="242" t="str">
        <f>Calcul!AP19</f>
        <v/>
      </c>
      <c r="AA19" s="335" t="str">
        <f>Calcul!AQ19</f>
        <v/>
      </c>
      <c r="AB19" s="335" t="str">
        <f>IF(C19=FALSE,"",Calcul!BE19+Calcul!BF19)</f>
        <v/>
      </c>
      <c r="AC19" s="989" t="str">
        <f>IF(C19=FALSE,"",(Calcul!BG19+Calcul!BH19)+SUM(Calcul!BI19:BN19))</f>
        <v/>
      </c>
      <c r="AD19" s="989" t="str">
        <f>Calcul!BP19</f>
        <v/>
      </c>
      <c r="AE19" s="1325" t="s">
        <v>2866</v>
      </c>
      <c r="AF19" s="1096" t="s">
        <v>2254</v>
      </c>
      <c r="AG19" s="318" t="str">
        <f>IF(A19=FALSE,"",YEAR(Detail!F19)&amp;Detail!AG19&amp;Detail!AD19&amp;"-"&amp;Detail!AE19)</f>
        <v/>
      </c>
      <c r="AH19" s="1134" t="s">
        <v>3015</v>
      </c>
      <c r="AI19" s="1453">
        <v>0.1</v>
      </c>
      <c r="AJ19" s="1135">
        <f t="shared" si="6"/>
        <v>0.1</v>
      </c>
      <c r="AK19" s="1077">
        <f t="shared" si="7"/>
        <v>0</v>
      </c>
      <c r="AL19" s="1077">
        <f t="shared" si="8"/>
        <v>0</v>
      </c>
      <c r="AM19" s="1135" t="s">
        <v>2316</v>
      </c>
      <c r="AN19" s="1394">
        <v>24</v>
      </c>
      <c r="AO19" s="436">
        <v>0</v>
      </c>
      <c r="AP19" s="1077">
        <v>1</v>
      </c>
      <c r="AQ19" s="1077">
        <v>0</v>
      </c>
      <c r="AS19" s="1127"/>
      <c r="AT19" s="1132" t="s">
        <v>2140</v>
      </c>
      <c r="AU19" s="1136" t="s">
        <v>2255</v>
      </c>
      <c r="AV19" s="1136" t="str">
        <f>IF(A19=FALSE,"",IF(Detail!AT19="","N/A",YEAR(Detail!F19)&amp;Detail!AW19&amp;Detail!AT19&amp;"-"&amp;Detail!AU19&amp;" (100%/"&amp;Detail!CD19&amp;"/"&amp;Detail!CE19&amp;")"))</f>
        <v/>
      </c>
      <c r="AW19" s="1136" t="s">
        <v>3017</v>
      </c>
      <c r="AX19" s="1320" t="str">
        <f>Calcul!DB19</f>
        <v/>
      </c>
      <c r="AY19" s="1298" t="str">
        <f>IF(A19=FALSE,"",51000+(Detail!AA19*7000))</f>
        <v/>
      </c>
      <c r="AZ19" s="1170">
        <v>50000</v>
      </c>
      <c r="BA19" s="243">
        <v>3</v>
      </c>
      <c r="BB19" s="1135">
        <v>0</v>
      </c>
      <c r="BC19" s="1298" t="str">
        <f>IF(A19=FALSE,"",51000+(Detail!AA19*7000))</f>
        <v/>
      </c>
      <c r="BD19" s="1298">
        <f t="shared" si="13"/>
        <v>50000</v>
      </c>
      <c r="BE19" s="1299">
        <f t="shared" si="14"/>
        <v>3</v>
      </c>
      <c r="BF19" s="1284">
        <f t="shared" si="15"/>
        <v>0</v>
      </c>
      <c r="BG19" s="397" t="str">
        <f t="shared" si="9"/>
        <v/>
      </c>
      <c r="BH19" s="1138">
        <v>50000</v>
      </c>
      <c r="BI19" s="243">
        <v>3</v>
      </c>
      <c r="BJ19" s="1077">
        <v>0</v>
      </c>
      <c r="BK19" s="397" t="str">
        <f t="shared" si="10"/>
        <v/>
      </c>
      <c r="BL19" s="1138">
        <v>50000</v>
      </c>
      <c r="BM19" s="243">
        <v>3</v>
      </c>
      <c r="BN19" s="1077">
        <v>0</v>
      </c>
      <c r="BO19" s="826">
        <v>7</v>
      </c>
      <c r="BP19" s="1075">
        <v>365</v>
      </c>
      <c r="BQ19" s="244">
        <v>1</v>
      </c>
      <c r="BR19" s="1077">
        <v>0</v>
      </c>
      <c r="BS19" s="826">
        <f t="shared" si="11"/>
        <v>7</v>
      </c>
      <c r="BT19" s="1075">
        <f t="shared" si="12"/>
        <v>365</v>
      </c>
      <c r="BU19" s="253">
        <v>1</v>
      </c>
      <c r="BV19" s="1077">
        <v>0</v>
      </c>
      <c r="BW19" s="1135" t="s">
        <v>2224</v>
      </c>
      <c r="BX19" s="257">
        <v>0</v>
      </c>
      <c r="BY19" s="436">
        <v>0</v>
      </c>
      <c r="BZ19" s="1077">
        <v>1</v>
      </c>
      <c r="CA19" s="1077">
        <v>0</v>
      </c>
      <c r="CB19" s="1296"/>
      <c r="CD19" s="1136" t="str">
        <f>IF(A19=FALSE,"",Calcul!NZ19)</f>
        <v/>
      </c>
      <c r="CE19" s="1136" t="s">
        <v>2224</v>
      </c>
      <c r="CF19" s="1132" t="s">
        <v>2138</v>
      </c>
      <c r="CG19" s="1136" t="s">
        <v>2254</v>
      </c>
      <c r="CH19" s="1135" t="s">
        <v>2224</v>
      </c>
      <c r="CI19" s="257">
        <v>0</v>
      </c>
      <c r="CJ19" s="436">
        <v>0</v>
      </c>
      <c r="CK19" s="1135">
        <v>1</v>
      </c>
      <c r="CL19" s="1135">
        <v>0</v>
      </c>
      <c r="CM19" s="1170">
        <v>100000</v>
      </c>
      <c r="CN19" s="243">
        <v>2</v>
      </c>
      <c r="CO19" s="1077">
        <v>0</v>
      </c>
      <c r="CP19" s="1298">
        <f t="shared" si="16"/>
        <v>100000</v>
      </c>
      <c r="CQ19" s="243">
        <v>2</v>
      </c>
      <c r="CR19" s="1077">
        <v>0</v>
      </c>
    </row>
    <row r="20" spans="1:96" s="1107" customFormat="1" ht="30" customHeight="1" outlineLevel="1">
      <c r="A20" s="396" t="b">
        <f>Calcul!A20</f>
        <v>0</v>
      </c>
      <c r="B20" s="438" t="str">
        <f t="shared" si="4"/>
        <v/>
      </c>
      <c r="C20" s="1132" t="b">
        <v>0</v>
      </c>
      <c r="D20" s="1133" t="s">
        <v>2293</v>
      </c>
      <c r="E20" s="1075" t="s">
        <v>2139</v>
      </c>
      <c r="F20" s="338" t="str">
        <f>IF(A20=FALSE,"",IF(NAMES!$D$10=FALSE,IF(Detail!H20="","",Detail!H20),IF(Crewlist!D20="","",Crewlist!D20)))</f>
        <v/>
      </c>
      <c r="G20" s="338" t="str">
        <f>IF(A20=FALSE,"",IF(NAMES!$D$10=FALSE,IF(Detail!P20="","",Detail!P20),IF(Crewlist!E20="","",Crewlist!E20)))</f>
        <v/>
      </c>
      <c r="H20" s="338" t="str">
        <f>IF(A20=FALSE,"",IF(NAMES!$D$10=FALSE,IF(Detail!K20="","",Detail!K20),IF(Crewlist!F20="","",Crewlist!F20)))</f>
        <v/>
      </c>
      <c r="I20" s="1345">
        <f>IF(Crewlist!T20="","",Crewlist!T20)</f>
        <v>42675</v>
      </c>
      <c r="J20" s="1345">
        <f>IF(Crewlist!D20="","",IF(Crewlist!U20="",Crewlist!Y20,IF(DATERENOUVMOINS730&lt;&gt;Crewlist!U20&lt;&gt;Crewlist!Y20,Crewlist!U20,DATERENOUVMOINS365)))</f>
        <v>42749</v>
      </c>
      <c r="K20" s="1346">
        <f>IF(Detail!X20="","",Detail!X20)</f>
        <v>42675</v>
      </c>
      <c r="L20" s="1346">
        <f>IF(Detail!H20="","",IF(Detail!Y20="",DATERENOUV,IF(Detail!Y20&gt;Detail!D20,Detail!D20,Detail!Y20)))</f>
        <v>42749</v>
      </c>
      <c r="M20" s="829" t="str">
        <f>IF(A20=FALSE,"",IF(NAMES!$D$10=FALSE,IF(B20=B21,IF(N20=N21,0,(DATEDIF(K20,L20,"M")+1)),(DATEDIF(K20,L20,"M")+1)),IF(B20=B21,IF(N20=N21,0,(DATEDIF(I20,J20,"M")+1)),(DATEDIF(I20,J20,"M")+1))))</f>
        <v/>
      </c>
      <c r="N20" s="829" t="str">
        <f t="shared" si="5"/>
        <v>novembre</v>
      </c>
      <c r="O20" s="340" t="str">
        <f>IF(A20=FALSE,"",IF(NAMES!$D$10=FALSE,IF((DATEDIF(K20,L20,"D")+1)&lt;365,(DATEDIF(K20,L20,"D")+1),365),IF((DATEDIF(I20,J20,"D")+1)&lt;365,(DATEDIF(I20,J20,"D")+1),365)))</f>
        <v/>
      </c>
      <c r="P20" s="340" t="str">
        <f>IF(A20=FALSE,"",IF(NAMES!$D$10=FALSE,IF(L20="",365,DATEDIF(K20,L20,"D")+1),IF(L20="",365,DATEDIF(I20,J20,"D")+1)))</f>
        <v/>
      </c>
      <c r="Q20" s="787" t="str">
        <f>Calcul!X20</f>
        <v/>
      </c>
      <c r="R20" s="787" t="str">
        <f>Calcul!Y20</f>
        <v/>
      </c>
      <c r="S20" s="811" t="str">
        <f>Calcul!AG20</f>
        <v/>
      </c>
      <c r="T20" s="350" t="str">
        <f>IF(A20=FALSE,"",IF(NAMES!$D$10=FALSE,IF(Detail!S20="","",Detail!S20),IF(Crewlist!V20="","",Crewlist!V20)))</f>
        <v/>
      </c>
      <c r="U20" s="242" t="str">
        <f>Calcul!AI20</f>
        <v/>
      </c>
      <c r="V20" s="242" t="str">
        <f>Calcul!AL20</f>
        <v/>
      </c>
      <c r="W20" s="242" t="str">
        <f>Calcul!AM20</f>
        <v/>
      </c>
      <c r="X20" s="335" t="str">
        <f>Calcul!AN20</f>
        <v/>
      </c>
      <c r="Y20" s="242" t="str">
        <f>Calcul!AO20</f>
        <v/>
      </c>
      <c r="Z20" s="242" t="str">
        <f>Calcul!AP20</f>
        <v/>
      </c>
      <c r="AA20" s="335" t="str">
        <f>Calcul!AQ20</f>
        <v/>
      </c>
      <c r="AB20" s="335" t="str">
        <f>IF(C20=FALSE,"",Calcul!BE20+Calcul!BF20)</f>
        <v/>
      </c>
      <c r="AC20" s="989" t="str">
        <f>IF(C20=FALSE,"",(Calcul!BG20+Calcul!BH20)+SUM(Calcul!BI20:BN20))</f>
        <v/>
      </c>
      <c r="AD20" s="989" t="str">
        <f>Calcul!BP20</f>
        <v/>
      </c>
      <c r="AE20" s="1325" t="s">
        <v>2866</v>
      </c>
      <c r="AF20" s="1096" t="s">
        <v>2254</v>
      </c>
      <c r="AG20" s="318" t="str">
        <f>IF(A20=FALSE,"",YEAR(Detail!F20)&amp;Detail!AG20&amp;Detail!AD20&amp;"-"&amp;Detail!AE20)</f>
        <v/>
      </c>
      <c r="AH20" s="1134" t="s">
        <v>3015</v>
      </c>
      <c r="AI20" s="1453">
        <v>0.1</v>
      </c>
      <c r="AJ20" s="1135">
        <f t="shared" si="6"/>
        <v>0.1</v>
      </c>
      <c r="AK20" s="1077">
        <f t="shared" si="7"/>
        <v>0</v>
      </c>
      <c r="AL20" s="1077">
        <f t="shared" si="8"/>
        <v>0</v>
      </c>
      <c r="AM20" s="1135" t="s">
        <v>2316</v>
      </c>
      <c r="AN20" s="1394">
        <v>24</v>
      </c>
      <c r="AO20" s="436">
        <v>0</v>
      </c>
      <c r="AP20" s="1077">
        <v>1</v>
      </c>
      <c r="AQ20" s="1077">
        <v>0</v>
      </c>
      <c r="AS20" s="1127"/>
      <c r="AT20" s="1132" t="s">
        <v>2140</v>
      </c>
      <c r="AU20" s="1136" t="s">
        <v>2255</v>
      </c>
      <c r="AV20" s="1136" t="str">
        <f>IF(A20=FALSE,"",IF(Detail!AT20="","N/A",YEAR(Detail!F20)&amp;Detail!AW20&amp;Detail!AT20&amp;"-"&amp;Detail!AU20&amp;" (100%/"&amp;Detail!CD20&amp;"/"&amp;Detail!CE20&amp;")"))</f>
        <v/>
      </c>
      <c r="AW20" s="1136" t="s">
        <v>3017</v>
      </c>
      <c r="AX20" s="1320" t="str">
        <f>Calcul!DB20</f>
        <v/>
      </c>
      <c r="AY20" s="1298" t="str">
        <f>IF(A20=FALSE,"",51000+(Detail!AA20*7000))</f>
        <v/>
      </c>
      <c r="AZ20" s="1170">
        <v>50000</v>
      </c>
      <c r="BA20" s="243">
        <v>3</v>
      </c>
      <c r="BB20" s="1135">
        <v>0</v>
      </c>
      <c r="BC20" s="1298" t="str">
        <f>IF(A20=FALSE,"",51000+(Detail!AA20*7000))</f>
        <v/>
      </c>
      <c r="BD20" s="1298">
        <f t="shared" si="13"/>
        <v>50000</v>
      </c>
      <c r="BE20" s="1299">
        <f t="shared" si="14"/>
        <v>3</v>
      </c>
      <c r="BF20" s="1284">
        <f t="shared" si="15"/>
        <v>0</v>
      </c>
      <c r="BG20" s="397" t="str">
        <f t="shared" si="9"/>
        <v/>
      </c>
      <c r="BH20" s="1138">
        <v>50000</v>
      </c>
      <c r="BI20" s="243">
        <v>3</v>
      </c>
      <c r="BJ20" s="1077">
        <v>0</v>
      </c>
      <c r="BK20" s="397" t="str">
        <f t="shared" si="10"/>
        <v/>
      </c>
      <c r="BL20" s="1138">
        <v>50000</v>
      </c>
      <c r="BM20" s="243">
        <v>3</v>
      </c>
      <c r="BN20" s="1077">
        <v>0</v>
      </c>
      <c r="BO20" s="826">
        <v>7</v>
      </c>
      <c r="BP20" s="1075">
        <v>365</v>
      </c>
      <c r="BQ20" s="244">
        <v>1</v>
      </c>
      <c r="BR20" s="1077">
        <v>0</v>
      </c>
      <c r="BS20" s="826">
        <f t="shared" si="11"/>
        <v>7</v>
      </c>
      <c r="BT20" s="1075">
        <f t="shared" si="12"/>
        <v>365</v>
      </c>
      <c r="BU20" s="253">
        <v>1</v>
      </c>
      <c r="BV20" s="1077">
        <v>0</v>
      </c>
      <c r="BW20" s="1135" t="s">
        <v>2224</v>
      </c>
      <c r="BX20" s="257">
        <v>0</v>
      </c>
      <c r="BY20" s="436">
        <v>0</v>
      </c>
      <c r="BZ20" s="1077">
        <v>1</v>
      </c>
      <c r="CA20" s="1077">
        <v>0</v>
      </c>
      <c r="CB20" s="1296"/>
      <c r="CD20" s="1136" t="str">
        <f>IF(A20=FALSE,"",Calcul!NZ20)</f>
        <v/>
      </c>
      <c r="CE20" s="1136" t="s">
        <v>2224</v>
      </c>
      <c r="CF20" s="1132" t="s">
        <v>2138</v>
      </c>
      <c r="CG20" s="1136" t="s">
        <v>2254</v>
      </c>
      <c r="CH20" s="1135" t="s">
        <v>2224</v>
      </c>
      <c r="CI20" s="257">
        <v>0</v>
      </c>
      <c r="CJ20" s="436">
        <v>0</v>
      </c>
      <c r="CK20" s="1135">
        <v>1</v>
      </c>
      <c r="CL20" s="1135">
        <v>0</v>
      </c>
      <c r="CM20" s="1170">
        <v>100000</v>
      </c>
      <c r="CN20" s="243">
        <v>2</v>
      </c>
      <c r="CO20" s="1077">
        <v>0</v>
      </c>
      <c r="CP20" s="1298">
        <f t="shared" si="16"/>
        <v>100000</v>
      </c>
      <c r="CQ20" s="243">
        <v>2</v>
      </c>
      <c r="CR20" s="1077">
        <v>0</v>
      </c>
    </row>
    <row r="21" spans="1:96" s="1107" customFormat="1" ht="30" customHeight="1" outlineLevel="1">
      <c r="A21" s="396" t="b">
        <f>Calcul!A21</f>
        <v>0</v>
      </c>
      <c r="B21" s="438" t="str">
        <f t="shared" si="4"/>
        <v/>
      </c>
      <c r="C21" s="1132" t="b">
        <v>0</v>
      </c>
      <c r="D21" s="1133" t="s">
        <v>2293</v>
      </c>
      <c r="E21" s="1075" t="s">
        <v>2139</v>
      </c>
      <c r="F21" s="338" t="str">
        <f>IF(A21=FALSE,"",IF(NAMES!$D$10=FALSE,IF(Detail!H21="","",Detail!H21),IF(Crewlist!D21="","",Crewlist!D21)))</f>
        <v/>
      </c>
      <c r="G21" s="338" t="str">
        <f>IF(A21=FALSE,"",IF(NAMES!$D$10=FALSE,IF(Detail!P21="","",Detail!P21),IF(Crewlist!E21="","",Crewlist!E21)))</f>
        <v/>
      </c>
      <c r="H21" s="338" t="str">
        <f>IF(A21=FALSE,"",IF(NAMES!$D$10=FALSE,IF(Detail!K21="","",Detail!K21),IF(Crewlist!F21="","",Crewlist!F21)))</f>
        <v/>
      </c>
      <c r="I21" s="1345">
        <f>IF(Crewlist!T21="","",Crewlist!T21)</f>
        <v>42675</v>
      </c>
      <c r="J21" s="1345">
        <f>IF(Crewlist!D21="","",IF(Crewlist!U21="",Crewlist!Y21,IF(DATERENOUVMOINS730&lt;&gt;Crewlist!U21&lt;&gt;Crewlist!Y21,Crewlist!U21,DATERENOUVMOINS365)))</f>
        <v>42749</v>
      </c>
      <c r="K21" s="1346">
        <f>IF(Detail!X21="","",Detail!X21)</f>
        <v>42675</v>
      </c>
      <c r="L21" s="1346">
        <f>IF(Detail!H21="","",IF(Detail!Y21="",DATERENOUV,IF(Detail!Y21&gt;Detail!D21,Detail!D21,Detail!Y21)))</f>
        <v>42749</v>
      </c>
      <c r="M21" s="829" t="str">
        <f>IF(A21=FALSE,"",IF(NAMES!$D$10=FALSE,IF(B21=B22,IF(N21=N22,0,(DATEDIF(K21,L21,"M")+1)),(DATEDIF(K21,L21,"M")+1)),IF(B21=B22,IF(N21=N22,0,(DATEDIF(I21,J21,"M")+1)),(DATEDIF(I21,J21,"M")+1))))</f>
        <v/>
      </c>
      <c r="N21" s="829" t="str">
        <f t="shared" si="5"/>
        <v>novembre</v>
      </c>
      <c r="O21" s="340" t="str">
        <f>IF(A21=FALSE,"",IF(NAMES!$D$10=FALSE,IF((DATEDIF(K21,L21,"D")+1)&lt;365,(DATEDIF(K21,L21,"D")+1),365),IF((DATEDIF(I21,J21,"D")+1)&lt;365,(DATEDIF(I21,J21,"D")+1),365)))</f>
        <v/>
      </c>
      <c r="P21" s="340" t="str">
        <f>IF(A21=FALSE,"",IF(NAMES!$D$10=FALSE,IF(L21="",365,DATEDIF(K21,L21,"D")+1),IF(L21="",365,DATEDIF(I21,J21,"D")+1)))</f>
        <v/>
      </c>
      <c r="Q21" s="787" t="str">
        <f>Calcul!X21</f>
        <v/>
      </c>
      <c r="R21" s="787" t="str">
        <f>Calcul!Y21</f>
        <v/>
      </c>
      <c r="S21" s="811" t="str">
        <f>Calcul!AG21</f>
        <v/>
      </c>
      <c r="T21" s="350" t="str">
        <f>IF(A21=FALSE,"",IF(NAMES!$D$10=FALSE,IF(Detail!S21="","",Detail!S21),IF(Crewlist!V21="","",Crewlist!V21)))</f>
        <v/>
      </c>
      <c r="U21" s="242" t="str">
        <f>Calcul!AI21</f>
        <v/>
      </c>
      <c r="V21" s="242" t="str">
        <f>Calcul!AL21</f>
        <v/>
      </c>
      <c r="W21" s="242" t="str">
        <f>Calcul!AM21</f>
        <v/>
      </c>
      <c r="X21" s="335" t="str">
        <f>Calcul!AN21</f>
        <v/>
      </c>
      <c r="Y21" s="242" t="str">
        <f>Calcul!AO21</f>
        <v/>
      </c>
      <c r="Z21" s="242" t="str">
        <f>Calcul!AP21</f>
        <v/>
      </c>
      <c r="AA21" s="335" t="str">
        <f>Calcul!AQ21</f>
        <v/>
      </c>
      <c r="AB21" s="335" t="str">
        <f>IF(C21=FALSE,"",Calcul!BE21+Calcul!BF21)</f>
        <v/>
      </c>
      <c r="AC21" s="989" t="str">
        <f>IF(C21=FALSE,"",(Calcul!BG21+Calcul!BH21)+SUM(Calcul!BI21:BN21))</f>
        <v/>
      </c>
      <c r="AD21" s="989" t="str">
        <f>Calcul!BP21</f>
        <v/>
      </c>
      <c r="AE21" s="1325" t="s">
        <v>2866</v>
      </c>
      <c r="AF21" s="1096" t="s">
        <v>2254</v>
      </c>
      <c r="AG21" s="318" t="str">
        <f>IF(A21=FALSE,"",YEAR(Detail!F21)&amp;Detail!AG21&amp;Detail!AD21&amp;"-"&amp;Detail!AE21)</f>
        <v/>
      </c>
      <c r="AH21" s="1134" t="s">
        <v>3015</v>
      </c>
      <c r="AI21" s="1453">
        <v>0.1</v>
      </c>
      <c r="AJ21" s="1135">
        <f t="shared" si="6"/>
        <v>0.1</v>
      </c>
      <c r="AK21" s="1077">
        <f t="shared" si="7"/>
        <v>0</v>
      </c>
      <c r="AL21" s="1077">
        <f t="shared" si="8"/>
        <v>0</v>
      </c>
      <c r="AM21" s="1135" t="s">
        <v>2316</v>
      </c>
      <c r="AN21" s="1394">
        <v>24</v>
      </c>
      <c r="AO21" s="436">
        <v>0</v>
      </c>
      <c r="AP21" s="1077">
        <v>1</v>
      </c>
      <c r="AQ21" s="1077">
        <v>0</v>
      </c>
      <c r="AS21" s="1127"/>
      <c r="AT21" s="1132" t="s">
        <v>2140</v>
      </c>
      <c r="AU21" s="1136" t="s">
        <v>2255</v>
      </c>
      <c r="AV21" s="1136" t="str">
        <f>IF(A21=FALSE,"",IF(Detail!AT21="","N/A",YEAR(Detail!F21)&amp;Detail!AW21&amp;Detail!AT21&amp;"-"&amp;Detail!AU21&amp;" (100%/"&amp;Detail!CD21&amp;"/"&amp;Detail!CE21&amp;")"))</f>
        <v/>
      </c>
      <c r="AW21" s="1136" t="s">
        <v>3017</v>
      </c>
      <c r="AX21" s="1320" t="str">
        <f>Calcul!DB21</f>
        <v/>
      </c>
      <c r="AY21" s="1298" t="str">
        <f>IF(A21=FALSE,"",51000+(Detail!AA21*7000))</f>
        <v/>
      </c>
      <c r="AZ21" s="1170">
        <v>50000</v>
      </c>
      <c r="BA21" s="243">
        <v>3</v>
      </c>
      <c r="BB21" s="1135">
        <v>0</v>
      </c>
      <c r="BC21" s="1298" t="str">
        <f>IF(A21=FALSE,"",51000+(Detail!AA21*7000))</f>
        <v/>
      </c>
      <c r="BD21" s="1298">
        <f t="shared" si="13"/>
        <v>50000</v>
      </c>
      <c r="BE21" s="1299">
        <f t="shared" si="14"/>
        <v>3</v>
      </c>
      <c r="BF21" s="1284">
        <f t="shared" si="15"/>
        <v>0</v>
      </c>
      <c r="BG21" s="397" t="str">
        <f t="shared" si="9"/>
        <v/>
      </c>
      <c r="BH21" s="1138">
        <v>50000</v>
      </c>
      <c r="BI21" s="243">
        <v>3</v>
      </c>
      <c r="BJ21" s="1077">
        <v>0</v>
      </c>
      <c r="BK21" s="397" t="str">
        <f t="shared" si="10"/>
        <v/>
      </c>
      <c r="BL21" s="1138">
        <v>50000</v>
      </c>
      <c r="BM21" s="243">
        <v>3</v>
      </c>
      <c r="BN21" s="1077">
        <v>0</v>
      </c>
      <c r="BO21" s="826">
        <v>7</v>
      </c>
      <c r="BP21" s="1075">
        <v>365</v>
      </c>
      <c r="BQ21" s="244">
        <v>1</v>
      </c>
      <c r="BR21" s="1077">
        <v>0</v>
      </c>
      <c r="BS21" s="826">
        <f t="shared" si="11"/>
        <v>7</v>
      </c>
      <c r="BT21" s="1075">
        <f t="shared" si="12"/>
        <v>365</v>
      </c>
      <c r="BU21" s="253">
        <v>1</v>
      </c>
      <c r="BV21" s="1077">
        <v>0</v>
      </c>
      <c r="BW21" s="1135" t="s">
        <v>2224</v>
      </c>
      <c r="BX21" s="257">
        <v>0</v>
      </c>
      <c r="BY21" s="436">
        <v>0</v>
      </c>
      <c r="BZ21" s="1077">
        <v>1</v>
      </c>
      <c r="CA21" s="1077">
        <v>0</v>
      </c>
      <c r="CB21" s="1296"/>
      <c r="CD21" s="1136" t="str">
        <f>IF(A21=FALSE,"",Calcul!NZ21)</f>
        <v/>
      </c>
      <c r="CE21" s="1136" t="s">
        <v>2224</v>
      </c>
      <c r="CF21" s="1132" t="s">
        <v>2138</v>
      </c>
      <c r="CG21" s="1136" t="s">
        <v>2254</v>
      </c>
      <c r="CH21" s="1135" t="s">
        <v>2224</v>
      </c>
      <c r="CI21" s="257">
        <v>0</v>
      </c>
      <c r="CJ21" s="436">
        <v>0</v>
      </c>
      <c r="CK21" s="1135">
        <v>1</v>
      </c>
      <c r="CL21" s="1135">
        <v>0</v>
      </c>
      <c r="CM21" s="1170">
        <v>100000</v>
      </c>
      <c r="CN21" s="243">
        <v>2</v>
      </c>
      <c r="CO21" s="1077">
        <v>0</v>
      </c>
      <c r="CP21" s="1298">
        <f t="shared" si="16"/>
        <v>100000</v>
      </c>
      <c r="CQ21" s="243">
        <v>2</v>
      </c>
      <c r="CR21" s="1077">
        <v>0</v>
      </c>
    </row>
    <row r="22" spans="1:96" s="1107" customFormat="1" ht="30" customHeight="1" outlineLevel="1">
      <c r="A22" s="396" t="b">
        <f>Calcul!A22</f>
        <v>0</v>
      </c>
      <c r="B22" s="438" t="str">
        <f t="shared" si="4"/>
        <v/>
      </c>
      <c r="C22" s="1132" t="b">
        <v>0</v>
      </c>
      <c r="D22" s="1133" t="s">
        <v>2293</v>
      </c>
      <c r="E22" s="1075" t="s">
        <v>2139</v>
      </c>
      <c r="F22" s="338" t="str">
        <f>IF(A22=FALSE,"",IF(NAMES!$D$10=FALSE,IF(Detail!H22="","",Detail!H22),IF(Crewlist!D22="","",Crewlist!D22)))</f>
        <v/>
      </c>
      <c r="G22" s="338" t="str">
        <f>IF(A22=FALSE,"",IF(NAMES!$D$10=FALSE,IF(Detail!P22="","",Detail!P22),IF(Crewlist!E22="","",Crewlist!E22)))</f>
        <v/>
      </c>
      <c r="H22" s="338" t="str">
        <f>IF(A22=FALSE,"",IF(NAMES!$D$10=FALSE,IF(Detail!K22="","",Detail!K22),IF(Crewlist!F22="","",Crewlist!F22)))</f>
        <v/>
      </c>
      <c r="I22" s="1345">
        <f>IF(Crewlist!T22="","",Crewlist!T22)</f>
        <v>42566</v>
      </c>
      <c r="J22" s="1345">
        <f>IF(Crewlist!D22="","",IF(Crewlist!U22="",Crewlist!Y22,IF(DATERENOUVMOINS730&lt;&gt;Crewlist!U22&lt;&gt;Crewlist!Y22,Crewlist!U22,DATERENOUVMOINS365)))</f>
        <v>42675</v>
      </c>
      <c r="K22" s="1346">
        <f>IF(Detail!X22="","",Detail!X22)</f>
        <v>42566</v>
      </c>
      <c r="L22" s="1346">
        <f>IF(Detail!H22="","",IF(Detail!Y22="",DATERENOUV,IF(Detail!Y22&gt;Detail!D22,Detail!D22,Detail!Y22)))</f>
        <v>42675</v>
      </c>
      <c r="M22" s="829" t="str">
        <f>IF(A22=FALSE,"",IF(NAMES!$D$10=FALSE,IF(B22=B23,IF(N22=N23,0,(DATEDIF(K22,L22,"M")+1)),(DATEDIF(K22,L22,"M")+1)),IF(B22=B23,IF(N22=N23,0,(DATEDIF(I22,J22,"M")+1)),(DATEDIF(I22,J22,"M")+1))))</f>
        <v/>
      </c>
      <c r="N22" s="829" t="str">
        <f t="shared" si="5"/>
        <v>juillet</v>
      </c>
      <c r="O22" s="340" t="str">
        <f>IF(A22=FALSE,"",IF(NAMES!$D$10=FALSE,IF((DATEDIF(K22,L22,"D")+1)&lt;365,(DATEDIF(K22,L22,"D")+1),365),IF((DATEDIF(I22,J22,"D")+1)&lt;365,(DATEDIF(I22,J22,"D")+1),365)))</f>
        <v/>
      </c>
      <c r="P22" s="340" t="str">
        <f>IF(A22=FALSE,"",IF(NAMES!$D$10=FALSE,IF(L22="",365,DATEDIF(K22,L22,"D")+1),IF(L22="",365,DATEDIF(I22,J22,"D")+1)))</f>
        <v/>
      </c>
      <c r="Q22" s="787" t="str">
        <f>Calcul!X22</f>
        <v/>
      </c>
      <c r="R22" s="787" t="str">
        <f>Calcul!Y22</f>
        <v/>
      </c>
      <c r="S22" s="811" t="str">
        <f>Calcul!AG22</f>
        <v/>
      </c>
      <c r="T22" s="350" t="str">
        <f>IF(A22=FALSE,"",IF(NAMES!$D$10=FALSE,IF(Detail!S22="","",Detail!S22),IF(Crewlist!V22="","",Crewlist!V22)))</f>
        <v/>
      </c>
      <c r="U22" s="242" t="str">
        <f>Calcul!AI22</f>
        <v/>
      </c>
      <c r="V22" s="242" t="str">
        <f>Calcul!AL22</f>
        <v/>
      </c>
      <c r="W22" s="242" t="str">
        <f>Calcul!AM22</f>
        <v/>
      </c>
      <c r="X22" s="335" t="str">
        <f>Calcul!AN22</f>
        <v/>
      </c>
      <c r="Y22" s="242" t="str">
        <f>Calcul!AO22</f>
        <v/>
      </c>
      <c r="Z22" s="242" t="str">
        <f>Calcul!AP22</f>
        <v/>
      </c>
      <c r="AA22" s="335" t="str">
        <f>Calcul!AQ22</f>
        <v/>
      </c>
      <c r="AB22" s="335" t="str">
        <f>IF(C22=FALSE,"",Calcul!BE22+Calcul!BF22)</f>
        <v/>
      </c>
      <c r="AC22" s="989" t="str">
        <f>IF(C22=FALSE,"",(Calcul!BG22+Calcul!BH22)+SUM(Calcul!BI22:BN22))</f>
        <v/>
      </c>
      <c r="AD22" s="989" t="str">
        <f>Calcul!BP22</f>
        <v/>
      </c>
      <c r="AE22" s="1325" t="s">
        <v>2866</v>
      </c>
      <c r="AF22" s="1096" t="s">
        <v>2254</v>
      </c>
      <c r="AG22" s="318" t="str">
        <f>IF(A22=FALSE,"",YEAR(Detail!F22)&amp;Detail!AG22&amp;Detail!AD22&amp;"-"&amp;Detail!AE22)</f>
        <v/>
      </c>
      <c r="AH22" s="1134" t="s">
        <v>3015</v>
      </c>
      <c r="AI22" s="1453">
        <v>0.1</v>
      </c>
      <c r="AJ22" s="1135">
        <f t="shared" si="6"/>
        <v>0.1</v>
      </c>
      <c r="AK22" s="1077">
        <f t="shared" si="7"/>
        <v>0</v>
      </c>
      <c r="AL22" s="1077">
        <f t="shared" si="8"/>
        <v>0</v>
      </c>
      <c r="AM22" s="1135" t="s">
        <v>2316</v>
      </c>
      <c r="AN22" s="1394">
        <v>24</v>
      </c>
      <c r="AO22" s="436">
        <v>0</v>
      </c>
      <c r="AP22" s="1077">
        <v>1</v>
      </c>
      <c r="AQ22" s="1077">
        <v>0</v>
      </c>
      <c r="AS22" s="1127"/>
      <c r="AT22" s="1132" t="s">
        <v>2140</v>
      </c>
      <c r="AU22" s="1136" t="s">
        <v>2255</v>
      </c>
      <c r="AV22" s="1136" t="str">
        <f>IF(A22=FALSE,"",IF(Detail!AT22="","N/A",YEAR(Detail!F22)&amp;Detail!AW22&amp;Detail!AT22&amp;"-"&amp;Detail!AU22&amp;" (100%/"&amp;Detail!CD22&amp;"/"&amp;Detail!CE22&amp;")"))</f>
        <v/>
      </c>
      <c r="AW22" s="1136" t="s">
        <v>3017</v>
      </c>
      <c r="AX22" s="1320" t="str">
        <f>Calcul!DB22</f>
        <v/>
      </c>
      <c r="AY22" s="1298" t="str">
        <f>IF(A22=FALSE,"",51000+(Detail!AA22*7000))</f>
        <v/>
      </c>
      <c r="AZ22" s="1170">
        <v>50000</v>
      </c>
      <c r="BA22" s="243">
        <v>3</v>
      </c>
      <c r="BB22" s="1135">
        <v>0</v>
      </c>
      <c r="BC22" s="1298" t="str">
        <f>IF(A22=FALSE,"",51000+(Detail!AA22*7000))</f>
        <v/>
      </c>
      <c r="BD22" s="1298">
        <f t="shared" si="13"/>
        <v>50000</v>
      </c>
      <c r="BE22" s="1299">
        <f t="shared" si="14"/>
        <v>3</v>
      </c>
      <c r="BF22" s="1284">
        <f t="shared" si="15"/>
        <v>0</v>
      </c>
      <c r="BG22" s="397" t="str">
        <f t="shared" si="9"/>
        <v/>
      </c>
      <c r="BH22" s="1138">
        <v>50000</v>
      </c>
      <c r="BI22" s="243">
        <v>3</v>
      </c>
      <c r="BJ22" s="1077">
        <v>0</v>
      </c>
      <c r="BK22" s="397" t="str">
        <f t="shared" si="10"/>
        <v/>
      </c>
      <c r="BL22" s="1138">
        <v>50000</v>
      </c>
      <c r="BM22" s="243">
        <v>3</v>
      </c>
      <c r="BN22" s="1077">
        <v>0</v>
      </c>
      <c r="BO22" s="826">
        <v>7</v>
      </c>
      <c r="BP22" s="1075">
        <v>365</v>
      </c>
      <c r="BQ22" s="244">
        <v>1</v>
      </c>
      <c r="BR22" s="1077">
        <v>0</v>
      </c>
      <c r="BS22" s="826">
        <f t="shared" si="11"/>
        <v>7</v>
      </c>
      <c r="BT22" s="1075">
        <f t="shared" si="12"/>
        <v>365</v>
      </c>
      <c r="BU22" s="253">
        <v>1</v>
      </c>
      <c r="BV22" s="1077">
        <v>0</v>
      </c>
      <c r="BW22" s="1135" t="s">
        <v>2224</v>
      </c>
      <c r="BX22" s="257">
        <v>0</v>
      </c>
      <c r="BY22" s="436">
        <v>0</v>
      </c>
      <c r="BZ22" s="1077">
        <v>1</v>
      </c>
      <c r="CA22" s="1077">
        <v>0</v>
      </c>
      <c r="CB22" s="1296"/>
      <c r="CD22" s="1136" t="str">
        <f>IF(A22=FALSE,"",Calcul!NZ22)</f>
        <v/>
      </c>
      <c r="CE22" s="1136" t="s">
        <v>2224</v>
      </c>
      <c r="CF22" s="1132" t="s">
        <v>2138</v>
      </c>
      <c r="CG22" s="1136" t="s">
        <v>2254</v>
      </c>
      <c r="CH22" s="1135" t="s">
        <v>2224</v>
      </c>
      <c r="CI22" s="257">
        <v>0</v>
      </c>
      <c r="CJ22" s="436">
        <v>0</v>
      </c>
      <c r="CK22" s="1135">
        <v>1</v>
      </c>
      <c r="CL22" s="1135">
        <v>0</v>
      </c>
      <c r="CM22" s="1170">
        <v>100000</v>
      </c>
      <c r="CN22" s="243">
        <v>2</v>
      </c>
      <c r="CO22" s="1077">
        <v>0</v>
      </c>
      <c r="CP22" s="1298">
        <f t="shared" si="16"/>
        <v>100000</v>
      </c>
      <c r="CQ22" s="243">
        <v>2</v>
      </c>
      <c r="CR22" s="1077">
        <v>0</v>
      </c>
    </row>
    <row r="23" spans="1:96" s="1107" customFormat="1" ht="30" customHeight="1" outlineLevel="1">
      <c r="A23" s="396" t="b">
        <f>Calcul!A23</f>
        <v>0</v>
      </c>
      <c r="B23" s="438" t="str">
        <f t="shared" si="4"/>
        <v/>
      </c>
      <c r="C23" s="1132" t="b">
        <v>0</v>
      </c>
      <c r="D23" s="1133" t="s">
        <v>2293</v>
      </c>
      <c r="E23" s="1075" t="s">
        <v>2139</v>
      </c>
      <c r="F23" s="338" t="str">
        <f>IF(A23=FALSE,"",IF(NAMES!$D$10=FALSE,IF(Detail!H23="","",Detail!H23),IF(Crewlist!D23="","",Crewlist!D23)))</f>
        <v/>
      </c>
      <c r="G23" s="338" t="str">
        <f>IF(A23=FALSE,"",IF(NAMES!$D$10=FALSE,IF(Detail!P23="","",Detail!P23),IF(Crewlist!E23="","",Crewlist!E23)))</f>
        <v/>
      </c>
      <c r="H23" s="338" t="str">
        <f>IF(A23=FALSE,"",IF(NAMES!$D$10=FALSE,IF(Detail!K23="","",Detail!K23),IF(Crewlist!F23="","",Crewlist!F23)))</f>
        <v/>
      </c>
      <c r="I23" s="1345">
        <f>IF(Crewlist!T23="","",Crewlist!T23)</f>
        <v>42566</v>
      </c>
      <c r="J23" s="1345">
        <f>IF(Crewlist!D23="","",IF(Crewlist!U23="",Crewlist!Y23,IF(DATERENOUVMOINS730&lt;&gt;Crewlist!U23&lt;&gt;Crewlist!Y23,Crewlist!U23,DATERENOUVMOINS365)))</f>
        <v>42674</v>
      </c>
      <c r="K23" s="1346">
        <f>IF(Detail!X23="","",Detail!X23)</f>
        <v>42566</v>
      </c>
      <c r="L23" s="1346">
        <f>IF(Detail!H23="","",IF(Detail!Y23="",DATERENOUV,IF(Detail!Y23&gt;Detail!D23,Detail!D23,Detail!Y23)))</f>
        <v>42674</v>
      </c>
      <c r="M23" s="1452">
        <v>3</v>
      </c>
      <c r="N23" s="829" t="str">
        <f t="shared" si="5"/>
        <v>juillet</v>
      </c>
      <c r="O23" s="340" t="str">
        <f>IF(A23=FALSE,"",IF(NAMES!$D$10=FALSE,IF((DATEDIF(K23,L23,"D")+1)&lt;365,(DATEDIF(K23,L23,"D")+1),365),IF((DATEDIF(I23,J23,"D")+1)&lt;365,(DATEDIF(I23,J23,"D")+1),365)))</f>
        <v/>
      </c>
      <c r="P23" s="340" t="str">
        <f>IF(A23=FALSE,"",IF(NAMES!$D$10=FALSE,IF(L23="",365,DATEDIF(K23,L23,"D")+1),IF(L23="",365,DATEDIF(I23,J23,"D")+1)))</f>
        <v/>
      </c>
      <c r="Q23" s="787" t="str">
        <f>Calcul!X23</f>
        <v/>
      </c>
      <c r="R23" s="787" t="str">
        <f>Calcul!Y23</f>
        <v/>
      </c>
      <c r="S23" s="811" t="str">
        <f>Calcul!AG23</f>
        <v/>
      </c>
      <c r="T23" s="350" t="str">
        <f>IF(A23=FALSE,"",IF(NAMES!$D$10=FALSE,IF(Detail!S23="","",Detail!S23),IF(Crewlist!V23="","",Crewlist!V23)))</f>
        <v/>
      </c>
      <c r="U23" s="242" t="str">
        <f>Calcul!AI23</f>
        <v/>
      </c>
      <c r="V23" s="242" t="str">
        <f>Calcul!AL23</f>
        <v/>
      </c>
      <c r="W23" s="242" t="str">
        <f>Calcul!AM23</f>
        <v/>
      </c>
      <c r="X23" s="335" t="str">
        <f>Calcul!AN23</f>
        <v/>
      </c>
      <c r="Y23" s="242" t="str">
        <f>Calcul!AO23</f>
        <v/>
      </c>
      <c r="Z23" s="242" t="str">
        <f>Calcul!AP23</f>
        <v/>
      </c>
      <c r="AA23" s="335" t="str">
        <f>Calcul!AQ23</f>
        <v/>
      </c>
      <c r="AB23" s="335" t="str">
        <f>IF(C23=FALSE,"",Calcul!BE23+Calcul!BF23)</f>
        <v/>
      </c>
      <c r="AC23" s="989" t="str">
        <f>IF(C23=FALSE,"",(Calcul!BG23+Calcul!BH23)+SUM(Calcul!BI23:BN23))</f>
        <v/>
      </c>
      <c r="AD23" s="989" t="str">
        <f>Calcul!BP23</f>
        <v/>
      </c>
      <c r="AE23" s="1325" t="s">
        <v>2866</v>
      </c>
      <c r="AF23" s="1096" t="s">
        <v>2254</v>
      </c>
      <c r="AG23" s="318" t="str">
        <f>IF(A23=FALSE,"",YEAR(Detail!F23)&amp;Detail!AG23&amp;Detail!AD23&amp;"-"&amp;Detail!AE23)</f>
        <v/>
      </c>
      <c r="AH23" s="1134" t="s">
        <v>3015</v>
      </c>
      <c r="AI23" s="1453">
        <v>0.1</v>
      </c>
      <c r="AJ23" s="1135">
        <f t="shared" si="6"/>
        <v>0.1</v>
      </c>
      <c r="AK23" s="1077">
        <f t="shared" si="7"/>
        <v>0</v>
      </c>
      <c r="AL23" s="1077">
        <f t="shared" si="8"/>
        <v>0</v>
      </c>
      <c r="AM23" s="1135" t="s">
        <v>2316</v>
      </c>
      <c r="AN23" s="1394">
        <v>24</v>
      </c>
      <c r="AO23" s="436">
        <v>0</v>
      </c>
      <c r="AP23" s="1077">
        <v>1</v>
      </c>
      <c r="AQ23" s="1077">
        <v>0</v>
      </c>
      <c r="AS23" s="1127"/>
      <c r="AT23" s="1132" t="s">
        <v>2140</v>
      </c>
      <c r="AU23" s="1136" t="s">
        <v>2255</v>
      </c>
      <c r="AV23" s="1136" t="str">
        <f>IF(A23=FALSE,"",IF(Detail!AT23="","N/A",YEAR(Detail!F23)&amp;Detail!AW23&amp;Detail!AT23&amp;"-"&amp;Detail!AU23&amp;" (100%/"&amp;Detail!CD23&amp;"/"&amp;Detail!CE23&amp;")"))</f>
        <v/>
      </c>
      <c r="AW23" s="1136" t="s">
        <v>3017</v>
      </c>
      <c r="AX23" s="1320" t="str">
        <f>Calcul!DB23</f>
        <v/>
      </c>
      <c r="AY23" s="1298" t="str">
        <f>IF(A23=FALSE,"",51000+(Detail!AA23*7000))</f>
        <v/>
      </c>
      <c r="AZ23" s="1170">
        <v>50000</v>
      </c>
      <c r="BA23" s="243">
        <v>3</v>
      </c>
      <c r="BB23" s="1135">
        <v>0</v>
      </c>
      <c r="BC23" s="1298" t="str">
        <f>IF(A23=FALSE,"",51000+(Detail!AA23*7000))</f>
        <v/>
      </c>
      <c r="BD23" s="1298">
        <f t="shared" si="13"/>
        <v>50000</v>
      </c>
      <c r="BE23" s="1299">
        <f t="shared" si="14"/>
        <v>3</v>
      </c>
      <c r="BF23" s="1284">
        <f t="shared" si="15"/>
        <v>0</v>
      </c>
      <c r="BG23" s="397" t="str">
        <f t="shared" si="9"/>
        <v/>
      </c>
      <c r="BH23" s="1138">
        <v>50000</v>
      </c>
      <c r="BI23" s="243">
        <v>3</v>
      </c>
      <c r="BJ23" s="1077">
        <v>0</v>
      </c>
      <c r="BK23" s="397" t="str">
        <f t="shared" si="10"/>
        <v/>
      </c>
      <c r="BL23" s="1138">
        <v>50000</v>
      </c>
      <c r="BM23" s="243">
        <v>3</v>
      </c>
      <c r="BN23" s="1077">
        <v>0</v>
      </c>
      <c r="BO23" s="826">
        <v>7</v>
      </c>
      <c r="BP23" s="1075">
        <v>365</v>
      </c>
      <c r="BQ23" s="244">
        <v>1</v>
      </c>
      <c r="BR23" s="1077">
        <v>0</v>
      </c>
      <c r="BS23" s="826">
        <f t="shared" si="11"/>
        <v>7</v>
      </c>
      <c r="BT23" s="1075">
        <f t="shared" si="12"/>
        <v>365</v>
      </c>
      <c r="BU23" s="253">
        <v>1</v>
      </c>
      <c r="BV23" s="1077">
        <v>0</v>
      </c>
      <c r="BW23" s="1135" t="s">
        <v>2224</v>
      </c>
      <c r="BX23" s="257">
        <v>0</v>
      </c>
      <c r="BY23" s="436">
        <v>0</v>
      </c>
      <c r="BZ23" s="1077">
        <v>1</v>
      </c>
      <c r="CA23" s="1077">
        <v>0</v>
      </c>
      <c r="CB23" s="1296"/>
      <c r="CD23" s="1136" t="str">
        <f>IF(A23=FALSE,"",Calcul!NZ23)</f>
        <v/>
      </c>
      <c r="CE23" s="1136" t="s">
        <v>2224</v>
      </c>
      <c r="CF23" s="1132" t="s">
        <v>2138</v>
      </c>
      <c r="CG23" s="1136" t="s">
        <v>2254</v>
      </c>
      <c r="CH23" s="1135" t="s">
        <v>2224</v>
      </c>
      <c r="CI23" s="257">
        <v>0</v>
      </c>
      <c r="CJ23" s="436">
        <v>0</v>
      </c>
      <c r="CK23" s="1135">
        <v>1</v>
      </c>
      <c r="CL23" s="1135">
        <v>0</v>
      </c>
      <c r="CM23" s="1170">
        <v>100000</v>
      </c>
      <c r="CN23" s="243">
        <v>2</v>
      </c>
      <c r="CO23" s="1077">
        <v>0</v>
      </c>
      <c r="CP23" s="1298">
        <f t="shared" si="16"/>
        <v>100000</v>
      </c>
      <c r="CQ23" s="243">
        <v>2</v>
      </c>
      <c r="CR23" s="1077">
        <v>0</v>
      </c>
    </row>
    <row r="24" spans="1:96" s="1107" customFormat="1" ht="30" customHeight="1" outlineLevel="1">
      <c r="A24" s="396" t="b">
        <f>Calcul!A24</f>
        <v>0</v>
      </c>
      <c r="B24" s="438" t="str">
        <f t="shared" si="4"/>
        <v/>
      </c>
      <c r="C24" s="1132" t="b">
        <v>0</v>
      </c>
      <c r="D24" s="1133" t="s">
        <v>2293</v>
      </c>
      <c r="E24" s="1075" t="s">
        <v>2139</v>
      </c>
      <c r="F24" s="338" t="str">
        <f>IF(A24=FALSE,"",IF(NAMES!$D$10=FALSE,IF(Detail!H24="","",Detail!H24),IF(Crewlist!D24="","",Crewlist!D24)))</f>
        <v/>
      </c>
      <c r="G24" s="338" t="str">
        <f>IF(A24=FALSE,"",IF(NAMES!$D$10=FALSE,IF(Detail!P24="","",Detail!P24),IF(Crewlist!E24="","",Crewlist!E24)))</f>
        <v/>
      </c>
      <c r="H24" s="338" t="str">
        <f>IF(A24=FALSE,"",IF(NAMES!$D$10=FALSE,IF(Detail!K24="","",Detail!K24),IF(Crewlist!F24="","",Crewlist!F24)))</f>
        <v/>
      </c>
      <c r="I24" s="1345">
        <f>IF(Crewlist!T24="","",Crewlist!T24)</f>
        <v>42675</v>
      </c>
      <c r="J24" s="1345">
        <f>IF(Crewlist!D24="","",IF(Crewlist!U24="",Crewlist!Y24,IF(DATERENOUVMOINS730&lt;&gt;Crewlist!U24&lt;&gt;Crewlist!Y24,Crewlist!U24,DATERENOUVMOINS365)))</f>
        <v>42749</v>
      </c>
      <c r="K24" s="1346">
        <f>IF(Detail!X24="","",Detail!X24)</f>
        <v>42675</v>
      </c>
      <c r="L24" s="1346">
        <f>IF(Detail!H24="","",IF(Detail!Y24="",DATERENOUV,IF(Detail!Y24&gt;Detail!D24,Detail!D24,Detail!Y24)))</f>
        <v>42749</v>
      </c>
      <c r="M24" s="829" t="str">
        <f>IF(A24=FALSE,"",IF(NAMES!$D$10=FALSE,IF(B24=B25,IF(N24=N25,0,(DATEDIF(K24,L24,"M")+1)),(DATEDIF(K24,L24,"M")+1)),IF(B24=B25,IF(N24=N25,0,(DATEDIF(I24,J24,"M")+1)),(DATEDIF(I24,J24,"M")+1))))</f>
        <v/>
      </c>
      <c r="N24" s="829" t="str">
        <f t="shared" si="5"/>
        <v>novembre</v>
      </c>
      <c r="O24" s="340" t="str">
        <f>IF(A24=FALSE,"",IF(NAMES!$D$10=FALSE,IF((DATEDIF(K24,L24,"D")+1)&lt;365,(DATEDIF(K24,L24,"D")+1),365),IF((DATEDIF(I24,J24,"D")+1)&lt;365,(DATEDIF(I24,J24,"D")+1),365)))</f>
        <v/>
      </c>
      <c r="P24" s="340" t="str">
        <f>IF(A24=FALSE,"",IF(NAMES!$D$10=FALSE,IF(L24="",365,DATEDIF(K24,L24,"D")+1),IF(L24="",365,DATEDIF(I24,J24,"D")+1)))</f>
        <v/>
      </c>
      <c r="Q24" s="787" t="str">
        <f>Calcul!X24</f>
        <v/>
      </c>
      <c r="R24" s="787" t="str">
        <f>Calcul!Y24</f>
        <v/>
      </c>
      <c r="S24" s="811" t="str">
        <f>Calcul!AG24</f>
        <v/>
      </c>
      <c r="T24" s="350" t="str">
        <f>IF(A24=FALSE,"",IF(NAMES!$D$10=FALSE,IF(Detail!S24="","",Detail!S24),IF(Crewlist!V24="","",Crewlist!V24)))</f>
        <v/>
      </c>
      <c r="U24" s="242" t="str">
        <f>Calcul!AI24</f>
        <v/>
      </c>
      <c r="V24" s="242" t="str">
        <f>Calcul!AL24</f>
        <v/>
      </c>
      <c r="W24" s="242" t="str">
        <f>Calcul!AM24</f>
        <v/>
      </c>
      <c r="X24" s="335" t="str">
        <f>Calcul!AN24</f>
        <v/>
      </c>
      <c r="Y24" s="242" t="str">
        <f>Calcul!AO24</f>
        <v/>
      </c>
      <c r="Z24" s="242" t="str">
        <f>Calcul!AP24</f>
        <v/>
      </c>
      <c r="AA24" s="335" t="str">
        <f>Calcul!AQ24</f>
        <v/>
      </c>
      <c r="AB24" s="335" t="str">
        <f>IF(C24=FALSE,"",Calcul!BE24+Calcul!BF24)</f>
        <v/>
      </c>
      <c r="AC24" s="989" t="str">
        <f>IF(C24=FALSE,"",(Calcul!BG24+Calcul!BH24)+SUM(Calcul!BI24:BN24))</f>
        <v/>
      </c>
      <c r="AD24" s="989" t="str">
        <f>Calcul!BP24</f>
        <v/>
      </c>
      <c r="AE24" s="1325" t="s">
        <v>2866</v>
      </c>
      <c r="AF24" s="1096" t="s">
        <v>2254</v>
      </c>
      <c r="AG24" s="318" t="str">
        <f>IF(A24=FALSE,"",YEAR(Detail!F24)&amp;Detail!AG24&amp;Detail!AD24&amp;"-"&amp;Detail!AE24)</f>
        <v/>
      </c>
      <c r="AH24" s="1134" t="s">
        <v>3015</v>
      </c>
      <c r="AI24" s="1453">
        <v>0.1</v>
      </c>
      <c r="AJ24" s="1135">
        <f t="shared" si="6"/>
        <v>0.1</v>
      </c>
      <c r="AK24" s="1077">
        <f t="shared" si="7"/>
        <v>0</v>
      </c>
      <c r="AL24" s="1077">
        <f t="shared" si="8"/>
        <v>0</v>
      </c>
      <c r="AM24" s="1135" t="s">
        <v>2316</v>
      </c>
      <c r="AN24" s="1394">
        <v>24</v>
      </c>
      <c r="AO24" s="436">
        <v>0</v>
      </c>
      <c r="AP24" s="1077">
        <v>1</v>
      </c>
      <c r="AQ24" s="1077">
        <v>0</v>
      </c>
      <c r="AS24" s="1127"/>
      <c r="AT24" s="1132" t="s">
        <v>2140</v>
      </c>
      <c r="AU24" s="1136" t="s">
        <v>2255</v>
      </c>
      <c r="AV24" s="1136" t="str">
        <f>IF(A24=FALSE,"",IF(Detail!AT24="","N/A",YEAR(Detail!F24)&amp;Detail!AW24&amp;Detail!AT24&amp;"-"&amp;Detail!AU24&amp;" (100%/"&amp;Detail!CD24&amp;"/"&amp;Detail!CE24&amp;")"))</f>
        <v/>
      </c>
      <c r="AW24" s="1136" t="s">
        <v>3017</v>
      </c>
      <c r="AX24" s="1320" t="str">
        <f>Calcul!DB24</f>
        <v/>
      </c>
      <c r="AY24" s="1298" t="str">
        <f>IF(A24=FALSE,"",51000+(Detail!AA24*7000))</f>
        <v/>
      </c>
      <c r="AZ24" s="1170">
        <v>50000</v>
      </c>
      <c r="BA24" s="243">
        <v>3</v>
      </c>
      <c r="BB24" s="1135">
        <v>0</v>
      </c>
      <c r="BC24" s="1298" t="str">
        <f>IF(A24=FALSE,"",51000+(Detail!AA24*7000))</f>
        <v/>
      </c>
      <c r="BD24" s="1298">
        <f t="shared" si="13"/>
        <v>50000</v>
      </c>
      <c r="BE24" s="1299">
        <f t="shared" si="14"/>
        <v>3</v>
      </c>
      <c r="BF24" s="1284">
        <f t="shared" si="15"/>
        <v>0</v>
      </c>
      <c r="BG24" s="397" t="str">
        <f t="shared" si="9"/>
        <v/>
      </c>
      <c r="BH24" s="1138">
        <v>50000</v>
      </c>
      <c r="BI24" s="243">
        <v>3</v>
      </c>
      <c r="BJ24" s="1077">
        <v>0</v>
      </c>
      <c r="BK24" s="397" t="str">
        <f t="shared" si="10"/>
        <v/>
      </c>
      <c r="BL24" s="1138">
        <v>50000</v>
      </c>
      <c r="BM24" s="243">
        <v>3</v>
      </c>
      <c r="BN24" s="1077">
        <v>0</v>
      </c>
      <c r="BO24" s="826">
        <v>7</v>
      </c>
      <c r="BP24" s="1075">
        <v>365</v>
      </c>
      <c r="BQ24" s="244">
        <v>1</v>
      </c>
      <c r="BR24" s="1077">
        <v>0</v>
      </c>
      <c r="BS24" s="826">
        <f t="shared" si="11"/>
        <v>7</v>
      </c>
      <c r="BT24" s="1075">
        <f t="shared" si="12"/>
        <v>365</v>
      </c>
      <c r="BU24" s="253">
        <v>1</v>
      </c>
      <c r="BV24" s="1077">
        <v>0</v>
      </c>
      <c r="BW24" s="1135" t="s">
        <v>2224</v>
      </c>
      <c r="BX24" s="257">
        <v>0</v>
      </c>
      <c r="BY24" s="436">
        <v>0</v>
      </c>
      <c r="BZ24" s="1077">
        <v>1</v>
      </c>
      <c r="CA24" s="1077">
        <v>0</v>
      </c>
      <c r="CB24" s="1296"/>
      <c r="CD24" s="1136" t="str">
        <f>IF(A24=FALSE,"",Calcul!NZ24)</f>
        <v/>
      </c>
      <c r="CE24" s="1136" t="s">
        <v>2224</v>
      </c>
      <c r="CF24" s="1132" t="s">
        <v>2138</v>
      </c>
      <c r="CG24" s="1136" t="s">
        <v>2254</v>
      </c>
      <c r="CH24" s="1135" t="s">
        <v>2224</v>
      </c>
      <c r="CI24" s="257">
        <v>0</v>
      </c>
      <c r="CJ24" s="436">
        <v>0</v>
      </c>
      <c r="CK24" s="1135">
        <v>1</v>
      </c>
      <c r="CL24" s="1135">
        <v>0</v>
      </c>
      <c r="CM24" s="1170">
        <v>100000</v>
      </c>
      <c r="CN24" s="243">
        <v>2</v>
      </c>
      <c r="CO24" s="1077">
        <v>0</v>
      </c>
      <c r="CP24" s="1298">
        <f t="shared" si="16"/>
        <v>100000</v>
      </c>
      <c r="CQ24" s="243">
        <v>2</v>
      </c>
      <c r="CR24" s="1077">
        <v>0</v>
      </c>
    </row>
    <row r="25" spans="1:96" s="1127" customFormat="1" ht="30" customHeight="1" outlineLevel="1">
      <c r="A25" s="396" t="b">
        <f>Calcul!A25</f>
        <v>0</v>
      </c>
      <c r="B25" s="438" t="str">
        <f t="shared" si="4"/>
        <v/>
      </c>
      <c r="C25" s="1132" t="b">
        <v>0</v>
      </c>
      <c r="D25" s="1133" t="s">
        <v>2293</v>
      </c>
      <c r="E25" s="1075" t="s">
        <v>2139</v>
      </c>
      <c r="F25" s="338" t="str">
        <f>IF(A25=FALSE,"",IF(NAMES!$D$10=FALSE,IF(Detail!H25="","",Detail!H25),IF(Crewlist!D25="","",Crewlist!D25)))</f>
        <v/>
      </c>
      <c r="G25" s="338" t="str">
        <f>IF(A25=FALSE,"",IF(NAMES!$D$10=FALSE,IF(Detail!P25="","",Detail!P25),IF(Crewlist!E25="","",Crewlist!E25)))</f>
        <v/>
      </c>
      <c r="H25" s="338" t="str">
        <f>IF(A25=FALSE,"",IF(NAMES!$D$10=FALSE,IF(Detail!K25="","",Detail!K25),IF(Crewlist!F25="","",Crewlist!F25)))</f>
        <v/>
      </c>
      <c r="I25" s="1345">
        <f>IF(Crewlist!T25="","",Crewlist!T25)</f>
        <v>42566</v>
      </c>
      <c r="J25" s="1345">
        <f>IF(Crewlist!D25="","",IF(Crewlist!U25="",Crewlist!Y25,IF(DATERENOUVMOINS730&lt;&gt;Crewlist!U25&lt;&gt;Crewlist!Y25,Crewlist!U25,DATERENOUVMOINS365)))</f>
        <v>42675</v>
      </c>
      <c r="K25" s="1346">
        <f>IF(Detail!X25="","",Detail!X25)</f>
        <v>42566</v>
      </c>
      <c r="L25" s="1346">
        <f>IF(Detail!H25="","",IF(Detail!Y25="",DATERENOUV,IF(Detail!Y25&gt;Detail!D25,Detail!D25,Detail!Y25)))</f>
        <v>42675</v>
      </c>
      <c r="M25" s="829" t="str">
        <f>IF(A25=FALSE,"",IF(NAMES!$D$10=FALSE,IF(B25=B26,IF(N25=N26,0,(DATEDIF(K25,L25,"M")+1)),(DATEDIF(K25,L25,"M")+1)),IF(B25=B26,IF(N25=N26,0,(DATEDIF(I25,J25,"M")+1)),(DATEDIF(I25,J25,"M")+1))))</f>
        <v/>
      </c>
      <c r="N25" s="829" t="str">
        <f t="shared" si="5"/>
        <v>juillet</v>
      </c>
      <c r="O25" s="340" t="str">
        <f>IF(A25=FALSE,"",IF(NAMES!$D$10=FALSE,IF((DATEDIF(K25,L25,"D")+1)&lt;365,(DATEDIF(K25,L25,"D")+1),365),IF((DATEDIF(I25,J25,"D")+1)&lt;365,(DATEDIF(I25,J25,"D")+1),365)))</f>
        <v/>
      </c>
      <c r="P25" s="340" t="str">
        <f>IF(A25=FALSE,"",IF(NAMES!$D$10=FALSE,IF(L25="",365,DATEDIF(K25,L25,"D")+1),IF(L25="",365,DATEDIF(I25,J25,"D")+1)))</f>
        <v/>
      </c>
      <c r="Q25" s="787" t="str">
        <f>Calcul!X25</f>
        <v/>
      </c>
      <c r="R25" s="787" t="str">
        <f>Calcul!Y25</f>
        <v/>
      </c>
      <c r="S25" s="811" t="str">
        <f>Calcul!AG25</f>
        <v/>
      </c>
      <c r="T25" s="350" t="str">
        <f>IF(A25=FALSE,"",IF(NAMES!$D$10=FALSE,IF(Detail!S25="","",Detail!S25),IF(Crewlist!V25="","",Crewlist!V25)))</f>
        <v/>
      </c>
      <c r="U25" s="242" t="str">
        <f>Calcul!AI25</f>
        <v/>
      </c>
      <c r="V25" s="242" t="str">
        <f>Calcul!AL25</f>
        <v/>
      </c>
      <c r="W25" s="242" t="str">
        <f>Calcul!AM25</f>
        <v/>
      </c>
      <c r="X25" s="335" t="str">
        <f>Calcul!AN25</f>
        <v/>
      </c>
      <c r="Y25" s="242" t="str">
        <f>Calcul!AO25</f>
        <v/>
      </c>
      <c r="Z25" s="242" t="str">
        <f>Calcul!AP25</f>
        <v/>
      </c>
      <c r="AA25" s="335" t="str">
        <f>Calcul!AQ25</f>
        <v/>
      </c>
      <c r="AB25" s="335" t="str">
        <f>IF(C25=FALSE,"",Calcul!BE25+Calcul!BF25)</f>
        <v/>
      </c>
      <c r="AC25" s="989" t="str">
        <f>IF(C25=FALSE,"",(Calcul!BG25+Calcul!BH25)+SUM(Calcul!BI25:BN25))</f>
        <v/>
      </c>
      <c r="AD25" s="989" t="str">
        <f>Calcul!BP25</f>
        <v/>
      </c>
      <c r="AE25" s="1325" t="s">
        <v>2866</v>
      </c>
      <c r="AF25" s="1134" t="s">
        <v>2254</v>
      </c>
      <c r="AG25" s="318" t="str">
        <f>IF(A25=FALSE,"",YEAR(Detail!F25)&amp;Detail!AG25&amp;Detail!AD25&amp;"-"&amp;Detail!AE25)</f>
        <v/>
      </c>
      <c r="AH25" s="1134" t="s">
        <v>3015</v>
      </c>
      <c r="AI25" s="1453">
        <v>0.1</v>
      </c>
      <c r="AJ25" s="1135">
        <f t="shared" si="6"/>
        <v>0.1</v>
      </c>
      <c r="AK25" s="1135">
        <f t="shared" si="7"/>
        <v>0</v>
      </c>
      <c r="AL25" s="1135">
        <f t="shared" si="8"/>
        <v>0</v>
      </c>
      <c r="AM25" s="1135" t="s">
        <v>2316</v>
      </c>
      <c r="AN25" s="1394">
        <v>24</v>
      </c>
      <c r="AO25" s="436">
        <v>0</v>
      </c>
      <c r="AP25" s="1135">
        <v>1</v>
      </c>
      <c r="AQ25" s="1135">
        <v>0</v>
      </c>
      <c r="AT25" s="1132" t="s">
        <v>2140</v>
      </c>
      <c r="AU25" s="1136" t="s">
        <v>2255</v>
      </c>
      <c r="AV25" s="1136" t="str">
        <f>IF(A25=FALSE,"",IF(Detail!AT25="","N/A",YEAR(Detail!F25)&amp;Detail!AW25&amp;Detail!AT25&amp;"-"&amp;Detail!AU25&amp;" (100%/"&amp;Detail!CD25&amp;"/"&amp;Detail!CE25&amp;")"))</f>
        <v/>
      </c>
      <c r="AW25" s="1136" t="s">
        <v>3017</v>
      </c>
      <c r="AX25" s="1320" t="str">
        <f>Calcul!DB25</f>
        <v/>
      </c>
      <c r="AY25" s="1170" t="str">
        <f>IF(A25=FALSE,"",51000+(Detail!AA25*7000))</f>
        <v/>
      </c>
      <c r="AZ25" s="1170">
        <v>50000</v>
      </c>
      <c r="BA25" s="243">
        <v>3</v>
      </c>
      <c r="BB25" s="1135">
        <v>0</v>
      </c>
      <c r="BC25" s="1170" t="str">
        <f>IF(A25=FALSE,"",51000+(Detail!AA25*7000))</f>
        <v/>
      </c>
      <c r="BD25" s="1170">
        <f t="shared" si="13"/>
        <v>50000</v>
      </c>
      <c r="BE25" s="243">
        <f t="shared" si="14"/>
        <v>3</v>
      </c>
      <c r="BF25" s="1135">
        <f t="shared" si="15"/>
        <v>0</v>
      </c>
      <c r="BG25" s="1170" t="str">
        <f t="shared" si="9"/>
        <v/>
      </c>
      <c r="BH25" s="1170">
        <v>50000</v>
      </c>
      <c r="BI25" s="243">
        <v>3</v>
      </c>
      <c r="BJ25" s="1135">
        <v>0</v>
      </c>
      <c r="BK25" s="1170" t="str">
        <f t="shared" si="10"/>
        <v/>
      </c>
      <c r="BL25" s="1170">
        <v>50000</v>
      </c>
      <c r="BM25" s="243">
        <v>3</v>
      </c>
      <c r="BN25" s="1135">
        <v>0</v>
      </c>
      <c r="BO25" s="1132">
        <v>7</v>
      </c>
      <c r="BP25" s="1075">
        <v>365</v>
      </c>
      <c r="BQ25" s="244">
        <v>1</v>
      </c>
      <c r="BR25" s="1135">
        <v>0</v>
      </c>
      <c r="BS25" s="1132">
        <f t="shared" si="11"/>
        <v>7</v>
      </c>
      <c r="BT25" s="1075">
        <f t="shared" si="12"/>
        <v>365</v>
      </c>
      <c r="BU25" s="253">
        <v>1</v>
      </c>
      <c r="BV25" s="1135">
        <v>0</v>
      </c>
      <c r="BW25" s="1135" t="s">
        <v>2224</v>
      </c>
      <c r="BX25" s="257">
        <v>0</v>
      </c>
      <c r="BY25" s="436">
        <v>0</v>
      </c>
      <c r="BZ25" s="1135">
        <v>1</v>
      </c>
      <c r="CA25" s="1135">
        <v>0</v>
      </c>
      <c r="CB25" s="1296"/>
      <c r="CD25" s="1136" t="str">
        <f>IF(A25=FALSE,"",Calcul!NZ25)</f>
        <v/>
      </c>
      <c r="CE25" s="1136" t="s">
        <v>2224</v>
      </c>
      <c r="CF25" s="1132" t="s">
        <v>2138</v>
      </c>
      <c r="CG25" s="1136" t="s">
        <v>2254</v>
      </c>
      <c r="CH25" s="1135" t="s">
        <v>2224</v>
      </c>
      <c r="CI25" s="257">
        <v>0</v>
      </c>
      <c r="CJ25" s="436">
        <v>0</v>
      </c>
      <c r="CK25" s="1135">
        <v>1</v>
      </c>
      <c r="CL25" s="1135">
        <v>0</v>
      </c>
      <c r="CM25" s="1170">
        <v>100000</v>
      </c>
      <c r="CN25" s="243">
        <v>2</v>
      </c>
      <c r="CO25" s="1135">
        <v>0</v>
      </c>
      <c r="CP25" s="1170">
        <f t="shared" si="16"/>
        <v>100000</v>
      </c>
      <c r="CQ25" s="243">
        <v>2</v>
      </c>
      <c r="CR25" s="1135">
        <v>0</v>
      </c>
    </row>
    <row r="26" spans="1:96" s="1127" customFormat="1" ht="30" customHeight="1" outlineLevel="1">
      <c r="A26" s="396" t="b">
        <f>Calcul!A26</f>
        <v>0</v>
      </c>
      <c r="B26" s="438" t="str">
        <f t="shared" si="4"/>
        <v/>
      </c>
      <c r="C26" s="1132" t="b">
        <v>0</v>
      </c>
      <c r="D26" s="1133" t="s">
        <v>2293</v>
      </c>
      <c r="E26" s="1075" t="s">
        <v>2139</v>
      </c>
      <c r="F26" s="338" t="str">
        <f>IF(A26=FALSE,"",IF(NAMES!$D$10=FALSE,IF(Detail!H26="","",Detail!H26),IF(Crewlist!D26="","",Crewlist!D26)))</f>
        <v/>
      </c>
      <c r="G26" s="338" t="str">
        <f>IF(A26=FALSE,"",IF(NAMES!$D$10=FALSE,IF(Detail!P26="","",Detail!P26),IF(Crewlist!E26="","",Crewlist!E26)))</f>
        <v/>
      </c>
      <c r="H26" s="338" t="str">
        <f>IF(A26=FALSE,"",IF(NAMES!$D$10=FALSE,IF(Detail!K26="","",Detail!K26),IF(Crewlist!F26="","",Crewlist!F26)))</f>
        <v/>
      </c>
      <c r="I26" s="1345">
        <f>IF(Crewlist!T26="","",Crewlist!T26)</f>
        <v>42675</v>
      </c>
      <c r="J26" s="1345">
        <f>IF(Crewlist!D26="","",IF(Crewlist!U26="",Crewlist!Y26,IF(DATERENOUVMOINS730&lt;&gt;Crewlist!U26&lt;&gt;Crewlist!Y26,Crewlist!U26,DATERENOUVMOINS365)))</f>
        <v>42749</v>
      </c>
      <c r="K26" s="1346">
        <f>IF(Detail!X26="","",Detail!X26)</f>
        <v>42675</v>
      </c>
      <c r="L26" s="1346">
        <f>IF(Detail!H26="","",IF(Detail!Y26="",DATERENOUV,IF(Detail!Y26&gt;Detail!D26,Detail!D26,Detail!Y26)))</f>
        <v>42749</v>
      </c>
      <c r="M26" s="829" t="str">
        <f>IF(A26=FALSE,"",IF(NAMES!$D$10=FALSE,IF(B26=B27,IF(N26=N27,0,(DATEDIF(K26,L26,"M")+1)),(DATEDIF(K26,L26,"M")+1)),IF(B26=B27,IF(N26=N27,0,(DATEDIF(I26,J26,"M")+1)),(DATEDIF(I26,J26,"M")+1))))</f>
        <v/>
      </c>
      <c r="N26" s="829" t="str">
        <f t="shared" si="5"/>
        <v>novembre</v>
      </c>
      <c r="O26" s="340" t="str">
        <f>IF(A26=FALSE,"",IF(NAMES!$D$10=FALSE,IF((DATEDIF(K26,L26,"D")+1)&lt;365,(DATEDIF(K26,L26,"D")+1),365),IF((DATEDIF(I26,J26,"D")+1)&lt;365,(DATEDIF(I26,J26,"D")+1),365)))</f>
        <v/>
      </c>
      <c r="P26" s="340" t="str">
        <f>IF(A26=FALSE,"",IF(NAMES!$D$10=FALSE,IF(L26="",365,DATEDIF(K26,L26,"D")+1),IF(L26="",365,DATEDIF(I26,J26,"D")+1)))</f>
        <v/>
      </c>
      <c r="Q26" s="787" t="str">
        <f>Calcul!X26</f>
        <v/>
      </c>
      <c r="R26" s="787" t="str">
        <f>Calcul!Y26</f>
        <v/>
      </c>
      <c r="S26" s="811" t="str">
        <f>Calcul!AG26</f>
        <v/>
      </c>
      <c r="T26" s="350" t="str">
        <f>IF(A26=FALSE,"",IF(NAMES!$D$10=FALSE,IF(Detail!S26="","",Detail!S26),IF(Crewlist!V26="","",Crewlist!V26)))</f>
        <v/>
      </c>
      <c r="U26" s="242" t="str">
        <f>Calcul!AI26</f>
        <v/>
      </c>
      <c r="V26" s="242" t="str">
        <f>Calcul!AL26</f>
        <v/>
      </c>
      <c r="W26" s="242" t="str">
        <f>Calcul!AM26</f>
        <v/>
      </c>
      <c r="X26" s="335" t="str">
        <f>Calcul!AN26</f>
        <v/>
      </c>
      <c r="Y26" s="242" t="str">
        <f>Calcul!AO26</f>
        <v/>
      </c>
      <c r="Z26" s="242" t="str">
        <f>Calcul!AP26</f>
        <v/>
      </c>
      <c r="AA26" s="335" t="str">
        <f>Calcul!AQ26</f>
        <v/>
      </c>
      <c r="AB26" s="335" t="str">
        <f>IF(C26=FALSE,"",Calcul!BE26+Calcul!BF26)</f>
        <v/>
      </c>
      <c r="AC26" s="989" t="str">
        <f>IF(C26=FALSE,"",(Calcul!BG26+Calcul!BH26)+SUM(Calcul!BI26:BN26))</f>
        <v/>
      </c>
      <c r="AD26" s="989" t="str">
        <f>Calcul!BP26</f>
        <v/>
      </c>
      <c r="AE26" s="1325" t="s">
        <v>2866</v>
      </c>
      <c r="AF26" s="1134" t="s">
        <v>2254</v>
      </c>
      <c r="AG26" s="318" t="str">
        <f>IF(A26=FALSE,"",YEAR(Detail!F26)&amp;Detail!AG26&amp;Detail!AD26&amp;"-"&amp;Detail!AE26)</f>
        <v/>
      </c>
      <c r="AH26" s="1134" t="s">
        <v>3015</v>
      </c>
      <c r="AI26" s="1453">
        <v>0.1</v>
      </c>
      <c r="AJ26" s="1135">
        <f t="shared" si="6"/>
        <v>0.1</v>
      </c>
      <c r="AK26" s="1135">
        <f t="shared" si="7"/>
        <v>0</v>
      </c>
      <c r="AL26" s="1135">
        <f t="shared" si="8"/>
        <v>0</v>
      </c>
      <c r="AM26" s="1135" t="s">
        <v>2316</v>
      </c>
      <c r="AN26" s="1394">
        <v>24</v>
      </c>
      <c r="AO26" s="436">
        <v>0</v>
      </c>
      <c r="AP26" s="1135">
        <v>1</v>
      </c>
      <c r="AQ26" s="1135">
        <v>0</v>
      </c>
      <c r="AT26" s="1132" t="s">
        <v>2140</v>
      </c>
      <c r="AU26" s="1136" t="s">
        <v>2255</v>
      </c>
      <c r="AV26" s="1136" t="str">
        <f>IF(A26=FALSE,"",IF(Detail!AT26="","N/A",YEAR(Detail!F26)&amp;Detail!AW26&amp;Detail!AT26&amp;"-"&amp;Detail!AU26&amp;" (100%/"&amp;Detail!CD26&amp;"/"&amp;Detail!CE26&amp;")"))</f>
        <v/>
      </c>
      <c r="AW26" s="1136" t="s">
        <v>3017</v>
      </c>
      <c r="AX26" s="1320" t="str">
        <f>Calcul!DB26</f>
        <v/>
      </c>
      <c r="AY26" s="1170" t="str">
        <f>IF(A26=FALSE,"",51000+(Detail!AA26*7000))</f>
        <v/>
      </c>
      <c r="AZ26" s="1170">
        <v>50000</v>
      </c>
      <c r="BA26" s="243">
        <v>3</v>
      </c>
      <c r="BB26" s="1135">
        <v>0</v>
      </c>
      <c r="BC26" s="1170" t="str">
        <f>IF(A26=FALSE,"",51000+(Detail!AA26*7000))</f>
        <v/>
      </c>
      <c r="BD26" s="1170">
        <f t="shared" si="13"/>
        <v>50000</v>
      </c>
      <c r="BE26" s="243">
        <f t="shared" si="14"/>
        <v>3</v>
      </c>
      <c r="BF26" s="1135">
        <f t="shared" si="15"/>
        <v>0</v>
      </c>
      <c r="BG26" s="1170" t="str">
        <f t="shared" si="9"/>
        <v/>
      </c>
      <c r="BH26" s="1170">
        <v>50000</v>
      </c>
      <c r="BI26" s="243">
        <v>3</v>
      </c>
      <c r="BJ26" s="1135">
        <v>0</v>
      </c>
      <c r="BK26" s="1170" t="str">
        <f t="shared" si="10"/>
        <v/>
      </c>
      <c r="BL26" s="1170">
        <v>50000</v>
      </c>
      <c r="BM26" s="243">
        <v>3</v>
      </c>
      <c r="BN26" s="1135">
        <v>0</v>
      </c>
      <c r="BO26" s="1132">
        <v>7</v>
      </c>
      <c r="BP26" s="1075">
        <v>365</v>
      </c>
      <c r="BQ26" s="244">
        <v>1</v>
      </c>
      <c r="BR26" s="1135">
        <v>0</v>
      </c>
      <c r="BS26" s="1132">
        <f t="shared" si="11"/>
        <v>7</v>
      </c>
      <c r="BT26" s="1075">
        <f t="shared" si="12"/>
        <v>365</v>
      </c>
      <c r="BU26" s="253">
        <v>1</v>
      </c>
      <c r="BV26" s="1135">
        <v>0</v>
      </c>
      <c r="BW26" s="1135" t="s">
        <v>2224</v>
      </c>
      <c r="BX26" s="257">
        <v>0</v>
      </c>
      <c r="BY26" s="436">
        <v>0</v>
      </c>
      <c r="BZ26" s="1135">
        <v>1</v>
      </c>
      <c r="CA26" s="1135">
        <v>0</v>
      </c>
      <c r="CB26" s="1296"/>
      <c r="CD26" s="1136" t="str">
        <f>IF(A26=FALSE,"",Calcul!NZ26)</f>
        <v/>
      </c>
      <c r="CE26" s="1136" t="s">
        <v>2224</v>
      </c>
      <c r="CF26" s="1132" t="s">
        <v>2138</v>
      </c>
      <c r="CG26" s="1136" t="s">
        <v>2254</v>
      </c>
      <c r="CH26" s="1135" t="s">
        <v>2224</v>
      </c>
      <c r="CI26" s="257">
        <v>0</v>
      </c>
      <c r="CJ26" s="436">
        <v>0</v>
      </c>
      <c r="CK26" s="1135">
        <v>1</v>
      </c>
      <c r="CL26" s="1135">
        <v>0</v>
      </c>
      <c r="CM26" s="1170">
        <v>100000</v>
      </c>
      <c r="CN26" s="243">
        <v>2</v>
      </c>
      <c r="CO26" s="1135">
        <v>0</v>
      </c>
      <c r="CP26" s="1170">
        <f t="shared" si="16"/>
        <v>100000</v>
      </c>
      <c r="CQ26" s="243">
        <v>2</v>
      </c>
      <c r="CR26" s="1135">
        <v>0</v>
      </c>
    </row>
    <row r="27" spans="1:96" s="1127" customFormat="1" ht="30" customHeight="1" outlineLevel="1">
      <c r="A27" s="396" t="b">
        <f>Calcul!A27</f>
        <v>0</v>
      </c>
      <c r="B27" s="438" t="str">
        <f t="shared" si="4"/>
        <v/>
      </c>
      <c r="C27" s="1132" t="b">
        <v>0</v>
      </c>
      <c r="D27" s="1133" t="s">
        <v>2293</v>
      </c>
      <c r="E27" s="1075" t="s">
        <v>2139</v>
      </c>
      <c r="F27" s="338" t="str">
        <f>IF(A27=FALSE,"",IF(NAMES!$D$10=FALSE,IF(Detail!H27="","",Detail!H27),IF(Crewlist!D27="","",Crewlist!D27)))</f>
        <v/>
      </c>
      <c r="G27" s="338" t="str">
        <f>IF(A27=FALSE,"",IF(NAMES!$D$10=FALSE,IF(Detail!P27="","",Detail!P27),IF(Crewlist!E27="","",Crewlist!E27)))</f>
        <v/>
      </c>
      <c r="H27" s="338" t="str">
        <f>IF(A27=FALSE,"",IF(NAMES!$D$10=FALSE,IF(Detail!K27="","",Detail!K27),IF(Crewlist!F27="","",Crewlist!F27)))</f>
        <v/>
      </c>
      <c r="I27" s="1345">
        <f>IF(Crewlist!T27="","",Crewlist!T27)</f>
        <v>42675</v>
      </c>
      <c r="J27" s="1345">
        <f>IF(Crewlist!D27="","",IF(Crewlist!U27="",Crewlist!Y27,IF(DATERENOUVMOINS730&lt;&gt;Crewlist!U27&lt;&gt;Crewlist!Y27,Crewlist!U27,DATERENOUVMOINS365)))</f>
        <v>42749</v>
      </c>
      <c r="K27" s="1346">
        <f>IF(Detail!X27="","",Detail!X27)</f>
        <v>42675</v>
      </c>
      <c r="L27" s="1346">
        <f>IF(Detail!H27="","",IF(Detail!Y27="",DATERENOUV,IF(Detail!Y27&gt;Detail!D27,Detail!D27,Detail!Y27)))</f>
        <v>42749</v>
      </c>
      <c r="M27" s="829" t="str">
        <f>IF(A27=FALSE,"",IF(NAMES!$D$10=FALSE,IF(B27=B28,IF(N27=N28,0,(DATEDIF(K27,L27,"M")+1)),(DATEDIF(K27,L27,"M")+1)),IF(B27=B28,IF(N27=N28,0,(DATEDIF(I27,J27,"M")+1)),(DATEDIF(I27,J27,"M")+1))))</f>
        <v/>
      </c>
      <c r="N27" s="829" t="str">
        <f t="shared" si="5"/>
        <v>novembre</v>
      </c>
      <c r="O27" s="340" t="str">
        <f>IF(A27=FALSE,"",IF(NAMES!$D$10=FALSE,IF((DATEDIF(K27,L27,"D")+1)&lt;365,(DATEDIF(K27,L27,"D")+1),365),IF((DATEDIF(I27,J27,"D")+1)&lt;365,(DATEDIF(I27,J27,"D")+1),365)))</f>
        <v/>
      </c>
      <c r="P27" s="340" t="str">
        <f>IF(A27=FALSE,"",IF(NAMES!$D$10=FALSE,IF(L27="",365,DATEDIF(K27,L27,"D")+1),IF(L27="",365,DATEDIF(I27,J27,"D")+1)))</f>
        <v/>
      </c>
      <c r="Q27" s="787" t="str">
        <f>Calcul!X27</f>
        <v/>
      </c>
      <c r="R27" s="787" t="str">
        <f>Calcul!Y27</f>
        <v/>
      </c>
      <c r="S27" s="811" t="str">
        <f>Calcul!AG27</f>
        <v/>
      </c>
      <c r="T27" s="350" t="str">
        <f>IF(A27=FALSE,"",IF(NAMES!$D$10=FALSE,IF(Detail!S27="","",Detail!S27),IF(Crewlist!V27="","",Crewlist!V27)))</f>
        <v/>
      </c>
      <c r="U27" s="242" t="str">
        <f>Calcul!AI27</f>
        <v/>
      </c>
      <c r="V27" s="242" t="str">
        <f>Calcul!AL27</f>
        <v/>
      </c>
      <c r="W27" s="242" t="str">
        <f>Calcul!AM27</f>
        <v/>
      </c>
      <c r="X27" s="335" t="str">
        <f>Calcul!AN27</f>
        <v/>
      </c>
      <c r="Y27" s="242" t="str">
        <f>Calcul!AO27</f>
        <v/>
      </c>
      <c r="Z27" s="242" t="str">
        <f>Calcul!AP27</f>
        <v/>
      </c>
      <c r="AA27" s="335" t="str">
        <f>Calcul!AQ27</f>
        <v/>
      </c>
      <c r="AB27" s="335" t="str">
        <f>IF(C27=FALSE,"",Calcul!BE27+Calcul!BF27)</f>
        <v/>
      </c>
      <c r="AC27" s="989" t="str">
        <f>IF(C27=FALSE,"",(Calcul!BG27+Calcul!BH27)+SUM(Calcul!BI27:BN27))</f>
        <v/>
      </c>
      <c r="AD27" s="989" t="str">
        <f>Calcul!BP27</f>
        <v/>
      </c>
      <c r="AE27" s="1325" t="s">
        <v>2866</v>
      </c>
      <c r="AF27" s="1134" t="s">
        <v>2254</v>
      </c>
      <c r="AG27" s="318" t="str">
        <f>IF(A27=FALSE,"",YEAR(Detail!F27)&amp;Detail!AG27&amp;Detail!AD27&amp;"-"&amp;Detail!AE27)</f>
        <v/>
      </c>
      <c r="AH27" s="1134" t="s">
        <v>3015</v>
      </c>
      <c r="AI27" s="1453">
        <v>0.1</v>
      </c>
      <c r="AJ27" s="1135">
        <f t="shared" si="6"/>
        <v>0.1</v>
      </c>
      <c r="AK27" s="1135">
        <f t="shared" si="7"/>
        <v>0</v>
      </c>
      <c r="AL27" s="1135">
        <f t="shared" si="8"/>
        <v>0</v>
      </c>
      <c r="AM27" s="1135" t="s">
        <v>2316</v>
      </c>
      <c r="AN27" s="1394">
        <v>24</v>
      </c>
      <c r="AO27" s="436">
        <v>0</v>
      </c>
      <c r="AP27" s="1135">
        <v>1</v>
      </c>
      <c r="AQ27" s="1135">
        <v>0</v>
      </c>
      <c r="AT27" s="1132" t="s">
        <v>2140</v>
      </c>
      <c r="AU27" s="1136" t="s">
        <v>2255</v>
      </c>
      <c r="AV27" s="1136" t="str">
        <f>IF(A27=FALSE,"",IF(Detail!AT27="","N/A",YEAR(Detail!F27)&amp;Detail!AW27&amp;Detail!AT27&amp;"-"&amp;Detail!AU27&amp;" (100%/"&amp;Detail!CD27&amp;"/"&amp;Detail!CE27&amp;")"))</f>
        <v/>
      </c>
      <c r="AW27" s="1136" t="s">
        <v>3017</v>
      </c>
      <c r="AX27" s="1320" t="str">
        <f>Calcul!DB27</f>
        <v/>
      </c>
      <c r="AY27" s="1170" t="str">
        <f>IF(A27=FALSE,"",51000+(Detail!AA27*7000))</f>
        <v/>
      </c>
      <c r="AZ27" s="1170">
        <v>50000</v>
      </c>
      <c r="BA27" s="243">
        <v>3</v>
      </c>
      <c r="BB27" s="1135">
        <v>0</v>
      </c>
      <c r="BC27" s="1170" t="str">
        <f>IF(A27=FALSE,"",51000+(Detail!AA27*7000))</f>
        <v/>
      </c>
      <c r="BD27" s="1170">
        <f t="shared" si="13"/>
        <v>50000</v>
      </c>
      <c r="BE27" s="243">
        <f t="shared" si="14"/>
        <v>3</v>
      </c>
      <c r="BF27" s="1135">
        <f t="shared" si="15"/>
        <v>0</v>
      </c>
      <c r="BG27" s="1170" t="str">
        <f t="shared" si="9"/>
        <v/>
      </c>
      <c r="BH27" s="1170">
        <v>50000</v>
      </c>
      <c r="BI27" s="243">
        <v>3</v>
      </c>
      <c r="BJ27" s="1135">
        <v>0</v>
      </c>
      <c r="BK27" s="1170" t="str">
        <f t="shared" si="10"/>
        <v/>
      </c>
      <c r="BL27" s="1170">
        <v>50000</v>
      </c>
      <c r="BM27" s="243">
        <v>3</v>
      </c>
      <c r="BN27" s="1135">
        <v>0</v>
      </c>
      <c r="BO27" s="1132">
        <v>7</v>
      </c>
      <c r="BP27" s="1075">
        <v>365</v>
      </c>
      <c r="BQ27" s="244">
        <v>1</v>
      </c>
      <c r="BR27" s="1135">
        <v>0</v>
      </c>
      <c r="BS27" s="1132">
        <f t="shared" si="11"/>
        <v>7</v>
      </c>
      <c r="BT27" s="1075">
        <f t="shared" si="12"/>
        <v>365</v>
      </c>
      <c r="BU27" s="253">
        <v>1</v>
      </c>
      <c r="BV27" s="1135">
        <v>0</v>
      </c>
      <c r="BW27" s="1135" t="s">
        <v>2224</v>
      </c>
      <c r="BX27" s="257">
        <v>0</v>
      </c>
      <c r="BY27" s="436">
        <v>0</v>
      </c>
      <c r="BZ27" s="1135">
        <v>1</v>
      </c>
      <c r="CA27" s="1135">
        <v>0</v>
      </c>
      <c r="CB27" s="1296"/>
      <c r="CD27" s="1136" t="str">
        <f>IF(A27=FALSE,"",Calcul!NZ27)</f>
        <v/>
      </c>
      <c r="CE27" s="1136" t="s">
        <v>2224</v>
      </c>
      <c r="CF27" s="1132" t="s">
        <v>2138</v>
      </c>
      <c r="CG27" s="1136" t="s">
        <v>2254</v>
      </c>
      <c r="CH27" s="1135" t="s">
        <v>2224</v>
      </c>
      <c r="CI27" s="257">
        <v>0</v>
      </c>
      <c r="CJ27" s="436">
        <v>0</v>
      </c>
      <c r="CK27" s="1135">
        <v>1</v>
      </c>
      <c r="CL27" s="1135">
        <v>0</v>
      </c>
      <c r="CM27" s="1170">
        <v>100000</v>
      </c>
      <c r="CN27" s="243">
        <v>2</v>
      </c>
      <c r="CO27" s="1135">
        <v>0</v>
      </c>
      <c r="CP27" s="1170">
        <f t="shared" si="16"/>
        <v>100000</v>
      </c>
      <c r="CQ27" s="243">
        <v>2</v>
      </c>
      <c r="CR27" s="1135">
        <v>0</v>
      </c>
    </row>
    <row r="28" spans="1:96" s="1127" customFormat="1" ht="30" customHeight="1" outlineLevel="1">
      <c r="A28" s="396" t="b">
        <f>Calcul!A28</f>
        <v>0</v>
      </c>
      <c r="B28" s="438" t="str">
        <f t="shared" si="4"/>
        <v/>
      </c>
      <c r="C28" s="1132" t="b">
        <v>0</v>
      </c>
      <c r="D28" s="1133" t="s">
        <v>2293</v>
      </c>
      <c r="E28" s="1075" t="s">
        <v>2139</v>
      </c>
      <c r="F28" s="338" t="str">
        <f>IF(A28=FALSE,"",IF(NAMES!$D$10=FALSE,IF(Detail!H28="","",Detail!H28),IF(Crewlist!D28="","",Crewlist!D28)))</f>
        <v/>
      </c>
      <c r="G28" s="338" t="str">
        <f>IF(A28=FALSE,"",IF(NAMES!$D$10=FALSE,IF(Detail!P28="","",Detail!P28),IF(Crewlist!E28="","",Crewlist!E28)))</f>
        <v/>
      </c>
      <c r="H28" s="338" t="str">
        <f>IF(A28=FALSE,"",IF(NAMES!$D$10=FALSE,IF(Detail!K28="","",Detail!K28),IF(Crewlist!F28="","",Crewlist!F28)))</f>
        <v/>
      </c>
      <c r="I28" s="1345">
        <f>IF(Crewlist!T28="","",Crewlist!T28)</f>
        <v>42675</v>
      </c>
      <c r="J28" s="1345">
        <f>IF(Crewlist!D28="","",IF(Crewlist!U28="",Crewlist!Y28,IF(DATERENOUVMOINS730&lt;&gt;Crewlist!U28&lt;&gt;Crewlist!Y28,Crewlist!U28,DATERENOUVMOINS365)))</f>
        <v>42749</v>
      </c>
      <c r="K28" s="1346">
        <f>IF(Detail!X28="","",Detail!X28)</f>
        <v>42675</v>
      </c>
      <c r="L28" s="1346">
        <f>IF(Detail!H28="","",IF(Detail!Y28="",DATERENOUV,IF(Detail!Y28&gt;Detail!D28,Detail!D28,Detail!Y28)))</f>
        <v>42749</v>
      </c>
      <c r="M28" s="829" t="str">
        <f>IF(A28=FALSE,"",IF(NAMES!$D$10=FALSE,IF(B28=B29,IF(N28=N29,0,(DATEDIF(K28,L28,"M")+1)),(DATEDIF(K28,L28,"M")+1)),IF(B28=B29,IF(N28=N29,0,(DATEDIF(I28,J28,"M")+1)),(DATEDIF(I28,J28,"M")+1))))</f>
        <v/>
      </c>
      <c r="N28" s="829" t="str">
        <f t="shared" si="5"/>
        <v>novembre</v>
      </c>
      <c r="O28" s="340" t="str">
        <f>IF(A28=FALSE,"",IF(NAMES!$D$10=FALSE,IF((DATEDIF(K28,L28,"D")+1)&lt;365,(DATEDIF(K28,L28,"D")+1),365),IF((DATEDIF(I28,J28,"D")+1)&lt;365,(DATEDIF(I28,J28,"D")+1),365)))</f>
        <v/>
      </c>
      <c r="P28" s="340" t="str">
        <f>IF(A28=FALSE,"",IF(NAMES!$D$10=FALSE,IF(L28="",365,DATEDIF(K28,L28,"D")+1),IF(L28="",365,DATEDIF(I28,J28,"D")+1)))</f>
        <v/>
      </c>
      <c r="Q28" s="787" t="str">
        <f>Calcul!X28</f>
        <v/>
      </c>
      <c r="R28" s="787" t="str">
        <f>Calcul!Y28</f>
        <v/>
      </c>
      <c r="S28" s="811" t="str">
        <f>Calcul!AG28</f>
        <v/>
      </c>
      <c r="T28" s="350" t="str">
        <f>IF(A28=FALSE,"",IF(NAMES!$D$10=FALSE,IF(Detail!S28="","",Detail!S28),IF(Crewlist!V28="","",Crewlist!V28)))</f>
        <v/>
      </c>
      <c r="U28" s="242" t="str">
        <f>Calcul!AI28</f>
        <v/>
      </c>
      <c r="V28" s="242" t="str">
        <f>Calcul!AL28</f>
        <v/>
      </c>
      <c r="W28" s="242" t="str">
        <f>Calcul!AM28</f>
        <v/>
      </c>
      <c r="X28" s="335" t="str">
        <f>Calcul!AN28</f>
        <v/>
      </c>
      <c r="Y28" s="242" t="str">
        <f>Calcul!AO28</f>
        <v/>
      </c>
      <c r="Z28" s="242" t="str">
        <f>Calcul!AP28</f>
        <v/>
      </c>
      <c r="AA28" s="335" t="str">
        <f>Calcul!AQ28</f>
        <v/>
      </c>
      <c r="AB28" s="335" t="str">
        <f>IF(C28=FALSE,"",Calcul!BE28+Calcul!BF28)</f>
        <v/>
      </c>
      <c r="AC28" s="989" t="str">
        <f>IF(C28=FALSE,"",(Calcul!BG28+Calcul!BH28)+SUM(Calcul!BI28:BN28))</f>
        <v/>
      </c>
      <c r="AD28" s="989" t="str">
        <f>Calcul!BP28</f>
        <v/>
      </c>
      <c r="AE28" s="1325" t="s">
        <v>2866</v>
      </c>
      <c r="AF28" s="1134" t="s">
        <v>2254</v>
      </c>
      <c r="AG28" s="318" t="str">
        <f>IF(A28=FALSE,"",YEAR(Detail!F28)&amp;Detail!AG28&amp;Detail!AD28&amp;"-"&amp;Detail!AE28)</f>
        <v/>
      </c>
      <c r="AH28" s="1134" t="s">
        <v>3015</v>
      </c>
      <c r="AI28" s="1453">
        <v>0.1</v>
      </c>
      <c r="AJ28" s="1135">
        <f t="shared" si="6"/>
        <v>0.1</v>
      </c>
      <c r="AK28" s="1135">
        <f t="shared" si="7"/>
        <v>0</v>
      </c>
      <c r="AL28" s="1135">
        <f t="shared" si="8"/>
        <v>0</v>
      </c>
      <c r="AM28" s="1135" t="s">
        <v>2316</v>
      </c>
      <c r="AN28" s="1394">
        <v>24</v>
      </c>
      <c r="AO28" s="436">
        <v>0</v>
      </c>
      <c r="AP28" s="1135">
        <v>1</v>
      </c>
      <c r="AQ28" s="1135">
        <v>0</v>
      </c>
      <c r="AT28" s="1132" t="s">
        <v>2140</v>
      </c>
      <c r="AU28" s="1136" t="s">
        <v>2255</v>
      </c>
      <c r="AV28" s="1136" t="str">
        <f>IF(A28=FALSE,"",IF(Detail!AT28="","N/A",YEAR(Detail!F28)&amp;Detail!AW28&amp;Detail!AT28&amp;"-"&amp;Detail!AU28&amp;" (100%/"&amp;Detail!CD28&amp;"/"&amp;Detail!CE28&amp;")"))</f>
        <v/>
      </c>
      <c r="AW28" s="1136" t="s">
        <v>3017</v>
      </c>
      <c r="AX28" s="1320" t="str">
        <f>Calcul!DB28</f>
        <v/>
      </c>
      <c r="AY28" s="1170" t="str">
        <f>IF(A28=FALSE,"",51000+(Detail!AA28*7000))</f>
        <v/>
      </c>
      <c r="AZ28" s="1170">
        <v>50000</v>
      </c>
      <c r="BA28" s="243">
        <v>3</v>
      </c>
      <c r="BB28" s="1135">
        <v>0</v>
      </c>
      <c r="BC28" s="1170" t="str">
        <f>IF(A28=FALSE,"",51000+(Detail!AA28*7000))</f>
        <v/>
      </c>
      <c r="BD28" s="1170">
        <f t="shared" si="13"/>
        <v>50000</v>
      </c>
      <c r="BE28" s="243">
        <f t="shared" si="14"/>
        <v>3</v>
      </c>
      <c r="BF28" s="1135">
        <f t="shared" si="15"/>
        <v>0</v>
      </c>
      <c r="BG28" s="1170" t="str">
        <f t="shared" si="9"/>
        <v/>
      </c>
      <c r="BH28" s="1170">
        <v>50000</v>
      </c>
      <c r="BI28" s="243">
        <v>3</v>
      </c>
      <c r="BJ28" s="1135">
        <v>0</v>
      </c>
      <c r="BK28" s="1170" t="str">
        <f t="shared" si="10"/>
        <v/>
      </c>
      <c r="BL28" s="1170">
        <v>50000</v>
      </c>
      <c r="BM28" s="243">
        <v>3</v>
      </c>
      <c r="BN28" s="1135">
        <v>0</v>
      </c>
      <c r="BO28" s="1132">
        <v>7</v>
      </c>
      <c r="BP28" s="1075">
        <v>365</v>
      </c>
      <c r="BQ28" s="244">
        <v>1</v>
      </c>
      <c r="BR28" s="1135">
        <v>0</v>
      </c>
      <c r="BS28" s="1132">
        <f t="shared" si="11"/>
        <v>7</v>
      </c>
      <c r="BT28" s="1075">
        <f t="shared" si="12"/>
        <v>365</v>
      </c>
      <c r="BU28" s="253">
        <v>1</v>
      </c>
      <c r="BV28" s="1135">
        <v>0</v>
      </c>
      <c r="BW28" s="1135" t="s">
        <v>2224</v>
      </c>
      <c r="BX28" s="257">
        <v>0</v>
      </c>
      <c r="BY28" s="436">
        <v>0</v>
      </c>
      <c r="BZ28" s="1135">
        <v>1</v>
      </c>
      <c r="CA28" s="1135">
        <v>0</v>
      </c>
      <c r="CB28" s="1296"/>
      <c r="CD28" s="1136" t="str">
        <f>IF(A28=FALSE,"",Calcul!NZ28)</f>
        <v/>
      </c>
      <c r="CE28" s="1136" t="s">
        <v>2224</v>
      </c>
      <c r="CF28" s="1132" t="s">
        <v>2138</v>
      </c>
      <c r="CG28" s="1136" t="s">
        <v>2254</v>
      </c>
      <c r="CH28" s="1135" t="s">
        <v>2224</v>
      </c>
      <c r="CI28" s="257">
        <v>0</v>
      </c>
      <c r="CJ28" s="436">
        <v>0</v>
      </c>
      <c r="CK28" s="1135">
        <v>1</v>
      </c>
      <c r="CL28" s="1135">
        <v>0</v>
      </c>
      <c r="CM28" s="1170">
        <v>100000</v>
      </c>
      <c r="CN28" s="243">
        <v>2</v>
      </c>
      <c r="CO28" s="1135">
        <v>0</v>
      </c>
      <c r="CP28" s="1170">
        <f t="shared" si="16"/>
        <v>100000</v>
      </c>
      <c r="CQ28" s="243">
        <v>2</v>
      </c>
      <c r="CR28" s="1135">
        <v>0</v>
      </c>
    </row>
    <row r="29" spans="1:96" s="1127" customFormat="1" ht="30" customHeight="1" outlineLevel="1">
      <c r="A29" s="396" t="b">
        <f>Calcul!A29</f>
        <v>0</v>
      </c>
      <c r="B29" s="438" t="str">
        <f t="shared" si="4"/>
        <v/>
      </c>
      <c r="C29" s="1132" t="b">
        <v>0</v>
      </c>
      <c r="D29" s="1133" t="s">
        <v>2293</v>
      </c>
      <c r="E29" s="1075" t="s">
        <v>2139</v>
      </c>
      <c r="F29" s="338" t="str">
        <f>IF(A29=FALSE,"",IF(NAMES!$D$10=FALSE,IF(Detail!H29="","",Detail!H29),IF(Crewlist!D29="","",Crewlist!D29)))</f>
        <v/>
      </c>
      <c r="G29" s="338" t="str">
        <f>IF(A29=FALSE,"",IF(NAMES!$D$10=FALSE,IF(Detail!P29="","",Detail!P29),IF(Crewlist!E29="","",Crewlist!E29)))</f>
        <v/>
      </c>
      <c r="H29" s="338" t="str">
        <f>IF(A29=FALSE,"",IF(NAMES!$D$10=FALSE,IF(Detail!K29="","",Detail!K29),IF(Crewlist!F29="","",Crewlist!F29)))</f>
        <v/>
      </c>
      <c r="I29" s="1345">
        <f>IF(Crewlist!T29="","",Crewlist!T29)</f>
        <v>42566</v>
      </c>
      <c r="J29" s="1345">
        <f>IF(Crewlist!D29="","",IF(Crewlist!U29="",Crewlist!Y29,IF(DATERENOUVMOINS730&lt;&gt;Crewlist!U29&lt;&gt;Crewlist!Y29,Crewlist!U29,DATERENOUVMOINS365)))</f>
        <v>42675</v>
      </c>
      <c r="K29" s="1346">
        <f>IF(Detail!X29="","",Detail!X29)</f>
        <v>42566</v>
      </c>
      <c r="L29" s="1346">
        <f>IF(Detail!H29="","",IF(Detail!Y29="",DATERENOUV,IF(Detail!Y29&gt;Detail!D29,Detail!D29,Detail!Y29)))</f>
        <v>42675</v>
      </c>
      <c r="M29" s="829" t="str">
        <f>IF(A29=FALSE,"",IF(NAMES!$D$10=FALSE,IF(B29=B30,IF(N29=N30,0,(DATEDIF(K29,L29,"M")+1)),(DATEDIF(K29,L29,"M")+1)),IF(B29=B30,IF(N29=N30,0,(DATEDIF(I29,J29,"M")+1)),(DATEDIF(I29,J29,"M")+1))))</f>
        <v/>
      </c>
      <c r="N29" s="829" t="str">
        <f t="shared" si="5"/>
        <v>juillet</v>
      </c>
      <c r="O29" s="340" t="str">
        <f>IF(A29=FALSE,"",IF(NAMES!$D$10=FALSE,IF((DATEDIF(K29,L29,"D")+1)&lt;365,(DATEDIF(K29,L29,"D")+1),365),IF((DATEDIF(I29,J29,"D")+1)&lt;365,(DATEDIF(I29,J29,"D")+1),365)))</f>
        <v/>
      </c>
      <c r="P29" s="340" t="str">
        <f>IF(A29=FALSE,"",IF(NAMES!$D$10=FALSE,IF(L29="",365,DATEDIF(K29,L29,"D")+1),IF(L29="",365,DATEDIF(I29,J29,"D")+1)))</f>
        <v/>
      </c>
      <c r="Q29" s="787" t="str">
        <f>Calcul!X29</f>
        <v/>
      </c>
      <c r="R29" s="787" t="str">
        <f>Calcul!Y29</f>
        <v/>
      </c>
      <c r="S29" s="811" t="str">
        <f>Calcul!AG29</f>
        <v/>
      </c>
      <c r="T29" s="350" t="str">
        <f>IF(A29=FALSE,"",IF(NAMES!$D$10=FALSE,IF(Detail!S29="","",Detail!S29),IF(Crewlist!V29="","",Crewlist!V29)))</f>
        <v/>
      </c>
      <c r="U29" s="242" t="str">
        <f>Calcul!AI29</f>
        <v/>
      </c>
      <c r="V29" s="242" t="str">
        <f>Calcul!AL29</f>
        <v/>
      </c>
      <c r="W29" s="242" t="str">
        <f>Calcul!AM29</f>
        <v/>
      </c>
      <c r="X29" s="335" t="str">
        <f>Calcul!AN29</f>
        <v/>
      </c>
      <c r="Y29" s="242" t="str">
        <f>Calcul!AO29</f>
        <v/>
      </c>
      <c r="Z29" s="242" t="str">
        <f>Calcul!AP29</f>
        <v/>
      </c>
      <c r="AA29" s="335" t="str">
        <f>Calcul!AQ29</f>
        <v/>
      </c>
      <c r="AB29" s="335" t="str">
        <f>IF(C29=FALSE,"",Calcul!BE29+Calcul!BF29)</f>
        <v/>
      </c>
      <c r="AC29" s="989" t="str">
        <f>IF(C29=FALSE,"",(Calcul!BG29+Calcul!BH29)+SUM(Calcul!BI29:BN29))</f>
        <v/>
      </c>
      <c r="AD29" s="989" t="str">
        <f>Calcul!BP29</f>
        <v/>
      </c>
      <c r="AE29" s="1325" t="s">
        <v>2866</v>
      </c>
      <c r="AF29" s="1134" t="s">
        <v>2254</v>
      </c>
      <c r="AG29" s="318" t="str">
        <f>IF(A29=FALSE,"",YEAR(Detail!F29)&amp;Detail!AG29&amp;Detail!AD29&amp;"-"&amp;Detail!AE29)</f>
        <v/>
      </c>
      <c r="AH29" s="1134" t="s">
        <v>3015</v>
      </c>
      <c r="AI29" s="1453">
        <v>0.1</v>
      </c>
      <c r="AJ29" s="1135">
        <f t="shared" si="6"/>
        <v>0.1</v>
      </c>
      <c r="AK29" s="1135">
        <f t="shared" si="7"/>
        <v>0</v>
      </c>
      <c r="AL29" s="1135">
        <f t="shared" si="8"/>
        <v>0</v>
      </c>
      <c r="AM29" s="1135" t="s">
        <v>2316</v>
      </c>
      <c r="AN29" s="1394">
        <v>24</v>
      </c>
      <c r="AO29" s="436">
        <v>0</v>
      </c>
      <c r="AP29" s="1135">
        <v>1</v>
      </c>
      <c r="AQ29" s="1135">
        <v>0</v>
      </c>
      <c r="AT29" s="1132" t="s">
        <v>2140</v>
      </c>
      <c r="AU29" s="1136" t="s">
        <v>2255</v>
      </c>
      <c r="AV29" s="1136" t="str">
        <f>IF(A29=FALSE,"",IF(Detail!AT29="","N/A",YEAR(Detail!F29)&amp;Detail!AW29&amp;Detail!AT29&amp;"-"&amp;Detail!AU29&amp;" (100%/"&amp;Detail!CD29&amp;"/"&amp;Detail!CE29&amp;")"))</f>
        <v/>
      </c>
      <c r="AW29" s="1136" t="s">
        <v>3017</v>
      </c>
      <c r="AX29" s="1320" t="str">
        <f>Calcul!DB29</f>
        <v/>
      </c>
      <c r="AY29" s="1170" t="str">
        <f>IF(A29=FALSE,"",51000+(Detail!AA29*7000))</f>
        <v/>
      </c>
      <c r="AZ29" s="1170">
        <v>50000</v>
      </c>
      <c r="BA29" s="243">
        <v>3</v>
      </c>
      <c r="BB29" s="1135">
        <v>0</v>
      </c>
      <c r="BC29" s="1170" t="str">
        <f>IF(A29=FALSE,"",51000+(Detail!AA29*7000))</f>
        <v/>
      </c>
      <c r="BD29" s="1170">
        <f t="shared" si="13"/>
        <v>50000</v>
      </c>
      <c r="BE29" s="243">
        <f t="shared" si="14"/>
        <v>3</v>
      </c>
      <c r="BF29" s="1135">
        <f t="shared" si="15"/>
        <v>0</v>
      </c>
      <c r="BG29" s="1170" t="str">
        <f t="shared" si="9"/>
        <v/>
      </c>
      <c r="BH29" s="1170">
        <v>50000</v>
      </c>
      <c r="BI29" s="243">
        <v>3</v>
      </c>
      <c r="BJ29" s="1135">
        <v>0</v>
      </c>
      <c r="BK29" s="1170" t="str">
        <f t="shared" si="10"/>
        <v/>
      </c>
      <c r="BL29" s="1170">
        <v>50000</v>
      </c>
      <c r="BM29" s="243">
        <v>3</v>
      </c>
      <c r="BN29" s="1135">
        <v>0</v>
      </c>
      <c r="BO29" s="1132">
        <v>7</v>
      </c>
      <c r="BP29" s="1075">
        <v>365</v>
      </c>
      <c r="BQ29" s="244">
        <v>1</v>
      </c>
      <c r="BR29" s="1135">
        <v>0</v>
      </c>
      <c r="BS29" s="1132">
        <f t="shared" si="11"/>
        <v>7</v>
      </c>
      <c r="BT29" s="1075">
        <f t="shared" si="12"/>
        <v>365</v>
      </c>
      <c r="BU29" s="253">
        <v>1</v>
      </c>
      <c r="BV29" s="1135">
        <v>0</v>
      </c>
      <c r="BW29" s="1135" t="s">
        <v>2224</v>
      </c>
      <c r="BX29" s="257">
        <v>0</v>
      </c>
      <c r="BY29" s="436">
        <v>0</v>
      </c>
      <c r="BZ29" s="1135">
        <v>1</v>
      </c>
      <c r="CA29" s="1135">
        <v>0</v>
      </c>
      <c r="CB29" s="1296"/>
      <c r="CD29" s="1136" t="str">
        <f>IF(A29=FALSE,"",Calcul!NZ29)</f>
        <v/>
      </c>
      <c r="CE29" s="1136" t="s">
        <v>2224</v>
      </c>
      <c r="CF29" s="1132" t="s">
        <v>2138</v>
      </c>
      <c r="CG29" s="1136" t="s">
        <v>2254</v>
      </c>
      <c r="CH29" s="1135" t="s">
        <v>2224</v>
      </c>
      <c r="CI29" s="257">
        <v>0</v>
      </c>
      <c r="CJ29" s="436">
        <v>0</v>
      </c>
      <c r="CK29" s="1135">
        <v>1</v>
      </c>
      <c r="CL29" s="1135">
        <v>0</v>
      </c>
      <c r="CM29" s="1170">
        <v>100000</v>
      </c>
      <c r="CN29" s="243">
        <v>2</v>
      </c>
      <c r="CO29" s="1135">
        <v>0</v>
      </c>
      <c r="CP29" s="1170">
        <f t="shared" si="16"/>
        <v>100000</v>
      </c>
      <c r="CQ29" s="243">
        <v>2</v>
      </c>
      <c r="CR29" s="1135">
        <v>0</v>
      </c>
    </row>
    <row r="30" spans="1:96" s="1127" customFormat="1" ht="30" customHeight="1" outlineLevel="1">
      <c r="A30" s="396" t="b">
        <f>Calcul!A30</f>
        <v>0</v>
      </c>
      <c r="B30" s="438" t="str">
        <f t="shared" si="4"/>
        <v/>
      </c>
      <c r="C30" s="1132" t="b">
        <v>0</v>
      </c>
      <c r="D30" s="1133" t="s">
        <v>2293</v>
      </c>
      <c r="E30" s="1075" t="s">
        <v>2139</v>
      </c>
      <c r="F30" s="338" t="str">
        <f>IF(A30=FALSE,"",IF(NAMES!$D$10=FALSE,IF(Detail!H30="","",Detail!H30),IF(Crewlist!D30="","",Crewlist!D30)))</f>
        <v/>
      </c>
      <c r="G30" s="338" t="str">
        <f>IF(A30=FALSE,"",IF(NAMES!$D$10=FALSE,IF(Detail!P30="","",Detail!P30),IF(Crewlist!E30="","",Crewlist!E30)))</f>
        <v/>
      </c>
      <c r="H30" s="338" t="str">
        <f>IF(A30=FALSE,"",IF(NAMES!$D$10=FALSE,IF(Detail!K30="","",Detail!K30),IF(Crewlist!F30="","",Crewlist!F30)))</f>
        <v/>
      </c>
      <c r="I30" s="1345">
        <f>IF(Crewlist!T30="","",Crewlist!T30)</f>
        <v>42675</v>
      </c>
      <c r="J30" s="1345">
        <f>IF(Crewlist!D30="","",IF(Crewlist!U30="",Crewlist!Y30,IF(DATERENOUVMOINS730&lt;&gt;Crewlist!U30&lt;&gt;Crewlist!Y30,Crewlist!U30,DATERENOUVMOINS365)))</f>
        <v>42749</v>
      </c>
      <c r="K30" s="1346">
        <f>IF(Detail!X30="","",Detail!X30)</f>
        <v>42675</v>
      </c>
      <c r="L30" s="1346">
        <f>IF(Detail!H30="","",IF(Detail!Y30="",DATERENOUV,IF(Detail!Y30&gt;Detail!D30,Detail!D30,Detail!Y30)))</f>
        <v>42749</v>
      </c>
      <c r="M30" s="829" t="str">
        <f>IF(A30=FALSE,"",IF(NAMES!$D$10=FALSE,IF(B30=B31,IF(N30=N31,0,(DATEDIF(K30,L30,"M")+1)),(DATEDIF(K30,L30,"M")+1)),IF(B30=B31,IF(N30=N31,0,(DATEDIF(I30,J30,"M")+1)),(DATEDIF(I30,J30,"M")+1))))</f>
        <v/>
      </c>
      <c r="N30" s="829" t="str">
        <f t="shared" si="5"/>
        <v>novembre</v>
      </c>
      <c r="O30" s="340" t="str">
        <f>IF(A30=FALSE,"",IF(NAMES!$D$10=FALSE,IF((DATEDIF(K30,L30,"D")+1)&lt;365,(DATEDIF(K30,L30,"D")+1),365),IF((DATEDIF(I30,J30,"D")+1)&lt;365,(DATEDIF(I30,J30,"D")+1),365)))</f>
        <v/>
      </c>
      <c r="P30" s="340" t="str">
        <f>IF(A30=FALSE,"",IF(NAMES!$D$10=FALSE,IF(L30="",365,DATEDIF(K30,L30,"D")+1),IF(L30="",365,DATEDIF(I30,J30,"D")+1)))</f>
        <v/>
      </c>
      <c r="Q30" s="787" t="str">
        <f>Calcul!X30</f>
        <v/>
      </c>
      <c r="R30" s="787" t="str">
        <f>Calcul!Y30</f>
        <v/>
      </c>
      <c r="S30" s="811" t="str">
        <f>Calcul!AG30</f>
        <v/>
      </c>
      <c r="T30" s="350" t="str">
        <f>IF(A30=FALSE,"",IF(NAMES!$D$10=FALSE,IF(Detail!S30="","",Detail!S30),IF(Crewlist!V30="","",Crewlist!V30)))</f>
        <v/>
      </c>
      <c r="U30" s="242" t="str">
        <f>Calcul!AI30</f>
        <v/>
      </c>
      <c r="V30" s="242" t="str">
        <f>Calcul!AL30</f>
        <v/>
      </c>
      <c r="W30" s="242" t="str">
        <f>Calcul!AM30</f>
        <v/>
      </c>
      <c r="X30" s="335" t="str">
        <f>Calcul!AN30</f>
        <v/>
      </c>
      <c r="Y30" s="242" t="str">
        <f>Calcul!AO30</f>
        <v/>
      </c>
      <c r="Z30" s="242" t="str">
        <f>Calcul!AP30</f>
        <v/>
      </c>
      <c r="AA30" s="335" t="str">
        <f>Calcul!AQ30</f>
        <v/>
      </c>
      <c r="AB30" s="335" t="str">
        <f>IF(C30=FALSE,"",Calcul!BE30+Calcul!BF30)</f>
        <v/>
      </c>
      <c r="AC30" s="989" t="str">
        <f>IF(C30=FALSE,"",(Calcul!BG30+Calcul!BH30)+SUM(Calcul!BI30:BN30))</f>
        <v/>
      </c>
      <c r="AD30" s="989" t="str">
        <f>Calcul!BP30</f>
        <v/>
      </c>
      <c r="AE30" s="1325" t="s">
        <v>2866</v>
      </c>
      <c r="AF30" s="1134" t="s">
        <v>2254</v>
      </c>
      <c r="AG30" s="318" t="str">
        <f>IF(A30=FALSE,"",YEAR(Detail!F30)&amp;Detail!AG30&amp;Detail!AD30&amp;"-"&amp;Detail!AE30)</f>
        <v/>
      </c>
      <c r="AH30" s="1134" t="s">
        <v>3015</v>
      </c>
      <c r="AI30" s="1453">
        <v>0.1</v>
      </c>
      <c r="AJ30" s="1135">
        <f t="shared" si="6"/>
        <v>0.1</v>
      </c>
      <c r="AK30" s="1135">
        <f t="shared" si="7"/>
        <v>0</v>
      </c>
      <c r="AL30" s="1135">
        <f t="shared" si="8"/>
        <v>0</v>
      </c>
      <c r="AM30" s="1135" t="s">
        <v>2316</v>
      </c>
      <c r="AN30" s="1394">
        <v>24</v>
      </c>
      <c r="AO30" s="436">
        <v>0</v>
      </c>
      <c r="AP30" s="1135">
        <v>1</v>
      </c>
      <c r="AQ30" s="1135">
        <v>0</v>
      </c>
      <c r="AT30" s="1132" t="s">
        <v>2140</v>
      </c>
      <c r="AU30" s="1136" t="s">
        <v>2255</v>
      </c>
      <c r="AV30" s="1136" t="str">
        <f>IF(A30=FALSE,"",IF(Detail!AT30="","N/A",YEAR(Detail!F30)&amp;Detail!AW30&amp;Detail!AT30&amp;"-"&amp;Detail!AU30&amp;" (100%/"&amp;Detail!CD30&amp;"/"&amp;Detail!CE30&amp;")"))</f>
        <v/>
      </c>
      <c r="AW30" s="1136" t="s">
        <v>3017</v>
      </c>
      <c r="AX30" s="1320" t="str">
        <f>Calcul!DB30</f>
        <v/>
      </c>
      <c r="AY30" s="1170" t="str">
        <f>IF(A30=FALSE,"",51000+(Detail!AA30*7000))</f>
        <v/>
      </c>
      <c r="AZ30" s="1170">
        <v>50000</v>
      </c>
      <c r="BA30" s="243">
        <v>3</v>
      </c>
      <c r="BB30" s="1135">
        <v>0</v>
      </c>
      <c r="BC30" s="1170" t="str">
        <f>IF(A30=FALSE,"",51000+(Detail!AA30*7000))</f>
        <v/>
      </c>
      <c r="BD30" s="1170">
        <f t="shared" si="13"/>
        <v>50000</v>
      </c>
      <c r="BE30" s="243">
        <f t="shared" si="14"/>
        <v>3</v>
      </c>
      <c r="BF30" s="1135">
        <f t="shared" si="15"/>
        <v>0</v>
      </c>
      <c r="BG30" s="1170" t="str">
        <f t="shared" si="9"/>
        <v/>
      </c>
      <c r="BH30" s="1170">
        <v>50000</v>
      </c>
      <c r="BI30" s="243">
        <v>3</v>
      </c>
      <c r="BJ30" s="1135">
        <v>0</v>
      </c>
      <c r="BK30" s="1170" t="str">
        <f t="shared" si="10"/>
        <v/>
      </c>
      <c r="BL30" s="1170">
        <v>50000</v>
      </c>
      <c r="BM30" s="243">
        <v>3</v>
      </c>
      <c r="BN30" s="1135">
        <v>0</v>
      </c>
      <c r="BO30" s="1132">
        <v>7</v>
      </c>
      <c r="BP30" s="1075">
        <v>365</v>
      </c>
      <c r="BQ30" s="244">
        <v>1</v>
      </c>
      <c r="BR30" s="1135">
        <v>0</v>
      </c>
      <c r="BS30" s="1132">
        <f t="shared" si="11"/>
        <v>7</v>
      </c>
      <c r="BT30" s="1075">
        <f t="shared" si="12"/>
        <v>365</v>
      </c>
      <c r="BU30" s="253">
        <v>1</v>
      </c>
      <c r="BV30" s="1135">
        <v>0</v>
      </c>
      <c r="BW30" s="1135" t="s">
        <v>2224</v>
      </c>
      <c r="BX30" s="257">
        <v>0</v>
      </c>
      <c r="BY30" s="436">
        <v>0</v>
      </c>
      <c r="BZ30" s="1135">
        <v>1</v>
      </c>
      <c r="CA30" s="1135">
        <v>0</v>
      </c>
      <c r="CB30" s="1296"/>
      <c r="CD30" s="1136" t="str">
        <f>IF(A30=FALSE,"",Calcul!NZ30)</f>
        <v/>
      </c>
      <c r="CE30" s="1136" t="s">
        <v>2224</v>
      </c>
      <c r="CF30" s="1132" t="s">
        <v>2138</v>
      </c>
      <c r="CG30" s="1136" t="s">
        <v>2254</v>
      </c>
      <c r="CH30" s="1135" t="s">
        <v>2224</v>
      </c>
      <c r="CI30" s="257">
        <v>0</v>
      </c>
      <c r="CJ30" s="436">
        <v>0</v>
      </c>
      <c r="CK30" s="1135">
        <v>1</v>
      </c>
      <c r="CL30" s="1135">
        <v>0</v>
      </c>
      <c r="CM30" s="1170">
        <v>100000</v>
      </c>
      <c r="CN30" s="243">
        <v>2</v>
      </c>
      <c r="CO30" s="1135">
        <v>0</v>
      </c>
      <c r="CP30" s="1170">
        <f t="shared" si="16"/>
        <v>100000</v>
      </c>
      <c r="CQ30" s="243">
        <v>2</v>
      </c>
      <c r="CR30" s="1135">
        <v>0</v>
      </c>
    </row>
    <row r="31" spans="1:96" s="1127" customFormat="1" ht="30" customHeight="1" outlineLevel="1">
      <c r="A31" s="396" t="b">
        <f>Calcul!A31</f>
        <v>0</v>
      </c>
      <c r="B31" s="438" t="str">
        <f t="shared" si="4"/>
        <v/>
      </c>
      <c r="C31" s="1132" t="b">
        <v>0</v>
      </c>
      <c r="D31" s="1133" t="s">
        <v>2293</v>
      </c>
      <c r="E31" s="1075" t="s">
        <v>2139</v>
      </c>
      <c r="F31" s="338" t="str">
        <f>IF(A31=FALSE,"",IF(NAMES!$D$10=FALSE,IF(Detail!H31="","",Detail!H31),IF(Crewlist!D31="","",Crewlist!D31)))</f>
        <v/>
      </c>
      <c r="G31" s="338" t="str">
        <f>IF(A31=FALSE,"",IF(NAMES!$D$10=FALSE,IF(Detail!P31="","",Detail!P31),IF(Crewlist!E31="","",Crewlist!E31)))</f>
        <v/>
      </c>
      <c r="H31" s="338" t="str">
        <f>IF(A31=FALSE,"",IF(NAMES!$D$10=FALSE,IF(Detail!K31="","",Detail!K31),IF(Crewlist!F31="","",Crewlist!F31)))</f>
        <v/>
      </c>
      <c r="I31" s="1345">
        <f>IF(Crewlist!T31="","",Crewlist!T31)</f>
        <v>42566</v>
      </c>
      <c r="J31" s="1345">
        <f>IF(Crewlist!D31="","",IF(Crewlist!U31="",Crewlist!Y31,IF(DATERENOUVMOINS730&lt;&gt;Crewlist!U31&lt;&gt;Crewlist!Y31,Crewlist!U31,DATERENOUVMOINS365)))</f>
        <v>42675</v>
      </c>
      <c r="K31" s="1346">
        <f>IF(Detail!X31="","",Detail!X31)</f>
        <v>42566</v>
      </c>
      <c r="L31" s="1346">
        <f>IF(Detail!H31="","",IF(Detail!Y31="",DATERENOUV,IF(Detail!Y31&gt;Detail!D31,Detail!D31,Detail!Y31)))</f>
        <v>42675</v>
      </c>
      <c r="M31" s="829" t="str">
        <f>IF(A31=FALSE,"",IF(NAMES!$D$10=FALSE,IF(B31=B32,IF(N31=N32,0,(DATEDIF(K31,L31,"M")+1)),(DATEDIF(K31,L31,"M")+1)),IF(B31=B32,IF(N31=N32,0,(DATEDIF(I31,J31,"M")+1)),(DATEDIF(I31,J31,"M")+1))))</f>
        <v/>
      </c>
      <c r="N31" s="829" t="str">
        <f t="shared" si="5"/>
        <v>juillet</v>
      </c>
      <c r="O31" s="340" t="str">
        <f>IF(A31=FALSE,"",IF(NAMES!$D$10=FALSE,IF((DATEDIF(K31,L31,"D")+1)&lt;365,(DATEDIF(K31,L31,"D")+1),365),IF((DATEDIF(I31,J31,"D")+1)&lt;365,(DATEDIF(I31,J31,"D")+1),365)))</f>
        <v/>
      </c>
      <c r="P31" s="340" t="str">
        <f>IF(A31=FALSE,"",IF(NAMES!$D$10=FALSE,IF(L31="",365,DATEDIF(K31,L31,"D")+1),IF(L31="",365,DATEDIF(I31,J31,"D")+1)))</f>
        <v/>
      </c>
      <c r="Q31" s="787" t="str">
        <f>Calcul!X31</f>
        <v/>
      </c>
      <c r="R31" s="787" t="str">
        <f>Calcul!Y31</f>
        <v/>
      </c>
      <c r="S31" s="811" t="str">
        <f>Calcul!AG31</f>
        <v/>
      </c>
      <c r="T31" s="350" t="str">
        <f>IF(A31=FALSE,"",IF(NAMES!$D$10=FALSE,IF(Detail!S31="","",Detail!S31),IF(Crewlist!V31="","",Crewlist!V31)))</f>
        <v/>
      </c>
      <c r="U31" s="242" t="str">
        <f>Calcul!AI31</f>
        <v/>
      </c>
      <c r="V31" s="242" t="str">
        <f>Calcul!AL31</f>
        <v/>
      </c>
      <c r="W31" s="242" t="str">
        <f>Calcul!AM31</f>
        <v/>
      </c>
      <c r="X31" s="335" t="str">
        <f>Calcul!AN31</f>
        <v/>
      </c>
      <c r="Y31" s="242" t="str">
        <f>Calcul!AO31</f>
        <v/>
      </c>
      <c r="Z31" s="242" t="str">
        <f>Calcul!AP31</f>
        <v/>
      </c>
      <c r="AA31" s="335" t="str">
        <f>Calcul!AQ31</f>
        <v/>
      </c>
      <c r="AB31" s="335" t="str">
        <f>IF(C31=FALSE,"",Calcul!BE31+Calcul!BF31)</f>
        <v/>
      </c>
      <c r="AC31" s="989" t="str">
        <f>IF(C31=FALSE,"",(Calcul!BG31+Calcul!BH31)+SUM(Calcul!BI31:BN31))</f>
        <v/>
      </c>
      <c r="AD31" s="989" t="str">
        <f>Calcul!BP31</f>
        <v/>
      </c>
      <c r="AE31" s="1325" t="s">
        <v>2866</v>
      </c>
      <c r="AF31" s="1134" t="s">
        <v>2254</v>
      </c>
      <c r="AG31" s="318" t="str">
        <f>IF(A31=FALSE,"",YEAR(Detail!F31)&amp;Detail!AG31&amp;Detail!AD31&amp;"-"&amp;Detail!AE31)</f>
        <v/>
      </c>
      <c r="AH31" s="1134" t="s">
        <v>3015</v>
      </c>
      <c r="AI31" s="1453">
        <v>0.1</v>
      </c>
      <c r="AJ31" s="1135">
        <f t="shared" si="6"/>
        <v>0.1</v>
      </c>
      <c r="AK31" s="1135">
        <f t="shared" si="7"/>
        <v>0</v>
      </c>
      <c r="AL31" s="1135">
        <f t="shared" si="8"/>
        <v>0</v>
      </c>
      <c r="AM31" s="1135" t="s">
        <v>2316</v>
      </c>
      <c r="AN31" s="1394">
        <v>24</v>
      </c>
      <c r="AO31" s="436">
        <v>0</v>
      </c>
      <c r="AP31" s="1135">
        <v>1</v>
      </c>
      <c r="AQ31" s="1135">
        <v>0</v>
      </c>
      <c r="AT31" s="1132" t="s">
        <v>2140</v>
      </c>
      <c r="AU31" s="1136" t="s">
        <v>2255</v>
      </c>
      <c r="AV31" s="1136" t="str">
        <f>IF(A31=FALSE,"",IF(Detail!AT31="","N/A",YEAR(Detail!F31)&amp;Detail!AW31&amp;Detail!AT31&amp;"-"&amp;Detail!AU31&amp;" (100%/"&amp;Detail!CD31&amp;"/"&amp;Detail!CE31&amp;")"))</f>
        <v/>
      </c>
      <c r="AW31" s="1136" t="s">
        <v>3017</v>
      </c>
      <c r="AX31" s="1320" t="str">
        <f>Calcul!DB31</f>
        <v/>
      </c>
      <c r="AY31" s="1170" t="str">
        <f>IF(A31=FALSE,"",51000+(Detail!AA31*7000))</f>
        <v/>
      </c>
      <c r="AZ31" s="1170">
        <v>50000</v>
      </c>
      <c r="BA31" s="243">
        <v>3</v>
      </c>
      <c r="BB31" s="1135">
        <v>0</v>
      </c>
      <c r="BC31" s="1170" t="str">
        <f>IF(A31=FALSE,"",51000+(Detail!AA31*7000))</f>
        <v/>
      </c>
      <c r="BD31" s="1170">
        <f t="shared" si="13"/>
        <v>50000</v>
      </c>
      <c r="BE31" s="243">
        <f t="shared" si="14"/>
        <v>3</v>
      </c>
      <c r="BF31" s="1135">
        <f t="shared" si="15"/>
        <v>0</v>
      </c>
      <c r="BG31" s="1170" t="str">
        <f t="shared" si="9"/>
        <v/>
      </c>
      <c r="BH31" s="1170">
        <v>50000</v>
      </c>
      <c r="BI31" s="243">
        <v>3</v>
      </c>
      <c r="BJ31" s="1135">
        <v>0</v>
      </c>
      <c r="BK31" s="1170" t="str">
        <f t="shared" si="10"/>
        <v/>
      </c>
      <c r="BL31" s="1170">
        <v>50000</v>
      </c>
      <c r="BM31" s="243">
        <v>3</v>
      </c>
      <c r="BN31" s="1135">
        <v>0</v>
      </c>
      <c r="BO31" s="1132">
        <v>7</v>
      </c>
      <c r="BP31" s="1075">
        <v>365</v>
      </c>
      <c r="BQ31" s="244">
        <v>1</v>
      </c>
      <c r="BR31" s="1135">
        <v>0</v>
      </c>
      <c r="BS31" s="1132">
        <f t="shared" si="11"/>
        <v>7</v>
      </c>
      <c r="BT31" s="1075">
        <f t="shared" si="12"/>
        <v>365</v>
      </c>
      <c r="BU31" s="253">
        <v>1</v>
      </c>
      <c r="BV31" s="1135">
        <v>0</v>
      </c>
      <c r="BW31" s="1135" t="s">
        <v>2224</v>
      </c>
      <c r="BX31" s="257">
        <v>0</v>
      </c>
      <c r="BY31" s="436">
        <v>0</v>
      </c>
      <c r="BZ31" s="1135">
        <v>1</v>
      </c>
      <c r="CA31" s="1135">
        <v>0</v>
      </c>
      <c r="CB31" s="1296"/>
      <c r="CD31" s="1136" t="str">
        <f>IF(A31=FALSE,"",Calcul!NZ31)</f>
        <v/>
      </c>
      <c r="CE31" s="1136" t="s">
        <v>2224</v>
      </c>
      <c r="CF31" s="1132" t="s">
        <v>2138</v>
      </c>
      <c r="CG31" s="1136" t="s">
        <v>2254</v>
      </c>
      <c r="CH31" s="1135" t="s">
        <v>2224</v>
      </c>
      <c r="CI31" s="257">
        <v>0</v>
      </c>
      <c r="CJ31" s="436">
        <v>0</v>
      </c>
      <c r="CK31" s="1135">
        <v>1</v>
      </c>
      <c r="CL31" s="1135">
        <v>0</v>
      </c>
      <c r="CM31" s="1170">
        <v>100000</v>
      </c>
      <c r="CN31" s="243">
        <v>2</v>
      </c>
      <c r="CO31" s="1135">
        <v>0</v>
      </c>
      <c r="CP31" s="1170">
        <f t="shared" si="16"/>
        <v>100000</v>
      </c>
      <c r="CQ31" s="243">
        <v>2</v>
      </c>
      <c r="CR31" s="1135">
        <v>0</v>
      </c>
    </row>
    <row r="32" spans="1:96" s="582" customFormat="1" ht="30" customHeight="1" outlineLevel="1">
      <c r="A32" s="396" t="b">
        <f>Calcul!A32</f>
        <v>0</v>
      </c>
      <c r="B32" s="438" t="str">
        <f t="shared" si="4"/>
        <v/>
      </c>
      <c r="C32" s="1132" t="b">
        <v>0</v>
      </c>
      <c r="D32" s="1133" t="s">
        <v>2293</v>
      </c>
      <c r="E32" s="241" t="s">
        <v>2139</v>
      </c>
      <c r="F32" s="338" t="str">
        <f>IF(A32=FALSE,"",IF(NAMES!$D$10=FALSE,IF(Detail!H32="","",Detail!H32),IF(Crewlist!D32="","",Crewlist!D32)))</f>
        <v/>
      </c>
      <c r="G32" s="338" t="str">
        <f>IF(A32=FALSE,"",IF(NAMES!$D$10=FALSE,IF(Detail!P32="","",Detail!P32),IF(Crewlist!E32="","",Crewlist!E32)))</f>
        <v/>
      </c>
      <c r="H32" s="338" t="str">
        <f>IF(A32=FALSE,"",IF(NAMES!$D$10=FALSE,IF(Detail!K32="","",Detail!K32),IF(Crewlist!F32="","",Crewlist!F32)))</f>
        <v/>
      </c>
      <c r="I32" s="1345">
        <f>IF(Crewlist!T32="","",Crewlist!T32)</f>
        <v>42566</v>
      </c>
      <c r="J32" s="1345">
        <f>IF(Crewlist!D32="","",IF(Crewlist!U32="",Crewlist!Y32,IF(DATERENOUVMOINS730&lt;&gt;Crewlist!U32&lt;&gt;Crewlist!Y32,Crewlist!U32,DATERENOUVMOINS365)))</f>
        <v>42675</v>
      </c>
      <c r="K32" s="1346">
        <f>IF(Detail!X32="","",Detail!X32)</f>
        <v>42566</v>
      </c>
      <c r="L32" s="1346">
        <f>IF(Detail!H32="","",IF(Detail!Y32="",DATERENOUV,IF(Detail!Y32&gt;Detail!D32,Detail!D32,Detail!Y32)))</f>
        <v>42675</v>
      </c>
      <c r="M32" s="829" t="str">
        <f>IF(A32=FALSE,"",IF(NAMES!$D$10=FALSE,IF(B32=B33,IF(N32=N33,0,(DATEDIF(K32,L32,"M")+1)),(DATEDIF(K32,L32,"M")+1)),IF(B32=B33,IF(N32=N33,0,(DATEDIF(I32,J32,"M")+1)),(DATEDIF(I32,J32,"M")+1))))</f>
        <v/>
      </c>
      <c r="N32" s="762" t="str">
        <f t="shared" si="5"/>
        <v>juillet</v>
      </c>
      <c r="O32" s="340" t="str">
        <f>IF(A32=FALSE,"",IF(NAMES!$D$10=FALSE,IF((DATEDIF(K32,L32,"D")+1)&lt;365,(DATEDIF(K32,L32,"D")+1),365),IF((DATEDIF(I32,J32,"D")+1)&lt;365,(DATEDIF(I32,J32,"D")+1),365)))</f>
        <v/>
      </c>
      <c r="P32" s="340" t="str">
        <f>IF(A32=FALSE,"",IF(NAMES!$D$10=FALSE,IF(L32="",365,DATEDIF(K32,L32,"D")+1),IF(L32="",365,DATEDIF(I32,J32,"D")+1)))</f>
        <v/>
      </c>
      <c r="Q32" s="787" t="str">
        <f>Calcul!X32</f>
        <v/>
      </c>
      <c r="R32" s="787" t="str">
        <f>Calcul!Y32</f>
        <v/>
      </c>
      <c r="S32" s="811" t="str">
        <f>Calcul!AG32</f>
        <v/>
      </c>
      <c r="T32" s="350" t="str">
        <f>IF(A32=FALSE,"",IF(NAMES!$D$10=FALSE,IF(Detail!S32="","",Detail!S32),IF(Crewlist!V32="","",Crewlist!V32)))</f>
        <v/>
      </c>
      <c r="U32" s="242" t="str">
        <f>Calcul!AI32</f>
        <v/>
      </c>
      <c r="V32" s="242" t="str">
        <f>Calcul!AL32</f>
        <v/>
      </c>
      <c r="W32" s="242" t="str">
        <f>Calcul!AM32</f>
        <v/>
      </c>
      <c r="X32" s="335" t="str">
        <f>Calcul!AN32</f>
        <v/>
      </c>
      <c r="Y32" s="242" t="str">
        <f>Calcul!AO32</f>
        <v/>
      </c>
      <c r="Z32" s="242" t="str">
        <f>Calcul!AP32</f>
        <v/>
      </c>
      <c r="AA32" s="335" t="str">
        <f>Calcul!AQ32</f>
        <v/>
      </c>
      <c r="AB32" s="335" t="str">
        <f>IF(C32=FALSE,"",Calcul!BE32+Calcul!BF32)</f>
        <v/>
      </c>
      <c r="AC32" s="335" t="str">
        <f>IF(C32=FALSE,"",(Calcul!BG32+Calcul!BH32)+SUM(Calcul!BI32:BN32))</f>
        <v/>
      </c>
      <c r="AD32" s="335" t="str">
        <f>Calcul!BP32</f>
        <v/>
      </c>
      <c r="AE32" s="1325" t="s">
        <v>2866</v>
      </c>
      <c r="AF32" s="777" t="s">
        <v>2254</v>
      </c>
      <c r="AG32" s="318" t="str">
        <f>IF(A32=FALSE,"",YEAR(Detail!F32)&amp;Detail!AG32&amp;Detail!AD32&amp;"-"&amp;Detail!AE32)</f>
        <v/>
      </c>
      <c r="AH32" s="1134" t="s">
        <v>3015</v>
      </c>
      <c r="AI32" s="1453">
        <v>0.1</v>
      </c>
      <c r="AJ32" s="1135">
        <f t="shared" si="6"/>
        <v>0.1</v>
      </c>
      <c r="AK32" s="828">
        <f t="shared" si="7"/>
        <v>0</v>
      </c>
      <c r="AL32" s="828">
        <f t="shared" si="8"/>
        <v>0</v>
      </c>
      <c r="AM32" s="1135" t="s">
        <v>2316</v>
      </c>
      <c r="AN32" s="1394">
        <v>24</v>
      </c>
      <c r="AO32" s="436">
        <v>0</v>
      </c>
      <c r="AP32" s="757">
        <v>1</v>
      </c>
      <c r="AQ32" s="757">
        <v>0</v>
      </c>
      <c r="AS32" s="1127"/>
      <c r="AT32" s="1132" t="s">
        <v>2140</v>
      </c>
      <c r="AU32" s="1136" t="s">
        <v>2255</v>
      </c>
      <c r="AV32" s="1136" t="str">
        <f>IF(A32=FALSE,"",IF(Detail!AT32="","N/A",YEAR(Detail!F32)&amp;Detail!AW32&amp;Detail!AT32&amp;"-"&amp;Detail!AU32&amp;" (100%/"&amp;Detail!CD32&amp;"/"&amp;Detail!CE32&amp;")"))</f>
        <v/>
      </c>
      <c r="AW32" s="1136" t="s">
        <v>3017</v>
      </c>
      <c r="AX32" s="1320" t="str">
        <f>Calcul!DB32</f>
        <v/>
      </c>
      <c r="AY32" s="1298" t="str">
        <f>IF(A32=FALSE,"",51000+(Detail!AA32*7000))</f>
        <v/>
      </c>
      <c r="AZ32" s="1170">
        <v>50000</v>
      </c>
      <c r="BA32" s="243">
        <v>3</v>
      </c>
      <c r="BB32" s="1135">
        <v>0</v>
      </c>
      <c r="BC32" s="1298" t="str">
        <f>IF(A32=FALSE,"",51000+(Detail!AA32*7000))</f>
        <v/>
      </c>
      <c r="BD32" s="1298">
        <f t="shared" si="13"/>
        <v>50000</v>
      </c>
      <c r="BE32" s="1299">
        <f t="shared" si="14"/>
        <v>3</v>
      </c>
      <c r="BF32" s="1284">
        <f t="shared" si="15"/>
        <v>0</v>
      </c>
      <c r="BG32" s="397" t="str">
        <f t="shared" si="9"/>
        <v/>
      </c>
      <c r="BH32" s="1138">
        <v>50000</v>
      </c>
      <c r="BI32" s="243">
        <v>3</v>
      </c>
      <c r="BJ32" s="757">
        <v>0</v>
      </c>
      <c r="BK32" s="397" t="str">
        <f t="shared" si="10"/>
        <v/>
      </c>
      <c r="BL32" s="1138">
        <v>50000</v>
      </c>
      <c r="BM32" s="243">
        <v>3</v>
      </c>
      <c r="BN32" s="757">
        <v>0</v>
      </c>
      <c r="BO32" s="756">
        <v>7</v>
      </c>
      <c r="BP32" s="1075">
        <v>365</v>
      </c>
      <c r="BQ32" s="244">
        <v>1</v>
      </c>
      <c r="BR32" s="757">
        <v>0</v>
      </c>
      <c r="BS32" s="756">
        <f t="shared" si="11"/>
        <v>7</v>
      </c>
      <c r="BT32" s="241">
        <f t="shared" si="12"/>
        <v>365</v>
      </c>
      <c r="BU32" s="253">
        <v>1</v>
      </c>
      <c r="BV32" s="757">
        <v>0</v>
      </c>
      <c r="BW32" s="1135" t="s">
        <v>2224</v>
      </c>
      <c r="BX32" s="257">
        <v>0</v>
      </c>
      <c r="BY32" s="436">
        <v>0</v>
      </c>
      <c r="BZ32" s="757">
        <v>1</v>
      </c>
      <c r="CA32" s="757">
        <v>0</v>
      </c>
      <c r="CB32" s="1296"/>
      <c r="CD32" s="1136" t="str">
        <f>IF(A32=FALSE,"",Calcul!NZ32)</f>
        <v/>
      </c>
      <c r="CE32" s="1136" t="s">
        <v>2224</v>
      </c>
      <c r="CF32" s="1132" t="s">
        <v>2138</v>
      </c>
      <c r="CG32" s="1136" t="s">
        <v>2254</v>
      </c>
      <c r="CH32" s="1135" t="s">
        <v>2224</v>
      </c>
      <c r="CI32" s="257">
        <v>0</v>
      </c>
      <c r="CJ32" s="436">
        <v>0</v>
      </c>
      <c r="CK32" s="1135">
        <v>1</v>
      </c>
      <c r="CL32" s="1135">
        <v>0</v>
      </c>
      <c r="CM32" s="1170">
        <v>100000</v>
      </c>
      <c r="CN32" s="243">
        <v>2</v>
      </c>
      <c r="CO32" s="757">
        <v>0</v>
      </c>
      <c r="CP32" s="1298">
        <f t="shared" si="16"/>
        <v>100000</v>
      </c>
      <c r="CQ32" s="243">
        <v>2</v>
      </c>
      <c r="CR32" s="757">
        <v>0</v>
      </c>
    </row>
    <row r="33" spans="1:96" s="582" customFormat="1" ht="30" customHeight="1" outlineLevel="1">
      <c r="A33" s="396" t="b">
        <f>Calcul!A33</f>
        <v>0</v>
      </c>
      <c r="B33" s="438" t="str">
        <f t="shared" si="4"/>
        <v/>
      </c>
      <c r="C33" s="1132" t="b">
        <v>0</v>
      </c>
      <c r="D33" s="1133" t="s">
        <v>2293</v>
      </c>
      <c r="E33" s="241" t="s">
        <v>2139</v>
      </c>
      <c r="F33" s="338" t="str">
        <f>IF(A33=FALSE,"",IF(NAMES!$D$10=FALSE,IF(Detail!H33="","",Detail!H33),IF(Crewlist!D33="","",Crewlist!D33)))</f>
        <v/>
      </c>
      <c r="G33" s="338" t="str">
        <f>IF(A33=FALSE,"",IF(NAMES!$D$10=FALSE,IF(Detail!P33="","",Detail!P33),IF(Crewlist!E33="","",Crewlist!E33)))</f>
        <v/>
      </c>
      <c r="H33" s="338" t="str">
        <f>IF(A33=FALSE,"",IF(NAMES!$D$10=FALSE,IF(Detail!K33="","",Detail!K33),IF(Crewlist!F33="","",Crewlist!F33)))</f>
        <v/>
      </c>
      <c r="I33" s="1345">
        <f>IF(Crewlist!T33="","",Crewlist!T33)</f>
        <v>42566</v>
      </c>
      <c r="J33" s="1345">
        <f>IF(Crewlist!D33="","",IF(Crewlist!U33="",Crewlist!Y33,IF(DATERENOUVMOINS730&lt;&gt;Crewlist!U33&lt;&gt;Crewlist!Y33,Crewlist!U33,DATERENOUVMOINS365)))</f>
        <v>42675</v>
      </c>
      <c r="K33" s="1346">
        <f>IF(Detail!X33="","",Detail!X33)</f>
        <v>42566</v>
      </c>
      <c r="L33" s="1346">
        <f>IF(Detail!H33="","",IF(Detail!Y33="",DATERENOUV,IF(Detail!Y33&gt;Detail!D33,Detail!D33,Detail!Y33)))</f>
        <v>42675</v>
      </c>
      <c r="M33" s="829" t="str">
        <f>IF(A33=FALSE,"",IF(NAMES!$D$10=FALSE,IF(B33=B34,IF(N33=N34,0,(DATEDIF(K33,L33,"M")+1)),(DATEDIF(K33,L33,"M")+1)),IF(B33=B34,IF(N33=N34,0,(DATEDIF(I33,J33,"M")+1)),(DATEDIF(I33,J33,"M")+1))))</f>
        <v/>
      </c>
      <c r="N33" s="762" t="str">
        <f t="shared" si="5"/>
        <v>juillet</v>
      </c>
      <c r="O33" s="340" t="str">
        <f>IF(A33=FALSE,"",IF(NAMES!$D$10=FALSE,IF((DATEDIF(K33,L33,"D")+1)&lt;365,(DATEDIF(K33,L33,"D")+1),365),IF((DATEDIF(I33,J33,"D")+1)&lt;365,(DATEDIF(I33,J33,"D")+1),365)))</f>
        <v/>
      </c>
      <c r="P33" s="340" t="str">
        <f>IF(A33=FALSE,"",IF(NAMES!$D$10=FALSE,IF(L33="",365,DATEDIF(K33,L33,"D")+1),IF(L33="",365,DATEDIF(I33,J33,"D")+1)))</f>
        <v/>
      </c>
      <c r="Q33" s="787" t="str">
        <f>Calcul!X33</f>
        <v/>
      </c>
      <c r="R33" s="787" t="str">
        <f>Calcul!Y33</f>
        <v/>
      </c>
      <c r="S33" s="811" t="str">
        <f>Calcul!AG33</f>
        <v/>
      </c>
      <c r="T33" s="350" t="str">
        <f>IF(A33=FALSE,"",IF(NAMES!$D$10=FALSE,IF(Detail!S33="","",Detail!S33),IF(Crewlist!V33="","",Crewlist!V33)))</f>
        <v/>
      </c>
      <c r="U33" s="242" t="str">
        <f>Calcul!AI33</f>
        <v/>
      </c>
      <c r="V33" s="242" t="str">
        <f>Calcul!AL33</f>
        <v/>
      </c>
      <c r="W33" s="242" t="str">
        <f>Calcul!AM33</f>
        <v/>
      </c>
      <c r="X33" s="335" t="str">
        <f>Calcul!AN33</f>
        <v/>
      </c>
      <c r="Y33" s="242" t="str">
        <f>Calcul!AO33</f>
        <v/>
      </c>
      <c r="Z33" s="242" t="str">
        <f>Calcul!AP33</f>
        <v/>
      </c>
      <c r="AA33" s="335" t="str">
        <f>Calcul!AQ33</f>
        <v/>
      </c>
      <c r="AB33" s="335" t="str">
        <f>IF(C33=FALSE,"",Calcul!BE33+Calcul!BF33)</f>
        <v/>
      </c>
      <c r="AC33" s="335" t="str">
        <f>IF(C33=FALSE,"",(Calcul!BG33+Calcul!BH33)+SUM(Calcul!BI33:BN33))</f>
        <v/>
      </c>
      <c r="AD33" s="335" t="str">
        <f>Calcul!BP33</f>
        <v/>
      </c>
      <c r="AE33" s="1325" t="s">
        <v>2866</v>
      </c>
      <c r="AF33" s="777" t="s">
        <v>2254</v>
      </c>
      <c r="AG33" s="318" t="str">
        <f>IF(A33=FALSE,"",YEAR(Detail!F33)&amp;Detail!AG33&amp;Detail!AD33&amp;"-"&amp;Detail!AE33)</f>
        <v/>
      </c>
      <c r="AH33" s="1134" t="s">
        <v>3015</v>
      </c>
      <c r="AI33" s="1453">
        <v>0.1</v>
      </c>
      <c r="AJ33" s="1135">
        <f t="shared" si="6"/>
        <v>0.1</v>
      </c>
      <c r="AK33" s="828">
        <f t="shared" si="7"/>
        <v>0</v>
      </c>
      <c r="AL33" s="828">
        <f t="shared" si="8"/>
        <v>0</v>
      </c>
      <c r="AM33" s="1135" t="s">
        <v>2316</v>
      </c>
      <c r="AN33" s="1394">
        <v>24</v>
      </c>
      <c r="AO33" s="436">
        <v>0</v>
      </c>
      <c r="AP33" s="757">
        <v>1</v>
      </c>
      <c r="AQ33" s="757">
        <v>0</v>
      </c>
      <c r="AS33" s="1127"/>
      <c r="AT33" s="1132" t="s">
        <v>2140</v>
      </c>
      <c r="AU33" s="1136" t="s">
        <v>2255</v>
      </c>
      <c r="AV33" s="1136" t="str">
        <f>IF(A33=FALSE,"",IF(Detail!AT33="","N/A",YEAR(Detail!F33)&amp;Detail!AW33&amp;Detail!AT33&amp;"-"&amp;Detail!AU33&amp;" (100%/"&amp;Detail!CD33&amp;"/"&amp;Detail!CE33&amp;")"))</f>
        <v/>
      </c>
      <c r="AW33" s="1136" t="s">
        <v>3017</v>
      </c>
      <c r="AX33" s="1320" t="str">
        <f>Calcul!DB33</f>
        <v/>
      </c>
      <c r="AY33" s="1298" t="str">
        <f>IF(A33=FALSE,"",51000+(Detail!AA33*7000))</f>
        <v/>
      </c>
      <c r="AZ33" s="1170">
        <v>50000</v>
      </c>
      <c r="BA33" s="243">
        <v>3</v>
      </c>
      <c r="BB33" s="1135">
        <v>0</v>
      </c>
      <c r="BC33" s="1298" t="str">
        <f>IF(A33=FALSE,"",51000+(Detail!AA33*7000))</f>
        <v/>
      </c>
      <c r="BD33" s="1298">
        <f t="shared" si="13"/>
        <v>50000</v>
      </c>
      <c r="BE33" s="1299">
        <f t="shared" si="14"/>
        <v>3</v>
      </c>
      <c r="BF33" s="1284">
        <f t="shared" si="15"/>
        <v>0</v>
      </c>
      <c r="BG33" s="397" t="str">
        <f t="shared" si="9"/>
        <v/>
      </c>
      <c r="BH33" s="1138">
        <v>50000</v>
      </c>
      <c r="BI33" s="243">
        <v>3</v>
      </c>
      <c r="BJ33" s="757">
        <v>0</v>
      </c>
      <c r="BK33" s="397" t="str">
        <f t="shared" si="10"/>
        <v/>
      </c>
      <c r="BL33" s="1138">
        <v>50000</v>
      </c>
      <c r="BM33" s="243">
        <v>3</v>
      </c>
      <c r="BN33" s="757">
        <v>0</v>
      </c>
      <c r="BO33" s="756">
        <v>7</v>
      </c>
      <c r="BP33" s="1075">
        <v>365</v>
      </c>
      <c r="BQ33" s="244">
        <v>1</v>
      </c>
      <c r="BR33" s="757">
        <v>0</v>
      </c>
      <c r="BS33" s="756">
        <f t="shared" si="11"/>
        <v>7</v>
      </c>
      <c r="BT33" s="241">
        <f t="shared" si="12"/>
        <v>365</v>
      </c>
      <c r="BU33" s="253">
        <v>1</v>
      </c>
      <c r="BV33" s="757">
        <v>0</v>
      </c>
      <c r="BW33" s="1135" t="s">
        <v>2224</v>
      </c>
      <c r="BX33" s="257">
        <v>0</v>
      </c>
      <c r="BY33" s="436">
        <v>0</v>
      </c>
      <c r="BZ33" s="757">
        <v>1</v>
      </c>
      <c r="CA33" s="757">
        <v>0</v>
      </c>
      <c r="CB33" s="1296"/>
      <c r="CD33" s="1136" t="str">
        <f>IF(A33=FALSE,"",Calcul!NZ33)</f>
        <v/>
      </c>
      <c r="CE33" s="1136" t="s">
        <v>2224</v>
      </c>
      <c r="CF33" s="1132" t="s">
        <v>2138</v>
      </c>
      <c r="CG33" s="1136" t="s">
        <v>2254</v>
      </c>
      <c r="CH33" s="1135" t="s">
        <v>2224</v>
      </c>
      <c r="CI33" s="257">
        <v>0</v>
      </c>
      <c r="CJ33" s="436">
        <v>0</v>
      </c>
      <c r="CK33" s="1135">
        <v>1</v>
      </c>
      <c r="CL33" s="1135">
        <v>0</v>
      </c>
      <c r="CM33" s="1170">
        <v>100000</v>
      </c>
      <c r="CN33" s="243">
        <v>2</v>
      </c>
      <c r="CO33" s="757">
        <v>0</v>
      </c>
      <c r="CP33" s="1298">
        <f t="shared" si="16"/>
        <v>100000</v>
      </c>
      <c r="CQ33" s="243">
        <v>2</v>
      </c>
      <c r="CR33" s="757">
        <v>0</v>
      </c>
    </row>
    <row r="34" spans="1:96" s="1281" customFormat="1" ht="30" customHeight="1" outlineLevel="1">
      <c r="A34" s="1430" t="b">
        <f>Calcul!A34</f>
        <v>0</v>
      </c>
      <c r="B34" s="1431" t="str">
        <f t="shared" si="4"/>
        <v/>
      </c>
      <c r="C34" s="1132" t="b">
        <v>0</v>
      </c>
      <c r="D34" s="1133" t="s">
        <v>2293</v>
      </c>
      <c r="E34" s="1433" t="s">
        <v>2139</v>
      </c>
      <c r="F34" s="1434" t="str">
        <f>IF(A34=FALSE,"",IF(NAMES!$D$10=FALSE,IF(Detail!H34="","",Detail!H34),IF(Crewlist!D34="","",Crewlist!D34)))</f>
        <v/>
      </c>
      <c r="G34" s="1434" t="str">
        <f>IF(A34=FALSE,"",IF(NAMES!$D$10=FALSE,IF(Detail!P34="","",Detail!P34),IF(Crewlist!E34="","",Crewlist!E34)))</f>
        <v/>
      </c>
      <c r="H34" s="1434" t="str">
        <f>IF(A34=FALSE,"",IF(NAMES!$D$10=FALSE,IF(Detail!K34="","",Detail!K34),IF(Crewlist!F34="","",Crewlist!F34)))</f>
        <v/>
      </c>
      <c r="I34" s="1435">
        <f>IF(Crewlist!T34="","",Crewlist!T34)</f>
        <v>42566</v>
      </c>
      <c r="J34" s="1435">
        <f>IF(Crewlist!D34="","",IF(Crewlist!U34="",Crewlist!Y34,IF(DATERENOUVMOINS730&lt;&gt;Crewlist!U34&lt;&gt;Crewlist!Y34,Crewlist!U34,DATERENOUVMOINS365)))</f>
        <v>42674</v>
      </c>
      <c r="K34" s="1436">
        <f>IF(Detail!X34="","",Detail!X34)</f>
        <v>42566</v>
      </c>
      <c r="L34" s="1436">
        <f>IF(Detail!H34="","",IF(Detail!Y34="",DATERENOUV,IF(Detail!Y34&gt;Detail!D34,Detail!D34,Detail!Y34)))</f>
        <v>42674</v>
      </c>
      <c r="M34" s="1437" t="str">
        <f>IF(A34=FALSE,"",IF(NAMES!$D$10=FALSE,IF(B34=B35,IF(N34=N35,0,(DATEDIF(K34,L34,"M")+1)),(DATEDIF(K34,L34,"M")+1)),IF(B34=B35,IF(N34=N35,0,(DATEDIF(I34,J34,"M")+1)),(DATEDIF(I34,J34,"M")+1))))</f>
        <v/>
      </c>
      <c r="N34" s="1437" t="str">
        <f t="shared" si="5"/>
        <v>juillet</v>
      </c>
      <c r="O34" s="1438" t="str">
        <f>IF(A34=FALSE,"",IF(NAMES!$D$10=FALSE,IF((DATEDIF(K34,L34,"D")+1)&lt;365,(DATEDIF(K34,L34,"D")+1),365),IF((DATEDIF(I34,J34,"D")+1)&lt;365,(DATEDIF(I34,J34,"D")+1),365)))</f>
        <v/>
      </c>
      <c r="P34" s="1438" t="str">
        <f>IF(A34=FALSE,"",IF(NAMES!$D$10=FALSE,IF(L34="",365,DATEDIF(K34,L34,"D")+1),IF(L34="",365,DATEDIF(I34,J34,"D")+1)))</f>
        <v/>
      </c>
      <c r="Q34" s="787" t="str">
        <f>Calcul!X34</f>
        <v/>
      </c>
      <c r="R34" s="787" t="str">
        <f>Calcul!Y34</f>
        <v/>
      </c>
      <c r="S34" s="811" t="str">
        <f>Calcul!AG34</f>
        <v/>
      </c>
      <c r="T34" s="1439" t="str">
        <f>IF(A34=FALSE,"",IF(NAMES!$D$10=FALSE,IF(Detail!S34="","",Detail!S34),IF(Crewlist!V34="","",Crewlist!V34)))</f>
        <v/>
      </c>
      <c r="U34" s="1440" t="str">
        <f>Calcul!AI34</f>
        <v/>
      </c>
      <c r="V34" s="1440" t="str">
        <f>Calcul!AL34</f>
        <v/>
      </c>
      <c r="W34" s="1440" t="str">
        <f>Calcul!AM34</f>
        <v/>
      </c>
      <c r="X34" s="1441" t="str">
        <f>Calcul!AN34</f>
        <v/>
      </c>
      <c r="Y34" s="1440" t="str">
        <f>Calcul!AO34</f>
        <v/>
      </c>
      <c r="Z34" s="1440" t="str">
        <f>Calcul!AP34</f>
        <v/>
      </c>
      <c r="AA34" s="1441" t="str">
        <f>Calcul!AQ34</f>
        <v/>
      </c>
      <c r="AB34" s="1441" t="str">
        <f>IF(C34=FALSE,"",Calcul!BE34+Calcul!BF34)</f>
        <v/>
      </c>
      <c r="AC34" s="1441" t="str">
        <f>IF(C34=FALSE,"",(Calcul!BG34+Calcul!BH34)+SUM(Calcul!BI34:BN34))</f>
        <v/>
      </c>
      <c r="AD34" s="1441" t="str">
        <f>Calcul!BP34</f>
        <v/>
      </c>
      <c r="AE34" s="1442" t="s">
        <v>2866</v>
      </c>
      <c r="AF34" s="1443" t="s">
        <v>2254</v>
      </c>
      <c r="AG34" s="1444" t="str">
        <f>IF(A34=FALSE,"",YEAR(Detail!F34)&amp;Detail!AG34&amp;Detail!AD34&amp;"-"&amp;Detail!AE34)</f>
        <v/>
      </c>
      <c r="AH34" s="1443" t="s">
        <v>3016</v>
      </c>
      <c r="AI34" s="1453">
        <v>0.1</v>
      </c>
      <c r="AJ34" s="1284">
        <f t="shared" si="6"/>
        <v>0.1</v>
      </c>
      <c r="AK34" s="1284">
        <f t="shared" si="7"/>
        <v>0</v>
      </c>
      <c r="AL34" s="1284">
        <f t="shared" si="8"/>
        <v>0</v>
      </c>
      <c r="AM34" s="1135" t="s">
        <v>2316</v>
      </c>
      <c r="AN34" s="1394">
        <v>24</v>
      </c>
      <c r="AO34" s="1445">
        <v>0</v>
      </c>
      <c r="AP34" s="1284">
        <v>1</v>
      </c>
      <c r="AQ34" s="1284">
        <v>0</v>
      </c>
      <c r="AT34" s="1432" t="s">
        <v>2140</v>
      </c>
      <c r="AU34" s="1446" t="s">
        <v>2255</v>
      </c>
      <c r="AV34" s="1446" t="str">
        <f>IF(A34=FALSE,"",IF(Detail!AT34="","N/A",YEAR(Detail!F34)&amp;Detail!AW34&amp;Detail!AT34&amp;"-"&amp;Detail!AU34&amp;" (100%/"&amp;Detail!CD34&amp;"/"&amp;Detail!CE34&amp;")"))</f>
        <v/>
      </c>
      <c r="AW34" s="1136" t="s">
        <v>3017</v>
      </c>
      <c r="AX34" s="1447" t="str">
        <f>Calcul!DB34</f>
        <v/>
      </c>
      <c r="AY34" s="1298" t="str">
        <f>IF(A34=FALSE,"",51000+(Detail!AA34*7000))</f>
        <v/>
      </c>
      <c r="AZ34" s="1298">
        <v>50000</v>
      </c>
      <c r="BA34" s="1299">
        <v>3</v>
      </c>
      <c r="BB34" s="1284">
        <v>0</v>
      </c>
      <c r="BC34" s="1298" t="str">
        <f>IF(A34=FALSE,"",51000+(Detail!AA34*7000))</f>
        <v/>
      </c>
      <c r="BD34" s="1298">
        <f t="shared" si="13"/>
        <v>50000</v>
      </c>
      <c r="BE34" s="1299">
        <f t="shared" si="14"/>
        <v>3</v>
      </c>
      <c r="BF34" s="1284">
        <f t="shared" si="15"/>
        <v>0</v>
      </c>
      <c r="BG34" s="1298" t="str">
        <f t="shared" si="9"/>
        <v/>
      </c>
      <c r="BH34" s="1298">
        <v>50000</v>
      </c>
      <c r="BI34" s="1299">
        <v>3</v>
      </c>
      <c r="BJ34" s="1284">
        <v>0</v>
      </c>
      <c r="BK34" s="1298" t="str">
        <f t="shared" si="10"/>
        <v/>
      </c>
      <c r="BL34" s="1298">
        <v>50000</v>
      </c>
      <c r="BM34" s="1299">
        <v>3</v>
      </c>
      <c r="BN34" s="1284">
        <v>0</v>
      </c>
      <c r="BO34" s="1432">
        <v>7</v>
      </c>
      <c r="BP34" s="1433">
        <v>365</v>
      </c>
      <c r="BQ34" s="1448">
        <v>1</v>
      </c>
      <c r="BR34" s="1284">
        <v>0</v>
      </c>
      <c r="BS34" s="1432">
        <f t="shared" si="11"/>
        <v>7</v>
      </c>
      <c r="BT34" s="1433">
        <f t="shared" si="12"/>
        <v>365</v>
      </c>
      <c r="BU34" s="1449">
        <v>1</v>
      </c>
      <c r="BV34" s="1284">
        <v>0</v>
      </c>
      <c r="BW34" s="1284" t="s">
        <v>2224</v>
      </c>
      <c r="BX34" s="1450">
        <v>0</v>
      </c>
      <c r="BY34" s="1445">
        <v>0</v>
      </c>
      <c r="BZ34" s="1284">
        <v>1</v>
      </c>
      <c r="CA34" s="1284">
        <v>0</v>
      </c>
      <c r="CB34" s="1451"/>
      <c r="CD34" s="1446" t="str">
        <f>IF(A34=FALSE,"",Calcul!NZ34)</f>
        <v/>
      </c>
      <c r="CE34" s="1446" t="s">
        <v>2224</v>
      </c>
      <c r="CF34" s="1432" t="s">
        <v>2138</v>
      </c>
      <c r="CG34" s="1446" t="s">
        <v>2254</v>
      </c>
      <c r="CH34" s="1284" t="s">
        <v>2224</v>
      </c>
      <c r="CI34" s="1450">
        <v>0</v>
      </c>
      <c r="CJ34" s="1445">
        <v>0</v>
      </c>
      <c r="CK34" s="1284">
        <v>1</v>
      </c>
      <c r="CL34" s="1284">
        <v>0</v>
      </c>
      <c r="CM34" s="1298">
        <v>100000</v>
      </c>
      <c r="CN34" s="1299">
        <v>2</v>
      </c>
      <c r="CO34" s="1284">
        <v>0</v>
      </c>
      <c r="CP34" s="1298">
        <f t="shared" si="16"/>
        <v>100000</v>
      </c>
      <c r="CQ34" s="1299">
        <v>2</v>
      </c>
      <c r="CR34" s="1284">
        <v>0</v>
      </c>
    </row>
    <row r="35" spans="1:96" s="1281" customFormat="1" ht="30" customHeight="1" outlineLevel="1">
      <c r="A35" s="1430" t="b">
        <f>Calcul!A35</f>
        <v>0</v>
      </c>
      <c r="B35" s="1431" t="str">
        <f t="shared" si="4"/>
        <v/>
      </c>
      <c r="C35" s="1132" t="b">
        <v>0</v>
      </c>
      <c r="D35" s="1133" t="s">
        <v>2293</v>
      </c>
      <c r="E35" s="1433" t="s">
        <v>2139</v>
      </c>
      <c r="F35" s="1434" t="str">
        <f>IF(A35=FALSE,"",IF(NAMES!$D$10=FALSE,IF(Detail!H35="","",Detail!H35),IF(Crewlist!D35="","",Crewlist!D35)))</f>
        <v/>
      </c>
      <c r="G35" s="1434" t="str">
        <f>IF(A35=FALSE,"",IF(NAMES!$D$10=FALSE,IF(Detail!P35="","",Detail!P35),IF(Crewlist!E35="","",Crewlist!E35)))</f>
        <v/>
      </c>
      <c r="H35" s="1434" t="str">
        <f>IF(A35=FALSE,"",IF(NAMES!$D$10=FALSE,IF(Detail!K35="","",Detail!K35),IF(Crewlist!F35="","",Crewlist!F35)))</f>
        <v/>
      </c>
      <c r="I35" s="1435">
        <f>IF(Crewlist!T35="","",Crewlist!T35)</f>
        <v>42566</v>
      </c>
      <c r="J35" s="1435">
        <f>IF(Crewlist!D35="","",IF(Crewlist!U35="",Crewlist!Y35,IF(DATERENOUVMOINS730&lt;&gt;Crewlist!U35&lt;&gt;Crewlist!Y35,Crewlist!U35,DATERENOUVMOINS365)))</f>
        <v>42674</v>
      </c>
      <c r="K35" s="1436">
        <f>IF(Detail!X35="","",Detail!X35)</f>
        <v>42566</v>
      </c>
      <c r="L35" s="1436">
        <f>IF(Detail!H35="","",IF(Detail!Y35="",DATERENOUV,IF(Detail!Y35&gt;Detail!D35,Detail!D35,Detail!Y35)))</f>
        <v>42674</v>
      </c>
      <c r="M35" s="1437" t="str">
        <f>IF(A35=FALSE,"",IF(NAMES!$D$10=FALSE,IF(B35=B36,IF(N35=N36,0,(DATEDIF(K35,L35,"M")+1)),(DATEDIF(K35,L35,"M")+1)),IF(B35=B36,IF(N35=N36,0,(DATEDIF(I35,J35,"M")+1)),(DATEDIF(I35,J35,"M")+1))))</f>
        <v/>
      </c>
      <c r="N35" s="1437" t="str">
        <f t="shared" si="5"/>
        <v>juillet</v>
      </c>
      <c r="O35" s="1438" t="str">
        <f>IF(A35=FALSE,"",IF(NAMES!$D$10=FALSE,IF((DATEDIF(K35,L35,"D")+1)&lt;365,(DATEDIF(K35,L35,"D")+1),365),IF((DATEDIF(I35,J35,"D")+1)&lt;365,(DATEDIF(I35,J35,"D")+1),365)))</f>
        <v/>
      </c>
      <c r="P35" s="1438" t="str">
        <f>IF(A35=FALSE,"",IF(NAMES!$D$10=FALSE,IF(L35="",365,DATEDIF(K35,L35,"D")+1),IF(L35="",365,DATEDIF(I35,J35,"D")+1)))</f>
        <v/>
      </c>
      <c r="Q35" s="787" t="str">
        <f>Calcul!X35</f>
        <v/>
      </c>
      <c r="R35" s="787" t="str">
        <f>Calcul!Y35</f>
        <v/>
      </c>
      <c r="S35" s="811" t="str">
        <f>Calcul!AG35</f>
        <v/>
      </c>
      <c r="T35" s="1439" t="str">
        <f>IF(A35=FALSE,"",IF(NAMES!$D$10=FALSE,IF(Detail!S35="","",Detail!S35),IF(Crewlist!V35="","",Crewlist!V35)))</f>
        <v/>
      </c>
      <c r="U35" s="1440" t="str">
        <f>Calcul!AI35</f>
        <v/>
      </c>
      <c r="V35" s="1440" t="str">
        <f>Calcul!AL35</f>
        <v/>
      </c>
      <c r="W35" s="1440" t="str">
        <f>Calcul!AM35</f>
        <v/>
      </c>
      <c r="X35" s="1441" t="str">
        <f>Calcul!AN35</f>
        <v/>
      </c>
      <c r="Y35" s="1440" t="str">
        <f>Calcul!AO35</f>
        <v/>
      </c>
      <c r="Z35" s="1440" t="str">
        <f>Calcul!AP35</f>
        <v/>
      </c>
      <c r="AA35" s="1441" t="str">
        <f>Calcul!AQ35</f>
        <v/>
      </c>
      <c r="AB35" s="1441" t="str">
        <f>IF(C35=FALSE,"",Calcul!BE35+Calcul!BF35)</f>
        <v/>
      </c>
      <c r="AC35" s="1441" t="str">
        <f>IF(C35=FALSE,"",(Calcul!BG35+Calcul!BH35)+SUM(Calcul!BI35:BN35))</f>
        <v/>
      </c>
      <c r="AD35" s="1441" t="str">
        <f>Calcul!BP35</f>
        <v/>
      </c>
      <c r="AE35" s="1442" t="s">
        <v>2866</v>
      </c>
      <c r="AF35" s="1443" t="s">
        <v>2254</v>
      </c>
      <c r="AG35" s="1444" t="str">
        <f>IF(A35=FALSE,"",YEAR(Detail!F35)&amp;Detail!AG35&amp;Detail!AD35&amp;"-"&amp;Detail!AE35)</f>
        <v/>
      </c>
      <c r="AH35" s="1443" t="s">
        <v>3016</v>
      </c>
      <c r="AI35" s="1453">
        <v>0.1</v>
      </c>
      <c r="AJ35" s="1284">
        <f t="shared" si="6"/>
        <v>0.1</v>
      </c>
      <c r="AK35" s="1284">
        <f t="shared" si="7"/>
        <v>0</v>
      </c>
      <c r="AL35" s="1284">
        <f t="shared" si="8"/>
        <v>0</v>
      </c>
      <c r="AM35" s="1135" t="s">
        <v>2316</v>
      </c>
      <c r="AN35" s="1394">
        <v>24</v>
      </c>
      <c r="AO35" s="1445">
        <v>0</v>
      </c>
      <c r="AP35" s="1284">
        <v>1</v>
      </c>
      <c r="AQ35" s="1284">
        <v>0</v>
      </c>
      <c r="AT35" s="1432" t="s">
        <v>2140</v>
      </c>
      <c r="AU35" s="1446" t="s">
        <v>2255</v>
      </c>
      <c r="AV35" s="1446" t="str">
        <f>IF(A35=FALSE,"",IF(Detail!AT35="","N/A",YEAR(Detail!F35)&amp;Detail!AW35&amp;Detail!AT35&amp;"-"&amp;Detail!AU35&amp;" (100%/"&amp;Detail!CD35&amp;"/"&amp;Detail!CE35&amp;")"))</f>
        <v/>
      </c>
      <c r="AW35" s="1136" t="s">
        <v>3017</v>
      </c>
      <c r="AX35" s="1447" t="str">
        <f>Calcul!DB35</f>
        <v/>
      </c>
      <c r="AY35" s="1298" t="str">
        <f>IF(A35=FALSE,"",51000+(Detail!AA35*7000))</f>
        <v/>
      </c>
      <c r="AZ35" s="1298">
        <v>50000</v>
      </c>
      <c r="BA35" s="1299">
        <v>3</v>
      </c>
      <c r="BB35" s="1284">
        <v>0</v>
      </c>
      <c r="BC35" s="1298" t="str">
        <f>IF(A35=FALSE,"",51000+(Detail!AA35*7000))</f>
        <v/>
      </c>
      <c r="BD35" s="1298">
        <f t="shared" si="13"/>
        <v>50000</v>
      </c>
      <c r="BE35" s="1299">
        <f t="shared" si="14"/>
        <v>3</v>
      </c>
      <c r="BF35" s="1284">
        <f t="shared" si="15"/>
        <v>0</v>
      </c>
      <c r="BG35" s="1298" t="str">
        <f t="shared" si="9"/>
        <v/>
      </c>
      <c r="BH35" s="1298">
        <v>50000</v>
      </c>
      <c r="BI35" s="1299">
        <v>3</v>
      </c>
      <c r="BJ35" s="1284">
        <v>0</v>
      </c>
      <c r="BK35" s="1298" t="str">
        <f t="shared" si="10"/>
        <v/>
      </c>
      <c r="BL35" s="1298">
        <v>50000</v>
      </c>
      <c r="BM35" s="1299">
        <v>3</v>
      </c>
      <c r="BN35" s="1284">
        <v>0</v>
      </c>
      <c r="BO35" s="1432">
        <v>7</v>
      </c>
      <c r="BP35" s="1433">
        <v>365</v>
      </c>
      <c r="BQ35" s="1448">
        <v>1</v>
      </c>
      <c r="BR35" s="1284">
        <v>0</v>
      </c>
      <c r="BS35" s="1432">
        <f t="shared" si="11"/>
        <v>7</v>
      </c>
      <c r="BT35" s="1433">
        <f t="shared" si="12"/>
        <v>365</v>
      </c>
      <c r="BU35" s="1449">
        <v>1</v>
      </c>
      <c r="BV35" s="1284">
        <v>0</v>
      </c>
      <c r="BW35" s="1284" t="s">
        <v>2224</v>
      </c>
      <c r="BX35" s="1450">
        <v>0</v>
      </c>
      <c r="BY35" s="1445">
        <v>0</v>
      </c>
      <c r="BZ35" s="1284">
        <v>1</v>
      </c>
      <c r="CA35" s="1284">
        <v>0</v>
      </c>
      <c r="CB35" s="1451"/>
      <c r="CD35" s="1446" t="str">
        <f>IF(A35=FALSE,"",Calcul!NZ35)</f>
        <v/>
      </c>
      <c r="CE35" s="1446" t="s">
        <v>2224</v>
      </c>
      <c r="CF35" s="1432" t="s">
        <v>2138</v>
      </c>
      <c r="CG35" s="1446" t="s">
        <v>2254</v>
      </c>
      <c r="CH35" s="1284" t="s">
        <v>2224</v>
      </c>
      <c r="CI35" s="1450">
        <v>0</v>
      </c>
      <c r="CJ35" s="1445">
        <v>0</v>
      </c>
      <c r="CK35" s="1284">
        <v>1</v>
      </c>
      <c r="CL35" s="1284">
        <v>0</v>
      </c>
      <c r="CM35" s="1298">
        <v>100000</v>
      </c>
      <c r="CN35" s="1299">
        <v>2</v>
      </c>
      <c r="CO35" s="1284">
        <v>0</v>
      </c>
      <c r="CP35" s="1298">
        <f t="shared" si="16"/>
        <v>100000</v>
      </c>
      <c r="CQ35" s="1299">
        <v>2</v>
      </c>
      <c r="CR35" s="1284">
        <v>0</v>
      </c>
    </row>
    <row r="36" spans="1:96" s="1281" customFormat="1" ht="30" customHeight="1" outlineLevel="1">
      <c r="A36" s="1430" t="b">
        <f>Calcul!A36</f>
        <v>0</v>
      </c>
      <c r="B36" s="1431" t="str">
        <f t="shared" si="4"/>
        <v/>
      </c>
      <c r="C36" s="1132" t="b">
        <v>0</v>
      </c>
      <c r="D36" s="1133" t="s">
        <v>2293</v>
      </c>
      <c r="E36" s="1433" t="s">
        <v>2139</v>
      </c>
      <c r="F36" s="1434" t="str">
        <f>IF(A36=FALSE,"",IF(NAMES!$D$10=FALSE,IF(Detail!H36="","",Detail!H36),IF(Crewlist!D36="","",Crewlist!D36)))</f>
        <v/>
      </c>
      <c r="G36" s="1434" t="str">
        <f>IF(A36=FALSE,"",IF(NAMES!$D$10=FALSE,IF(Detail!P36="","",Detail!P36),IF(Crewlist!E36="","",Crewlist!E36)))</f>
        <v/>
      </c>
      <c r="H36" s="1434" t="str">
        <f>IF(A36=FALSE,"",IF(NAMES!$D$10=FALSE,IF(Detail!K36="","",Detail!K36),IF(Crewlist!F36="","",Crewlist!F36)))</f>
        <v/>
      </c>
      <c r="I36" s="1435">
        <f>IF(Crewlist!T36="","",Crewlist!T36)</f>
        <v>42566</v>
      </c>
      <c r="J36" s="1435">
        <f>IF(Crewlist!D36="","",IF(Crewlist!U36="",Crewlist!Y36,IF(DATERENOUVMOINS730&lt;&gt;Crewlist!U36&lt;&gt;Crewlist!Y36,Crewlist!U36,DATERENOUVMOINS365)))</f>
        <v>42674</v>
      </c>
      <c r="K36" s="1436">
        <f>IF(Detail!X36="","",Detail!X36)</f>
        <v>42566</v>
      </c>
      <c r="L36" s="1436">
        <f>IF(Detail!H36="","",IF(Detail!Y36="",DATERENOUV,IF(Detail!Y36&gt;Detail!D36,Detail!D36,Detail!Y36)))</f>
        <v>42674</v>
      </c>
      <c r="M36" s="1437" t="str">
        <f>IF(A36=FALSE,"",IF(NAMES!$D$10=FALSE,IF(B36=B37,IF(N36=N37,0,(DATEDIF(K36,L36,"M")+1)),(DATEDIF(K36,L36,"M")+1)),IF(B36=B37,IF(N36=N37,0,(DATEDIF(I36,J36,"M")+1)),(DATEDIF(I36,J36,"M")+1))))</f>
        <v/>
      </c>
      <c r="N36" s="1437" t="str">
        <f t="shared" si="5"/>
        <v>juillet</v>
      </c>
      <c r="O36" s="1438" t="str">
        <f>IF(A36=FALSE,"",IF(NAMES!$D$10=FALSE,IF((DATEDIF(K36,L36,"D")+1)&lt;365,(DATEDIF(K36,L36,"D")+1),365),IF((DATEDIF(I36,J36,"D")+1)&lt;365,(DATEDIF(I36,J36,"D")+1),365)))</f>
        <v/>
      </c>
      <c r="P36" s="1438" t="str">
        <f>IF(A36=FALSE,"",IF(NAMES!$D$10=FALSE,IF(L36="",365,DATEDIF(K36,L36,"D")+1),IF(L36="",365,DATEDIF(I36,J36,"D")+1)))</f>
        <v/>
      </c>
      <c r="Q36" s="787" t="str">
        <f>Calcul!X36</f>
        <v/>
      </c>
      <c r="R36" s="787" t="str">
        <f>Calcul!Y36</f>
        <v/>
      </c>
      <c r="S36" s="811" t="str">
        <f>Calcul!AG36</f>
        <v/>
      </c>
      <c r="T36" s="1439" t="str">
        <f>IF(A36=FALSE,"",IF(NAMES!$D$10=FALSE,IF(Detail!S36="","",Detail!S36),IF(Crewlist!V36="","",Crewlist!V36)))</f>
        <v/>
      </c>
      <c r="U36" s="1440" t="str">
        <f>Calcul!AI36</f>
        <v/>
      </c>
      <c r="V36" s="1440" t="str">
        <f>Calcul!AL36</f>
        <v/>
      </c>
      <c r="W36" s="1440" t="str">
        <f>Calcul!AM36</f>
        <v/>
      </c>
      <c r="X36" s="1441" t="str">
        <f>Calcul!AN36</f>
        <v/>
      </c>
      <c r="Y36" s="1440" t="str">
        <f>Calcul!AO36</f>
        <v/>
      </c>
      <c r="Z36" s="1440" t="str">
        <f>Calcul!AP36</f>
        <v/>
      </c>
      <c r="AA36" s="1441" t="str">
        <f>Calcul!AQ36</f>
        <v/>
      </c>
      <c r="AB36" s="1441" t="str">
        <f>IF(C36=FALSE,"",Calcul!BE36+Calcul!BF36)</f>
        <v/>
      </c>
      <c r="AC36" s="1441" t="str">
        <f>IF(C36=FALSE,"",(Calcul!BG36+Calcul!BH36)+SUM(Calcul!BI36:BN36))</f>
        <v/>
      </c>
      <c r="AD36" s="1441" t="str">
        <f>Calcul!BP36</f>
        <v/>
      </c>
      <c r="AE36" s="1442" t="s">
        <v>2866</v>
      </c>
      <c r="AF36" s="1443" t="s">
        <v>2254</v>
      </c>
      <c r="AG36" s="1444" t="str">
        <f>IF(A36=FALSE,"",YEAR(Detail!F36)&amp;Detail!AG36&amp;Detail!AD36&amp;"-"&amp;Detail!AE36)</f>
        <v/>
      </c>
      <c r="AH36" s="1443" t="s">
        <v>3016</v>
      </c>
      <c r="AI36" s="1453">
        <v>0.1</v>
      </c>
      <c r="AJ36" s="1284">
        <f t="shared" si="6"/>
        <v>0.1</v>
      </c>
      <c r="AK36" s="1284">
        <f t="shared" si="7"/>
        <v>0</v>
      </c>
      <c r="AL36" s="1284">
        <f t="shared" si="8"/>
        <v>0</v>
      </c>
      <c r="AM36" s="1135" t="s">
        <v>2316</v>
      </c>
      <c r="AN36" s="1394">
        <v>24</v>
      </c>
      <c r="AO36" s="1445">
        <v>0</v>
      </c>
      <c r="AP36" s="1284">
        <v>1</v>
      </c>
      <c r="AQ36" s="1284">
        <v>0</v>
      </c>
      <c r="AT36" s="1432" t="s">
        <v>2140</v>
      </c>
      <c r="AU36" s="1446" t="s">
        <v>2255</v>
      </c>
      <c r="AV36" s="1446" t="str">
        <f>IF(A36=FALSE,"",IF(Detail!AT36="","N/A",YEAR(Detail!F36)&amp;Detail!AW36&amp;Detail!AT36&amp;"-"&amp;Detail!AU36&amp;" (100%/"&amp;Detail!CD36&amp;"/"&amp;Detail!CE36&amp;")"))</f>
        <v/>
      </c>
      <c r="AW36" s="1136" t="s">
        <v>3017</v>
      </c>
      <c r="AX36" s="1447" t="str">
        <f>Calcul!DB36</f>
        <v/>
      </c>
      <c r="AY36" s="1298" t="str">
        <f>IF(A36=FALSE,"",51000+(Detail!AA36*7000))</f>
        <v/>
      </c>
      <c r="AZ36" s="1298">
        <v>50000</v>
      </c>
      <c r="BA36" s="1299">
        <v>3</v>
      </c>
      <c r="BB36" s="1284">
        <v>0</v>
      </c>
      <c r="BC36" s="1298" t="str">
        <f>IF(A36=FALSE,"",51000+(Detail!AA36*7000))</f>
        <v/>
      </c>
      <c r="BD36" s="1298">
        <f t="shared" si="13"/>
        <v>50000</v>
      </c>
      <c r="BE36" s="1299">
        <f t="shared" si="14"/>
        <v>3</v>
      </c>
      <c r="BF36" s="1284">
        <f t="shared" si="15"/>
        <v>0</v>
      </c>
      <c r="BG36" s="1298" t="str">
        <f t="shared" si="9"/>
        <v/>
      </c>
      <c r="BH36" s="1298">
        <v>50000</v>
      </c>
      <c r="BI36" s="1299">
        <v>3</v>
      </c>
      <c r="BJ36" s="1284">
        <v>0</v>
      </c>
      <c r="BK36" s="1298" t="str">
        <f t="shared" si="10"/>
        <v/>
      </c>
      <c r="BL36" s="1298">
        <v>50000</v>
      </c>
      <c r="BM36" s="1299">
        <v>3</v>
      </c>
      <c r="BN36" s="1284">
        <v>0</v>
      </c>
      <c r="BO36" s="1432">
        <v>7</v>
      </c>
      <c r="BP36" s="1433">
        <v>365</v>
      </c>
      <c r="BQ36" s="1448">
        <v>1</v>
      </c>
      <c r="BR36" s="1284">
        <v>0</v>
      </c>
      <c r="BS36" s="1432">
        <f t="shared" si="11"/>
        <v>7</v>
      </c>
      <c r="BT36" s="1433">
        <f t="shared" si="12"/>
        <v>365</v>
      </c>
      <c r="BU36" s="1449">
        <v>1</v>
      </c>
      <c r="BV36" s="1284">
        <v>0</v>
      </c>
      <c r="BW36" s="1284" t="s">
        <v>2224</v>
      </c>
      <c r="BX36" s="1450">
        <v>0</v>
      </c>
      <c r="BY36" s="1445">
        <v>0</v>
      </c>
      <c r="BZ36" s="1284">
        <v>1</v>
      </c>
      <c r="CA36" s="1284">
        <v>0</v>
      </c>
      <c r="CB36" s="1451"/>
      <c r="CD36" s="1446" t="str">
        <f>IF(A36=FALSE,"",Calcul!NZ36)</f>
        <v/>
      </c>
      <c r="CE36" s="1446" t="s">
        <v>2224</v>
      </c>
      <c r="CF36" s="1432" t="s">
        <v>2138</v>
      </c>
      <c r="CG36" s="1446" t="s">
        <v>2254</v>
      </c>
      <c r="CH36" s="1284" t="s">
        <v>2224</v>
      </c>
      <c r="CI36" s="1450">
        <v>0</v>
      </c>
      <c r="CJ36" s="1445">
        <v>0</v>
      </c>
      <c r="CK36" s="1284">
        <v>1</v>
      </c>
      <c r="CL36" s="1284">
        <v>0</v>
      </c>
      <c r="CM36" s="1298">
        <v>100000</v>
      </c>
      <c r="CN36" s="1299">
        <v>2</v>
      </c>
      <c r="CO36" s="1284">
        <v>0</v>
      </c>
      <c r="CP36" s="1298">
        <f t="shared" si="16"/>
        <v>100000</v>
      </c>
      <c r="CQ36" s="1299">
        <v>2</v>
      </c>
      <c r="CR36" s="1284">
        <v>0</v>
      </c>
    </row>
    <row r="37" spans="1:96" s="1281" customFormat="1" ht="30" customHeight="1" outlineLevel="1">
      <c r="A37" s="1430" t="b">
        <f>Calcul!A37</f>
        <v>0</v>
      </c>
      <c r="B37" s="1431" t="str">
        <f t="shared" si="4"/>
        <v/>
      </c>
      <c r="C37" s="1132" t="b">
        <v>0</v>
      </c>
      <c r="D37" s="1133" t="s">
        <v>2293</v>
      </c>
      <c r="E37" s="1433" t="s">
        <v>2139</v>
      </c>
      <c r="F37" s="1434" t="str">
        <f>IF(A37=FALSE,"",IF(NAMES!$D$10=FALSE,IF(Detail!H37="","",Detail!H37),IF(Crewlist!D37="","",Crewlist!D37)))</f>
        <v/>
      </c>
      <c r="G37" s="1434" t="str">
        <f>IF(A37=FALSE,"",IF(NAMES!$D$10=FALSE,IF(Detail!P37="","",Detail!P37),IF(Crewlist!E37="","",Crewlist!E37)))</f>
        <v/>
      </c>
      <c r="H37" s="1434" t="str">
        <f>IF(A37=FALSE,"",IF(NAMES!$D$10=FALSE,IF(Detail!K37="","",Detail!K37),IF(Crewlist!F37="","",Crewlist!F37)))</f>
        <v/>
      </c>
      <c r="I37" s="1435">
        <f>IF(Crewlist!T37="","",Crewlist!T37)</f>
        <v>42566</v>
      </c>
      <c r="J37" s="1435">
        <f>IF(Crewlist!D37="","",IF(Crewlist!U37="",Crewlist!Y37,IF(DATERENOUVMOINS730&lt;&gt;Crewlist!U37&lt;&gt;Crewlist!Y37,Crewlist!U37,DATERENOUVMOINS365)))</f>
        <v>42675</v>
      </c>
      <c r="K37" s="1436">
        <f>IF(Detail!X37="","",Detail!X37)</f>
        <v>42566</v>
      </c>
      <c r="L37" s="1436">
        <f>IF(Detail!H37="","",IF(Detail!Y37="",DATERENOUV,IF(Detail!Y37&gt;Detail!D37,Detail!D37,Detail!Y37)))</f>
        <v>42675</v>
      </c>
      <c r="M37" s="1437" t="str">
        <f>IF(A37=FALSE,"",IF(NAMES!$D$10=FALSE,IF(B37=B38,IF(N37=N38,0,(DATEDIF(K37,L37,"M")+1)),(DATEDIF(K37,L37,"M")+1)),IF(B37=B38,IF(N37=N38,0,(DATEDIF(I37,J37,"M")+1)),(DATEDIF(I37,J37,"M")+1))))</f>
        <v/>
      </c>
      <c r="N37" s="1437" t="str">
        <f t="shared" si="5"/>
        <v>juillet</v>
      </c>
      <c r="O37" s="1438" t="str">
        <f>IF(A37=FALSE,"",IF(NAMES!$D$10=FALSE,IF((DATEDIF(K37,L37,"D")+1)&lt;365,(DATEDIF(K37,L37,"D")+1),365),IF((DATEDIF(I37,J37,"D")+1)&lt;365,(DATEDIF(I37,J37,"D")+1),365)))</f>
        <v/>
      </c>
      <c r="P37" s="1438" t="str">
        <f>IF(A37=FALSE,"",IF(NAMES!$D$10=FALSE,IF(L37="",365,DATEDIF(K37,L37,"D")+1),IF(L37="",365,DATEDIF(I37,J37,"D")+1)))</f>
        <v/>
      </c>
      <c r="Q37" s="787" t="str">
        <f>Calcul!X37</f>
        <v/>
      </c>
      <c r="R37" s="787" t="str">
        <f>Calcul!Y37</f>
        <v/>
      </c>
      <c r="S37" s="811" t="str">
        <f>Calcul!AG37</f>
        <v/>
      </c>
      <c r="T37" s="1439" t="str">
        <f>IF(A37=FALSE,"",IF(NAMES!$D$10=FALSE,IF(Detail!S37="","",Detail!S37),IF(Crewlist!V37="","",Crewlist!V37)))</f>
        <v/>
      </c>
      <c r="U37" s="1440" t="str">
        <f>Calcul!AI37</f>
        <v/>
      </c>
      <c r="V37" s="1440" t="str">
        <f>Calcul!AL37</f>
        <v/>
      </c>
      <c r="W37" s="1440" t="str">
        <f>Calcul!AM37</f>
        <v/>
      </c>
      <c r="X37" s="1441" t="str">
        <f>Calcul!AN37</f>
        <v/>
      </c>
      <c r="Y37" s="1440" t="str">
        <f>Calcul!AO37</f>
        <v/>
      </c>
      <c r="Z37" s="1440" t="str">
        <f>Calcul!AP37</f>
        <v/>
      </c>
      <c r="AA37" s="1441" t="str">
        <f>Calcul!AQ37</f>
        <v/>
      </c>
      <c r="AB37" s="1441" t="str">
        <f>IF(C37=FALSE,"",Calcul!BE37+Calcul!BF37)</f>
        <v/>
      </c>
      <c r="AC37" s="1441" t="str">
        <f>IF(C37=FALSE,"",(Calcul!BG37+Calcul!BH37)+SUM(Calcul!BI37:BN37))</f>
        <v/>
      </c>
      <c r="AD37" s="1441" t="str">
        <f>Calcul!BP37</f>
        <v/>
      </c>
      <c r="AE37" s="1442" t="s">
        <v>2866</v>
      </c>
      <c r="AF37" s="1443" t="s">
        <v>2254</v>
      </c>
      <c r="AG37" s="1444" t="str">
        <f>IF(A37=FALSE,"",YEAR(Detail!F37)&amp;Detail!AG37&amp;Detail!AD37&amp;"-"&amp;Detail!AE37)</f>
        <v/>
      </c>
      <c r="AH37" s="1443" t="s">
        <v>3016</v>
      </c>
      <c r="AI37" s="1453">
        <v>0.1</v>
      </c>
      <c r="AJ37" s="1284">
        <f t="shared" si="6"/>
        <v>0.1</v>
      </c>
      <c r="AK37" s="1284">
        <f t="shared" si="7"/>
        <v>0</v>
      </c>
      <c r="AL37" s="1284">
        <f t="shared" si="8"/>
        <v>0</v>
      </c>
      <c r="AM37" s="1135" t="s">
        <v>2316</v>
      </c>
      <c r="AN37" s="1394">
        <v>24</v>
      </c>
      <c r="AO37" s="1445">
        <v>0</v>
      </c>
      <c r="AP37" s="1284">
        <v>1</v>
      </c>
      <c r="AQ37" s="1284">
        <v>0</v>
      </c>
      <c r="AT37" s="1432" t="s">
        <v>2140</v>
      </c>
      <c r="AU37" s="1446" t="s">
        <v>2255</v>
      </c>
      <c r="AV37" s="1446" t="str">
        <f>IF(A37=FALSE,"",IF(Detail!AT37="","N/A",YEAR(Detail!F37)&amp;Detail!AW37&amp;Detail!AT37&amp;"-"&amp;Detail!AU37&amp;" (100%/"&amp;Detail!CD37&amp;"/"&amp;Detail!CE37&amp;")"))</f>
        <v/>
      </c>
      <c r="AW37" s="1136" t="s">
        <v>3017</v>
      </c>
      <c r="AX37" s="1447" t="str">
        <f>Calcul!DB37</f>
        <v/>
      </c>
      <c r="AY37" s="1298" t="str">
        <f>IF(A37=FALSE,"",51000+(Detail!AA37*7000))</f>
        <v/>
      </c>
      <c r="AZ37" s="1298">
        <v>50000</v>
      </c>
      <c r="BA37" s="1299">
        <v>3</v>
      </c>
      <c r="BB37" s="1284">
        <v>0</v>
      </c>
      <c r="BC37" s="1298" t="str">
        <f>IF(A37=FALSE,"",51000+(Detail!AA37*7000))</f>
        <v/>
      </c>
      <c r="BD37" s="1298">
        <f t="shared" si="13"/>
        <v>50000</v>
      </c>
      <c r="BE37" s="1299">
        <f t="shared" si="14"/>
        <v>3</v>
      </c>
      <c r="BF37" s="1284">
        <f t="shared" si="15"/>
        <v>0</v>
      </c>
      <c r="BG37" s="1298" t="str">
        <f t="shared" si="9"/>
        <v/>
      </c>
      <c r="BH37" s="1298">
        <v>50000</v>
      </c>
      <c r="BI37" s="1299">
        <v>3</v>
      </c>
      <c r="BJ37" s="1284">
        <v>0</v>
      </c>
      <c r="BK37" s="1298" t="str">
        <f t="shared" si="10"/>
        <v/>
      </c>
      <c r="BL37" s="1298">
        <v>50000</v>
      </c>
      <c r="BM37" s="1299">
        <v>3</v>
      </c>
      <c r="BN37" s="1284">
        <v>0</v>
      </c>
      <c r="BO37" s="1432">
        <v>7</v>
      </c>
      <c r="BP37" s="1433">
        <v>365</v>
      </c>
      <c r="BQ37" s="1448">
        <v>1</v>
      </c>
      <c r="BR37" s="1284">
        <v>0</v>
      </c>
      <c r="BS37" s="1432">
        <f t="shared" si="11"/>
        <v>7</v>
      </c>
      <c r="BT37" s="1433">
        <f t="shared" si="12"/>
        <v>365</v>
      </c>
      <c r="BU37" s="1449">
        <v>1</v>
      </c>
      <c r="BV37" s="1284">
        <v>0</v>
      </c>
      <c r="BW37" s="1284" t="s">
        <v>2224</v>
      </c>
      <c r="BX37" s="1450">
        <v>0</v>
      </c>
      <c r="BY37" s="1445">
        <v>0</v>
      </c>
      <c r="BZ37" s="1284">
        <v>1</v>
      </c>
      <c r="CA37" s="1284">
        <v>0</v>
      </c>
      <c r="CB37" s="1451"/>
      <c r="CD37" s="1446" t="str">
        <f>IF(A37=FALSE,"",Calcul!NZ37)</f>
        <v/>
      </c>
      <c r="CE37" s="1446" t="s">
        <v>2224</v>
      </c>
      <c r="CF37" s="1432" t="s">
        <v>2138</v>
      </c>
      <c r="CG37" s="1446" t="s">
        <v>2254</v>
      </c>
      <c r="CH37" s="1284" t="s">
        <v>2224</v>
      </c>
      <c r="CI37" s="1450">
        <v>0</v>
      </c>
      <c r="CJ37" s="1445">
        <v>0</v>
      </c>
      <c r="CK37" s="1284">
        <v>1</v>
      </c>
      <c r="CL37" s="1284">
        <v>0</v>
      </c>
      <c r="CM37" s="1298">
        <v>100000</v>
      </c>
      <c r="CN37" s="1299">
        <v>2</v>
      </c>
      <c r="CO37" s="1284">
        <v>0</v>
      </c>
      <c r="CP37" s="1298">
        <f t="shared" si="16"/>
        <v>100000</v>
      </c>
      <c r="CQ37" s="1299">
        <v>2</v>
      </c>
      <c r="CR37" s="1284">
        <v>0</v>
      </c>
    </row>
    <row r="38" spans="1:96" s="1281" customFormat="1" ht="30" customHeight="1" outlineLevel="1">
      <c r="A38" s="1430" t="b">
        <f>Calcul!A38</f>
        <v>0</v>
      </c>
      <c r="B38" s="1431" t="str">
        <f t="shared" si="4"/>
        <v/>
      </c>
      <c r="C38" s="1132" t="b">
        <v>0</v>
      </c>
      <c r="D38" s="1133" t="s">
        <v>2293</v>
      </c>
      <c r="E38" s="1433" t="s">
        <v>2139</v>
      </c>
      <c r="F38" s="1434" t="str">
        <f>IF(A38=FALSE,"",IF(NAMES!$D$10=FALSE,IF(Detail!H38="","",Detail!H38),IF(Crewlist!D38="","",Crewlist!D38)))</f>
        <v/>
      </c>
      <c r="G38" s="1434" t="str">
        <f>IF(A38=FALSE,"",IF(NAMES!$D$10=FALSE,IF(Detail!P38="","",Detail!P38),IF(Crewlist!E38="","",Crewlist!E38)))</f>
        <v/>
      </c>
      <c r="H38" s="1434" t="str">
        <f>IF(A38=FALSE,"",IF(NAMES!$D$10=FALSE,IF(Detail!K38="","",Detail!K38),IF(Crewlist!F38="","",Crewlist!F38)))</f>
        <v/>
      </c>
      <c r="I38" s="1435">
        <f>IF(Crewlist!T38="","",Crewlist!T38)</f>
        <v>42566</v>
      </c>
      <c r="J38" s="1435">
        <f>IF(Crewlist!D38="","",IF(Crewlist!U38="",Crewlist!Y38,IF(DATERENOUVMOINS730&lt;&gt;Crewlist!U38&lt;&gt;Crewlist!Y38,Crewlist!U38,DATERENOUVMOINS365)))</f>
        <v>42675</v>
      </c>
      <c r="K38" s="1436">
        <f>IF(Detail!X38="","",Detail!X38)</f>
        <v>42566</v>
      </c>
      <c r="L38" s="1436">
        <f>IF(Detail!H38="","",IF(Detail!Y38="",DATERENOUV,IF(Detail!Y38&gt;Detail!D38,Detail!D38,Detail!Y38)))</f>
        <v>42675</v>
      </c>
      <c r="M38" s="1437" t="str">
        <f>IF(A38=FALSE,"",IF(NAMES!$D$10=FALSE,IF(B38=B39,IF(N38=N39,0,(DATEDIF(K38,L38,"M")+1)),(DATEDIF(K38,L38,"M")+1)),IF(B38=B39,IF(N38=N39,0,(DATEDIF(I38,J38,"M")+1)),(DATEDIF(I38,J38,"M")+1))))</f>
        <v/>
      </c>
      <c r="N38" s="1437" t="str">
        <f t="shared" si="5"/>
        <v>juillet</v>
      </c>
      <c r="O38" s="1438" t="str">
        <f>IF(A38=FALSE,"",IF(NAMES!$D$10=FALSE,IF((DATEDIF(K38,L38,"D")+1)&lt;365,(DATEDIF(K38,L38,"D")+1),365),IF((DATEDIF(I38,J38,"D")+1)&lt;365,(DATEDIF(I38,J38,"D")+1),365)))</f>
        <v/>
      </c>
      <c r="P38" s="1438" t="str">
        <f>IF(A38=FALSE,"",IF(NAMES!$D$10=FALSE,IF(L38="",365,DATEDIF(K38,L38,"D")+1),IF(L38="",365,DATEDIF(I38,J38,"D")+1)))</f>
        <v/>
      </c>
      <c r="Q38" s="787" t="str">
        <f>Calcul!X38</f>
        <v/>
      </c>
      <c r="R38" s="787" t="str">
        <f>Calcul!Y38</f>
        <v/>
      </c>
      <c r="S38" s="811" t="str">
        <f>Calcul!AG38</f>
        <v/>
      </c>
      <c r="T38" s="1439" t="str">
        <f>IF(A38=FALSE,"",IF(NAMES!$D$10=FALSE,IF(Detail!S38="","",Detail!S38),IF(Crewlist!V38="","",Crewlist!V38)))</f>
        <v/>
      </c>
      <c r="U38" s="1440" t="str">
        <f>Calcul!AI38</f>
        <v/>
      </c>
      <c r="V38" s="1440" t="str">
        <f>Calcul!AL38</f>
        <v/>
      </c>
      <c r="W38" s="1440" t="str">
        <f>Calcul!AM38</f>
        <v/>
      </c>
      <c r="X38" s="1441" t="str">
        <f>Calcul!AN38</f>
        <v/>
      </c>
      <c r="Y38" s="1440" t="str">
        <f>Calcul!AO38</f>
        <v/>
      </c>
      <c r="Z38" s="1440" t="str">
        <f>Calcul!AP38</f>
        <v/>
      </c>
      <c r="AA38" s="1441" t="str">
        <f>Calcul!AQ38</f>
        <v/>
      </c>
      <c r="AB38" s="1441" t="str">
        <f>IF(C38=FALSE,"",Calcul!BE38+Calcul!BF38)</f>
        <v/>
      </c>
      <c r="AC38" s="1441" t="str">
        <f>IF(C38=FALSE,"",(Calcul!BG38+Calcul!BH38)+SUM(Calcul!BI38:BN38))</f>
        <v/>
      </c>
      <c r="AD38" s="1441" t="str">
        <f>Calcul!BP38</f>
        <v/>
      </c>
      <c r="AE38" s="1442" t="s">
        <v>2866</v>
      </c>
      <c r="AF38" s="1443" t="s">
        <v>2254</v>
      </c>
      <c r="AG38" s="1444" t="str">
        <f>IF(A38=FALSE,"",YEAR(Detail!F38)&amp;Detail!AG38&amp;Detail!AD38&amp;"-"&amp;Detail!AE38)</f>
        <v/>
      </c>
      <c r="AH38" s="1443" t="s">
        <v>3016</v>
      </c>
      <c r="AI38" s="1453">
        <v>0.1</v>
      </c>
      <c r="AJ38" s="1284">
        <f t="shared" si="6"/>
        <v>0.1</v>
      </c>
      <c r="AK38" s="1284">
        <f t="shared" si="7"/>
        <v>0</v>
      </c>
      <c r="AL38" s="1284">
        <f t="shared" si="8"/>
        <v>0</v>
      </c>
      <c r="AM38" s="1135" t="s">
        <v>2316</v>
      </c>
      <c r="AN38" s="1394">
        <v>24</v>
      </c>
      <c r="AO38" s="1445">
        <v>0</v>
      </c>
      <c r="AP38" s="1284">
        <v>1</v>
      </c>
      <c r="AQ38" s="1284">
        <v>0</v>
      </c>
      <c r="AT38" s="1432" t="s">
        <v>2140</v>
      </c>
      <c r="AU38" s="1446" t="s">
        <v>2255</v>
      </c>
      <c r="AV38" s="1446" t="str">
        <f>IF(A38=FALSE,"",IF(Detail!AT38="","N/A",YEAR(Detail!F38)&amp;Detail!AW38&amp;Detail!AT38&amp;"-"&amp;Detail!AU38&amp;" (100%/"&amp;Detail!CD38&amp;"/"&amp;Detail!CE38&amp;")"))</f>
        <v/>
      </c>
      <c r="AW38" s="1136" t="s">
        <v>3017</v>
      </c>
      <c r="AX38" s="1447" t="str">
        <f>Calcul!DB38</f>
        <v/>
      </c>
      <c r="AY38" s="1298" t="str">
        <f>IF(A38=FALSE,"",51000+(Detail!AA38*7000))</f>
        <v/>
      </c>
      <c r="AZ38" s="1298">
        <v>50000</v>
      </c>
      <c r="BA38" s="1299">
        <v>3</v>
      </c>
      <c r="BB38" s="1284">
        <v>0</v>
      </c>
      <c r="BC38" s="1298" t="str">
        <f>IF(A38=FALSE,"",51000+(Detail!AA38*7000))</f>
        <v/>
      </c>
      <c r="BD38" s="1298">
        <f t="shared" si="13"/>
        <v>50000</v>
      </c>
      <c r="BE38" s="1299">
        <f t="shared" si="14"/>
        <v>3</v>
      </c>
      <c r="BF38" s="1284">
        <f t="shared" si="15"/>
        <v>0</v>
      </c>
      <c r="BG38" s="1298" t="str">
        <f t="shared" si="9"/>
        <v/>
      </c>
      <c r="BH38" s="1298">
        <v>50000</v>
      </c>
      <c r="BI38" s="1299">
        <v>3</v>
      </c>
      <c r="BJ38" s="1284">
        <v>0</v>
      </c>
      <c r="BK38" s="1298" t="str">
        <f t="shared" si="10"/>
        <v/>
      </c>
      <c r="BL38" s="1298">
        <v>50000</v>
      </c>
      <c r="BM38" s="1299">
        <v>3</v>
      </c>
      <c r="BN38" s="1284">
        <v>0</v>
      </c>
      <c r="BO38" s="1432">
        <v>7</v>
      </c>
      <c r="BP38" s="1433">
        <v>365</v>
      </c>
      <c r="BQ38" s="1448">
        <v>1</v>
      </c>
      <c r="BR38" s="1284">
        <v>0</v>
      </c>
      <c r="BS38" s="1432">
        <f t="shared" si="11"/>
        <v>7</v>
      </c>
      <c r="BT38" s="1433">
        <f t="shared" si="12"/>
        <v>365</v>
      </c>
      <c r="BU38" s="1449">
        <v>1</v>
      </c>
      <c r="BV38" s="1284">
        <v>0</v>
      </c>
      <c r="BW38" s="1284" t="s">
        <v>2224</v>
      </c>
      <c r="BX38" s="1450">
        <v>0</v>
      </c>
      <c r="BY38" s="1445">
        <v>0</v>
      </c>
      <c r="BZ38" s="1284">
        <v>1</v>
      </c>
      <c r="CA38" s="1284">
        <v>0</v>
      </c>
      <c r="CB38" s="1451"/>
      <c r="CD38" s="1446" t="str">
        <f>IF(A38=FALSE,"",Calcul!NZ38)</f>
        <v/>
      </c>
      <c r="CE38" s="1446" t="s">
        <v>2224</v>
      </c>
      <c r="CF38" s="1432" t="s">
        <v>2138</v>
      </c>
      <c r="CG38" s="1446" t="s">
        <v>2254</v>
      </c>
      <c r="CH38" s="1284" t="s">
        <v>2224</v>
      </c>
      <c r="CI38" s="1450">
        <v>0</v>
      </c>
      <c r="CJ38" s="1445">
        <v>0</v>
      </c>
      <c r="CK38" s="1284">
        <v>1</v>
      </c>
      <c r="CL38" s="1284">
        <v>0</v>
      </c>
      <c r="CM38" s="1298">
        <v>100000</v>
      </c>
      <c r="CN38" s="1299">
        <v>2</v>
      </c>
      <c r="CO38" s="1284">
        <v>0</v>
      </c>
      <c r="CP38" s="1298">
        <f t="shared" si="16"/>
        <v>100000</v>
      </c>
      <c r="CQ38" s="1299">
        <v>2</v>
      </c>
      <c r="CR38" s="1284">
        <v>0</v>
      </c>
    </row>
    <row r="39" spans="1:96" s="1281" customFormat="1" ht="30" customHeight="1" outlineLevel="1">
      <c r="A39" s="1430" t="b">
        <f>Calcul!A39</f>
        <v>0</v>
      </c>
      <c r="B39" s="1431" t="str">
        <f t="shared" si="4"/>
        <v/>
      </c>
      <c r="C39" s="1132" t="b">
        <v>0</v>
      </c>
      <c r="D39" s="1133" t="s">
        <v>2293</v>
      </c>
      <c r="E39" s="1433" t="s">
        <v>2139</v>
      </c>
      <c r="F39" s="1434" t="str">
        <f>IF(A39=FALSE,"",IF(NAMES!$D$10=FALSE,IF(Detail!H39="","",Detail!H39),IF(Crewlist!D39="","",Crewlist!D39)))</f>
        <v/>
      </c>
      <c r="G39" s="1434" t="str">
        <f>IF(A39=FALSE,"",IF(NAMES!$D$10=FALSE,IF(Detail!P39="","",Detail!P39),IF(Crewlist!E39="","",Crewlist!E39)))</f>
        <v/>
      </c>
      <c r="H39" s="1434" t="str">
        <f>IF(A39=FALSE,"",IF(NAMES!$D$10=FALSE,IF(Detail!K39="","",Detail!K39),IF(Crewlist!F39="","",Crewlist!F39)))</f>
        <v/>
      </c>
      <c r="I39" s="1435">
        <f>IF(Crewlist!T39="","",Crewlist!T39)</f>
        <v>42566</v>
      </c>
      <c r="J39" s="1435">
        <f>IF(Crewlist!D39="","",IF(Crewlist!U39="",Crewlist!Y39,IF(DATERENOUVMOINS730&lt;&gt;Crewlist!U39&lt;&gt;Crewlist!Y39,Crewlist!U39,DATERENOUVMOINS365)))</f>
        <v>42749</v>
      </c>
      <c r="K39" s="1436">
        <f>IF(Detail!X39="","",Detail!X39)</f>
        <v>42566</v>
      </c>
      <c r="L39" s="1436">
        <f>IF(Detail!H39="","",IF(Detail!Y39="",DATERENOUV,IF(Detail!Y39&gt;Detail!D39,Detail!D39,Detail!Y39)))</f>
        <v>42749</v>
      </c>
      <c r="M39" s="1437" t="str">
        <f>IF(A39=FALSE,"",IF(NAMES!$D$10=FALSE,IF(B39=B40,IF(N39=N40,0,(DATEDIF(K39,L39,"M")+1)),(DATEDIF(K39,L39,"M")+1)),IF(B39=B40,IF(N39=N40,0,(DATEDIF(I39,J39,"M")+1)),(DATEDIF(I39,J39,"M")+1))))</f>
        <v/>
      </c>
      <c r="N39" s="1437" t="str">
        <f t="shared" si="5"/>
        <v>juillet</v>
      </c>
      <c r="O39" s="1438" t="str">
        <f>IF(A39=FALSE,"",IF(NAMES!$D$10=FALSE,IF((DATEDIF(K39,L39,"D")+1)&lt;365,(DATEDIF(K39,L39,"D")+1),365),IF((DATEDIF(I39,J39,"D")+1)&lt;365,(DATEDIF(I39,J39,"D")+1),365)))</f>
        <v/>
      </c>
      <c r="P39" s="1438" t="str">
        <f>IF(A39=FALSE,"",IF(NAMES!$D$10=FALSE,IF(L39="",365,DATEDIF(K39,L39,"D")+1),IF(L39="",365,DATEDIF(I39,J39,"D")+1)))</f>
        <v/>
      </c>
      <c r="Q39" s="787" t="str">
        <f>Calcul!X39</f>
        <v/>
      </c>
      <c r="R39" s="787" t="str">
        <f>Calcul!Y39</f>
        <v/>
      </c>
      <c r="S39" s="811" t="str">
        <f>Calcul!AG39</f>
        <v/>
      </c>
      <c r="T39" s="1439" t="str">
        <f>IF(A39=FALSE,"",IF(NAMES!$D$10=FALSE,IF(Detail!S39="","",Detail!S39),IF(Crewlist!V39="","",Crewlist!V39)))</f>
        <v/>
      </c>
      <c r="U39" s="1440" t="str">
        <f>Calcul!AI39</f>
        <v/>
      </c>
      <c r="V39" s="1440" t="str">
        <f>Calcul!AL39</f>
        <v/>
      </c>
      <c r="W39" s="1440" t="str">
        <f>Calcul!AM39</f>
        <v/>
      </c>
      <c r="X39" s="1441" t="str">
        <f>Calcul!AN39</f>
        <v/>
      </c>
      <c r="Y39" s="1440" t="str">
        <f>Calcul!AO39</f>
        <v/>
      </c>
      <c r="Z39" s="1440" t="str">
        <f>Calcul!AP39</f>
        <v/>
      </c>
      <c r="AA39" s="1441" t="str">
        <f>Calcul!AQ39</f>
        <v/>
      </c>
      <c r="AB39" s="1441" t="str">
        <f>IF(C39=FALSE,"",Calcul!BE39+Calcul!BF39)</f>
        <v/>
      </c>
      <c r="AC39" s="1441" t="str">
        <f>IF(C39=FALSE,"",(Calcul!BG39+Calcul!BH39)+SUM(Calcul!BI39:BN39))</f>
        <v/>
      </c>
      <c r="AD39" s="1441" t="str">
        <f>Calcul!BP39</f>
        <v/>
      </c>
      <c r="AE39" s="1442" t="s">
        <v>2866</v>
      </c>
      <c r="AF39" s="1443" t="s">
        <v>2254</v>
      </c>
      <c r="AG39" s="1444" t="str">
        <f>IF(A39=FALSE,"",YEAR(Detail!F39)&amp;Detail!AG39&amp;Detail!AD39&amp;"-"&amp;Detail!AE39)</f>
        <v/>
      </c>
      <c r="AH39" s="1443" t="s">
        <v>3016</v>
      </c>
      <c r="AI39" s="1453">
        <v>0.1</v>
      </c>
      <c r="AJ39" s="1284">
        <f t="shared" si="6"/>
        <v>0.1</v>
      </c>
      <c r="AK39" s="1284">
        <f t="shared" si="7"/>
        <v>0</v>
      </c>
      <c r="AL39" s="1284">
        <f t="shared" si="8"/>
        <v>0</v>
      </c>
      <c r="AM39" s="1135" t="s">
        <v>2316</v>
      </c>
      <c r="AN39" s="1394">
        <v>24</v>
      </c>
      <c r="AO39" s="1445">
        <v>0</v>
      </c>
      <c r="AP39" s="1284">
        <v>1</v>
      </c>
      <c r="AQ39" s="1284">
        <v>0</v>
      </c>
      <c r="AT39" s="1432" t="s">
        <v>2140</v>
      </c>
      <c r="AU39" s="1446" t="s">
        <v>2255</v>
      </c>
      <c r="AV39" s="1446" t="str">
        <f>IF(A39=FALSE,"",IF(Detail!AT39="","N/A",YEAR(Detail!F39)&amp;Detail!AW39&amp;Detail!AT39&amp;"-"&amp;Detail!AU39&amp;" (100%/"&amp;Detail!CD39&amp;"/"&amp;Detail!CE39&amp;")"))</f>
        <v/>
      </c>
      <c r="AW39" s="1136" t="s">
        <v>3017</v>
      </c>
      <c r="AX39" s="1447" t="str">
        <f>Calcul!DB39</f>
        <v/>
      </c>
      <c r="AY39" s="1298" t="str">
        <f>IF(A39=FALSE,"",51000+(Detail!AA39*7000))</f>
        <v/>
      </c>
      <c r="AZ39" s="1298">
        <v>50000</v>
      </c>
      <c r="BA39" s="1299">
        <v>3</v>
      </c>
      <c r="BB39" s="1284">
        <v>0</v>
      </c>
      <c r="BC39" s="1298" t="str">
        <f>IF(A39=FALSE,"",51000+(Detail!AA39*7000))</f>
        <v/>
      </c>
      <c r="BD39" s="1298">
        <f t="shared" si="13"/>
        <v>50000</v>
      </c>
      <c r="BE39" s="1299">
        <f t="shared" si="14"/>
        <v>3</v>
      </c>
      <c r="BF39" s="1284">
        <f t="shared" si="15"/>
        <v>0</v>
      </c>
      <c r="BG39" s="1298" t="str">
        <f t="shared" si="9"/>
        <v/>
      </c>
      <c r="BH39" s="1298">
        <v>50000</v>
      </c>
      <c r="BI39" s="1299">
        <v>3</v>
      </c>
      <c r="BJ39" s="1284">
        <v>0</v>
      </c>
      <c r="BK39" s="1298" t="str">
        <f t="shared" si="10"/>
        <v/>
      </c>
      <c r="BL39" s="1298">
        <v>50000</v>
      </c>
      <c r="BM39" s="1299">
        <v>3</v>
      </c>
      <c r="BN39" s="1284">
        <v>0</v>
      </c>
      <c r="BO39" s="1432">
        <v>7</v>
      </c>
      <c r="BP39" s="1433">
        <v>365</v>
      </c>
      <c r="BQ39" s="1448">
        <v>1</v>
      </c>
      <c r="BR39" s="1284">
        <v>0</v>
      </c>
      <c r="BS39" s="1432">
        <f t="shared" si="11"/>
        <v>7</v>
      </c>
      <c r="BT39" s="1433">
        <f t="shared" si="12"/>
        <v>365</v>
      </c>
      <c r="BU39" s="1449">
        <v>1</v>
      </c>
      <c r="BV39" s="1284">
        <v>0</v>
      </c>
      <c r="BW39" s="1284" t="s">
        <v>2224</v>
      </c>
      <c r="BX39" s="1450">
        <v>0</v>
      </c>
      <c r="BY39" s="1445">
        <v>0</v>
      </c>
      <c r="BZ39" s="1284">
        <v>1</v>
      </c>
      <c r="CA39" s="1284">
        <v>0</v>
      </c>
      <c r="CB39" s="1451"/>
      <c r="CD39" s="1446" t="str">
        <f>IF(A39=FALSE,"",Calcul!NZ39)</f>
        <v/>
      </c>
      <c r="CE39" s="1446" t="s">
        <v>2224</v>
      </c>
      <c r="CF39" s="1432" t="s">
        <v>2138</v>
      </c>
      <c r="CG39" s="1446" t="s">
        <v>2254</v>
      </c>
      <c r="CH39" s="1284" t="s">
        <v>2224</v>
      </c>
      <c r="CI39" s="1450">
        <v>0</v>
      </c>
      <c r="CJ39" s="1445">
        <v>0</v>
      </c>
      <c r="CK39" s="1284">
        <v>1</v>
      </c>
      <c r="CL39" s="1284">
        <v>0</v>
      </c>
      <c r="CM39" s="1298">
        <v>100000</v>
      </c>
      <c r="CN39" s="1299">
        <v>2</v>
      </c>
      <c r="CO39" s="1284">
        <v>0</v>
      </c>
      <c r="CP39" s="1298">
        <f t="shared" si="16"/>
        <v>100000</v>
      </c>
      <c r="CQ39" s="1299">
        <v>2</v>
      </c>
      <c r="CR39" s="1284">
        <v>0</v>
      </c>
    </row>
    <row r="40" spans="1:96" s="383" customFormat="1" ht="30" customHeight="1" outlineLevel="1">
      <c r="A40" s="396" t="b">
        <f>Calcul!A40</f>
        <v>1</v>
      </c>
      <c r="B40" s="438" t="str">
        <f t="shared" si="4"/>
        <v>VRAI33janvier42750</v>
      </c>
      <c r="C40" s="1137" t="b">
        <v>1</v>
      </c>
      <c r="D40" s="1133" t="s">
        <v>2784</v>
      </c>
      <c r="E40" s="241" t="s">
        <v>2139</v>
      </c>
      <c r="F40" s="338">
        <f>IF(A40=FALSE,"",IF(NAMES!$D$10=FALSE,IF(Detail!H40="","",Detail!H40),IF(Crewlist!D40="","",Crewlist!D40)))</f>
        <v>33</v>
      </c>
      <c r="G40" s="338" t="str">
        <f>IF(A40=FALSE,"",IF(NAMES!$D$10=FALSE,IF(Detail!P40="","",Detail!P40),IF(Crewlist!E40="","",Crewlist!E40)))</f>
        <v>Captain/Master</v>
      </c>
      <c r="H40" s="338" t="str">
        <f>IF(A40=FALSE,"",IF(NAMES!$D$10=FALSE,IF(Detail!K40="","",Detail!K40),IF(Crewlist!F40="","",Crewlist!F40)))</f>
        <v>PIALLES</v>
      </c>
      <c r="I40" s="1345">
        <f>IF(Crewlist!T40="","",Crewlist!T40)</f>
        <v>42750</v>
      </c>
      <c r="J40" s="1345">
        <f>IF(Crewlist!D40="","",IF(Crewlist!U40="",Crewlist!Y40,IF(DATERENOUVMOINS730&lt;&gt;Crewlist!U40&lt;&gt;Crewlist!Y40,Crewlist!U40,DATERENOUVMOINS365)))</f>
        <v>42930</v>
      </c>
      <c r="K40" s="1346">
        <f>IF(Detail!X40="","",Detail!X40)</f>
        <v>42750</v>
      </c>
      <c r="L40" s="1346">
        <f>IF(Detail!H40="","",IF(Detail!Y40="",DATERENOUV,IF(Detail!Y40&gt;Detail!D40,Detail!D40,Detail!Y40)))</f>
        <v>42930</v>
      </c>
      <c r="M40" s="829">
        <f>IF(A40=FALSE,"",IF(NAMES!$D$10=FALSE,IF(B40=B41,IF(N40=N41,0,(DATEDIF(K40,L40,"M")+1)),(DATEDIF(K40,L40,"M")+1)),IF(B40=B41,IF(N40=N41,0,(DATEDIF(I40,J40,"M")+1)),(DATEDIF(I40,J40,"M")+1))))</f>
        <v>6</v>
      </c>
      <c r="N40" s="339" t="str">
        <f t="shared" si="5"/>
        <v>janvier</v>
      </c>
      <c r="O40" s="340">
        <f>IF(A40=FALSE,"",IF(NAMES!$D$10=FALSE,IF((DATEDIF(K40,L40,"D")+1)&lt;365,(DATEDIF(K40,L40,"D")+1),365),IF((DATEDIF(I40,J40,"D")+1)&lt;365,(DATEDIF(I40,J40,"D")+1),365)))</f>
        <v>181</v>
      </c>
      <c r="P40" s="340">
        <f>IF(A40=FALSE,"",IF(NAMES!$D$10=FALSE,IF(L40="",365,DATEDIF(K40,L40,"D")+1),IF(L40="",365,DATEDIF(I40,J40,"D")+1)))</f>
        <v>181</v>
      </c>
      <c r="Q40" s="787">
        <f>Calcul!X40</f>
        <v>12000</v>
      </c>
      <c r="R40" s="787">
        <f>Calcul!Y40</f>
        <v>144000</v>
      </c>
      <c r="S40" s="811">
        <f>Calcul!AG40</f>
        <v>71408.219178082189</v>
      </c>
      <c r="T40" s="350" t="str">
        <f>IF(A40=FALSE,"",IF(NAMES!$D$10=FALSE,IF(Detail!S40="","",Detail!S40),IF(Crewlist!V40="","",Crewlist!V40)))</f>
        <v>annual</v>
      </c>
      <c r="U40" s="242">
        <f>Calcul!AI40</f>
        <v>3402.8171626263584</v>
      </c>
      <c r="V40" s="242">
        <f>Calcul!AL40</f>
        <v>7</v>
      </c>
      <c r="W40" s="242">
        <f>Calcul!AM40</f>
        <v>130.37758317793697</v>
      </c>
      <c r="X40" s="335">
        <f>Calcul!AN40</f>
        <v>0</v>
      </c>
      <c r="Y40" s="242">
        <f>Calcul!AO40</f>
        <v>137.37758317793697</v>
      </c>
      <c r="Z40" s="242" t="str">
        <f>Calcul!AP40</f>
        <v>WCA</v>
      </c>
      <c r="AA40" s="335">
        <f>Calcul!AQ40</f>
        <v>6</v>
      </c>
      <c r="AB40" s="335">
        <f>IF(C40=FALSE,"",Calcul!BE40+Calcul!BF40)</f>
        <v>610.09615384615381</v>
      </c>
      <c r="AC40" s="335">
        <f>IF(C40=FALSE,"",(Calcul!BG40+Calcul!BH40)+SUM(Calcul!BI40:BN40))</f>
        <v>0</v>
      </c>
      <c r="AD40" s="335">
        <f>Calcul!BP40</f>
        <v>2649.3434256022674</v>
      </c>
      <c r="AE40" s="1325" t="s">
        <v>2866</v>
      </c>
      <c r="AF40" s="573" t="s">
        <v>2254</v>
      </c>
      <c r="AG40" s="318" t="str">
        <f>IF(A40=FALSE,"",YEAR(Detail!F40)&amp;Detail!AG40&amp;Detail!AD40&amp;"-"&amp;Detail!AE40)</f>
        <v>2017EURAIG Luxembourg-Perfect S</v>
      </c>
      <c r="AH40" s="1134" t="s">
        <v>3081</v>
      </c>
      <c r="AI40" s="1453">
        <v>0.1</v>
      </c>
      <c r="AJ40" s="1135">
        <f t="shared" si="6"/>
        <v>0.1</v>
      </c>
      <c r="AK40" s="828">
        <f t="shared" si="7"/>
        <v>0</v>
      </c>
      <c r="AL40" s="828">
        <f t="shared" si="8"/>
        <v>0</v>
      </c>
      <c r="AM40" s="1135" t="s">
        <v>2316</v>
      </c>
      <c r="AN40" s="1455">
        <v>14</v>
      </c>
      <c r="AO40" s="436">
        <v>0</v>
      </c>
      <c r="AP40" s="254">
        <v>1</v>
      </c>
      <c r="AQ40" s="254">
        <v>0</v>
      </c>
      <c r="AS40" s="1127"/>
      <c r="AT40" s="1132" t="s">
        <v>2140</v>
      </c>
      <c r="AU40" s="1136" t="s">
        <v>2255</v>
      </c>
      <c r="AV40" s="1136" t="str">
        <f>IF(A40=FALSE,"",IF(Detail!AT40="","N/A",YEAR(Detail!F40)&amp;Detail!AW40&amp;Detail!AT40&amp;"-"&amp;Detail!AU40&amp;" (100%/"&amp;Detail!CD40&amp;"/"&amp;Detail!CE40&amp;")"))</f>
        <v>2017EURAnker Verzekeringen n.v.-Formula 3 (100%/7/365)</v>
      </c>
      <c r="AW40" s="1136" t="s">
        <v>3083</v>
      </c>
      <c r="AX40" s="1320">
        <f>Calcul!DB40</f>
        <v>2649.3434256022674</v>
      </c>
      <c r="AY40" s="1298">
        <f>IF(A40=FALSE,"",51000+(Detail!AA40*7000))</f>
        <v>51000</v>
      </c>
      <c r="AZ40" s="1170">
        <v>50000</v>
      </c>
      <c r="BA40" s="243">
        <v>3</v>
      </c>
      <c r="BB40" s="1135">
        <v>0</v>
      </c>
      <c r="BC40" s="1298">
        <f>IF(A40=FALSE,"",51000+(Detail!AA40*7000))</f>
        <v>51000</v>
      </c>
      <c r="BD40" s="1298">
        <f t="shared" si="13"/>
        <v>50000</v>
      </c>
      <c r="BE40" s="1299">
        <f t="shared" si="14"/>
        <v>3</v>
      </c>
      <c r="BF40" s="1284">
        <f t="shared" si="15"/>
        <v>0</v>
      </c>
      <c r="BG40" s="397">
        <f t="shared" si="9"/>
        <v>60000</v>
      </c>
      <c r="BH40" s="1138">
        <v>50000</v>
      </c>
      <c r="BI40" s="243">
        <v>3</v>
      </c>
      <c r="BJ40" s="254">
        <v>0</v>
      </c>
      <c r="BK40" s="397">
        <f t="shared" si="10"/>
        <v>60000</v>
      </c>
      <c r="BL40" s="1138">
        <v>50000</v>
      </c>
      <c r="BM40" s="243">
        <v>3</v>
      </c>
      <c r="BN40" s="254">
        <v>0</v>
      </c>
      <c r="BO40" s="239">
        <v>7</v>
      </c>
      <c r="BP40" s="1075">
        <v>365</v>
      </c>
      <c r="BQ40" s="244">
        <v>1</v>
      </c>
      <c r="BR40" s="254">
        <v>0</v>
      </c>
      <c r="BS40" s="239">
        <f t="shared" si="11"/>
        <v>7</v>
      </c>
      <c r="BT40" s="241">
        <f t="shared" si="12"/>
        <v>365</v>
      </c>
      <c r="BU40" s="253">
        <v>1</v>
      </c>
      <c r="BV40" s="254">
        <v>0</v>
      </c>
      <c r="BW40" s="1135" t="s">
        <v>2224</v>
      </c>
      <c r="BX40" s="257">
        <v>0</v>
      </c>
      <c r="BY40" s="436">
        <v>0</v>
      </c>
      <c r="BZ40" s="254">
        <v>1</v>
      </c>
      <c r="CA40" s="254">
        <v>0</v>
      </c>
      <c r="CB40" s="1296"/>
      <c r="CD40" s="1136" t="str">
        <f>IF(A40=FALSE,"",Calcul!NZ40)</f>
        <v>N/A</v>
      </c>
      <c r="CE40" s="1136" t="s">
        <v>2224</v>
      </c>
      <c r="CF40" s="1132" t="s">
        <v>2138</v>
      </c>
      <c r="CG40" s="1136" t="s">
        <v>2254</v>
      </c>
      <c r="CH40" s="1135" t="s">
        <v>2224</v>
      </c>
      <c r="CI40" s="257">
        <v>0</v>
      </c>
      <c r="CJ40" s="436">
        <v>0</v>
      </c>
      <c r="CK40" s="1135">
        <v>1</v>
      </c>
      <c r="CL40" s="1135">
        <v>0</v>
      </c>
      <c r="CM40" s="1170">
        <v>100000</v>
      </c>
      <c r="CN40" s="243">
        <v>2</v>
      </c>
      <c r="CO40" s="254">
        <v>0</v>
      </c>
      <c r="CP40" s="1298">
        <f t="shared" si="16"/>
        <v>100000</v>
      </c>
      <c r="CQ40" s="243">
        <v>2</v>
      </c>
      <c r="CR40" s="254">
        <v>0</v>
      </c>
    </row>
    <row r="41" spans="1:96" s="383" customFormat="1" ht="30" customHeight="1" outlineLevel="1">
      <c r="A41" s="396" t="b">
        <f>Calcul!A41</f>
        <v>1</v>
      </c>
      <c r="B41" s="438" t="str">
        <f t="shared" si="4"/>
        <v>VRAI135202janvier42750</v>
      </c>
      <c r="C41" s="1137" t="b">
        <v>1</v>
      </c>
      <c r="D41" s="1133" t="s">
        <v>2784</v>
      </c>
      <c r="E41" s="241" t="s">
        <v>2139</v>
      </c>
      <c r="F41" s="338">
        <f>IF(A41=FALSE,"",IF(NAMES!$D$10=FALSE,IF(Detail!H41="","",Detail!H41),IF(Crewlist!D41="","",Crewlist!D41)))</f>
        <v>135202</v>
      </c>
      <c r="G41" s="338" t="str">
        <f>IF(A41=FALSE,"",IF(NAMES!$D$10=FALSE,IF(Detail!P41="","",Detail!P41),IF(Crewlist!E41="","",Crewlist!E41)))</f>
        <v>sous Chef</v>
      </c>
      <c r="H41" s="338" t="str">
        <f>IF(A41=FALSE,"",IF(NAMES!$D$10=FALSE,IF(Detail!K41="","",Detail!K41),IF(Crewlist!F41="","",Crewlist!F41)))</f>
        <v>CSONGRADI</v>
      </c>
      <c r="I41" s="1345">
        <f>IF(Crewlist!T41="","",Crewlist!T41)</f>
        <v>42750</v>
      </c>
      <c r="J41" s="1345">
        <f>IF(Crewlist!D41="","",IF(Crewlist!U41="",Crewlist!Y41,IF(DATERENOUVMOINS730&lt;&gt;Crewlist!U41&lt;&gt;Crewlist!Y41,Crewlist!U41,DATERENOUVMOINS365)))</f>
        <v>42930</v>
      </c>
      <c r="K41" s="1346">
        <f>IF(Detail!X41="","",Detail!X41)</f>
        <v>42750</v>
      </c>
      <c r="L41" s="1346">
        <f>IF(Detail!H41="","",IF(Detail!Y41="",DATERENOUV,IF(Detail!Y41&gt;Detail!D41,Detail!D41,Detail!Y41)))</f>
        <v>42930</v>
      </c>
      <c r="M41" s="829">
        <f>IF(A41=FALSE,"",IF(NAMES!$D$10=FALSE,IF(B41=B42,IF(N41=N42,0,(DATEDIF(K41,L41,"M")+1)),(DATEDIF(K41,L41,"M")+1)),IF(B41=B42,IF(N41=N42,0,(DATEDIF(I41,J41,"M")+1)),(DATEDIF(I41,J41,"M")+1))))</f>
        <v>6</v>
      </c>
      <c r="N41" s="339" t="str">
        <f t="shared" si="5"/>
        <v>janvier</v>
      </c>
      <c r="O41" s="340">
        <f>IF(A41=FALSE,"",IF(NAMES!$D$10=FALSE,IF((DATEDIF(K41,L41,"D")+1)&lt;365,(DATEDIF(K41,L41,"D")+1),365),IF((DATEDIF(I41,J41,"D")+1)&lt;365,(DATEDIF(I41,J41,"D")+1),365)))</f>
        <v>181</v>
      </c>
      <c r="P41" s="340">
        <f>IF(A41=FALSE,"",IF(NAMES!$D$10=FALSE,IF(L41="",365,DATEDIF(K41,L41,"D")+1),IF(L41="",365,DATEDIF(I41,J41,"D")+1)))</f>
        <v>181</v>
      </c>
      <c r="Q41" s="787">
        <f>Calcul!X41</f>
        <v>4000</v>
      </c>
      <c r="R41" s="787">
        <f>Calcul!Y41</f>
        <v>48000</v>
      </c>
      <c r="S41" s="811">
        <f>Calcul!AG41</f>
        <v>23802.739726027401</v>
      </c>
      <c r="T41" s="350" t="str">
        <f>IF(A41=FALSE,"",IF(NAMES!$D$10=FALSE,IF(Detail!S41="","",Detail!S41),IF(Crewlist!V41="","",Crewlist!V41)))</f>
        <v>annual</v>
      </c>
      <c r="U41" s="242">
        <f>Calcul!AI41</f>
        <v>1337.208256665092</v>
      </c>
      <c r="V41" s="242">
        <f>Calcul!AL41</f>
        <v>7.5876000000000001</v>
      </c>
      <c r="W41" s="242">
        <f>Calcul!AM41</f>
        <v>50.908486794811282</v>
      </c>
      <c r="X41" s="335">
        <f>Calcul!AN41</f>
        <v>0</v>
      </c>
      <c r="Y41" s="242">
        <f>Calcul!AO41</f>
        <v>58.496086794811283</v>
      </c>
      <c r="Z41" s="242" t="str">
        <f>Calcul!AP41</f>
        <v>WCA</v>
      </c>
      <c r="AA41" s="335">
        <f>Calcul!AQ41</f>
        <v>6</v>
      </c>
      <c r="AB41" s="335">
        <f>IF(C41=FALSE,"",Calcul!BE41+Calcul!BF41)</f>
        <v>313.18269230769226</v>
      </c>
      <c r="AC41" s="335">
        <f>IF(C41=FALSE,"",(Calcul!BG41+Calcul!BH41)+SUM(Calcul!BI41:BN41))</f>
        <v>0</v>
      </c>
      <c r="AD41" s="335">
        <f>Calcul!BP41</f>
        <v>959.52947756258868</v>
      </c>
      <c r="AE41" s="1325" t="s">
        <v>2866</v>
      </c>
      <c r="AF41" s="573" t="s">
        <v>2254</v>
      </c>
      <c r="AG41" s="318" t="str">
        <f>IF(A41=FALSE,"",YEAR(Detail!F41)&amp;Detail!AG41&amp;Detail!AD41&amp;"-"&amp;Detail!AE41)</f>
        <v>2017EURAIG Luxembourg-StandardMLC S</v>
      </c>
      <c r="AH41" s="1134" t="s">
        <v>3082</v>
      </c>
      <c r="AI41" s="1453">
        <v>0.1</v>
      </c>
      <c r="AJ41" s="1135">
        <f t="shared" si="6"/>
        <v>0.1</v>
      </c>
      <c r="AK41" s="828">
        <f t="shared" si="7"/>
        <v>0</v>
      </c>
      <c r="AL41" s="828">
        <f t="shared" si="8"/>
        <v>0</v>
      </c>
      <c r="AM41" s="1135" t="s">
        <v>2316</v>
      </c>
      <c r="AN41" s="1455">
        <v>15.1752</v>
      </c>
      <c r="AO41" s="436">
        <v>0</v>
      </c>
      <c r="AP41" s="254">
        <v>1</v>
      </c>
      <c r="AQ41" s="254">
        <v>0</v>
      </c>
      <c r="AS41" s="1127"/>
      <c r="AT41" s="1132" t="s">
        <v>2140</v>
      </c>
      <c r="AU41" s="1136" t="s">
        <v>2255</v>
      </c>
      <c r="AV41" s="1136" t="str">
        <f>IF(A41=FALSE,"",IF(Detail!AT41="","N/A",YEAR(Detail!F41)&amp;Detail!AW41&amp;Detail!AT41&amp;"-"&amp;Detail!AU41&amp;" (100%/"&amp;Detail!CD41&amp;"/"&amp;Detail!CE41&amp;")"))</f>
        <v>2017EURAnker Verzekeringen n.v.-Formula 3 (100%/7/365)</v>
      </c>
      <c r="AW41" s="1136" t="s">
        <v>3083</v>
      </c>
      <c r="AX41" s="1320">
        <f>Calcul!DB41</f>
        <v>959.52947756258868</v>
      </c>
      <c r="AY41" s="1298">
        <f>IF(A41=FALSE,"",51000+(Detail!AA41*7000))</f>
        <v>51000</v>
      </c>
      <c r="AZ41" s="1170">
        <v>50000</v>
      </c>
      <c r="BA41" s="243">
        <v>3</v>
      </c>
      <c r="BB41" s="1135">
        <v>0</v>
      </c>
      <c r="BC41" s="1298">
        <f>IF(A41=FALSE,"",51000+(Detail!AA41*7000))</f>
        <v>51000</v>
      </c>
      <c r="BD41" s="1298">
        <f t="shared" si="13"/>
        <v>50000</v>
      </c>
      <c r="BE41" s="1299">
        <f t="shared" si="14"/>
        <v>3</v>
      </c>
      <c r="BF41" s="1284">
        <f t="shared" si="15"/>
        <v>0</v>
      </c>
      <c r="BG41" s="397">
        <f t="shared" si="9"/>
        <v>60000</v>
      </c>
      <c r="BH41" s="1138">
        <v>50000</v>
      </c>
      <c r="BI41" s="243">
        <v>3</v>
      </c>
      <c r="BJ41" s="254">
        <v>0</v>
      </c>
      <c r="BK41" s="397">
        <f t="shared" si="10"/>
        <v>60000</v>
      </c>
      <c r="BL41" s="1138">
        <v>50000</v>
      </c>
      <c r="BM41" s="243">
        <v>3</v>
      </c>
      <c r="BN41" s="254">
        <v>0</v>
      </c>
      <c r="BO41" s="239">
        <v>7</v>
      </c>
      <c r="BP41" s="1075">
        <v>365</v>
      </c>
      <c r="BQ41" s="244">
        <v>1</v>
      </c>
      <c r="BR41" s="254">
        <v>0</v>
      </c>
      <c r="BS41" s="239">
        <f t="shared" si="11"/>
        <v>7</v>
      </c>
      <c r="BT41" s="241">
        <f t="shared" si="12"/>
        <v>365</v>
      </c>
      <c r="BU41" s="253">
        <v>1</v>
      </c>
      <c r="BV41" s="254">
        <v>0</v>
      </c>
      <c r="BW41" s="1135" t="s">
        <v>2224</v>
      </c>
      <c r="BX41" s="257">
        <v>0</v>
      </c>
      <c r="BY41" s="436">
        <v>0</v>
      </c>
      <c r="BZ41" s="254">
        <v>1</v>
      </c>
      <c r="CA41" s="254">
        <v>0</v>
      </c>
      <c r="CB41" s="1296"/>
      <c r="CD41" s="1136" t="str">
        <f>IF(A41=FALSE,"",Calcul!NZ41)</f>
        <v>N/A</v>
      </c>
      <c r="CE41" s="1136" t="s">
        <v>2224</v>
      </c>
      <c r="CF41" s="1132" t="s">
        <v>2138</v>
      </c>
      <c r="CG41" s="1136" t="s">
        <v>2254</v>
      </c>
      <c r="CH41" s="1135" t="s">
        <v>2224</v>
      </c>
      <c r="CI41" s="257">
        <v>0</v>
      </c>
      <c r="CJ41" s="436">
        <v>0</v>
      </c>
      <c r="CK41" s="1135">
        <v>1</v>
      </c>
      <c r="CL41" s="1135">
        <v>0</v>
      </c>
      <c r="CM41" s="1170">
        <v>100000</v>
      </c>
      <c r="CN41" s="243">
        <v>2</v>
      </c>
      <c r="CO41" s="254">
        <v>0</v>
      </c>
      <c r="CP41" s="1298">
        <f t="shared" si="16"/>
        <v>100000</v>
      </c>
      <c r="CQ41" s="243">
        <v>2</v>
      </c>
      <c r="CR41" s="254">
        <v>0</v>
      </c>
    </row>
    <row r="42" spans="1:96" s="383" customFormat="1" ht="30" customHeight="1" outlineLevel="1">
      <c r="A42" s="396" t="b">
        <f>Calcul!A42</f>
        <v>1</v>
      </c>
      <c r="B42" s="438" t="str">
        <f t="shared" si="4"/>
        <v>VRAI133440janvier42750</v>
      </c>
      <c r="C42" s="1137" t="b">
        <v>1</v>
      </c>
      <c r="D42" s="1133" t="s">
        <v>2784</v>
      </c>
      <c r="E42" s="241" t="s">
        <v>2139</v>
      </c>
      <c r="F42" s="338">
        <f>IF(A42=FALSE,"",IF(NAMES!$D$10=FALSE,IF(Detail!H42="","",Detail!H42),IF(Crewlist!D42="","",Crewlist!D42)))</f>
        <v>133440</v>
      </c>
      <c r="G42" s="338" t="str">
        <f>IF(A42=FALSE,"",IF(NAMES!$D$10=FALSE,IF(Detail!P42="","",Detail!P42),IF(Crewlist!E42="","",Crewlist!E42)))</f>
        <v>2nd engineer</v>
      </c>
      <c r="H42" s="338" t="str">
        <f>IF(A42=FALSE,"",IF(NAMES!$D$10=FALSE,IF(Detail!K42="","",Detail!K42),IF(Crewlist!F42="","",Crewlist!F42)))</f>
        <v>ISAIC</v>
      </c>
      <c r="I42" s="1345">
        <f>IF(Crewlist!T42="","",Crewlist!T42)</f>
        <v>42750</v>
      </c>
      <c r="J42" s="1345">
        <f>IF(Crewlist!D42="","",IF(Crewlist!U42="",Crewlist!Y42,IF(DATERENOUVMOINS730&lt;&gt;Crewlist!U42&lt;&gt;Crewlist!Y42,Crewlist!U42,DATERENOUVMOINS365)))</f>
        <v>42930</v>
      </c>
      <c r="K42" s="1346">
        <f>IF(Detail!X42="","",Detail!X42)</f>
        <v>42750</v>
      </c>
      <c r="L42" s="1346">
        <f>IF(Detail!H42="","",IF(Detail!Y42="",DATERENOUV,IF(Detail!Y42&gt;Detail!D42,Detail!D42,Detail!Y42)))</f>
        <v>42930</v>
      </c>
      <c r="M42" s="829">
        <f>IF(A42=FALSE,"",IF(NAMES!$D$10=FALSE,IF(B42=B43,IF(N42=N43,0,(DATEDIF(K42,L42,"M")+1)),(DATEDIF(K42,L42,"M")+1)),IF(B42=B43,IF(N42=N43,0,(DATEDIF(I42,J42,"M")+1)),(DATEDIF(I42,J42,"M")+1))))</f>
        <v>6</v>
      </c>
      <c r="N42" s="339" t="str">
        <f t="shared" si="5"/>
        <v>janvier</v>
      </c>
      <c r="O42" s="340">
        <f>IF(A42=FALSE,"",IF(NAMES!$D$10=FALSE,IF((DATEDIF(K42,L42,"D")+1)&lt;365,(DATEDIF(K42,L42,"D")+1),365),IF((DATEDIF(I42,J42,"D")+1)&lt;365,(DATEDIF(I42,J42,"D")+1),365)))</f>
        <v>181</v>
      </c>
      <c r="P42" s="340">
        <f>IF(A42=FALSE,"",IF(NAMES!$D$10=FALSE,IF(L42="",365,DATEDIF(K42,L42,"D")+1),IF(L42="",365,DATEDIF(I42,J42,"D")+1)))</f>
        <v>181</v>
      </c>
      <c r="Q42" s="787">
        <f>Calcul!X42</f>
        <v>4000</v>
      </c>
      <c r="R42" s="787">
        <f>Calcul!Y42</f>
        <v>48000</v>
      </c>
      <c r="S42" s="811">
        <f>Calcul!AG42</f>
        <v>23802.739726027401</v>
      </c>
      <c r="T42" s="350" t="str">
        <f>IF(A42=FALSE,"",IF(NAMES!$D$10=FALSE,IF(Detail!S42="","",Detail!S42),IF(Crewlist!V42="","",Crewlist!V42)))</f>
        <v>annual</v>
      </c>
      <c r="U42" s="242">
        <f>Calcul!AI42</f>
        <v>1337.208256665092</v>
      </c>
      <c r="V42" s="242">
        <f>Calcul!AL42</f>
        <v>7.5876000000000001</v>
      </c>
      <c r="W42" s="242">
        <f>Calcul!AM42</f>
        <v>50.908486794811282</v>
      </c>
      <c r="X42" s="335">
        <f>Calcul!AN42</f>
        <v>0</v>
      </c>
      <c r="Y42" s="242">
        <f>Calcul!AO42</f>
        <v>58.496086794811283</v>
      </c>
      <c r="Z42" s="242" t="str">
        <f>Calcul!AP42</f>
        <v>WCA</v>
      </c>
      <c r="AA42" s="335">
        <f>Calcul!AQ42</f>
        <v>6</v>
      </c>
      <c r="AB42" s="335">
        <f>IF(C42=FALSE,"",Calcul!BE42+Calcul!BF42)</f>
        <v>313.18269230769226</v>
      </c>
      <c r="AC42" s="335">
        <f>IF(C42=FALSE,"",(Calcul!BG42+Calcul!BH42)+SUM(Calcul!BI42:BN42))</f>
        <v>0</v>
      </c>
      <c r="AD42" s="335">
        <f>Calcul!BP42</f>
        <v>959.52947756258868</v>
      </c>
      <c r="AE42" s="1325" t="s">
        <v>2866</v>
      </c>
      <c r="AF42" s="573" t="s">
        <v>2254</v>
      </c>
      <c r="AG42" s="318" t="str">
        <f>IF(A42=FALSE,"",YEAR(Detail!F42)&amp;Detail!AG42&amp;Detail!AD42&amp;"-"&amp;Detail!AE42)</f>
        <v>2017EURAIG Luxembourg-StandardMLC S</v>
      </c>
      <c r="AH42" s="1134" t="s">
        <v>3082</v>
      </c>
      <c r="AI42" s="1453">
        <v>0.1</v>
      </c>
      <c r="AJ42" s="1135">
        <f t="shared" si="6"/>
        <v>0.1</v>
      </c>
      <c r="AK42" s="828">
        <f t="shared" si="7"/>
        <v>0</v>
      </c>
      <c r="AL42" s="828">
        <f t="shared" si="8"/>
        <v>0</v>
      </c>
      <c r="AM42" s="1135" t="s">
        <v>2316</v>
      </c>
      <c r="AN42" s="1455">
        <v>15.1752</v>
      </c>
      <c r="AO42" s="436">
        <v>0</v>
      </c>
      <c r="AP42" s="254">
        <v>1</v>
      </c>
      <c r="AQ42" s="254">
        <v>0</v>
      </c>
      <c r="AS42" s="1127"/>
      <c r="AT42" s="1132" t="s">
        <v>2140</v>
      </c>
      <c r="AU42" s="1136" t="s">
        <v>2255</v>
      </c>
      <c r="AV42" s="1136" t="str">
        <f>IF(A42=FALSE,"",IF(Detail!AT42="","N/A",YEAR(Detail!F42)&amp;Detail!AW42&amp;Detail!AT42&amp;"-"&amp;Detail!AU42&amp;" (100%/"&amp;Detail!CD42&amp;"/"&amp;Detail!CE42&amp;")"))</f>
        <v>2017EURAnker Verzekeringen n.v.-Formula 3 (100%/7/365)</v>
      </c>
      <c r="AW42" s="1136" t="s">
        <v>3083</v>
      </c>
      <c r="AX42" s="1320">
        <f>Calcul!DB42</f>
        <v>959.52947756258868</v>
      </c>
      <c r="AY42" s="1298">
        <f>IF(A42=FALSE,"",51000+(Detail!AA42*7000))</f>
        <v>51000</v>
      </c>
      <c r="AZ42" s="1170">
        <v>50000</v>
      </c>
      <c r="BA42" s="243">
        <v>3</v>
      </c>
      <c r="BB42" s="1135">
        <v>0</v>
      </c>
      <c r="BC42" s="1298">
        <f>IF(A42=FALSE,"",51000+(Detail!AA42*7000))</f>
        <v>51000</v>
      </c>
      <c r="BD42" s="1298">
        <f t="shared" si="13"/>
        <v>50000</v>
      </c>
      <c r="BE42" s="1299">
        <f t="shared" si="14"/>
        <v>3</v>
      </c>
      <c r="BF42" s="1284">
        <f t="shared" si="15"/>
        <v>0</v>
      </c>
      <c r="BG42" s="397">
        <f t="shared" si="9"/>
        <v>60000</v>
      </c>
      <c r="BH42" s="1138">
        <v>50000</v>
      </c>
      <c r="BI42" s="243">
        <v>3</v>
      </c>
      <c r="BJ42" s="254">
        <v>0</v>
      </c>
      <c r="BK42" s="397">
        <f t="shared" si="10"/>
        <v>60000</v>
      </c>
      <c r="BL42" s="1138">
        <v>50000</v>
      </c>
      <c r="BM42" s="243">
        <v>3</v>
      </c>
      <c r="BN42" s="254">
        <v>0</v>
      </c>
      <c r="BO42" s="239">
        <v>7</v>
      </c>
      <c r="BP42" s="1075">
        <v>365</v>
      </c>
      <c r="BQ42" s="244">
        <v>1</v>
      </c>
      <c r="BR42" s="254">
        <v>0</v>
      </c>
      <c r="BS42" s="239">
        <f t="shared" si="11"/>
        <v>7</v>
      </c>
      <c r="BT42" s="241">
        <f t="shared" si="12"/>
        <v>365</v>
      </c>
      <c r="BU42" s="253">
        <v>1</v>
      </c>
      <c r="BV42" s="254">
        <v>0</v>
      </c>
      <c r="BW42" s="1135" t="s">
        <v>2224</v>
      </c>
      <c r="BX42" s="257">
        <v>0</v>
      </c>
      <c r="BY42" s="436">
        <v>0</v>
      </c>
      <c r="BZ42" s="254">
        <v>1</v>
      </c>
      <c r="CA42" s="254">
        <v>0</v>
      </c>
      <c r="CB42" s="1296"/>
      <c r="CD42" s="1136" t="str">
        <f>IF(A42=FALSE,"",Calcul!NZ42)</f>
        <v>N/A</v>
      </c>
      <c r="CE42" s="1136" t="s">
        <v>2224</v>
      </c>
      <c r="CF42" s="1132" t="s">
        <v>2138</v>
      </c>
      <c r="CG42" s="1136" t="s">
        <v>2254</v>
      </c>
      <c r="CH42" s="1135" t="s">
        <v>2224</v>
      </c>
      <c r="CI42" s="257">
        <v>0</v>
      </c>
      <c r="CJ42" s="436">
        <v>0</v>
      </c>
      <c r="CK42" s="1135">
        <v>1</v>
      </c>
      <c r="CL42" s="1135">
        <v>0</v>
      </c>
      <c r="CM42" s="1170">
        <v>100000</v>
      </c>
      <c r="CN42" s="243">
        <v>2</v>
      </c>
      <c r="CO42" s="254">
        <v>0</v>
      </c>
      <c r="CP42" s="1298">
        <f t="shared" si="16"/>
        <v>100000</v>
      </c>
      <c r="CQ42" s="243">
        <v>2</v>
      </c>
      <c r="CR42" s="254">
        <v>0</v>
      </c>
    </row>
    <row r="43" spans="1:96" s="383" customFormat="1" ht="30" customHeight="1" outlineLevel="1">
      <c r="A43" s="396" t="b">
        <f>Calcul!A43</f>
        <v>1</v>
      </c>
      <c r="B43" s="438" t="str">
        <f t="shared" si="4"/>
        <v>VRAI133586janvier42750</v>
      </c>
      <c r="C43" s="1137" t="b">
        <v>1</v>
      </c>
      <c r="D43" s="1133" t="s">
        <v>2784</v>
      </c>
      <c r="E43" s="241" t="s">
        <v>2139</v>
      </c>
      <c r="F43" s="338">
        <f>IF(A43=FALSE,"",IF(NAMES!$D$10=FALSE,IF(Detail!H43="","",Detail!H43),IF(Crewlist!D43="","",Crewlist!D43)))</f>
        <v>133586</v>
      </c>
      <c r="G43" s="338" t="str">
        <f>IF(A43=FALSE,"",IF(NAMES!$D$10=FALSE,IF(Detail!P43="","",Detail!P43),IF(Crewlist!E43="","",Crewlist!E43)))</f>
        <v>Chief Engineer</v>
      </c>
      <c r="H43" s="338" t="str">
        <f>IF(A43=FALSE,"",IF(NAMES!$D$10=FALSE,IF(Detail!K43="","",Detail!K43),IF(Crewlist!F43="","",Crewlist!F43)))</f>
        <v>IVANCIU</v>
      </c>
      <c r="I43" s="1345">
        <f>IF(Crewlist!T43="","",Crewlist!T43)</f>
        <v>42750</v>
      </c>
      <c r="J43" s="1345">
        <f>IF(Crewlist!D43="","",IF(Crewlist!U43="",Crewlist!Y43,IF(DATERENOUVMOINS730&lt;&gt;Crewlist!U43&lt;&gt;Crewlist!Y43,Crewlist!U43,DATERENOUVMOINS365)))</f>
        <v>42930</v>
      </c>
      <c r="K43" s="1346">
        <f>IF(Detail!X43="","",Detail!X43)</f>
        <v>42750</v>
      </c>
      <c r="L43" s="1346">
        <f>IF(Detail!H43="","",IF(Detail!Y43="",DATERENOUV,IF(Detail!Y43&gt;Detail!D43,Detail!D43,Detail!Y43)))</f>
        <v>42930</v>
      </c>
      <c r="M43" s="829">
        <f>IF(A43=FALSE,"",IF(NAMES!$D$10=FALSE,IF(B43=B44,IF(N43=N44,0,(DATEDIF(K43,L43,"M")+1)),(DATEDIF(K43,L43,"M")+1)),IF(B43=B44,IF(N43=N44,0,(DATEDIF(I43,J43,"M")+1)),(DATEDIF(I43,J43,"M")+1))))</f>
        <v>6</v>
      </c>
      <c r="N43" s="339" t="str">
        <f t="shared" si="5"/>
        <v>janvier</v>
      </c>
      <c r="O43" s="340">
        <f>IF(A43=FALSE,"",IF(NAMES!$D$10=FALSE,IF((DATEDIF(K43,L43,"D")+1)&lt;365,(DATEDIF(K43,L43,"D")+1),365),IF((DATEDIF(I43,J43,"D")+1)&lt;365,(DATEDIF(I43,J43,"D")+1),365)))</f>
        <v>181</v>
      </c>
      <c r="P43" s="340">
        <f>IF(A43=FALSE,"",IF(NAMES!$D$10=FALSE,IF(L43="",365,DATEDIF(K43,L43,"D")+1),IF(L43="",365,DATEDIF(I43,J43,"D")+1)))</f>
        <v>181</v>
      </c>
      <c r="Q43" s="787">
        <f>Calcul!X43</f>
        <v>7000</v>
      </c>
      <c r="R43" s="787">
        <f>Calcul!Y43</f>
        <v>84000</v>
      </c>
      <c r="S43" s="811">
        <f>Calcul!AG43</f>
        <v>41654.794520547941</v>
      </c>
      <c r="T43" s="350" t="str">
        <f>IF(A43=FALSE,"",IF(NAMES!$D$10=FALSE,IF(Detail!S43="","",Detail!S43),IF(Crewlist!V43="","",Crewlist!V43)))</f>
        <v>annual</v>
      </c>
      <c r="U43" s="242">
        <f>Calcul!AI43</f>
        <v>2085.6412491639112</v>
      </c>
      <c r="V43" s="242">
        <f>Calcul!AL43</f>
        <v>7.5876000000000001</v>
      </c>
      <c r="W43" s="242">
        <f>Calcul!AM43</f>
        <v>79.69437112168896</v>
      </c>
      <c r="X43" s="335">
        <f>Calcul!AN43</f>
        <v>0</v>
      </c>
      <c r="Y43" s="242">
        <f>Calcul!AO43</f>
        <v>87.281971121688954</v>
      </c>
      <c r="Z43" s="242" t="str">
        <f>Calcul!AP43</f>
        <v>WCA</v>
      </c>
      <c r="AA43" s="335">
        <f>Calcul!AQ43</f>
        <v>6</v>
      </c>
      <c r="AB43" s="335">
        <f>IF(C43=FALSE,"",Calcul!BE43+Calcul!BF43)</f>
        <v>313.18269230769226</v>
      </c>
      <c r="AC43" s="335">
        <f>IF(C43=FALSE,"",(Calcul!BG43+Calcul!BH43)+SUM(Calcul!BI43:BN43))</f>
        <v>0</v>
      </c>
      <c r="AD43" s="335">
        <f>Calcul!BP43</f>
        <v>1679.1765857345301</v>
      </c>
      <c r="AE43" s="1325" t="s">
        <v>2866</v>
      </c>
      <c r="AF43" s="573" t="s">
        <v>2254</v>
      </c>
      <c r="AG43" s="318" t="str">
        <f>IF(A43=FALSE,"",YEAR(Detail!F43)&amp;Detail!AG43&amp;Detail!AD43&amp;"-"&amp;Detail!AE43)</f>
        <v>2017EURAIG Luxembourg-StandardMLC S</v>
      </c>
      <c r="AH43" s="1134" t="s">
        <v>3082</v>
      </c>
      <c r="AI43" s="1453">
        <v>0.1</v>
      </c>
      <c r="AJ43" s="1135">
        <f t="shared" si="6"/>
        <v>0.1</v>
      </c>
      <c r="AK43" s="828">
        <f t="shared" si="7"/>
        <v>0</v>
      </c>
      <c r="AL43" s="828">
        <f t="shared" si="8"/>
        <v>0</v>
      </c>
      <c r="AM43" s="1135" t="s">
        <v>2316</v>
      </c>
      <c r="AN43" s="1455">
        <v>15.1752</v>
      </c>
      <c r="AO43" s="436">
        <v>0</v>
      </c>
      <c r="AP43" s="254">
        <v>1</v>
      </c>
      <c r="AQ43" s="254">
        <v>0</v>
      </c>
      <c r="AS43" s="1127"/>
      <c r="AT43" s="1132" t="s">
        <v>2140</v>
      </c>
      <c r="AU43" s="1136" t="s">
        <v>2255</v>
      </c>
      <c r="AV43" s="1136" t="str">
        <f>IF(A43=FALSE,"",IF(Detail!AT43="","N/A",YEAR(Detail!F43)&amp;Detail!AW43&amp;Detail!AT43&amp;"-"&amp;Detail!AU43&amp;" (100%/"&amp;Detail!CD43&amp;"/"&amp;Detail!CE43&amp;")"))</f>
        <v>2017EURAnker Verzekeringen n.v.-Formula 3 (100%/7/365)</v>
      </c>
      <c r="AW43" s="1136" t="s">
        <v>3083</v>
      </c>
      <c r="AX43" s="1320">
        <f>Calcul!DB43</f>
        <v>1679.1765857345301</v>
      </c>
      <c r="AY43" s="1298">
        <f>IF(A43=FALSE,"",51000+(Detail!AA43*7000))</f>
        <v>51000</v>
      </c>
      <c r="AZ43" s="1170">
        <v>50000</v>
      </c>
      <c r="BA43" s="243">
        <v>3</v>
      </c>
      <c r="BB43" s="1135">
        <v>0</v>
      </c>
      <c r="BC43" s="1298">
        <f>IF(A43=FALSE,"",51000+(Detail!AA43*7000))</f>
        <v>51000</v>
      </c>
      <c r="BD43" s="1298">
        <f t="shared" si="13"/>
        <v>50000</v>
      </c>
      <c r="BE43" s="1299">
        <f t="shared" si="14"/>
        <v>3</v>
      </c>
      <c r="BF43" s="1284">
        <f t="shared" si="15"/>
        <v>0</v>
      </c>
      <c r="BG43" s="397">
        <f t="shared" si="9"/>
        <v>60000</v>
      </c>
      <c r="BH43" s="1138">
        <v>50000</v>
      </c>
      <c r="BI43" s="243">
        <v>3</v>
      </c>
      <c r="BJ43" s="254">
        <v>0</v>
      </c>
      <c r="BK43" s="397">
        <f t="shared" si="10"/>
        <v>60000</v>
      </c>
      <c r="BL43" s="1138">
        <v>50000</v>
      </c>
      <c r="BM43" s="243">
        <v>3</v>
      </c>
      <c r="BN43" s="254">
        <v>0</v>
      </c>
      <c r="BO43" s="239">
        <v>7</v>
      </c>
      <c r="BP43" s="1075">
        <v>365</v>
      </c>
      <c r="BQ43" s="244">
        <v>1</v>
      </c>
      <c r="BR43" s="254">
        <v>0</v>
      </c>
      <c r="BS43" s="239">
        <f t="shared" si="11"/>
        <v>7</v>
      </c>
      <c r="BT43" s="241">
        <f t="shared" si="12"/>
        <v>365</v>
      </c>
      <c r="BU43" s="253">
        <v>1</v>
      </c>
      <c r="BV43" s="254">
        <v>0</v>
      </c>
      <c r="BW43" s="1135" t="s">
        <v>2224</v>
      </c>
      <c r="BX43" s="257">
        <v>0</v>
      </c>
      <c r="BY43" s="436">
        <v>0</v>
      </c>
      <c r="BZ43" s="254">
        <v>1</v>
      </c>
      <c r="CA43" s="254">
        <v>0</v>
      </c>
      <c r="CB43" s="1296"/>
      <c r="CD43" s="1136" t="str">
        <f>IF(A43=FALSE,"",Calcul!NZ43)</f>
        <v>N/A</v>
      </c>
      <c r="CE43" s="1136" t="s">
        <v>2224</v>
      </c>
      <c r="CF43" s="1132" t="s">
        <v>2138</v>
      </c>
      <c r="CG43" s="1136" t="s">
        <v>2254</v>
      </c>
      <c r="CH43" s="1135" t="s">
        <v>2224</v>
      </c>
      <c r="CI43" s="257">
        <v>0</v>
      </c>
      <c r="CJ43" s="436">
        <v>0</v>
      </c>
      <c r="CK43" s="1135">
        <v>1</v>
      </c>
      <c r="CL43" s="1135">
        <v>0</v>
      </c>
      <c r="CM43" s="1170">
        <v>100000</v>
      </c>
      <c r="CN43" s="243">
        <v>2</v>
      </c>
      <c r="CO43" s="254">
        <v>0</v>
      </c>
      <c r="CP43" s="1298">
        <f t="shared" si="16"/>
        <v>100000</v>
      </c>
      <c r="CQ43" s="243">
        <v>2</v>
      </c>
      <c r="CR43" s="254">
        <v>0</v>
      </c>
    </row>
    <row r="44" spans="1:96" s="383" customFormat="1" ht="30" customHeight="1" outlineLevel="1">
      <c r="A44" s="396" t="b">
        <f>Calcul!A44</f>
        <v>1</v>
      </c>
      <c r="B44" s="438" t="str">
        <f t="shared" si="4"/>
        <v>VRAI135203janvier42750</v>
      </c>
      <c r="C44" s="1137" t="b">
        <v>1</v>
      </c>
      <c r="D44" s="1133" t="s">
        <v>2784</v>
      </c>
      <c r="E44" s="241" t="s">
        <v>2139</v>
      </c>
      <c r="F44" s="338">
        <f>IF(A44=FALSE,"",IF(NAMES!$D$10=FALSE,IF(Detail!H44="","",Detail!H44),IF(Crewlist!D44="","",Crewlist!D44)))</f>
        <v>135203</v>
      </c>
      <c r="G44" s="338" t="str">
        <f>IF(A44=FALSE,"",IF(NAMES!$D$10=FALSE,IF(Detail!P44="","",Detail!P44),IF(Crewlist!E44="","",Crewlist!E44)))</f>
        <v>Stewardess</v>
      </c>
      <c r="H44" s="338" t="str">
        <f>IF(A44=FALSE,"",IF(NAMES!$D$10=FALSE,IF(Detail!K44="","",Detail!K44),IF(Crewlist!F44="","",Crewlist!F44)))</f>
        <v>IZBRECHT</v>
      </c>
      <c r="I44" s="1345">
        <f>IF(Crewlist!T44="","",Crewlist!T44)</f>
        <v>42750</v>
      </c>
      <c r="J44" s="1345">
        <f>IF(Crewlist!D44="","",IF(Crewlist!U44="",Crewlist!Y44,IF(DATERENOUVMOINS730&lt;&gt;Crewlist!U44&lt;&gt;Crewlist!Y44,Crewlist!U44,DATERENOUVMOINS365)))</f>
        <v>42930</v>
      </c>
      <c r="K44" s="1346">
        <f>IF(Detail!X44="","",Detail!X44)</f>
        <v>42750</v>
      </c>
      <c r="L44" s="1346">
        <f>IF(Detail!H44="","",IF(Detail!Y44="",DATERENOUV,IF(Detail!Y44&gt;Detail!D44,Detail!D44,Detail!Y44)))</f>
        <v>42930</v>
      </c>
      <c r="M44" s="829">
        <f>IF(A44=FALSE,"",IF(NAMES!$D$10=FALSE,IF(B44=B45,IF(N44=N45,0,(DATEDIF(K44,L44,"M")+1)),(DATEDIF(K44,L44,"M")+1)),IF(B44=B45,IF(N44=N45,0,(DATEDIF(I44,J44,"M")+1)),(DATEDIF(I44,J44,"M")+1))))</f>
        <v>6</v>
      </c>
      <c r="N44" s="339" t="str">
        <f t="shared" si="5"/>
        <v>janvier</v>
      </c>
      <c r="O44" s="340">
        <f>IF(A44=FALSE,"",IF(NAMES!$D$10=FALSE,IF((DATEDIF(K44,L44,"D")+1)&lt;365,(DATEDIF(K44,L44,"D")+1),365),IF((DATEDIF(I44,J44,"D")+1)&lt;365,(DATEDIF(I44,J44,"D")+1),365)))</f>
        <v>181</v>
      </c>
      <c r="P44" s="340">
        <f>IF(A44=FALSE,"",IF(NAMES!$D$10=FALSE,IF(L44="",365,DATEDIF(K44,L44,"D")+1),IF(L44="",365,DATEDIF(I44,J44,"D")+1)))</f>
        <v>181</v>
      </c>
      <c r="Q44" s="787">
        <f>Calcul!X44</f>
        <v>3000</v>
      </c>
      <c r="R44" s="787">
        <f>Calcul!Y44</f>
        <v>36000</v>
      </c>
      <c r="S44" s="811">
        <f>Calcul!AG44</f>
        <v>17852.054794520547</v>
      </c>
      <c r="T44" s="350" t="str">
        <f>IF(A44=FALSE,"",IF(NAMES!$D$10=FALSE,IF(Detail!S44="","",Detail!S44),IF(Crewlist!V44="","",Crewlist!V44)))</f>
        <v>annual</v>
      </c>
      <c r="U44" s="242">
        <f>Calcul!AI44</f>
        <v>1087.7305924988193</v>
      </c>
      <c r="V44" s="242">
        <f>Calcul!AL44</f>
        <v>7.5876000000000001</v>
      </c>
      <c r="W44" s="242">
        <f>Calcul!AM44</f>
        <v>41.313192019185387</v>
      </c>
      <c r="X44" s="335">
        <f>Calcul!AN44</f>
        <v>0</v>
      </c>
      <c r="Y44" s="242">
        <f>Calcul!AO44</f>
        <v>48.900792019185388</v>
      </c>
      <c r="Z44" s="242" t="str">
        <f>Calcul!AP44</f>
        <v>WCA</v>
      </c>
      <c r="AA44" s="335">
        <f>Calcul!AQ44</f>
        <v>6</v>
      </c>
      <c r="AB44" s="335">
        <f>IF(C44=FALSE,"",Calcul!BE44+Calcul!BF44)</f>
        <v>313.18269230769226</v>
      </c>
      <c r="AC44" s="335">
        <f>IF(C44=FALSE,"",(Calcul!BG44+Calcul!BH44)+SUM(Calcul!BI44:BN44))</f>
        <v>0</v>
      </c>
      <c r="AD44" s="335">
        <f>Calcul!BP44</f>
        <v>719.64710817194145</v>
      </c>
      <c r="AE44" s="1325" t="s">
        <v>2866</v>
      </c>
      <c r="AF44" s="573" t="s">
        <v>2254</v>
      </c>
      <c r="AG44" s="318" t="str">
        <f>IF(A44=FALSE,"",YEAR(Detail!F44)&amp;Detail!AG44&amp;Detail!AD44&amp;"-"&amp;Detail!AE44)</f>
        <v>2017EURAIG Luxembourg-StandardMLC S</v>
      </c>
      <c r="AH44" s="1134" t="s">
        <v>3082</v>
      </c>
      <c r="AI44" s="1453">
        <v>0.1</v>
      </c>
      <c r="AJ44" s="1135">
        <f t="shared" si="6"/>
        <v>0.1</v>
      </c>
      <c r="AK44" s="828">
        <f t="shared" si="7"/>
        <v>0</v>
      </c>
      <c r="AL44" s="828">
        <f t="shared" si="8"/>
        <v>0</v>
      </c>
      <c r="AM44" s="1135" t="s">
        <v>2316</v>
      </c>
      <c r="AN44" s="1455">
        <v>15.1752</v>
      </c>
      <c r="AO44" s="436">
        <v>0</v>
      </c>
      <c r="AP44" s="254">
        <v>1</v>
      </c>
      <c r="AQ44" s="254">
        <v>0</v>
      </c>
      <c r="AS44" s="1127"/>
      <c r="AT44" s="1132" t="s">
        <v>2140</v>
      </c>
      <c r="AU44" s="1136" t="s">
        <v>2255</v>
      </c>
      <c r="AV44" s="1136" t="str">
        <f>IF(A44=FALSE,"",IF(Detail!AT44="","N/A",YEAR(Detail!F44)&amp;Detail!AW44&amp;Detail!AT44&amp;"-"&amp;Detail!AU44&amp;" (100%/"&amp;Detail!CD44&amp;"/"&amp;Detail!CE44&amp;")"))</f>
        <v>2017EURAnker Verzekeringen n.v.-Formula 3 (100%/7/365)</v>
      </c>
      <c r="AW44" s="1136" t="s">
        <v>3083</v>
      </c>
      <c r="AX44" s="1320">
        <f>Calcul!DB44</f>
        <v>719.64710817194145</v>
      </c>
      <c r="AY44" s="1298">
        <f>IF(A44=FALSE,"",51000+(Detail!AA44*7000))</f>
        <v>51000</v>
      </c>
      <c r="AZ44" s="1170">
        <v>50000</v>
      </c>
      <c r="BA44" s="243">
        <v>3</v>
      </c>
      <c r="BB44" s="1135">
        <v>0</v>
      </c>
      <c r="BC44" s="1298">
        <f>IF(A44=FALSE,"",51000+(Detail!AA44*7000))</f>
        <v>51000</v>
      </c>
      <c r="BD44" s="1298">
        <f t="shared" si="13"/>
        <v>50000</v>
      </c>
      <c r="BE44" s="1299">
        <f t="shared" si="14"/>
        <v>3</v>
      </c>
      <c r="BF44" s="1284">
        <f t="shared" si="15"/>
        <v>0</v>
      </c>
      <c r="BG44" s="397">
        <f t="shared" si="9"/>
        <v>60000</v>
      </c>
      <c r="BH44" s="1138">
        <v>50000</v>
      </c>
      <c r="BI44" s="243">
        <v>3</v>
      </c>
      <c r="BJ44" s="254">
        <v>0</v>
      </c>
      <c r="BK44" s="397">
        <f t="shared" si="10"/>
        <v>60000</v>
      </c>
      <c r="BL44" s="1138">
        <v>50000</v>
      </c>
      <c r="BM44" s="243">
        <v>3</v>
      </c>
      <c r="BN44" s="254">
        <v>0</v>
      </c>
      <c r="BO44" s="239">
        <v>7</v>
      </c>
      <c r="BP44" s="1075">
        <v>365</v>
      </c>
      <c r="BQ44" s="244">
        <v>1</v>
      </c>
      <c r="BR44" s="254">
        <v>0</v>
      </c>
      <c r="BS44" s="239">
        <f t="shared" si="11"/>
        <v>7</v>
      </c>
      <c r="BT44" s="241">
        <f t="shared" si="12"/>
        <v>365</v>
      </c>
      <c r="BU44" s="253">
        <v>1</v>
      </c>
      <c r="BV44" s="254">
        <v>0</v>
      </c>
      <c r="BW44" s="1135" t="s">
        <v>2224</v>
      </c>
      <c r="BX44" s="257">
        <v>0</v>
      </c>
      <c r="BY44" s="436">
        <v>0</v>
      </c>
      <c r="BZ44" s="254">
        <v>1</v>
      </c>
      <c r="CA44" s="254">
        <v>0</v>
      </c>
      <c r="CB44" s="1296"/>
      <c r="CD44" s="1136" t="str">
        <f>IF(A44=FALSE,"",Calcul!NZ44)</f>
        <v>N/A</v>
      </c>
      <c r="CE44" s="1136" t="s">
        <v>2224</v>
      </c>
      <c r="CF44" s="1132" t="s">
        <v>2138</v>
      </c>
      <c r="CG44" s="1136" t="s">
        <v>2254</v>
      </c>
      <c r="CH44" s="1135" t="s">
        <v>2224</v>
      </c>
      <c r="CI44" s="257">
        <v>0</v>
      </c>
      <c r="CJ44" s="436">
        <v>0</v>
      </c>
      <c r="CK44" s="1135">
        <v>1</v>
      </c>
      <c r="CL44" s="1135">
        <v>0</v>
      </c>
      <c r="CM44" s="1170">
        <v>100000</v>
      </c>
      <c r="CN44" s="243">
        <v>2</v>
      </c>
      <c r="CO44" s="254">
        <v>0</v>
      </c>
      <c r="CP44" s="1298">
        <f t="shared" si="16"/>
        <v>100000</v>
      </c>
      <c r="CQ44" s="243">
        <v>2</v>
      </c>
      <c r="CR44" s="254">
        <v>0</v>
      </c>
    </row>
    <row r="45" spans="1:96" s="383" customFormat="1" ht="30" customHeight="1" outlineLevel="1">
      <c r="A45" s="396" t="b">
        <f>Calcul!A45</f>
        <v>1</v>
      </c>
      <c r="B45" s="438" t="str">
        <f t="shared" si="4"/>
        <v>VRAI130254janvier42750</v>
      </c>
      <c r="C45" s="1137" t="b">
        <v>1</v>
      </c>
      <c r="D45" s="1133" t="s">
        <v>2784</v>
      </c>
      <c r="E45" s="241" t="s">
        <v>2139</v>
      </c>
      <c r="F45" s="338">
        <f>IF(A45=FALSE,"",IF(NAMES!$D$10=FALSE,IF(Detail!H45="","",Detail!H45),IF(Crewlist!D45="","",Crewlist!D45)))</f>
        <v>130254</v>
      </c>
      <c r="G45" s="338" t="str">
        <f>IF(A45=FALSE,"",IF(NAMES!$D$10=FALSE,IF(Detail!P45="","",Detail!P45),IF(Crewlist!E45="","",Crewlist!E45)))</f>
        <v>Chief cook</v>
      </c>
      <c r="H45" s="338" t="str">
        <f>IF(A45=FALSE,"",IF(NAMES!$D$10=FALSE,IF(Detail!K45="","",Detail!K45),IF(Crewlist!F45="","",Crewlist!F45)))</f>
        <v>LIO</v>
      </c>
      <c r="I45" s="1345">
        <f>IF(Crewlist!T45="","",Crewlist!T45)</f>
        <v>42750</v>
      </c>
      <c r="J45" s="1345">
        <f>IF(Crewlist!D45="","",IF(Crewlist!U45="",Crewlist!Y45,IF(DATERENOUVMOINS730&lt;&gt;Crewlist!U45&lt;&gt;Crewlist!Y45,Crewlist!U45,DATERENOUVMOINS365)))</f>
        <v>42930</v>
      </c>
      <c r="K45" s="1346">
        <f>IF(Detail!X45="","",Detail!X45)</f>
        <v>42750</v>
      </c>
      <c r="L45" s="1346">
        <f>IF(Detail!H45="","",IF(Detail!Y45="",DATERENOUV,IF(Detail!Y45&gt;Detail!D45,Detail!D45,Detail!Y45)))</f>
        <v>42930</v>
      </c>
      <c r="M45" s="829">
        <f>IF(A45=FALSE,"",IF(NAMES!$D$10=FALSE,IF(B45=B46,IF(N45=N46,0,(DATEDIF(K45,L45,"M")+1)),(DATEDIF(K45,L45,"M")+1)),IF(B45=B46,IF(N45=N46,0,(DATEDIF(I45,J45,"M")+1)),(DATEDIF(I45,J45,"M")+1))))</f>
        <v>6</v>
      </c>
      <c r="N45" s="339" t="str">
        <f t="shared" si="5"/>
        <v>janvier</v>
      </c>
      <c r="O45" s="340">
        <f>IF(A45=FALSE,"",IF(NAMES!$D$10=FALSE,IF((DATEDIF(K45,L45,"D")+1)&lt;365,(DATEDIF(K45,L45,"D")+1),365),IF((DATEDIF(I45,J45,"D")+1)&lt;365,(DATEDIF(I45,J45,"D")+1),365)))</f>
        <v>181</v>
      </c>
      <c r="P45" s="340">
        <f>IF(A45=FALSE,"",IF(NAMES!$D$10=FALSE,IF(L45="",365,DATEDIF(K45,L45,"D")+1),IF(L45="",365,DATEDIF(I45,J45,"D")+1)))</f>
        <v>181</v>
      </c>
      <c r="Q45" s="787">
        <f>Calcul!X45</f>
        <v>3500</v>
      </c>
      <c r="R45" s="787">
        <f>Calcul!Y45</f>
        <v>42000</v>
      </c>
      <c r="S45" s="811">
        <f>Calcul!AG45</f>
        <v>20827.39726027397</v>
      </c>
      <c r="T45" s="350" t="str">
        <f>IF(A45=FALSE,"",IF(NAMES!$D$10=FALSE,IF(Detail!S45="","",Detail!S45),IF(Crewlist!V45="","",Crewlist!V45)))</f>
        <v>annual</v>
      </c>
      <c r="U45" s="242">
        <f>Calcul!AI45</f>
        <v>1212.4694245819558</v>
      </c>
      <c r="V45" s="242">
        <f>Calcul!AL45</f>
        <v>7.5876000000000001</v>
      </c>
      <c r="W45" s="242">
        <f>Calcul!AM45</f>
        <v>46.110839406998338</v>
      </c>
      <c r="X45" s="335">
        <f>Calcul!AN45</f>
        <v>0</v>
      </c>
      <c r="Y45" s="242">
        <f>Calcul!AO45</f>
        <v>53.69843940699834</v>
      </c>
      <c r="Z45" s="242" t="str">
        <f>Calcul!AP45</f>
        <v>WCA</v>
      </c>
      <c r="AA45" s="335">
        <f>Calcul!AQ45</f>
        <v>6</v>
      </c>
      <c r="AB45" s="335">
        <f>IF(C45=FALSE,"",Calcul!BE45+Calcul!BF45)</f>
        <v>313.18269230769226</v>
      </c>
      <c r="AC45" s="335">
        <f>IF(C45=FALSE,"",(Calcul!BG45+Calcul!BH45)+SUM(Calcul!BI45:BN45))</f>
        <v>0</v>
      </c>
      <c r="AD45" s="335">
        <f>Calcul!BP45</f>
        <v>839.58829286726507</v>
      </c>
      <c r="AE45" s="1325" t="s">
        <v>2866</v>
      </c>
      <c r="AF45" s="573" t="s">
        <v>2254</v>
      </c>
      <c r="AG45" s="318" t="str">
        <f>IF(A45=FALSE,"",YEAR(Detail!F45)&amp;Detail!AG45&amp;Detail!AD45&amp;"-"&amp;Detail!AE45)</f>
        <v>2017EURAIG Luxembourg-StandardMLC S</v>
      </c>
      <c r="AH45" s="1134" t="s">
        <v>3082</v>
      </c>
      <c r="AI45" s="1453">
        <v>0.1</v>
      </c>
      <c r="AJ45" s="1135">
        <f t="shared" si="6"/>
        <v>0.1</v>
      </c>
      <c r="AK45" s="828">
        <f t="shared" si="7"/>
        <v>0</v>
      </c>
      <c r="AL45" s="828">
        <f t="shared" si="8"/>
        <v>0</v>
      </c>
      <c r="AM45" s="1135" t="s">
        <v>2316</v>
      </c>
      <c r="AN45" s="1455">
        <v>15.1752</v>
      </c>
      <c r="AO45" s="436">
        <v>0</v>
      </c>
      <c r="AP45" s="254">
        <v>1</v>
      </c>
      <c r="AQ45" s="254">
        <v>0</v>
      </c>
      <c r="AS45" s="1127"/>
      <c r="AT45" s="1132" t="s">
        <v>2140</v>
      </c>
      <c r="AU45" s="1136" t="s">
        <v>2255</v>
      </c>
      <c r="AV45" s="1136" t="str">
        <f>IF(A45=FALSE,"",IF(Detail!AT45="","N/A",YEAR(Detail!F45)&amp;Detail!AW45&amp;Detail!AT45&amp;"-"&amp;Detail!AU45&amp;" (100%/"&amp;Detail!CD45&amp;"/"&amp;Detail!CE45&amp;")"))</f>
        <v>2017EURAnker Verzekeringen n.v.-Formula 3 (100%/7/365)</v>
      </c>
      <c r="AW45" s="1136" t="s">
        <v>3083</v>
      </c>
      <c r="AX45" s="1320">
        <f>Calcul!DB45</f>
        <v>839.58829286726507</v>
      </c>
      <c r="AY45" s="1298">
        <f>IF(A45=FALSE,"",51000+(Detail!AA45*7000))</f>
        <v>51000</v>
      </c>
      <c r="AZ45" s="1170">
        <v>50000</v>
      </c>
      <c r="BA45" s="243">
        <v>3</v>
      </c>
      <c r="BB45" s="1135">
        <v>0</v>
      </c>
      <c r="BC45" s="1298">
        <f>IF(A45=FALSE,"",51000+(Detail!AA45*7000))</f>
        <v>51000</v>
      </c>
      <c r="BD45" s="1298">
        <f t="shared" si="13"/>
        <v>50000</v>
      </c>
      <c r="BE45" s="1299">
        <f t="shared" si="14"/>
        <v>3</v>
      </c>
      <c r="BF45" s="1284">
        <f t="shared" si="15"/>
        <v>0</v>
      </c>
      <c r="BG45" s="397">
        <f t="shared" si="9"/>
        <v>60000</v>
      </c>
      <c r="BH45" s="1138">
        <v>50000</v>
      </c>
      <c r="BI45" s="243">
        <v>3</v>
      </c>
      <c r="BJ45" s="254">
        <v>0</v>
      </c>
      <c r="BK45" s="397">
        <f t="shared" si="10"/>
        <v>60000</v>
      </c>
      <c r="BL45" s="1138">
        <v>50000</v>
      </c>
      <c r="BM45" s="243">
        <v>3</v>
      </c>
      <c r="BN45" s="254">
        <v>0</v>
      </c>
      <c r="BO45" s="239">
        <v>7</v>
      </c>
      <c r="BP45" s="1075">
        <v>365</v>
      </c>
      <c r="BQ45" s="244">
        <v>1</v>
      </c>
      <c r="BR45" s="254">
        <v>0</v>
      </c>
      <c r="BS45" s="239">
        <f t="shared" si="11"/>
        <v>7</v>
      </c>
      <c r="BT45" s="241">
        <f t="shared" si="12"/>
        <v>365</v>
      </c>
      <c r="BU45" s="253">
        <v>1</v>
      </c>
      <c r="BV45" s="254">
        <v>0</v>
      </c>
      <c r="BW45" s="1135" t="s">
        <v>2224</v>
      </c>
      <c r="BX45" s="257">
        <v>0</v>
      </c>
      <c r="BY45" s="436">
        <v>0</v>
      </c>
      <c r="BZ45" s="254">
        <v>1</v>
      </c>
      <c r="CA45" s="254">
        <v>0</v>
      </c>
      <c r="CB45" s="1296"/>
      <c r="CD45" s="1136" t="str">
        <f>IF(A45=FALSE,"",Calcul!NZ45)</f>
        <v>N/A</v>
      </c>
      <c r="CE45" s="1136" t="s">
        <v>2224</v>
      </c>
      <c r="CF45" s="1132" t="s">
        <v>2138</v>
      </c>
      <c r="CG45" s="1136" t="s">
        <v>2254</v>
      </c>
      <c r="CH45" s="1135" t="s">
        <v>2224</v>
      </c>
      <c r="CI45" s="257">
        <v>0</v>
      </c>
      <c r="CJ45" s="436">
        <v>0</v>
      </c>
      <c r="CK45" s="1135">
        <v>1</v>
      </c>
      <c r="CL45" s="1135">
        <v>0</v>
      </c>
      <c r="CM45" s="1170">
        <v>100000</v>
      </c>
      <c r="CN45" s="243">
        <v>2</v>
      </c>
      <c r="CO45" s="254">
        <v>0</v>
      </c>
      <c r="CP45" s="1298">
        <f t="shared" si="16"/>
        <v>100000</v>
      </c>
      <c r="CQ45" s="243">
        <v>2</v>
      </c>
      <c r="CR45" s="254">
        <v>0</v>
      </c>
    </row>
    <row r="46" spans="1:96" s="383" customFormat="1" ht="30" customHeight="1" outlineLevel="1">
      <c r="A46" s="396" t="b">
        <f>Calcul!A46</f>
        <v>1</v>
      </c>
      <c r="B46" s="438" t="str">
        <f t="shared" si="4"/>
        <v>VRAI133442janvier42750</v>
      </c>
      <c r="C46" s="1137" t="b">
        <v>1</v>
      </c>
      <c r="D46" s="1133" t="s">
        <v>2784</v>
      </c>
      <c r="E46" s="241" t="s">
        <v>2139</v>
      </c>
      <c r="F46" s="338">
        <f>IF(A46=FALSE,"",IF(NAMES!$D$10=FALSE,IF(Detail!H46="","",Detail!H46),IF(Crewlist!D46="","",Crewlist!D46)))</f>
        <v>133442</v>
      </c>
      <c r="G46" s="338" t="str">
        <f>IF(A46=FALSE,"",IF(NAMES!$D$10=FALSE,IF(Detail!P46="","",Detail!P46),IF(Crewlist!E46="","",Crewlist!E46)))</f>
        <v>Chief Engineer</v>
      </c>
      <c r="H46" s="338" t="str">
        <f>IF(A46=FALSE,"",IF(NAMES!$D$10=FALSE,IF(Detail!K46="","",Detail!K46),IF(Crewlist!F46="","",Crewlist!F46)))</f>
        <v>MEHIC</v>
      </c>
      <c r="I46" s="1345">
        <f>IF(Crewlist!T46="","",Crewlist!T46)</f>
        <v>42750</v>
      </c>
      <c r="J46" s="1345">
        <f>IF(Crewlist!D46="","",IF(Crewlist!U46="",Crewlist!Y46,IF(DATERENOUVMOINS730&lt;&gt;Crewlist!U46&lt;&gt;Crewlist!Y46,Crewlist!U46,DATERENOUVMOINS365)))</f>
        <v>42930</v>
      </c>
      <c r="K46" s="1346">
        <f>IF(Detail!X46="","",Detail!X46)</f>
        <v>42750</v>
      </c>
      <c r="L46" s="1346">
        <f>IF(Detail!H46="","",IF(Detail!Y46="",DATERENOUV,IF(Detail!Y46&gt;Detail!D46,Detail!D46,Detail!Y46)))</f>
        <v>42930</v>
      </c>
      <c r="M46" s="829">
        <f>IF(A46=FALSE,"",IF(NAMES!$D$10=FALSE,IF(B46=B47,IF(N46=N47,0,(DATEDIF(K46,L46,"M")+1)),(DATEDIF(K46,L46,"M")+1)),IF(B46=B47,IF(N46=N47,0,(DATEDIF(I46,J46,"M")+1)),(DATEDIF(I46,J46,"M")+1))))</f>
        <v>6</v>
      </c>
      <c r="N46" s="339" t="str">
        <f t="shared" si="5"/>
        <v>janvier</v>
      </c>
      <c r="O46" s="340">
        <f>IF(A46=FALSE,"",IF(NAMES!$D$10=FALSE,IF((DATEDIF(K46,L46,"D")+1)&lt;365,(DATEDIF(K46,L46,"D")+1),365),IF((DATEDIF(I46,J46,"D")+1)&lt;365,(DATEDIF(I46,J46,"D")+1),365)))</f>
        <v>181</v>
      </c>
      <c r="P46" s="340">
        <f>IF(A46=FALSE,"",IF(NAMES!$D$10=FALSE,IF(L46="",365,DATEDIF(K46,L46,"D")+1),IF(L46="",365,DATEDIF(I46,J46,"D")+1)))</f>
        <v>181</v>
      </c>
      <c r="Q46" s="787">
        <f>Calcul!X46</f>
        <v>6000</v>
      </c>
      <c r="R46" s="787">
        <f>Calcul!Y46</f>
        <v>72000</v>
      </c>
      <c r="S46" s="811">
        <f>Calcul!AG46</f>
        <v>35704.109589041094</v>
      </c>
      <c r="T46" s="350" t="str">
        <f>IF(A46=FALSE,"",IF(NAMES!$D$10=FALSE,IF(Detail!S46="","",Detail!S46),IF(Crewlist!V46="","",Crewlist!V46)))</f>
        <v>annual</v>
      </c>
      <c r="U46" s="242">
        <f>Calcul!AI46</f>
        <v>1836.1635849976383</v>
      </c>
      <c r="V46" s="242">
        <f>Calcul!AL46</f>
        <v>7.5876000000000001</v>
      </c>
      <c r="W46" s="242">
        <f>Calcul!AM46</f>
        <v>70.099076346063072</v>
      </c>
      <c r="X46" s="335">
        <f>Calcul!AN46</f>
        <v>0</v>
      </c>
      <c r="Y46" s="242">
        <f>Calcul!AO46</f>
        <v>77.686676346063066</v>
      </c>
      <c r="Z46" s="242" t="str">
        <f>Calcul!AP46</f>
        <v>WCA</v>
      </c>
      <c r="AA46" s="335">
        <f>Calcul!AQ46</f>
        <v>6</v>
      </c>
      <c r="AB46" s="335">
        <f>IF(C46=FALSE,"",Calcul!BE46+Calcul!BF46)</f>
        <v>313.18269230769226</v>
      </c>
      <c r="AC46" s="335">
        <f>IF(C46=FALSE,"",(Calcul!BG46+Calcul!BH46)+SUM(Calcul!BI46:BN46))</f>
        <v>0</v>
      </c>
      <c r="AD46" s="335">
        <f>Calcul!BP46</f>
        <v>1439.2942163438829</v>
      </c>
      <c r="AE46" s="1325" t="s">
        <v>2866</v>
      </c>
      <c r="AF46" s="573" t="s">
        <v>2254</v>
      </c>
      <c r="AG46" s="318" t="str">
        <f>IF(A46=FALSE,"",YEAR(Detail!F46)&amp;Detail!AG46&amp;Detail!AD46&amp;"-"&amp;Detail!AE46)</f>
        <v>2017EURAIG Luxembourg-StandardMLC S</v>
      </c>
      <c r="AH46" s="1134" t="s">
        <v>3082</v>
      </c>
      <c r="AI46" s="1453">
        <v>0.1</v>
      </c>
      <c r="AJ46" s="1135">
        <f t="shared" si="6"/>
        <v>0.1</v>
      </c>
      <c r="AK46" s="828">
        <f t="shared" si="7"/>
        <v>0</v>
      </c>
      <c r="AL46" s="828">
        <f t="shared" si="8"/>
        <v>0</v>
      </c>
      <c r="AM46" s="1135" t="s">
        <v>2316</v>
      </c>
      <c r="AN46" s="1455">
        <v>15.1752</v>
      </c>
      <c r="AO46" s="436">
        <v>0</v>
      </c>
      <c r="AP46" s="254">
        <v>1</v>
      </c>
      <c r="AQ46" s="254">
        <v>0</v>
      </c>
      <c r="AS46" s="1127"/>
      <c r="AT46" s="1132" t="s">
        <v>2140</v>
      </c>
      <c r="AU46" s="1136" t="s">
        <v>2255</v>
      </c>
      <c r="AV46" s="1136" t="str">
        <f>IF(A46=FALSE,"",IF(Detail!AT46="","N/A",YEAR(Detail!F46)&amp;Detail!AW46&amp;Detail!AT46&amp;"-"&amp;Detail!AU46&amp;" (100%/"&amp;Detail!CD46&amp;"/"&amp;Detail!CE46&amp;")"))</f>
        <v>2017EURAnker Verzekeringen n.v.-Formula 3 (100%/7/365)</v>
      </c>
      <c r="AW46" s="1136" t="s">
        <v>3083</v>
      </c>
      <c r="AX46" s="1320">
        <f>Calcul!DB46</f>
        <v>1439.2942163438829</v>
      </c>
      <c r="AY46" s="1298">
        <f>IF(A46=FALSE,"",51000+(Detail!AA46*7000))</f>
        <v>51000</v>
      </c>
      <c r="AZ46" s="1170">
        <v>50000</v>
      </c>
      <c r="BA46" s="243">
        <v>3</v>
      </c>
      <c r="BB46" s="1135">
        <v>0</v>
      </c>
      <c r="BC46" s="1298">
        <f>IF(A46=FALSE,"",51000+(Detail!AA46*7000))</f>
        <v>51000</v>
      </c>
      <c r="BD46" s="1298">
        <f t="shared" si="13"/>
        <v>50000</v>
      </c>
      <c r="BE46" s="1299">
        <f t="shared" si="14"/>
        <v>3</v>
      </c>
      <c r="BF46" s="1284">
        <f t="shared" si="15"/>
        <v>0</v>
      </c>
      <c r="BG46" s="397">
        <f t="shared" si="9"/>
        <v>60000</v>
      </c>
      <c r="BH46" s="1138">
        <v>50000</v>
      </c>
      <c r="BI46" s="243">
        <v>3</v>
      </c>
      <c r="BJ46" s="254">
        <v>0</v>
      </c>
      <c r="BK46" s="397">
        <f t="shared" si="10"/>
        <v>60000</v>
      </c>
      <c r="BL46" s="1138">
        <v>50000</v>
      </c>
      <c r="BM46" s="243">
        <v>3</v>
      </c>
      <c r="BN46" s="254">
        <v>0</v>
      </c>
      <c r="BO46" s="239">
        <v>7</v>
      </c>
      <c r="BP46" s="1075">
        <v>365</v>
      </c>
      <c r="BQ46" s="244">
        <v>1</v>
      </c>
      <c r="BR46" s="254">
        <v>0</v>
      </c>
      <c r="BS46" s="239">
        <f t="shared" si="11"/>
        <v>7</v>
      </c>
      <c r="BT46" s="241">
        <f t="shared" si="12"/>
        <v>365</v>
      </c>
      <c r="BU46" s="253">
        <v>1</v>
      </c>
      <c r="BV46" s="254">
        <v>0</v>
      </c>
      <c r="BW46" s="1135" t="s">
        <v>2224</v>
      </c>
      <c r="BX46" s="257">
        <v>0</v>
      </c>
      <c r="BY46" s="436">
        <v>0</v>
      </c>
      <c r="BZ46" s="254">
        <v>1</v>
      </c>
      <c r="CA46" s="254">
        <v>0</v>
      </c>
      <c r="CB46" s="1296"/>
      <c r="CD46" s="1136" t="str">
        <f>IF(A46=FALSE,"",Calcul!NZ46)</f>
        <v>N/A</v>
      </c>
      <c r="CE46" s="1136" t="s">
        <v>2224</v>
      </c>
      <c r="CF46" s="1132" t="s">
        <v>2138</v>
      </c>
      <c r="CG46" s="1136" t="s">
        <v>2254</v>
      </c>
      <c r="CH46" s="1135" t="s">
        <v>2224</v>
      </c>
      <c r="CI46" s="257">
        <v>0</v>
      </c>
      <c r="CJ46" s="436">
        <v>0</v>
      </c>
      <c r="CK46" s="1135">
        <v>1</v>
      </c>
      <c r="CL46" s="1135">
        <v>0</v>
      </c>
      <c r="CM46" s="1170">
        <v>100000</v>
      </c>
      <c r="CN46" s="243">
        <v>2</v>
      </c>
      <c r="CO46" s="254">
        <v>0</v>
      </c>
      <c r="CP46" s="1298">
        <f t="shared" si="16"/>
        <v>100000</v>
      </c>
      <c r="CQ46" s="243">
        <v>2</v>
      </c>
      <c r="CR46" s="254">
        <v>0</v>
      </c>
    </row>
    <row r="47" spans="1:96" s="383" customFormat="1" ht="30" customHeight="1" outlineLevel="1">
      <c r="A47" s="396" t="b">
        <f>Calcul!A47</f>
        <v>1</v>
      </c>
      <c r="B47" s="438" t="str">
        <f t="shared" ref="B47:B78" si="17">IF(A47=FALSE,"",CONCATENATE(C47,F47,N47,K47))</f>
        <v>VRAI135200janvier42750</v>
      </c>
      <c r="C47" s="1137" t="b">
        <v>1</v>
      </c>
      <c r="D47" s="1133" t="s">
        <v>2784</v>
      </c>
      <c r="E47" s="241" t="s">
        <v>2139</v>
      </c>
      <c r="F47" s="338">
        <f>IF(A47=FALSE,"",IF(NAMES!$D$10=FALSE,IF(Detail!H47="","",Detail!H47),IF(Crewlist!D47="","",Crewlist!D47)))</f>
        <v>135200</v>
      </c>
      <c r="G47" s="338" t="str">
        <f>IF(A47=FALSE,"",IF(NAMES!$D$10=FALSE,IF(Detail!P47="","",Detail!P47),IF(Crewlist!E47="","",Crewlist!E47)))</f>
        <v>2nd officer</v>
      </c>
      <c r="H47" s="338" t="str">
        <f>IF(A47=FALSE,"",IF(NAMES!$D$10=FALSE,IF(Detail!K47="","",Detail!K47),IF(Crewlist!F47="","",Crewlist!F47)))</f>
        <v>SOLLITT</v>
      </c>
      <c r="I47" s="1345">
        <f>IF(Crewlist!T47="","",Crewlist!T47)</f>
        <v>42750</v>
      </c>
      <c r="J47" s="1345">
        <f>IF(Crewlist!D47="","",IF(Crewlist!U47="",Crewlist!Y47,IF(DATERENOUVMOINS730&lt;&gt;Crewlist!U47&lt;&gt;Crewlist!Y47,Crewlist!U47,DATERENOUVMOINS365)))</f>
        <v>42930</v>
      </c>
      <c r="K47" s="1346">
        <f>IF(Detail!X47="","",Detail!X47)</f>
        <v>42750</v>
      </c>
      <c r="L47" s="1346">
        <f>IF(Detail!H47="","",IF(Detail!Y47="",DATERENOUV,IF(Detail!Y47&gt;Detail!D47,Detail!D47,Detail!Y47)))</f>
        <v>42930</v>
      </c>
      <c r="M47" s="829">
        <f>IF(A47=FALSE,"",IF(NAMES!$D$10=FALSE,IF(B47=B48,IF(N47=N48,0,(DATEDIF(K47,L47,"M")+1)),(DATEDIF(K47,L47,"M")+1)),IF(B47=B48,IF(N47=N48,0,(DATEDIF(I47,J47,"M")+1)),(DATEDIF(I47,J47,"M")+1))))</f>
        <v>6</v>
      </c>
      <c r="N47" s="339" t="str">
        <f t="shared" si="5"/>
        <v>janvier</v>
      </c>
      <c r="O47" s="340">
        <f>IF(A47=FALSE,"",IF(NAMES!$D$10=FALSE,IF((DATEDIF(K47,L47,"D")+1)&lt;365,(DATEDIF(K47,L47,"D")+1),365),IF((DATEDIF(I47,J47,"D")+1)&lt;365,(DATEDIF(I47,J47,"D")+1),365)))</f>
        <v>181</v>
      </c>
      <c r="P47" s="340">
        <f>IF(A47=FALSE,"",IF(NAMES!$D$10=FALSE,IF(L47="",365,DATEDIF(K47,L47,"D")+1),IF(L47="",365,DATEDIF(I47,J47,"D")+1)))</f>
        <v>181</v>
      </c>
      <c r="Q47" s="787">
        <f>Calcul!X47</f>
        <v>3500</v>
      </c>
      <c r="R47" s="787">
        <f>Calcul!Y47</f>
        <v>42000</v>
      </c>
      <c r="S47" s="811">
        <f>Calcul!AG47</f>
        <v>20827.39726027397</v>
      </c>
      <c r="T47" s="350" t="str">
        <f>IF(A47=FALSE,"",IF(NAMES!$D$10=FALSE,IF(Detail!S47="","",Detail!S47),IF(Crewlist!V47="","",Crewlist!V47)))</f>
        <v>annual</v>
      </c>
      <c r="U47" s="242">
        <f>Calcul!AI47</f>
        <v>1212.4694245819558</v>
      </c>
      <c r="V47" s="242">
        <f>Calcul!AL47</f>
        <v>7.5876000000000001</v>
      </c>
      <c r="W47" s="242">
        <f>Calcul!AM47</f>
        <v>46.110839406998338</v>
      </c>
      <c r="X47" s="335">
        <f>Calcul!AN47</f>
        <v>0</v>
      </c>
      <c r="Y47" s="242">
        <f>Calcul!AO47</f>
        <v>53.69843940699834</v>
      </c>
      <c r="Z47" s="242" t="str">
        <f>Calcul!AP47</f>
        <v>WCA</v>
      </c>
      <c r="AA47" s="335">
        <f>Calcul!AQ47</f>
        <v>6</v>
      </c>
      <c r="AB47" s="335">
        <f>IF(C47=FALSE,"",Calcul!BE47+Calcul!BF47)</f>
        <v>313.18269230769226</v>
      </c>
      <c r="AC47" s="335">
        <f>IF(C47=FALSE,"",(Calcul!BG47+Calcul!BH47)+SUM(Calcul!BI47:BN47))</f>
        <v>0</v>
      </c>
      <c r="AD47" s="335">
        <f>Calcul!BP47</f>
        <v>839.58829286726507</v>
      </c>
      <c r="AE47" s="1325" t="s">
        <v>2866</v>
      </c>
      <c r="AF47" s="573" t="s">
        <v>2254</v>
      </c>
      <c r="AG47" s="318" t="str">
        <f>IF(A47=FALSE,"",YEAR(Detail!F47)&amp;Detail!AG47&amp;Detail!AD47&amp;"-"&amp;Detail!AE47)</f>
        <v>2017EURAIG Luxembourg-StandardMLC S</v>
      </c>
      <c r="AH47" s="1134" t="s">
        <v>3082</v>
      </c>
      <c r="AI47" s="1453">
        <v>0.1</v>
      </c>
      <c r="AJ47" s="1135">
        <f t="shared" ref="AJ47:AJ78" si="18">AI47</f>
        <v>0.1</v>
      </c>
      <c r="AK47" s="828">
        <f t="shared" ref="AK47:AK78" si="19">CR47</f>
        <v>0</v>
      </c>
      <c r="AL47" s="828">
        <f t="shared" ref="AL47:AL78" si="20">AK47</f>
        <v>0</v>
      </c>
      <c r="AM47" s="1135" t="s">
        <v>2316</v>
      </c>
      <c r="AN47" s="1455">
        <v>15.1752</v>
      </c>
      <c r="AO47" s="436">
        <v>0</v>
      </c>
      <c r="AP47" s="254">
        <v>1</v>
      </c>
      <c r="AQ47" s="254">
        <v>0</v>
      </c>
      <c r="AS47" s="1127"/>
      <c r="AT47" s="1132" t="s">
        <v>2140</v>
      </c>
      <c r="AU47" s="1136" t="s">
        <v>2255</v>
      </c>
      <c r="AV47" s="1136" t="str">
        <f>IF(A47=FALSE,"",IF(Detail!AT47="","N/A",YEAR(Detail!F47)&amp;Detail!AW47&amp;Detail!AT47&amp;"-"&amp;Detail!AU47&amp;" (100%/"&amp;Detail!CD47&amp;"/"&amp;Detail!CE47&amp;")"))</f>
        <v>2017EURAnker Verzekeringen n.v.-Formula 3 (100%/7/365)</v>
      </c>
      <c r="AW47" s="1136" t="s">
        <v>3083</v>
      </c>
      <c r="AX47" s="1320">
        <f>Calcul!DB47</f>
        <v>839.58829286726507</v>
      </c>
      <c r="AY47" s="1298">
        <f>IF(A47=FALSE,"",51000+(Detail!AA47*7000))</f>
        <v>51000</v>
      </c>
      <c r="AZ47" s="1170">
        <v>50000</v>
      </c>
      <c r="BA47" s="243">
        <v>3</v>
      </c>
      <c r="BB47" s="1135">
        <v>0</v>
      </c>
      <c r="BC47" s="1298">
        <f>IF(A47=FALSE,"",51000+(Detail!AA47*7000))</f>
        <v>51000</v>
      </c>
      <c r="BD47" s="1298">
        <f t="shared" si="13"/>
        <v>50000</v>
      </c>
      <c r="BE47" s="1299">
        <f t="shared" si="14"/>
        <v>3</v>
      </c>
      <c r="BF47" s="1284">
        <f t="shared" si="15"/>
        <v>0</v>
      </c>
      <c r="BG47" s="397">
        <f t="shared" ref="BG47:BG78" si="21">IF(A47=FALSE,"",60000)</f>
        <v>60000</v>
      </c>
      <c r="BH47" s="1138">
        <v>50000</v>
      </c>
      <c r="BI47" s="243">
        <v>3</v>
      </c>
      <c r="BJ47" s="254">
        <v>0</v>
      </c>
      <c r="BK47" s="397">
        <f t="shared" ref="BK47:BK78" si="22">IF(A47=FALSE,"",60000)</f>
        <v>60000</v>
      </c>
      <c r="BL47" s="1138">
        <v>50000</v>
      </c>
      <c r="BM47" s="243">
        <v>3</v>
      </c>
      <c r="BN47" s="254">
        <v>0</v>
      </c>
      <c r="BO47" s="239">
        <v>7</v>
      </c>
      <c r="BP47" s="1075">
        <v>365</v>
      </c>
      <c r="BQ47" s="244">
        <v>1</v>
      </c>
      <c r="BR47" s="254">
        <v>0</v>
      </c>
      <c r="BS47" s="239">
        <f t="shared" ref="BS47:BS78" si="23">BO47</f>
        <v>7</v>
      </c>
      <c r="BT47" s="241">
        <f t="shared" ref="BT47:BT78" si="24">BP47</f>
        <v>365</v>
      </c>
      <c r="BU47" s="253">
        <v>1</v>
      </c>
      <c r="BV47" s="254">
        <v>0</v>
      </c>
      <c r="BW47" s="1135" t="s">
        <v>2224</v>
      </c>
      <c r="BX47" s="257">
        <v>0</v>
      </c>
      <c r="BY47" s="436">
        <v>0</v>
      </c>
      <c r="BZ47" s="254">
        <v>1</v>
      </c>
      <c r="CA47" s="254">
        <v>0</v>
      </c>
      <c r="CB47" s="1296"/>
      <c r="CD47" s="1136" t="str">
        <f>IF(A47=FALSE,"",Calcul!NZ47)</f>
        <v>N/A</v>
      </c>
      <c r="CE47" s="1136" t="s">
        <v>2224</v>
      </c>
      <c r="CF47" s="1132" t="s">
        <v>2138</v>
      </c>
      <c r="CG47" s="1136" t="s">
        <v>2254</v>
      </c>
      <c r="CH47" s="1135" t="s">
        <v>2224</v>
      </c>
      <c r="CI47" s="257">
        <v>0</v>
      </c>
      <c r="CJ47" s="436">
        <v>0</v>
      </c>
      <c r="CK47" s="1135">
        <v>1</v>
      </c>
      <c r="CL47" s="1135">
        <v>0</v>
      </c>
      <c r="CM47" s="1170">
        <v>100000</v>
      </c>
      <c r="CN47" s="243">
        <v>2</v>
      </c>
      <c r="CO47" s="254">
        <v>0</v>
      </c>
      <c r="CP47" s="1298">
        <f t="shared" si="16"/>
        <v>100000</v>
      </c>
      <c r="CQ47" s="243">
        <v>2</v>
      </c>
      <c r="CR47" s="254">
        <v>0</v>
      </c>
    </row>
    <row r="48" spans="1:96" s="383" customFormat="1" ht="30" customHeight="1" outlineLevel="1">
      <c r="A48" s="396" t="b">
        <f>Calcul!A48</f>
        <v>1</v>
      </c>
      <c r="B48" s="438" t="str">
        <f t="shared" si="17"/>
        <v>VRAI135199janvier42750</v>
      </c>
      <c r="C48" s="1137" t="b">
        <v>1</v>
      </c>
      <c r="D48" s="1133" t="s">
        <v>2784</v>
      </c>
      <c r="E48" s="241" t="s">
        <v>2139</v>
      </c>
      <c r="F48" s="338">
        <f>IF(A48=FALSE,"",IF(NAMES!$D$10=FALSE,IF(Detail!H48="","",Detail!H48),IF(Crewlist!D48="","",Crewlist!D48)))</f>
        <v>135199</v>
      </c>
      <c r="G48" s="338" t="str">
        <f>IF(A48=FALSE,"",IF(NAMES!$D$10=FALSE,IF(Detail!P48="","",Detail!P48),IF(Crewlist!E48="","",Crewlist!E48)))</f>
        <v>Chief officer</v>
      </c>
      <c r="H48" s="338" t="str">
        <f>IF(A48=FALSE,"",IF(NAMES!$D$10=FALSE,IF(Detail!K48="","",Detail!K48),IF(Crewlist!F48="","",Crewlist!F48)))</f>
        <v>STURGE</v>
      </c>
      <c r="I48" s="1345">
        <f>IF(Crewlist!T48="","",Crewlist!T48)</f>
        <v>42750</v>
      </c>
      <c r="J48" s="1345">
        <f>IF(Crewlist!D48="","",IF(Crewlist!U48="",Crewlist!Y48,IF(DATERENOUVMOINS730&lt;&gt;Crewlist!U48&lt;&gt;Crewlist!Y48,Crewlist!U48,DATERENOUVMOINS365)))</f>
        <v>42930</v>
      </c>
      <c r="K48" s="1346">
        <f>IF(Detail!X48="","",Detail!X48)</f>
        <v>42750</v>
      </c>
      <c r="L48" s="1346">
        <f>IF(Detail!H48="","",IF(Detail!Y48="",DATERENOUV,IF(Detail!Y48&gt;Detail!D48,Detail!D48,Detail!Y48)))</f>
        <v>42930</v>
      </c>
      <c r="M48" s="829">
        <f>IF(A48=FALSE,"",IF(NAMES!$D$10=FALSE,IF(B48=B49,IF(N48=N49,0,(DATEDIF(K48,L48,"M")+1)),(DATEDIF(K48,L48,"M")+1)),IF(B48=B49,IF(N48=N49,0,(DATEDIF(I48,J48,"M")+1)),(DATEDIF(I48,J48,"M")+1))))</f>
        <v>6</v>
      </c>
      <c r="N48" s="339" t="str">
        <f t="shared" si="5"/>
        <v>janvier</v>
      </c>
      <c r="O48" s="340">
        <f>IF(A48=FALSE,"",IF(NAMES!$D$10=FALSE,IF((DATEDIF(K48,L48,"D")+1)&lt;365,(DATEDIF(K48,L48,"D")+1),365),IF((DATEDIF(I48,J48,"D")+1)&lt;365,(DATEDIF(I48,J48,"D")+1),365)))</f>
        <v>181</v>
      </c>
      <c r="P48" s="340">
        <f>IF(A48=FALSE,"",IF(NAMES!$D$10=FALSE,IF(L48="",365,DATEDIF(K48,L48,"D")+1),IF(L48="",365,DATEDIF(I48,J48,"D")+1)))</f>
        <v>181</v>
      </c>
      <c r="Q48" s="787">
        <f>Calcul!X48</f>
        <v>7000</v>
      </c>
      <c r="R48" s="787">
        <f>Calcul!Y48</f>
        <v>84000</v>
      </c>
      <c r="S48" s="811">
        <f>Calcul!AG48</f>
        <v>41654.794520547941</v>
      </c>
      <c r="T48" s="350" t="str">
        <f>IF(A48=FALSE,"",IF(NAMES!$D$10=FALSE,IF(Detail!S48="","",Detail!S48),IF(Crewlist!V48="","",Crewlist!V48)))</f>
        <v>annual</v>
      </c>
      <c r="U48" s="242">
        <f>Calcul!AI48</f>
        <v>2085.6412491639112</v>
      </c>
      <c r="V48" s="242">
        <f>Calcul!AL48</f>
        <v>7.5876000000000001</v>
      </c>
      <c r="W48" s="242">
        <f>Calcul!AM48</f>
        <v>79.69437112168896</v>
      </c>
      <c r="X48" s="335">
        <f>Calcul!AN48</f>
        <v>0</v>
      </c>
      <c r="Y48" s="242">
        <f>Calcul!AO48</f>
        <v>87.281971121688954</v>
      </c>
      <c r="Z48" s="242" t="str">
        <f>Calcul!AP48</f>
        <v>WCA</v>
      </c>
      <c r="AA48" s="335">
        <f>Calcul!AQ48</f>
        <v>6</v>
      </c>
      <c r="AB48" s="335">
        <f>IF(C48=FALSE,"",Calcul!BE48+Calcul!BF48)</f>
        <v>313.18269230769226</v>
      </c>
      <c r="AC48" s="335">
        <f>IF(C48=FALSE,"",(Calcul!BG48+Calcul!BH48)+SUM(Calcul!BI48:BN48))</f>
        <v>0</v>
      </c>
      <c r="AD48" s="335">
        <f>Calcul!BP48</f>
        <v>1679.1765857345301</v>
      </c>
      <c r="AE48" s="1325" t="s">
        <v>2866</v>
      </c>
      <c r="AF48" s="573" t="s">
        <v>2254</v>
      </c>
      <c r="AG48" s="318" t="str">
        <f>IF(A48=FALSE,"",YEAR(Detail!F48)&amp;Detail!AG48&amp;Detail!AD48&amp;"-"&amp;Detail!AE48)</f>
        <v>2017EURAIG Luxembourg-StandardMLC S</v>
      </c>
      <c r="AH48" s="1134" t="s">
        <v>3082</v>
      </c>
      <c r="AI48" s="1453">
        <v>0.1</v>
      </c>
      <c r="AJ48" s="1135">
        <f t="shared" si="18"/>
        <v>0.1</v>
      </c>
      <c r="AK48" s="828">
        <f t="shared" si="19"/>
        <v>0</v>
      </c>
      <c r="AL48" s="828">
        <f t="shared" si="20"/>
        <v>0</v>
      </c>
      <c r="AM48" s="1135" t="s">
        <v>2316</v>
      </c>
      <c r="AN48" s="1455">
        <v>15.1752</v>
      </c>
      <c r="AO48" s="436">
        <v>0</v>
      </c>
      <c r="AP48" s="254">
        <v>1</v>
      </c>
      <c r="AQ48" s="254">
        <v>0</v>
      </c>
      <c r="AS48" s="1127"/>
      <c r="AT48" s="1132" t="s">
        <v>2140</v>
      </c>
      <c r="AU48" s="1136" t="s">
        <v>2255</v>
      </c>
      <c r="AV48" s="1136" t="str">
        <f>IF(A48=FALSE,"",IF(Detail!AT48="","N/A",YEAR(Detail!F48)&amp;Detail!AW48&amp;Detail!AT48&amp;"-"&amp;Detail!AU48&amp;" (100%/"&amp;Detail!CD48&amp;"/"&amp;Detail!CE48&amp;")"))</f>
        <v>2017EURAnker Verzekeringen n.v.-Formula 3 (100%/7/365)</v>
      </c>
      <c r="AW48" s="1136" t="s">
        <v>3083</v>
      </c>
      <c r="AX48" s="1320">
        <f>Calcul!DB48</f>
        <v>1679.1765857345301</v>
      </c>
      <c r="AY48" s="1298">
        <f>IF(A48=FALSE,"",51000+(Detail!AA48*7000))</f>
        <v>51000</v>
      </c>
      <c r="AZ48" s="1170">
        <v>50000</v>
      </c>
      <c r="BA48" s="243">
        <v>3</v>
      </c>
      <c r="BB48" s="1135">
        <v>0</v>
      </c>
      <c r="BC48" s="1298">
        <f>IF(A48=FALSE,"",51000+(Detail!AA48*7000))</f>
        <v>51000</v>
      </c>
      <c r="BD48" s="1298">
        <f t="shared" si="13"/>
        <v>50000</v>
      </c>
      <c r="BE48" s="1299">
        <f t="shared" si="14"/>
        <v>3</v>
      </c>
      <c r="BF48" s="1284">
        <f t="shared" si="15"/>
        <v>0</v>
      </c>
      <c r="BG48" s="397">
        <f t="shared" si="21"/>
        <v>60000</v>
      </c>
      <c r="BH48" s="1138">
        <v>50000</v>
      </c>
      <c r="BI48" s="243">
        <v>3</v>
      </c>
      <c r="BJ48" s="254">
        <v>0</v>
      </c>
      <c r="BK48" s="397">
        <f t="shared" si="22"/>
        <v>60000</v>
      </c>
      <c r="BL48" s="1138">
        <v>50000</v>
      </c>
      <c r="BM48" s="243">
        <v>3</v>
      </c>
      <c r="BN48" s="254">
        <v>0</v>
      </c>
      <c r="BO48" s="239">
        <v>7</v>
      </c>
      <c r="BP48" s="1075">
        <v>365</v>
      </c>
      <c r="BQ48" s="244">
        <v>1</v>
      </c>
      <c r="BR48" s="254">
        <v>0</v>
      </c>
      <c r="BS48" s="239">
        <f t="shared" si="23"/>
        <v>7</v>
      </c>
      <c r="BT48" s="241">
        <f t="shared" si="24"/>
        <v>365</v>
      </c>
      <c r="BU48" s="253">
        <v>1</v>
      </c>
      <c r="BV48" s="254">
        <v>0</v>
      </c>
      <c r="BW48" s="1135" t="s">
        <v>2224</v>
      </c>
      <c r="BX48" s="257">
        <v>0</v>
      </c>
      <c r="BY48" s="436">
        <v>0</v>
      </c>
      <c r="BZ48" s="254">
        <v>1</v>
      </c>
      <c r="CA48" s="254">
        <v>0</v>
      </c>
      <c r="CB48" s="1296"/>
      <c r="CD48" s="1136" t="str">
        <f>IF(A48=FALSE,"",Calcul!NZ48)</f>
        <v>N/A</v>
      </c>
      <c r="CE48" s="1136" t="s">
        <v>2224</v>
      </c>
      <c r="CF48" s="1132" t="s">
        <v>2138</v>
      </c>
      <c r="CG48" s="1136" t="s">
        <v>2254</v>
      </c>
      <c r="CH48" s="1135" t="s">
        <v>2224</v>
      </c>
      <c r="CI48" s="257">
        <v>0</v>
      </c>
      <c r="CJ48" s="436">
        <v>0</v>
      </c>
      <c r="CK48" s="1135">
        <v>1</v>
      </c>
      <c r="CL48" s="1135">
        <v>0</v>
      </c>
      <c r="CM48" s="1170">
        <v>100000</v>
      </c>
      <c r="CN48" s="243">
        <v>2</v>
      </c>
      <c r="CO48" s="254">
        <v>0</v>
      </c>
      <c r="CP48" s="1298">
        <f t="shared" si="16"/>
        <v>100000</v>
      </c>
      <c r="CQ48" s="243">
        <v>2</v>
      </c>
      <c r="CR48" s="254">
        <v>0</v>
      </c>
    </row>
    <row r="49" spans="1:96" s="383" customFormat="1" ht="30" customHeight="1" outlineLevel="1">
      <c r="A49" s="396" t="b">
        <f>Calcul!A49</f>
        <v>1</v>
      </c>
      <c r="B49" s="438" t="str">
        <f t="shared" si="17"/>
        <v>VRAI135201janvier42750</v>
      </c>
      <c r="C49" s="1137" t="b">
        <v>1</v>
      </c>
      <c r="D49" s="1133" t="s">
        <v>2784</v>
      </c>
      <c r="E49" s="241" t="s">
        <v>2139</v>
      </c>
      <c r="F49" s="338">
        <f>IF(A49=FALSE,"",IF(NAMES!$D$10=FALSE,IF(Detail!H49="","",Detail!H49),IF(Crewlist!D49="","",Crewlist!D49)))</f>
        <v>135201</v>
      </c>
      <c r="G49" s="338" t="str">
        <f>IF(A49=FALSE,"",IF(NAMES!$D$10=FALSE,IF(Detail!P49="","",Detail!P49),IF(Crewlist!E49="","",Crewlist!E49)))</f>
        <v>Bosun</v>
      </c>
      <c r="H49" s="338" t="str">
        <f>IF(A49=FALSE,"",IF(NAMES!$D$10=FALSE,IF(Detail!K49="","",Detail!K49),IF(Crewlist!F49="","",Crewlist!F49)))</f>
        <v>VOLKER</v>
      </c>
      <c r="I49" s="1345">
        <f>IF(Crewlist!T49="","",Crewlist!T49)</f>
        <v>42750</v>
      </c>
      <c r="J49" s="1345">
        <f>IF(Crewlist!D49="","",IF(Crewlist!U49="",Crewlist!Y49,IF(DATERENOUVMOINS730&lt;&gt;Crewlist!U49&lt;&gt;Crewlist!Y49,Crewlist!U49,DATERENOUVMOINS365)))</f>
        <v>42930</v>
      </c>
      <c r="K49" s="1346">
        <f>IF(Detail!X49="","",Detail!X49)</f>
        <v>42750</v>
      </c>
      <c r="L49" s="1346">
        <f>IF(Detail!H49="","",IF(Detail!Y49="",DATERENOUV,IF(Detail!Y49&gt;Detail!D49,Detail!D49,Detail!Y49)))</f>
        <v>42930</v>
      </c>
      <c r="M49" s="829">
        <f>IF(A49=FALSE,"",IF(NAMES!$D$10=FALSE,IF(B49=B50,IF(N49=N50,0,(DATEDIF(K49,L49,"M")+1)),(DATEDIF(K49,L49,"M")+1)),IF(B49=B50,IF(N49=N50,0,(DATEDIF(I49,J49,"M")+1)),(DATEDIF(I49,J49,"M")+1))))</f>
        <v>6</v>
      </c>
      <c r="N49" s="339" t="str">
        <f t="shared" si="5"/>
        <v>janvier</v>
      </c>
      <c r="O49" s="340">
        <f>IF(A49=FALSE,"",IF(NAMES!$D$10=FALSE,IF((DATEDIF(K49,L49,"D")+1)&lt;365,(DATEDIF(K49,L49,"D")+1),365),IF((DATEDIF(I49,J49,"D")+1)&lt;365,(DATEDIF(I49,J49,"D")+1),365)))</f>
        <v>181</v>
      </c>
      <c r="P49" s="340">
        <f>IF(A49=FALSE,"",IF(NAMES!$D$10=FALSE,IF(L49="",365,DATEDIF(K49,L49,"D")+1),IF(L49="",365,DATEDIF(I49,J49,"D")+1)))</f>
        <v>181</v>
      </c>
      <c r="Q49" s="787">
        <f>Calcul!X49</f>
        <v>3000</v>
      </c>
      <c r="R49" s="787">
        <f>Calcul!Y49</f>
        <v>36000</v>
      </c>
      <c r="S49" s="811">
        <f>Calcul!AG49</f>
        <v>17852.054794520547</v>
      </c>
      <c r="T49" s="350" t="str">
        <f>IF(A49=FALSE,"",IF(NAMES!$D$10=FALSE,IF(Detail!S49="","",Detail!S49),IF(Crewlist!V49="","",Crewlist!V49)))</f>
        <v>annual</v>
      </c>
      <c r="U49" s="242">
        <f>Calcul!AI49</f>
        <v>1087.7305924988193</v>
      </c>
      <c r="V49" s="242">
        <f>Calcul!AL49</f>
        <v>7.5876000000000001</v>
      </c>
      <c r="W49" s="242">
        <f>Calcul!AM49</f>
        <v>41.313192019185387</v>
      </c>
      <c r="X49" s="335">
        <f>Calcul!AN49</f>
        <v>0</v>
      </c>
      <c r="Y49" s="242">
        <f>Calcul!AO49</f>
        <v>48.900792019185388</v>
      </c>
      <c r="Z49" s="242" t="str">
        <f>Calcul!AP49</f>
        <v>WCA</v>
      </c>
      <c r="AA49" s="335">
        <f>Calcul!AQ49</f>
        <v>6</v>
      </c>
      <c r="AB49" s="335">
        <f>IF(C49=FALSE,"",Calcul!BE49+Calcul!BF49)</f>
        <v>313.18269230769226</v>
      </c>
      <c r="AC49" s="335">
        <f>IF(C49=FALSE,"",(Calcul!BG49+Calcul!BH49)+SUM(Calcul!BI49:BN49))</f>
        <v>0</v>
      </c>
      <c r="AD49" s="335">
        <f>Calcul!BP49</f>
        <v>719.64710817194145</v>
      </c>
      <c r="AE49" s="1325" t="s">
        <v>2866</v>
      </c>
      <c r="AF49" s="573" t="s">
        <v>2254</v>
      </c>
      <c r="AG49" s="318" t="str">
        <f>IF(A49=FALSE,"",YEAR(Detail!F49)&amp;Detail!AG49&amp;Detail!AD49&amp;"-"&amp;Detail!AE49)</f>
        <v>2017EURAIG Luxembourg-StandardMLC S</v>
      </c>
      <c r="AH49" s="1134" t="s">
        <v>3082</v>
      </c>
      <c r="AI49" s="1453">
        <v>0.1</v>
      </c>
      <c r="AJ49" s="1135">
        <f t="shared" si="18"/>
        <v>0.1</v>
      </c>
      <c r="AK49" s="828">
        <f t="shared" si="19"/>
        <v>0</v>
      </c>
      <c r="AL49" s="828">
        <f t="shared" si="20"/>
        <v>0</v>
      </c>
      <c r="AM49" s="1135" t="s">
        <v>2316</v>
      </c>
      <c r="AN49" s="1455">
        <v>15.1752</v>
      </c>
      <c r="AO49" s="436">
        <v>0</v>
      </c>
      <c r="AP49" s="254">
        <v>1</v>
      </c>
      <c r="AQ49" s="254">
        <v>0</v>
      </c>
      <c r="AS49" s="1127"/>
      <c r="AT49" s="1132" t="s">
        <v>2140</v>
      </c>
      <c r="AU49" s="1136" t="s">
        <v>2255</v>
      </c>
      <c r="AV49" s="1136" t="str">
        <f>IF(A49=FALSE,"",IF(Detail!AT49="","N/A",YEAR(Detail!F49)&amp;Detail!AW49&amp;Detail!AT49&amp;"-"&amp;Detail!AU49&amp;" (100%/"&amp;Detail!CD49&amp;"/"&amp;Detail!CE49&amp;")"))</f>
        <v>2017EURAnker Verzekeringen n.v.-Formula 3 (100%/7/365)</v>
      </c>
      <c r="AW49" s="1136" t="s">
        <v>3083</v>
      </c>
      <c r="AX49" s="1320">
        <f>Calcul!DB49</f>
        <v>719.64710817194145</v>
      </c>
      <c r="AY49" s="1298">
        <f>IF(A49=FALSE,"",51000+(Detail!AA49*7000))</f>
        <v>51000</v>
      </c>
      <c r="AZ49" s="1170">
        <v>50000</v>
      </c>
      <c r="BA49" s="243">
        <v>3</v>
      </c>
      <c r="BB49" s="1135">
        <v>0</v>
      </c>
      <c r="BC49" s="1298">
        <f>IF(A49=FALSE,"",51000+(Detail!AA49*7000))</f>
        <v>51000</v>
      </c>
      <c r="BD49" s="1298">
        <f t="shared" si="13"/>
        <v>50000</v>
      </c>
      <c r="BE49" s="1299">
        <f t="shared" si="14"/>
        <v>3</v>
      </c>
      <c r="BF49" s="1284">
        <f t="shared" si="15"/>
        <v>0</v>
      </c>
      <c r="BG49" s="397">
        <f t="shared" si="21"/>
        <v>60000</v>
      </c>
      <c r="BH49" s="1138">
        <v>50000</v>
      </c>
      <c r="BI49" s="243">
        <v>3</v>
      </c>
      <c r="BJ49" s="254">
        <v>0</v>
      </c>
      <c r="BK49" s="397">
        <f t="shared" si="22"/>
        <v>60000</v>
      </c>
      <c r="BL49" s="1138">
        <v>50000</v>
      </c>
      <c r="BM49" s="243">
        <v>3</v>
      </c>
      <c r="BN49" s="254">
        <v>0</v>
      </c>
      <c r="BO49" s="239">
        <v>7</v>
      </c>
      <c r="BP49" s="1075">
        <v>365</v>
      </c>
      <c r="BQ49" s="244">
        <v>1</v>
      </c>
      <c r="BR49" s="254">
        <v>0</v>
      </c>
      <c r="BS49" s="239">
        <f t="shared" si="23"/>
        <v>7</v>
      </c>
      <c r="BT49" s="241">
        <f t="shared" si="24"/>
        <v>365</v>
      </c>
      <c r="BU49" s="253">
        <v>1</v>
      </c>
      <c r="BV49" s="254">
        <v>0</v>
      </c>
      <c r="BW49" s="1135" t="s">
        <v>2224</v>
      </c>
      <c r="BX49" s="257">
        <v>0</v>
      </c>
      <c r="BY49" s="436">
        <v>0</v>
      </c>
      <c r="BZ49" s="254">
        <v>1</v>
      </c>
      <c r="CA49" s="254">
        <v>0</v>
      </c>
      <c r="CB49" s="1296"/>
      <c r="CD49" s="1136" t="str">
        <f>IF(A49=FALSE,"",Calcul!NZ49)</f>
        <v>N/A</v>
      </c>
      <c r="CE49" s="1136" t="s">
        <v>2224</v>
      </c>
      <c r="CF49" s="1132" t="s">
        <v>2138</v>
      </c>
      <c r="CG49" s="1136" t="s">
        <v>2254</v>
      </c>
      <c r="CH49" s="1135" t="s">
        <v>2224</v>
      </c>
      <c r="CI49" s="257">
        <v>0</v>
      </c>
      <c r="CJ49" s="436">
        <v>0</v>
      </c>
      <c r="CK49" s="1135">
        <v>1</v>
      </c>
      <c r="CL49" s="1135">
        <v>0</v>
      </c>
      <c r="CM49" s="1170">
        <v>100000</v>
      </c>
      <c r="CN49" s="243">
        <v>2</v>
      </c>
      <c r="CO49" s="254">
        <v>0</v>
      </c>
      <c r="CP49" s="1298">
        <f t="shared" si="16"/>
        <v>100000</v>
      </c>
      <c r="CQ49" s="243">
        <v>2</v>
      </c>
      <c r="CR49" s="254">
        <v>0</v>
      </c>
    </row>
    <row r="50" spans="1:96" s="1127" customFormat="1" ht="30" customHeight="1" outlineLevel="1">
      <c r="A50" s="396" t="b">
        <f>Calcul!A50</f>
        <v>1</v>
      </c>
      <c r="B50" s="438" t="str">
        <f t="shared" si="17"/>
        <v>VRAIX-1</v>
      </c>
      <c r="C50" s="1137" t="b">
        <v>1</v>
      </c>
      <c r="D50" s="1133" t="s">
        <v>2784</v>
      </c>
      <c r="E50" s="1075" t="s">
        <v>2139</v>
      </c>
      <c r="F50" s="338" t="str">
        <f>IF(A50=FALSE,"",IF(NAMES!$D$10=FALSE,IF(Detail!H50="","",Detail!H50),IF(Crewlist!D50="","",Crewlist!D50)))</f>
        <v>X-1</v>
      </c>
      <c r="G50" s="338" t="str">
        <f>IF(A50=FALSE,"",IF(NAMES!$D$10=FALSE,IF(Detail!P50="","",Detail!P50),IF(Crewlist!E50="","",Crewlist!E50)))</f>
        <v/>
      </c>
      <c r="H50" s="338" t="str">
        <f>IF(A50=FALSE,"",IF(NAMES!$D$10=FALSE,IF(Detail!K50="","",Detail!K50),IF(Crewlist!F50="","",Crewlist!F50)))</f>
        <v/>
      </c>
      <c r="I50" s="1345">
        <f>IF(Crewlist!T50="","",Crewlist!T50)</f>
        <v>42781</v>
      </c>
      <c r="J50" s="1345">
        <f>IF(Crewlist!D50="","",IF(Crewlist!U50="",Crewlist!Y50,IF(DATERENOUVMOINS730&lt;&gt;Crewlist!U50&lt;&gt;Crewlist!Y50,Crewlist!U50,DATERENOUVMOINS365)))</f>
        <v>42930</v>
      </c>
      <c r="K50" s="1346" t="str">
        <f>IF(Detail!X50="","",Detail!X50)</f>
        <v/>
      </c>
      <c r="L50" s="1346" t="str">
        <f>IF(Detail!H50="","",IF(Detail!Y50="",DATERENOUV,IF(Detail!Y50&gt;Detail!D50,Detail!D50,Detail!Y50)))</f>
        <v/>
      </c>
      <c r="M50" s="829">
        <f>IF(A50=FALSE,"",IF(NAMES!$D$10=FALSE,IF(B50=B51,IF(N50=N51,0,(DATEDIF(K50,L50,"M")+1)),(DATEDIF(K50,L50,"M")+1)),IF(B50=B51,IF(N50=N51,0,(DATEDIF(I50,J50,"M")+1)),(DATEDIF(I50,J50,"M")+1))))</f>
        <v>5</v>
      </c>
      <c r="N50" s="829" t="str">
        <f t="shared" si="5"/>
        <v/>
      </c>
      <c r="O50" s="340">
        <f>IF(A50=FALSE,"",IF(NAMES!$D$10=FALSE,IF((DATEDIF(K50,L50,"D")+1)&lt;365,(DATEDIF(K50,L50,"D")+1),365),IF((DATEDIF(I50,J50,"D")+1)&lt;365,(DATEDIF(I50,J50,"D")+1),365)))</f>
        <v>150</v>
      </c>
      <c r="P50" s="340">
        <f>IF(A50=FALSE,"",IF(NAMES!$D$10=FALSE,IF(L50="",365,DATEDIF(K50,L50,"D")+1),IF(L50="",365,DATEDIF(I50,J50,"D")+1)))</f>
        <v>365</v>
      </c>
      <c r="Q50" s="787">
        <f>Calcul!X50</f>
        <v>2500</v>
      </c>
      <c r="R50" s="787">
        <f>Calcul!Y50</f>
        <v>30000</v>
      </c>
      <c r="S50" s="811">
        <f>Calcul!AG50</f>
        <v>12328.767123287671</v>
      </c>
      <c r="T50" s="350" t="str">
        <f>IF(A50=FALSE,"",IF(NAMES!$D$10=FALSE,IF(Detail!S50="","",Detail!S50),IF(Crewlist!V50="","",Crewlist!V50)))</f>
        <v>seasonal</v>
      </c>
      <c r="U50" s="242">
        <f>Calcul!AI50</f>
        <v>799.62161360415689</v>
      </c>
      <c r="V50" s="242">
        <f>Calcul!AL50</f>
        <v>6.3229999999999995</v>
      </c>
      <c r="W50" s="242">
        <f>Calcul!AM50</f>
        <v>30.319177446313752</v>
      </c>
      <c r="X50" s="335">
        <f>Calcul!AN50</f>
        <v>0</v>
      </c>
      <c r="Y50" s="242">
        <f>Calcul!AO50</f>
        <v>36.642177446313752</v>
      </c>
      <c r="Z50" s="242" t="str">
        <f>Calcul!AP50</f>
        <v>WCA</v>
      </c>
      <c r="AA50" s="335">
        <f>Calcul!AQ50</f>
        <v>5</v>
      </c>
      <c r="AB50" s="335">
        <f>IF(C50=FALSE,"",Calcul!BE50+Calcul!BF50)</f>
        <v>260.98557692307691</v>
      </c>
      <c r="AC50" s="335">
        <f>IF(C50=FALSE,"",(Calcul!BG50+Calcul!BH50)+SUM(Calcul!BI50:BN50))</f>
        <v>0</v>
      </c>
      <c r="AD50" s="335">
        <f>Calcul!BP50</f>
        <v>496.99385923476621</v>
      </c>
      <c r="AE50" s="1325" t="s">
        <v>2866</v>
      </c>
      <c r="AF50" s="1134" t="s">
        <v>2254</v>
      </c>
      <c r="AG50" s="318" t="str">
        <f>IF(A50=FALSE,"",YEAR(Detail!F50)&amp;Detail!AG50&amp;Detail!AD50&amp;"-"&amp;Detail!AE50)</f>
        <v>1900-</v>
      </c>
      <c r="AH50" s="1134" t="s">
        <v>3082</v>
      </c>
      <c r="AI50" s="1453">
        <v>0.1</v>
      </c>
      <c r="AJ50" s="1135">
        <f t="shared" si="18"/>
        <v>0.1</v>
      </c>
      <c r="AK50" s="1135">
        <f t="shared" si="19"/>
        <v>0</v>
      </c>
      <c r="AL50" s="1135">
        <f t="shared" si="20"/>
        <v>0</v>
      </c>
      <c r="AM50" s="1135" t="s">
        <v>2316</v>
      </c>
      <c r="AN50" s="1455">
        <v>15.1752</v>
      </c>
      <c r="AO50" s="436">
        <v>0</v>
      </c>
      <c r="AP50" s="1135">
        <v>1</v>
      </c>
      <c r="AQ50" s="1135">
        <v>0</v>
      </c>
      <c r="AT50" s="1132" t="s">
        <v>2140</v>
      </c>
      <c r="AU50" s="1136" t="s">
        <v>2255</v>
      </c>
      <c r="AV50" s="1136" t="str">
        <f>IF(A50=FALSE,"",IF(Detail!AT50="","N/A",YEAR(Detail!F50)&amp;Detail!AW50&amp;Detail!AT50&amp;"-"&amp;Detail!AU50&amp;" (100%/"&amp;Detail!CD50&amp;"/"&amp;Detail!CE50&amp;")"))</f>
        <v>N/A</v>
      </c>
      <c r="AW50" s="1136" t="s">
        <v>3083</v>
      </c>
      <c r="AX50" s="1320">
        <f>Calcul!DB50</f>
        <v>496.99385923476621</v>
      </c>
      <c r="AY50" s="1170">
        <f>IF(A50=FALSE,"",51000+(Detail!AA50*7000))</f>
        <v>51000</v>
      </c>
      <c r="AZ50" s="1170">
        <v>50000</v>
      </c>
      <c r="BA50" s="243">
        <v>3</v>
      </c>
      <c r="BB50" s="1135">
        <v>0</v>
      </c>
      <c r="BC50" s="1170">
        <f>IF(A50=FALSE,"",51000+(Detail!AA50*7000))</f>
        <v>51000</v>
      </c>
      <c r="BD50" s="1170">
        <f t="shared" si="13"/>
        <v>50000</v>
      </c>
      <c r="BE50" s="243">
        <f t="shared" si="14"/>
        <v>3</v>
      </c>
      <c r="BF50" s="1135">
        <f t="shared" si="15"/>
        <v>0</v>
      </c>
      <c r="BG50" s="1170">
        <f t="shared" si="21"/>
        <v>60000</v>
      </c>
      <c r="BH50" s="1170">
        <v>50000</v>
      </c>
      <c r="BI50" s="243">
        <v>3</v>
      </c>
      <c r="BJ50" s="1135">
        <v>0</v>
      </c>
      <c r="BK50" s="1170">
        <f t="shared" si="22"/>
        <v>60000</v>
      </c>
      <c r="BL50" s="1170">
        <v>50000</v>
      </c>
      <c r="BM50" s="243">
        <v>3</v>
      </c>
      <c r="BN50" s="1135">
        <v>0</v>
      </c>
      <c r="BO50" s="1132">
        <v>7</v>
      </c>
      <c r="BP50" s="1075">
        <v>365</v>
      </c>
      <c r="BQ50" s="244">
        <v>1</v>
      </c>
      <c r="BR50" s="1135">
        <v>0</v>
      </c>
      <c r="BS50" s="1132">
        <f t="shared" si="23"/>
        <v>7</v>
      </c>
      <c r="BT50" s="1075">
        <f t="shared" si="24"/>
        <v>365</v>
      </c>
      <c r="BU50" s="253">
        <v>1</v>
      </c>
      <c r="BV50" s="1135">
        <v>0</v>
      </c>
      <c r="BW50" s="1135" t="s">
        <v>2224</v>
      </c>
      <c r="BX50" s="257">
        <v>0</v>
      </c>
      <c r="BY50" s="436">
        <v>0</v>
      </c>
      <c r="BZ50" s="1135">
        <v>1</v>
      </c>
      <c r="CA50" s="1135">
        <v>0</v>
      </c>
      <c r="CB50" s="1296"/>
      <c r="CD50" s="1136" t="str">
        <f>IF(A50=FALSE,"",Calcul!NZ50)</f>
        <v>N/A</v>
      </c>
      <c r="CE50" s="1136" t="s">
        <v>2224</v>
      </c>
      <c r="CF50" s="1132" t="s">
        <v>2138</v>
      </c>
      <c r="CG50" s="1136" t="s">
        <v>2254</v>
      </c>
      <c r="CH50" s="1135" t="s">
        <v>2224</v>
      </c>
      <c r="CI50" s="257">
        <v>0</v>
      </c>
      <c r="CJ50" s="436">
        <v>0</v>
      </c>
      <c r="CK50" s="1135">
        <v>1</v>
      </c>
      <c r="CL50" s="1135">
        <v>0</v>
      </c>
      <c r="CM50" s="1170">
        <v>100000</v>
      </c>
      <c r="CN50" s="243">
        <v>2</v>
      </c>
      <c r="CO50" s="1135">
        <v>0</v>
      </c>
      <c r="CP50" s="1170">
        <f t="shared" si="16"/>
        <v>100000</v>
      </c>
      <c r="CQ50" s="243">
        <v>2</v>
      </c>
      <c r="CR50" s="1135">
        <v>0</v>
      </c>
    </row>
    <row r="51" spans="1:96" s="1127" customFormat="1" ht="30" customHeight="1" outlineLevel="1">
      <c r="A51" s="396" t="b">
        <f>Calcul!A51</f>
        <v>1</v>
      </c>
      <c r="B51" s="438" t="str">
        <f t="shared" si="17"/>
        <v>VRAIX-2</v>
      </c>
      <c r="C51" s="1137" t="b">
        <v>1</v>
      </c>
      <c r="D51" s="1133" t="s">
        <v>2784</v>
      </c>
      <c r="E51" s="1075" t="s">
        <v>2139</v>
      </c>
      <c r="F51" s="338" t="str">
        <f>IF(A51=FALSE,"",IF(NAMES!$D$10=FALSE,IF(Detail!H51="","",Detail!H51),IF(Crewlist!D51="","",Crewlist!D51)))</f>
        <v>X-2</v>
      </c>
      <c r="G51" s="338" t="str">
        <f>IF(A51=FALSE,"",IF(NAMES!$D$10=FALSE,IF(Detail!P51="","",Detail!P51),IF(Crewlist!E51="","",Crewlist!E51)))</f>
        <v/>
      </c>
      <c r="H51" s="338" t="str">
        <f>IF(A51=FALSE,"",IF(NAMES!$D$10=FALSE,IF(Detail!K51="","",Detail!K51),IF(Crewlist!F51="","",Crewlist!F51)))</f>
        <v/>
      </c>
      <c r="I51" s="1345">
        <f>IF(Crewlist!T51="","",Crewlist!T51)</f>
        <v>42781</v>
      </c>
      <c r="J51" s="1345">
        <f>IF(Crewlist!D51="","",IF(Crewlist!U51="",Crewlist!Y51,IF(DATERENOUVMOINS730&lt;&gt;Crewlist!U51&lt;&gt;Crewlist!Y51,Crewlist!U51,DATERENOUVMOINS365)))</f>
        <v>42930</v>
      </c>
      <c r="K51" s="1346" t="str">
        <f>IF(Detail!X51="","",Detail!X51)</f>
        <v/>
      </c>
      <c r="L51" s="1346" t="str">
        <f>IF(Detail!H51="","",IF(Detail!Y51="",DATERENOUV,IF(Detail!Y51&gt;Detail!D51,Detail!D51,Detail!Y51)))</f>
        <v/>
      </c>
      <c r="M51" s="829">
        <f>IF(A51=FALSE,"",IF(NAMES!$D$10=FALSE,IF(B51=B52,IF(N51=N52,0,(DATEDIF(K51,L51,"M")+1)),(DATEDIF(K51,L51,"M")+1)),IF(B51=B52,IF(N51=N52,0,(DATEDIF(I51,J51,"M")+1)),(DATEDIF(I51,J51,"M")+1))))</f>
        <v>5</v>
      </c>
      <c r="N51" s="829" t="str">
        <f t="shared" si="5"/>
        <v/>
      </c>
      <c r="O51" s="340">
        <f>IF(A51=FALSE,"",IF(NAMES!$D$10=FALSE,IF((DATEDIF(K51,L51,"D")+1)&lt;365,(DATEDIF(K51,L51,"D")+1),365),IF((DATEDIF(I51,J51,"D")+1)&lt;365,(DATEDIF(I51,J51,"D")+1),365)))</f>
        <v>150</v>
      </c>
      <c r="P51" s="340">
        <f>IF(A51=FALSE,"",IF(NAMES!$D$10=FALSE,IF(L51="",365,DATEDIF(K51,L51,"D")+1),IF(L51="",365,DATEDIF(I51,J51,"D")+1)))</f>
        <v>365</v>
      </c>
      <c r="Q51" s="787">
        <f>Calcul!X51</f>
        <v>2500</v>
      </c>
      <c r="R51" s="787">
        <f>Calcul!Y51</f>
        <v>30000</v>
      </c>
      <c r="S51" s="811">
        <f>Calcul!AG51</f>
        <v>12328.767123287671</v>
      </c>
      <c r="T51" s="350" t="str">
        <f>IF(A51=FALSE,"",IF(NAMES!$D$10=FALSE,IF(Detail!S51="","",Detail!S51),IF(Crewlist!V51="","",Crewlist!V51)))</f>
        <v>seasonal</v>
      </c>
      <c r="U51" s="242">
        <f>Calcul!AI51</f>
        <v>799.62161360415689</v>
      </c>
      <c r="V51" s="242">
        <f>Calcul!AL51</f>
        <v>6.3229999999999995</v>
      </c>
      <c r="W51" s="242">
        <f>Calcul!AM51</f>
        <v>30.319177446313752</v>
      </c>
      <c r="X51" s="335">
        <f>Calcul!AN51</f>
        <v>0</v>
      </c>
      <c r="Y51" s="242">
        <f>Calcul!AO51</f>
        <v>36.642177446313752</v>
      </c>
      <c r="Z51" s="242" t="str">
        <f>Calcul!AP51</f>
        <v>WCA</v>
      </c>
      <c r="AA51" s="335">
        <f>Calcul!AQ51</f>
        <v>5</v>
      </c>
      <c r="AB51" s="335">
        <f>IF(C51=FALSE,"",Calcul!BE51+Calcul!BF51)</f>
        <v>260.98557692307691</v>
      </c>
      <c r="AC51" s="335">
        <f>IF(C51=FALSE,"",(Calcul!BG51+Calcul!BH51)+SUM(Calcul!BI51:BN51))</f>
        <v>0</v>
      </c>
      <c r="AD51" s="335">
        <f>Calcul!BP51</f>
        <v>496.99385923476621</v>
      </c>
      <c r="AE51" s="1325" t="s">
        <v>2866</v>
      </c>
      <c r="AF51" s="1134" t="s">
        <v>2254</v>
      </c>
      <c r="AG51" s="318" t="str">
        <f>IF(A51=FALSE,"",YEAR(Detail!F51)&amp;Detail!AG51&amp;Detail!AD51&amp;"-"&amp;Detail!AE51)</f>
        <v>1900-</v>
      </c>
      <c r="AH51" s="1134" t="s">
        <v>3082</v>
      </c>
      <c r="AI51" s="1453">
        <v>0.1</v>
      </c>
      <c r="AJ51" s="1135">
        <f t="shared" si="18"/>
        <v>0.1</v>
      </c>
      <c r="AK51" s="1135">
        <f t="shared" si="19"/>
        <v>0</v>
      </c>
      <c r="AL51" s="1135">
        <f t="shared" si="20"/>
        <v>0</v>
      </c>
      <c r="AM51" s="1135" t="s">
        <v>2316</v>
      </c>
      <c r="AN51" s="1455">
        <v>15.1752</v>
      </c>
      <c r="AO51" s="436">
        <v>0</v>
      </c>
      <c r="AP51" s="1135">
        <v>1</v>
      </c>
      <c r="AQ51" s="1135">
        <v>0</v>
      </c>
      <c r="AT51" s="1132" t="s">
        <v>2140</v>
      </c>
      <c r="AU51" s="1136" t="s">
        <v>2255</v>
      </c>
      <c r="AV51" s="1136" t="str">
        <f>IF(A51=FALSE,"",IF(Detail!AT51="","N/A",YEAR(Detail!F51)&amp;Detail!AW51&amp;Detail!AT51&amp;"-"&amp;Detail!AU51&amp;" (100%/"&amp;Detail!CD51&amp;"/"&amp;Detail!CE51&amp;")"))</f>
        <v>N/A</v>
      </c>
      <c r="AW51" s="1136" t="s">
        <v>3083</v>
      </c>
      <c r="AX51" s="1320">
        <f>Calcul!DB51</f>
        <v>496.99385923476621</v>
      </c>
      <c r="AY51" s="1170">
        <f>IF(A51=FALSE,"",51000+(Detail!AA51*7000))</f>
        <v>51000</v>
      </c>
      <c r="AZ51" s="1170">
        <v>50000</v>
      </c>
      <c r="BA51" s="243">
        <v>3</v>
      </c>
      <c r="BB51" s="1135">
        <v>0</v>
      </c>
      <c r="BC51" s="1170">
        <f>IF(A51=FALSE,"",51000+(Detail!AA51*7000))</f>
        <v>51000</v>
      </c>
      <c r="BD51" s="1170">
        <f t="shared" si="13"/>
        <v>50000</v>
      </c>
      <c r="BE51" s="243">
        <f t="shared" si="14"/>
        <v>3</v>
      </c>
      <c r="BF51" s="1135">
        <f t="shared" si="15"/>
        <v>0</v>
      </c>
      <c r="BG51" s="1170">
        <f t="shared" si="21"/>
        <v>60000</v>
      </c>
      <c r="BH51" s="1170">
        <v>50000</v>
      </c>
      <c r="BI51" s="243">
        <v>3</v>
      </c>
      <c r="BJ51" s="1135">
        <v>0</v>
      </c>
      <c r="BK51" s="1170">
        <f t="shared" si="22"/>
        <v>60000</v>
      </c>
      <c r="BL51" s="1170">
        <v>50000</v>
      </c>
      <c r="BM51" s="243">
        <v>3</v>
      </c>
      <c r="BN51" s="1135">
        <v>0</v>
      </c>
      <c r="BO51" s="1132">
        <v>7</v>
      </c>
      <c r="BP51" s="1075">
        <v>365</v>
      </c>
      <c r="BQ51" s="244">
        <v>1</v>
      </c>
      <c r="BR51" s="1135">
        <v>0</v>
      </c>
      <c r="BS51" s="1132">
        <f t="shared" si="23"/>
        <v>7</v>
      </c>
      <c r="BT51" s="1075">
        <f t="shared" si="24"/>
        <v>365</v>
      </c>
      <c r="BU51" s="253">
        <v>1</v>
      </c>
      <c r="BV51" s="1135">
        <v>0</v>
      </c>
      <c r="BW51" s="1135" t="s">
        <v>2224</v>
      </c>
      <c r="BX51" s="257">
        <v>0</v>
      </c>
      <c r="BY51" s="436">
        <v>0</v>
      </c>
      <c r="BZ51" s="1135">
        <v>1</v>
      </c>
      <c r="CA51" s="1135">
        <v>0</v>
      </c>
      <c r="CB51" s="1296"/>
      <c r="CD51" s="1136" t="str">
        <f>IF(A51=FALSE,"",Calcul!NZ51)</f>
        <v>N/A</v>
      </c>
      <c r="CE51" s="1136" t="s">
        <v>2224</v>
      </c>
      <c r="CF51" s="1132" t="s">
        <v>2138</v>
      </c>
      <c r="CG51" s="1136" t="s">
        <v>2254</v>
      </c>
      <c r="CH51" s="1135" t="s">
        <v>2224</v>
      </c>
      <c r="CI51" s="257">
        <v>0</v>
      </c>
      <c r="CJ51" s="436">
        <v>0</v>
      </c>
      <c r="CK51" s="1135">
        <v>1</v>
      </c>
      <c r="CL51" s="1135">
        <v>0</v>
      </c>
      <c r="CM51" s="1170">
        <v>100000</v>
      </c>
      <c r="CN51" s="243">
        <v>2</v>
      </c>
      <c r="CO51" s="1135">
        <v>0</v>
      </c>
      <c r="CP51" s="1170">
        <f t="shared" si="16"/>
        <v>100000</v>
      </c>
      <c r="CQ51" s="243">
        <v>2</v>
      </c>
      <c r="CR51" s="1135">
        <v>0</v>
      </c>
    </row>
    <row r="52" spans="1:96" s="1127" customFormat="1" ht="30" customHeight="1" outlineLevel="1">
      <c r="A52" s="396" t="b">
        <f>Calcul!A52</f>
        <v>1</v>
      </c>
      <c r="B52" s="438" t="str">
        <f t="shared" si="17"/>
        <v>VRAIX-3</v>
      </c>
      <c r="C52" s="1137" t="b">
        <v>1</v>
      </c>
      <c r="D52" s="1133" t="s">
        <v>2784</v>
      </c>
      <c r="E52" s="1075" t="s">
        <v>2139</v>
      </c>
      <c r="F52" s="338" t="str">
        <f>IF(A52=FALSE,"",IF(NAMES!$D$10=FALSE,IF(Detail!H52="","",Detail!H52),IF(Crewlist!D52="","",Crewlist!D52)))</f>
        <v>X-3</v>
      </c>
      <c r="G52" s="338" t="str">
        <f>IF(A52=FALSE,"",IF(NAMES!$D$10=FALSE,IF(Detail!P52="","",Detail!P52),IF(Crewlist!E52="","",Crewlist!E52)))</f>
        <v/>
      </c>
      <c r="H52" s="338" t="str">
        <f>IF(A52=FALSE,"",IF(NAMES!$D$10=FALSE,IF(Detail!K52="","",Detail!K52),IF(Crewlist!F52="","",Crewlist!F52)))</f>
        <v/>
      </c>
      <c r="I52" s="1345">
        <f>IF(Crewlist!T52="","",Crewlist!T52)</f>
        <v>42781</v>
      </c>
      <c r="J52" s="1345">
        <f>IF(Crewlist!D52="","",IF(Crewlist!U52="",Crewlist!Y52,IF(DATERENOUVMOINS730&lt;&gt;Crewlist!U52&lt;&gt;Crewlist!Y52,Crewlist!U52,DATERENOUVMOINS365)))</f>
        <v>42930</v>
      </c>
      <c r="K52" s="1346" t="str">
        <f>IF(Detail!X52="","",Detail!X52)</f>
        <v/>
      </c>
      <c r="L52" s="1346" t="str">
        <f>IF(Detail!H52="","",IF(Detail!Y52="",DATERENOUV,IF(Detail!Y52&gt;Detail!D52,Detail!D52,Detail!Y52)))</f>
        <v/>
      </c>
      <c r="M52" s="829">
        <f>IF(A52=FALSE,"",IF(NAMES!$D$10=FALSE,IF(B52=B53,IF(N52=N53,0,(DATEDIF(K52,L52,"M")+1)),(DATEDIF(K52,L52,"M")+1)),IF(B52=B53,IF(N52=N53,0,(DATEDIF(I52,J52,"M")+1)),(DATEDIF(I52,J52,"M")+1))))</f>
        <v>5</v>
      </c>
      <c r="N52" s="829" t="str">
        <f t="shared" si="5"/>
        <v/>
      </c>
      <c r="O52" s="340">
        <f>IF(A52=FALSE,"",IF(NAMES!$D$10=FALSE,IF((DATEDIF(K52,L52,"D")+1)&lt;365,(DATEDIF(K52,L52,"D")+1),365),IF((DATEDIF(I52,J52,"D")+1)&lt;365,(DATEDIF(I52,J52,"D")+1),365)))</f>
        <v>150</v>
      </c>
      <c r="P52" s="340">
        <f>IF(A52=FALSE,"",IF(NAMES!$D$10=FALSE,IF(L52="",365,DATEDIF(K52,L52,"D")+1),IF(L52="",365,DATEDIF(I52,J52,"D")+1)))</f>
        <v>365</v>
      </c>
      <c r="Q52" s="787">
        <f>Calcul!X52</f>
        <v>2500</v>
      </c>
      <c r="R52" s="787">
        <f>Calcul!Y52</f>
        <v>30000</v>
      </c>
      <c r="S52" s="811">
        <f>Calcul!AG52</f>
        <v>12328.767123287671</v>
      </c>
      <c r="T52" s="350" t="str">
        <f>IF(A52=FALSE,"",IF(NAMES!$D$10=FALSE,IF(Detail!S52="","",Detail!S52),IF(Crewlist!V52="","",Crewlist!V52)))</f>
        <v>seasonal</v>
      </c>
      <c r="U52" s="242">
        <f>Calcul!AI52</f>
        <v>799.62161360415689</v>
      </c>
      <c r="V52" s="242">
        <f>Calcul!AL52</f>
        <v>6.3229999999999995</v>
      </c>
      <c r="W52" s="242">
        <f>Calcul!AM52</f>
        <v>30.319177446313752</v>
      </c>
      <c r="X52" s="335">
        <f>Calcul!AN52</f>
        <v>0</v>
      </c>
      <c r="Y52" s="242">
        <f>Calcul!AO52</f>
        <v>36.642177446313752</v>
      </c>
      <c r="Z52" s="242" t="str">
        <f>Calcul!AP52</f>
        <v>WCA</v>
      </c>
      <c r="AA52" s="335">
        <f>Calcul!AQ52</f>
        <v>5</v>
      </c>
      <c r="AB52" s="335">
        <f>IF(C52=FALSE,"",Calcul!BE52+Calcul!BF52)</f>
        <v>260.98557692307691</v>
      </c>
      <c r="AC52" s="335">
        <f>IF(C52=FALSE,"",(Calcul!BG52+Calcul!BH52)+SUM(Calcul!BI52:BN52))</f>
        <v>0</v>
      </c>
      <c r="AD52" s="335">
        <f>Calcul!BP52</f>
        <v>496.99385923476621</v>
      </c>
      <c r="AE52" s="1325" t="s">
        <v>2866</v>
      </c>
      <c r="AF52" s="1134" t="s">
        <v>2254</v>
      </c>
      <c r="AG52" s="318" t="str">
        <f>IF(A52=FALSE,"",YEAR(Detail!F52)&amp;Detail!AG52&amp;Detail!AD52&amp;"-"&amp;Detail!AE52)</f>
        <v>1900-</v>
      </c>
      <c r="AH52" s="1134" t="s">
        <v>3082</v>
      </c>
      <c r="AI52" s="1453">
        <v>0.1</v>
      </c>
      <c r="AJ52" s="1135">
        <f t="shared" si="18"/>
        <v>0.1</v>
      </c>
      <c r="AK52" s="1135">
        <f t="shared" si="19"/>
        <v>0</v>
      </c>
      <c r="AL52" s="1135">
        <f t="shared" si="20"/>
        <v>0</v>
      </c>
      <c r="AM52" s="1135" t="s">
        <v>2316</v>
      </c>
      <c r="AN52" s="1455">
        <v>15.1752</v>
      </c>
      <c r="AO52" s="436">
        <v>0</v>
      </c>
      <c r="AP52" s="1135">
        <v>1</v>
      </c>
      <c r="AQ52" s="1135">
        <v>0</v>
      </c>
      <c r="AT52" s="1132" t="s">
        <v>2140</v>
      </c>
      <c r="AU52" s="1136" t="s">
        <v>2255</v>
      </c>
      <c r="AV52" s="1136" t="str">
        <f>IF(A52=FALSE,"",IF(Detail!AT52="","N/A",YEAR(Detail!F52)&amp;Detail!AW52&amp;Detail!AT52&amp;"-"&amp;Detail!AU52&amp;" (100%/"&amp;Detail!CD52&amp;"/"&amp;Detail!CE52&amp;")"))</f>
        <v>N/A</v>
      </c>
      <c r="AW52" s="1136" t="s">
        <v>3083</v>
      </c>
      <c r="AX52" s="1320">
        <f>Calcul!DB52</f>
        <v>496.99385923476621</v>
      </c>
      <c r="AY52" s="1170">
        <f>IF(A52=FALSE,"",51000+(Detail!AA52*7000))</f>
        <v>51000</v>
      </c>
      <c r="AZ52" s="1170">
        <v>50000</v>
      </c>
      <c r="BA52" s="243">
        <v>3</v>
      </c>
      <c r="BB52" s="1135">
        <v>0</v>
      </c>
      <c r="BC52" s="1170">
        <f>IF(A52=FALSE,"",51000+(Detail!AA52*7000))</f>
        <v>51000</v>
      </c>
      <c r="BD52" s="1170">
        <f t="shared" si="13"/>
        <v>50000</v>
      </c>
      <c r="BE52" s="243">
        <f t="shared" si="14"/>
        <v>3</v>
      </c>
      <c r="BF52" s="1135">
        <f t="shared" si="15"/>
        <v>0</v>
      </c>
      <c r="BG52" s="1170">
        <f t="shared" si="21"/>
        <v>60000</v>
      </c>
      <c r="BH52" s="1170">
        <v>50000</v>
      </c>
      <c r="BI52" s="243">
        <v>3</v>
      </c>
      <c r="BJ52" s="1135">
        <v>0</v>
      </c>
      <c r="BK52" s="1170">
        <f t="shared" si="22"/>
        <v>60000</v>
      </c>
      <c r="BL52" s="1170">
        <v>50000</v>
      </c>
      <c r="BM52" s="243">
        <v>3</v>
      </c>
      <c r="BN52" s="1135">
        <v>0</v>
      </c>
      <c r="BO52" s="1132">
        <v>7</v>
      </c>
      <c r="BP52" s="1075">
        <v>365</v>
      </c>
      <c r="BQ52" s="244">
        <v>1</v>
      </c>
      <c r="BR52" s="1135">
        <v>0</v>
      </c>
      <c r="BS52" s="1132">
        <f t="shared" si="23"/>
        <v>7</v>
      </c>
      <c r="BT52" s="1075">
        <f t="shared" si="24"/>
        <v>365</v>
      </c>
      <c r="BU52" s="253">
        <v>1</v>
      </c>
      <c r="BV52" s="1135">
        <v>0</v>
      </c>
      <c r="BW52" s="1135" t="s">
        <v>2224</v>
      </c>
      <c r="BX52" s="257">
        <v>0</v>
      </c>
      <c r="BY52" s="436">
        <v>0</v>
      </c>
      <c r="BZ52" s="1135">
        <v>1</v>
      </c>
      <c r="CA52" s="1135">
        <v>0</v>
      </c>
      <c r="CB52" s="1296"/>
      <c r="CD52" s="1136" t="str">
        <f>IF(A52=FALSE,"",Calcul!NZ52)</f>
        <v>N/A</v>
      </c>
      <c r="CE52" s="1136" t="s">
        <v>2224</v>
      </c>
      <c r="CF52" s="1132" t="s">
        <v>2138</v>
      </c>
      <c r="CG52" s="1136" t="s">
        <v>2254</v>
      </c>
      <c r="CH52" s="1135" t="s">
        <v>2224</v>
      </c>
      <c r="CI52" s="257">
        <v>0</v>
      </c>
      <c r="CJ52" s="436">
        <v>0</v>
      </c>
      <c r="CK52" s="1135">
        <v>1</v>
      </c>
      <c r="CL52" s="1135">
        <v>0</v>
      </c>
      <c r="CM52" s="1170">
        <v>100000</v>
      </c>
      <c r="CN52" s="243">
        <v>2</v>
      </c>
      <c r="CO52" s="1135">
        <v>0</v>
      </c>
      <c r="CP52" s="1170">
        <f t="shared" si="16"/>
        <v>100000</v>
      </c>
      <c r="CQ52" s="243">
        <v>2</v>
      </c>
      <c r="CR52" s="1135">
        <v>0</v>
      </c>
    </row>
    <row r="53" spans="1:96" s="1127" customFormat="1" ht="30" customHeight="1" outlineLevel="1">
      <c r="A53" s="396" t="b">
        <f>Calcul!A53</f>
        <v>0</v>
      </c>
      <c r="B53" s="438" t="str">
        <f t="shared" si="17"/>
        <v/>
      </c>
      <c r="C53" s="1132" t="b">
        <v>0</v>
      </c>
      <c r="D53" s="1133" t="s">
        <v>2784</v>
      </c>
      <c r="E53" s="1075" t="s">
        <v>2139</v>
      </c>
      <c r="F53" s="338" t="str">
        <f>IF(A53=FALSE,"",IF(NAMES!$D$10=FALSE,IF(Detail!H53="","",Detail!H53),IF(Crewlist!D53="","",Crewlist!D53)))</f>
        <v/>
      </c>
      <c r="G53" s="338" t="str">
        <f>IF(A53=FALSE,"",IF(NAMES!$D$10=FALSE,IF(Detail!P53="","",Detail!P53),IF(Crewlist!E53="","",Crewlist!E53)))</f>
        <v/>
      </c>
      <c r="H53" s="338" t="str">
        <f>IF(A53=FALSE,"",IF(NAMES!$D$10=FALSE,IF(Detail!K53="","",Detail!K53),IF(Crewlist!F53="","",Crewlist!F53)))</f>
        <v/>
      </c>
      <c r="I53" s="1345" t="str">
        <f>IF(Crewlist!T53="","",Crewlist!T53)</f>
        <v/>
      </c>
      <c r="J53" s="1345" t="str">
        <f>IF(Crewlist!D53="","",IF(Crewlist!U53="",Crewlist!Y53,IF(DATERENOUVMOINS730&lt;&gt;Crewlist!U53&lt;&gt;Crewlist!Y53,Crewlist!U53,DATERENOUVMOINS365)))</f>
        <v/>
      </c>
      <c r="K53" s="1346" t="str">
        <f>IF(Detail!X53="","",Detail!X53)</f>
        <v/>
      </c>
      <c r="L53" s="1346" t="str">
        <f>IF(Detail!H53="","",IF(Detail!Y53="",DATERENOUV,IF(Detail!Y53&gt;Detail!D53,Detail!D53,Detail!Y53)))</f>
        <v/>
      </c>
      <c r="M53" s="829" t="str">
        <f>IF(A53=FALSE,"",IF(NAMES!$D$10=FALSE,IF(B53=B54,IF(N53=N54,0,(DATEDIF(K53,L53,"M")+1)),(DATEDIF(K53,L53,"M")+1)),IF(B53=B54,IF(N53=N54,0,(DATEDIF(I53,J53,"M")+1)),(DATEDIF(I53,J53,"M")+1))))</f>
        <v/>
      </c>
      <c r="N53" s="829" t="str">
        <f t="shared" si="5"/>
        <v/>
      </c>
      <c r="O53" s="340" t="str">
        <f>IF(A53=FALSE,"",IF(NAMES!$D$10=FALSE,IF((DATEDIF(K53,L53,"D")+1)&lt;365,(DATEDIF(K53,L53,"D")+1),365),IF((DATEDIF(I53,J53,"D")+1)&lt;365,(DATEDIF(I53,J53,"D")+1),365)))</f>
        <v/>
      </c>
      <c r="P53" s="340" t="str">
        <f>IF(A53=FALSE,"",IF(NAMES!$D$10=FALSE,IF(L53="",365,DATEDIF(K53,L53,"D")+1),IF(L53="",365,DATEDIF(I53,J53,"D")+1)))</f>
        <v/>
      </c>
      <c r="Q53" s="787" t="str">
        <f>Calcul!X53</f>
        <v/>
      </c>
      <c r="R53" s="787" t="str">
        <f>Calcul!Y53</f>
        <v/>
      </c>
      <c r="S53" s="811" t="str">
        <f>Calcul!AG53</f>
        <v/>
      </c>
      <c r="T53" s="350" t="str">
        <f>IF(A53=FALSE,"",IF(NAMES!$D$10=FALSE,IF(Detail!S53="","",Detail!S53),IF(Crewlist!V53="","",Crewlist!V53)))</f>
        <v/>
      </c>
      <c r="U53" s="242" t="str">
        <f>Calcul!AI53</f>
        <v/>
      </c>
      <c r="V53" s="242" t="str">
        <f>Calcul!AL53</f>
        <v/>
      </c>
      <c r="W53" s="242" t="str">
        <f>Calcul!AM53</f>
        <v/>
      </c>
      <c r="X53" s="335" t="str">
        <f>Calcul!AN53</f>
        <v/>
      </c>
      <c r="Y53" s="242" t="str">
        <f>Calcul!AO53</f>
        <v/>
      </c>
      <c r="Z53" s="242" t="str">
        <f>Calcul!AP53</f>
        <v/>
      </c>
      <c r="AA53" s="335" t="str">
        <f>Calcul!AQ53</f>
        <v/>
      </c>
      <c r="AB53" s="335" t="str">
        <f>IF(C53=FALSE,"",Calcul!BE53+Calcul!BF53)</f>
        <v/>
      </c>
      <c r="AC53" s="335" t="str">
        <f>IF(C53=FALSE,"",(Calcul!BG53+Calcul!BH53)+SUM(Calcul!BI53:BN53))</f>
        <v/>
      </c>
      <c r="AD53" s="335" t="str">
        <f>Calcul!BP53</f>
        <v/>
      </c>
      <c r="AE53" s="1325" t="s">
        <v>2866</v>
      </c>
      <c r="AF53" s="1134" t="s">
        <v>2254</v>
      </c>
      <c r="AG53" s="318" t="str">
        <f>IF(A53=FALSE,"",YEAR(Detail!F53)&amp;Detail!AG53&amp;Detail!AD53&amp;"-"&amp;Detail!AE53)</f>
        <v/>
      </c>
      <c r="AH53" s="1134" t="s">
        <v>2224</v>
      </c>
      <c r="AI53" s="1453">
        <v>0.1</v>
      </c>
      <c r="AJ53" s="1135">
        <f t="shared" si="18"/>
        <v>0.1</v>
      </c>
      <c r="AK53" s="1135">
        <f t="shared" si="19"/>
        <v>0</v>
      </c>
      <c r="AL53" s="1135">
        <f t="shared" si="20"/>
        <v>0</v>
      </c>
      <c r="AM53" s="1135" t="s">
        <v>2224</v>
      </c>
      <c r="AN53" s="1455">
        <v>15.1752</v>
      </c>
      <c r="AO53" s="436">
        <v>0</v>
      </c>
      <c r="AP53" s="1135">
        <v>1</v>
      </c>
      <c r="AQ53" s="1135">
        <v>0</v>
      </c>
      <c r="AT53" s="1132" t="s">
        <v>2140</v>
      </c>
      <c r="AU53" s="1136" t="s">
        <v>2255</v>
      </c>
      <c r="AV53" s="1136" t="str">
        <f>IF(A53=FALSE,"",IF(Detail!AT53="","N/A",YEAR(Detail!F53)&amp;Detail!AW53&amp;Detail!AT53&amp;"-"&amp;Detail!AU53&amp;" (100%/"&amp;Detail!CD53&amp;"/"&amp;Detail!CE53&amp;")"))</f>
        <v/>
      </c>
      <c r="AW53" s="1136" t="s">
        <v>2224</v>
      </c>
      <c r="AX53" s="1320" t="str">
        <f>Calcul!DB53</f>
        <v/>
      </c>
      <c r="AY53" s="1170" t="str">
        <f>IF(A53=FALSE,"",51000+(Detail!AA53*7000))</f>
        <v/>
      </c>
      <c r="AZ53" s="1170">
        <v>50000</v>
      </c>
      <c r="BA53" s="243">
        <v>3</v>
      </c>
      <c r="BB53" s="1135">
        <v>0</v>
      </c>
      <c r="BC53" s="1170" t="str">
        <f>IF(A53=FALSE,"",51000+(Detail!AA53*7000))</f>
        <v/>
      </c>
      <c r="BD53" s="1170">
        <f t="shared" si="13"/>
        <v>50000</v>
      </c>
      <c r="BE53" s="243">
        <f t="shared" si="14"/>
        <v>3</v>
      </c>
      <c r="BF53" s="1135">
        <f t="shared" si="15"/>
        <v>0</v>
      </c>
      <c r="BG53" s="1170" t="str">
        <f t="shared" si="21"/>
        <v/>
      </c>
      <c r="BH53" s="1170">
        <v>50000</v>
      </c>
      <c r="BI53" s="243">
        <v>3</v>
      </c>
      <c r="BJ53" s="1135">
        <v>0</v>
      </c>
      <c r="BK53" s="1170" t="str">
        <f t="shared" si="22"/>
        <v/>
      </c>
      <c r="BL53" s="1170">
        <v>50000</v>
      </c>
      <c r="BM53" s="243">
        <v>3</v>
      </c>
      <c r="BN53" s="1135">
        <v>0</v>
      </c>
      <c r="BO53" s="1132">
        <v>7</v>
      </c>
      <c r="BP53" s="1075">
        <v>365</v>
      </c>
      <c r="BQ53" s="244">
        <v>1</v>
      </c>
      <c r="BR53" s="1135">
        <v>0</v>
      </c>
      <c r="BS53" s="1132">
        <f t="shared" si="23"/>
        <v>7</v>
      </c>
      <c r="BT53" s="1075">
        <f t="shared" si="24"/>
        <v>365</v>
      </c>
      <c r="BU53" s="253">
        <v>1</v>
      </c>
      <c r="BV53" s="1135">
        <v>0</v>
      </c>
      <c r="BW53" s="1135" t="s">
        <v>2224</v>
      </c>
      <c r="BX53" s="257">
        <v>0</v>
      </c>
      <c r="BY53" s="436">
        <v>0</v>
      </c>
      <c r="BZ53" s="1135">
        <v>1</v>
      </c>
      <c r="CA53" s="1135">
        <v>0</v>
      </c>
      <c r="CB53" s="1296"/>
      <c r="CD53" s="1136" t="str">
        <f>IF(A53=FALSE,"",Calcul!NZ53)</f>
        <v/>
      </c>
      <c r="CE53" s="1136" t="s">
        <v>2224</v>
      </c>
      <c r="CF53" s="1132" t="s">
        <v>2138</v>
      </c>
      <c r="CG53" s="1136" t="s">
        <v>2254</v>
      </c>
      <c r="CH53" s="1135" t="s">
        <v>2224</v>
      </c>
      <c r="CI53" s="257">
        <v>0</v>
      </c>
      <c r="CJ53" s="436">
        <v>0</v>
      </c>
      <c r="CK53" s="1135">
        <v>1</v>
      </c>
      <c r="CL53" s="1135">
        <v>0</v>
      </c>
      <c r="CM53" s="1170">
        <v>100000</v>
      </c>
      <c r="CN53" s="243">
        <v>2</v>
      </c>
      <c r="CO53" s="1135">
        <v>0</v>
      </c>
      <c r="CP53" s="1170">
        <f t="shared" si="16"/>
        <v>100000</v>
      </c>
      <c r="CQ53" s="243">
        <v>2</v>
      </c>
      <c r="CR53" s="1135">
        <v>0</v>
      </c>
    </row>
    <row r="54" spans="1:96" s="1127" customFormat="1" ht="30" customHeight="1" outlineLevel="1">
      <c r="A54" s="396" t="b">
        <f>Calcul!A54</f>
        <v>0</v>
      </c>
      <c r="B54" s="438" t="str">
        <f t="shared" si="17"/>
        <v/>
      </c>
      <c r="C54" s="1132" t="b">
        <v>0</v>
      </c>
      <c r="D54" s="1133" t="s">
        <v>2784</v>
      </c>
      <c r="E54" s="1075" t="s">
        <v>2139</v>
      </c>
      <c r="F54" s="338" t="str">
        <f>IF(A54=FALSE,"",IF(NAMES!$D$10=FALSE,IF(Detail!H54="","",Detail!H54),IF(Crewlist!D54="","",Crewlist!D54)))</f>
        <v/>
      </c>
      <c r="G54" s="338" t="str">
        <f>IF(A54=FALSE,"",IF(NAMES!$D$10=FALSE,IF(Detail!P54="","",Detail!P54),IF(Crewlist!E54="","",Crewlist!E54)))</f>
        <v/>
      </c>
      <c r="H54" s="338" t="str">
        <f>IF(A54=FALSE,"",IF(NAMES!$D$10=FALSE,IF(Detail!K54="","",Detail!K54),IF(Crewlist!F54="","",Crewlist!F54)))</f>
        <v/>
      </c>
      <c r="I54" s="1345" t="str">
        <f>IF(Crewlist!T54="","",Crewlist!T54)</f>
        <v/>
      </c>
      <c r="J54" s="1345" t="str">
        <f>IF(Crewlist!D54="","",IF(Crewlist!U54="",Crewlist!Y54,IF(DATERENOUVMOINS730&lt;&gt;Crewlist!U54&lt;&gt;Crewlist!Y54,Crewlist!U54,DATERENOUVMOINS365)))</f>
        <v/>
      </c>
      <c r="K54" s="1346" t="str">
        <f>IF(Detail!X54="","",Detail!X54)</f>
        <v/>
      </c>
      <c r="L54" s="1346" t="str">
        <f>IF(Detail!H54="","",IF(Detail!Y54="",DATERENOUV,IF(Detail!Y54&gt;Detail!D54,Detail!D54,Detail!Y54)))</f>
        <v/>
      </c>
      <c r="M54" s="829" t="str">
        <f>IF(A54=FALSE,"",IF(NAMES!$D$10=FALSE,IF(B54=B55,IF(N54=N55,0,(DATEDIF(K54,L54,"M")+1)),(DATEDIF(K54,L54,"M")+1)),IF(B54=B55,IF(N54=N55,0,(DATEDIF(I54,J54,"M")+1)),(DATEDIF(I54,J54,"M")+1))))</f>
        <v/>
      </c>
      <c r="N54" s="829" t="str">
        <f t="shared" si="5"/>
        <v/>
      </c>
      <c r="O54" s="340" t="str">
        <f>IF(A54=FALSE,"",IF(NAMES!$D$10=FALSE,IF((DATEDIF(K54,L54,"D")+1)&lt;365,(DATEDIF(K54,L54,"D")+1),365),IF((DATEDIF(I54,J54,"D")+1)&lt;365,(DATEDIF(I54,J54,"D")+1),365)))</f>
        <v/>
      </c>
      <c r="P54" s="340" t="str">
        <f>IF(A54=FALSE,"",IF(NAMES!$D$10=FALSE,IF(L54="",365,DATEDIF(K54,L54,"D")+1),IF(L54="",365,DATEDIF(I54,J54,"D")+1)))</f>
        <v/>
      </c>
      <c r="Q54" s="787" t="str">
        <f>Calcul!X54</f>
        <v/>
      </c>
      <c r="R54" s="787" t="str">
        <f>Calcul!Y54</f>
        <v/>
      </c>
      <c r="S54" s="811" t="str">
        <f>Calcul!AG54</f>
        <v/>
      </c>
      <c r="T54" s="350" t="str">
        <f>IF(A54=FALSE,"",IF(NAMES!$D$10=FALSE,IF(Detail!S54="","",Detail!S54),IF(Crewlist!V54="","",Crewlist!V54)))</f>
        <v/>
      </c>
      <c r="U54" s="242" t="str">
        <f>Calcul!AI54</f>
        <v/>
      </c>
      <c r="V54" s="242" t="str">
        <f>Calcul!AL54</f>
        <v/>
      </c>
      <c r="W54" s="242" t="str">
        <f>Calcul!AM54</f>
        <v/>
      </c>
      <c r="X54" s="335" t="str">
        <f>Calcul!AN54</f>
        <v/>
      </c>
      <c r="Y54" s="242" t="str">
        <f>Calcul!AO54</f>
        <v/>
      </c>
      <c r="Z54" s="242" t="str">
        <f>Calcul!AP54</f>
        <v/>
      </c>
      <c r="AA54" s="335" t="str">
        <f>Calcul!AQ54</f>
        <v/>
      </c>
      <c r="AB54" s="335" t="str">
        <f>IF(C54=FALSE,"",Calcul!BE54+Calcul!BF54)</f>
        <v/>
      </c>
      <c r="AC54" s="335" t="str">
        <f>IF(C54=FALSE,"",(Calcul!BG54+Calcul!BH54)+SUM(Calcul!BI54:BN54))</f>
        <v/>
      </c>
      <c r="AD54" s="335" t="str">
        <f>Calcul!BP54</f>
        <v/>
      </c>
      <c r="AE54" s="1325" t="s">
        <v>2866</v>
      </c>
      <c r="AF54" s="1134" t="s">
        <v>2254</v>
      </c>
      <c r="AG54" s="318" t="str">
        <f>IF(A54=FALSE,"",YEAR(Detail!F54)&amp;Detail!AG54&amp;Detail!AD54&amp;"-"&amp;Detail!AE54)</f>
        <v/>
      </c>
      <c r="AH54" s="1134" t="s">
        <v>2224</v>
      </c>
      <c r="AI54" s="1453">
        <v>0.1</v>
      </c>
      <c r="AJ54" s="1135">
        <f t="shared" si="18"/>
        <v>0.1</v>
      </c>
      <c r="AK54" s="1135">
        <f t="shared" si="19"/>
        <v>0</v>
      </c>
      <c r="AL54" s="1135">
        <f t="shared" si="20"/>
        <v>0</v>
      </c>
      <c r="AM54" s="1135" t="s">
        <v>2224</v>
      </c>
      <c r="AN54" s="1455">
        <v>15.1752</v>
      </c>
      <c r="AO54" s="436">
        <v>0</v>
      </c>
      <c r="AP54" s="1135">
        <v>1</v>
      </c>
      <c r="AQ54" s="1135">
        <v>0</v>
      </c>
      <c r="AT54" s="1132" t="s">
        <v>2140</v>
      </c>
      <c r="AU54" s="1136" t="s">
        <v>2255</v>
      </c>
      <c r="AV54" s="1136" t="str">
        <f>IF(A54=FALSE,"",IF(Detail!AT54="","N/A",YEAR(Detail!F54)&amp;Detail!AW54&amp;Detail!AT54&amp;"-"&amp;Detail!AU54&amp;" (100%/"&amp;Detail!CD54&amp;"/"&amp;Detail!CE54&amp;")"))</f>
        <v/>
      </c>
      <c r="AW54" s="1136" t="s">
        <v>2224</v>
      </c>
      <c r="AX54" s="1320" t="str">
        <f>Calcul!DB54</f>
        <v/>
      </c>
      <c r="AY54" s="1170" t="str">
        <f>IF(A54=FALSE,"",51000+(Detail!AA54*7000))</f>
        <v/>
      </c>
      <c r="AZ54" s="1170">
        <v>50000</v>
      </c>
      <c r="BA54" s="243">
        <v>3</v>
      </c>
      <c r="BB54" s="1135">
        <v>0</v>
      </c>
      <c r="BC54" s="1170" t="str">
        <f>IF(A54=FALSE,"",51000+(Detail!AA54*7000))</f>
        <v/>
      </c>
      <c r="BD54" s="1170">
        <f t="shared" si="13"/>
        <v>50000</v>
      </c>
      <c r="BE54" s="243">
        <f t="shared" si="14"/>
        <v>3</v>
      </c>
      <c r="BF54" s="1135">
        <f t="shared" si="15"/>
        <v>0</v>
      </c>
      <c r="BG54" s="1170" t="str">
        <f t="shared" si="21"/>
        <v/>
      </c>
      <c r="BH54" s="1170">
        <v>50000</v>
      </c>
      <c r="BI54" s="243">
        <v>3</v>
      </c>
      <c r="BJ54" s="1135">
        <v>0</v>
      </c>
      <c r="BK54" s="1170" t="str">
        <f t="shared" si="22"/>
        <v/>
      </c>
      <c r="BL54" s="1170">
        <v>50000</v>
      </c>
      <c r="BM54" s="243">
        <v>3</v>
      </c>
      <c r="BN54" s="1135">
        <v>0</v>
      </c>
      <c r="BO54" s="1132">
        <v>7</v>
      </c>
      <c r="BP54" s="1075">
        <v>365</v>
      </c>
      <c r="BQ54" s="244">
        <v>1</v>
      </c>
      <c r="BR54" s="1135">
        <v>0</v>
      </c>
      <c r="BS54" s="1132">
        <f t="shared" si="23"/>
        <v>7</v>
      </c>
      <c r="BT54" s="1075">
        <f t="shared" si="24"/>
        <v>365</v>
      </c>
      <c r="BU54" s="253">
        <v>1</v>
      </c>
      <c r="BV54" s="1135">
        <v>0</v>
      </c>
      <c r="BW54" s="1135" t="s">
        <v>2224</v>
      </c>
      <c r="BX54" s="257">
        <v>0</v>
      </c>
      <c r="BY54" s="436">
        <v>0</v>
      </c>
      <c r="BZ54" s="1135">
        <v>1</v>
      </c>
      <c r="CA54" s="1135">
        <v>0</v>
      </c>
      <c r="CB54" s="1296"/>
      <c r="CD54" s="1136" t="str">
        <f>IF(A54=FALSE,"",Calcul!NZ54)</f>
        <v/>
      </c>
      <c r="CE54" s="1136" t="s">
        <v>2224</v>
      </c>
      <c r="CF54" s="1132" t="s">
        <v>2138</v>
      </c>
      <c r="CG54" s="1136" t="s">
        <v>2254</v>
      </c>
      <c r="CH54" s="1135" t="s">
        <v>2224</v>
      </c>
      <c r="CI54" s="257">
        <v>0</v>
      </c>
      <c r="CJ54" s="436">
        <v>0</v>
      </c>
      <c r="CK54" s="1135">
        <v>1</v>
      </c>
      <c r="CL54" s="1135">
        <v>0</v>
      </c>
      <c r="CM54" s="1170">
        <v>100000</v>
      </c>
      <c r="CN54" s="243">
        <v>2</v>
      </c>
      <c r="CO54" s="1135">
        <v>0</v>
      </c>
      <c r="CP54" s="1170">
        <f t="shared" si="16"/>
        <v>100000</v>
      </c>
      <c r="CQ54" s="243">
        <v>2</v>
      </c>
      <c r="CR54" s="1135">
        <v>0</v>
      </c>
    </row>
    <row r="55" spans="1:96" s="1127" customFormat="1" ht="30" customHeight="1" outlineLevel="1">
      <c r="A55" s="396" t="b">
        <f>Calcul!A55</f>
        <v>0</v>
      </c>
      <c r="B55" s="438" t="str">
        <f t="shared" si="17"/>
        <v/>
      </c>
      <c r="C55" s="1132" t="b">
        <v>0</v>
      </c>
      <c r="D55" s="1133" t="s">
        <v>2784</v>
      </c>
      <c r="E55" s="1075" t="s">
        <v>2139</v>
      </c>
      <c r="F55" s="338" t="str">
        <f>IF(A55=FALSE,"",IF(NAMES!$D$10=FALSE,IF(Detail!H55="","",Detail!H55),IF(Crewlist!D55="","",Crewlist!D55)))</f>
        <v/>
      </c>
      <c r="G55" s="338" t="str">
        <f>IF(A55=FALSE,"",IF(NAMES!$D$10=FALSE,IF(Detail!P55="","",Detail!P55),IF(Crewlist!E55="","",Crewlist!E55)))</f>
        <v/>
      </c>
      <c r="H55" s="338" t="str">
        <f>IF(A55=FALSE,"",IF(NAMES!$D$10=FALSE,IF(Detail!K55="","",Detail!K55),IF(Crewlist!F55="","",Crewlist!F55)))</f>
        <v/>
      </c>
      <c r="I55" s="1345" t="str">
        <f>IF(Crewlist!T55="","",Crewlist!T55)</f>
        <v/>
      </c>
      <c r="J55" s="1345" t="str">
        <f>IF(Crewlist!D55="","",IF(Crewlist!U55="",Crewlist!Y55,IF(DATERENOUVMOINS730&lt;&gt;Crewlist!U55&lt;&gt;Crewlist!Y55,Crewlist!U55,DATERENOUVMOINS365)))</f>
        <v/>
      </c>
      <c r="K55" s="1346" t="str">
        <f>IF(Detail!X55="","",Detail!X55)</f>
        <v/>
      </c>
      <c r="L55" s="1346" t="str">
        <f>IF(Detail!H55="","",IF(Detail!Y55="",DATERENOUV,IF(Detail!Y55&gt;Detail!D55,Detail!D55,Detail!Y55)))</f>
        <v/>
      </c>
      <c r="M55" s="829" t="str">
        <f>IF(A55=FALSE,"",IF(NAMES!$D$10=FALSE,IF(B55=B56,IF(N55=N56,0,(DATEDIF(K55,L55,"M")+1)),(DATEDIF(K55,L55,"M")+1)),IF(B55=B56,IF(N55=N56,0,(DATEDIF(I55,J55,"M")+1)),(DATEDIF(I55,J55,"M")+1))))</f>
        <v/>
      </c>
      <c r="N55" s="829" t="str">
        <f t="shared" si="5"/>
        <v/>
      </c>
      <c r="O55" s="340" t="str">
        <f>IF(A55=FALSE,"",IF(NAMES!$D$10=FALSE,IF((DATEDIF(K55,L55,"D")+1)&lt;365,(DATEDIF(K55,L55,"D")+1),365),IF((DATEDIF(I55,J55,"D")+1)&lt;365,(DATEDIF(I55,J55,"D")+1),365)))</f>
        <v/>
      </c>
      <c r="P55" s="340" t="str">
        <f>IF(A55=FALSE,"",IF(NAMES!$D$10=FALSE,IF(L55="",365,DATEDIF(K55,L55,"D")+1),IF(L55="",365,DATEDIF(I55,J55,"D")+1)))</f>
        <v/>
      </c>
      <c r="Q55" s="787" t="str">
        <f>Calcul!X55</f>
        <v/>
      </c>
      <c r="R55" s="787" t="str">
        <f>Calcul!Y55</f>
        <v/>
      </c>
      <c r="S55" s="811" t="str">
        <f>Calcul!AG55</f>
        <v/>
      </c>
      <c r="T55" s="350" t="str">
        <f>IF(A55=FALSE,"",IF(NAMES!$D$10=FALSE,IF(Detail!S55="","",Detail!S55),IF(Crewlist!V55="","",Crewlist!V55)))</f>
        <v/>
      </c>
      <c r="U55" s="242" t="str">
        <f>Calcul!AI55</f>
        <v/>
      </c>
      <c r="V55" s="242" t="str">
        <f>Calcul!AL55</f>
        <v/>
      </c>
      <c r="W55" s="242" t="str">
        <f>Calcul!AM55</f>
        <v/>
      </c>
      <c r="X55" s="335" t="str">
        <f>Calcul!AN55</f>
        <v/>
      </c>
      <c r="Y55" s="242" t="str">
        <f>Calcul!AO55</f>
        <v/>
      </c>
      <c r="Z55" s="242" t="str">
        <f>Calcul!AP55</f>
        <v/>
      </c>
      <c r="AA55" s="335" t="str">
        <f>Calcul!AQ55</f>
        <v/>
      </c>
      <c r="AB55" s="335" t="str">
        <f>IF(C55=FALSE,"",Calcul!BE55+Calcul!BF55)</f>
        <v/>
      </c>
      <c r="AC55" s="335" t="str">
        <f>IF(C55=FALSE,"",(Calcul!BG55+Calcul!BH55)+SUM(Calcul!BI55:BN55))</f>
        <v/>
      </c>
      <c r="AD55" s="335" t="str">
        <f>Calcul!BP55</f>
        <v/>
      </c>
      <c r="AE55" s="1325" t="s">
        <v>2866</v>
      </c>
      <c r="AF55" s="1134" t="s">
        <v>2254</v>
      </c>
      <c r="AG55" s="318" t="str">
        <f>IF(A55=FALSE,"",YEAR(Detail!F55)&amp;Detail!AG55&amp;Detail!AD55&amp;"-"&amp;Detail!AE55)</f>
        <v/>
      </c>
      <c r="AH55" s="1134" t="s">
        <v>2224</v>
      </c>
      <c r="AI55" s="1453">
        <v>0.1</v>
      </c>
      <c r="AJ55" s="1135">
        <f t="shared" si="18"/>
        <v>0.1</v>
      </c>
      <c r="AK55" s="1135">
        <f t="shared" si="19"/>
        <v>0</v>
      </c>
      <c r="AL55" s="1135">
        <f t="shared" si="20"/>
        <v>0</v>
      </c>
      <c r="AM55" s="1135" t="s">
        <v>2224</v>
      </c>
      <c r="AN55" s="1455">
        <v>15.1752</v>
      </c>
      <c r="AO55" s="436">
        <v>0</v>
      </c>
      <c r="AP55" s="1135">
        <v>1</v>
      </c>
      <c r="AQ55" s="1135">
        <v>0</v>
      </c>
      <c r="AT55" s="1132" t="s">
        <v>2140</v>
      </c>
      <c r="AU55" s="1136" t="s">
        <v>2255</v>
      </c>
      <c r="AV55" s="1136" t="str">
        <f>IF(A55=FALSE,"",IF(Detail!AT55="","N/A",YEAR(Detail!F55)&amp;Detail!AW55&amp;Detail!AT55&amp;"-"&amp;Detail!AU55&amp;" (100%/"&amp;Detail!CD55&amp;"/"&amp;Detail!CE55&amp;")"))</f>
        <v/>
      </c>
      <c r="AW55" s="1136" t="s">
        <v>2224</v>
      </c>
      <c r="AX55" s="1320" t="str">
        <f>Calcul!DB55</f>
        <v/>
      </c>
      <c r="AY55" s="1170" t="str">
        <f>IF(A55=FALSE,"",51000+(Detail!AA55*7000))</f>
        <v/>
      </c>
      <c r="AZ55" s="1170">
        <v>50000</v>
      </c>
      <c r="BA55" s="243">
        <v>3</v>
      </c>
      <c r="BB55" s="1135">
        <v>0</v>
      </c>
      <c r="BC55" s="1170" t="str">
        <f>IF(A55=FALSE,"",51000+(Detail!AA55*7000))</f>
        <v/>
      </c>
      <c r="BD55" s="1170">
        <f t="shared" si="13"/>
        <v>50000</v>
      </c>
      <c r="BE55" s="243">
        <f t="shared" si="14"/>
        <v>3</v>
      </c>
      <c r="BF55" s="1135">
        <f t="shared" si="15"/>
        <v>0</v>
      </c>
      <c r="BG55" s="1170" t="str">
        <f t="shared" si="21"/>
        <v/>
      </c>
      <c r="BH55" s="1170">
        <v>50000</v>
      </c>
      <c r="BI55" s="243">
        <v>3</v>
      </c>
      <c r="BJ55" s="1135">
        <v>0</v>
      </c>
      <c r="BK55" s="1170" t="str">
        <f t="shared" si="22"/>
        <v/>
      </c>
      <c r="BL55" s="1170">
        <v>50000</v>
      </c>
      <c r="BM55" s="243">
        <v>3</v>
      </c>
      <c r="BN55" s="1135">
        <v>0</v>
      </c>
      <c r="BO55" s="1132">
        <v>7</v>
      </c>
      <c r="BP55" s="1075">
        <v>365</v>
      </c>
      <c r="BQ55" s="244">
        <v>1</v>
      </c>
      <c r="BR55" s="1135">
        <v>0</v>
      </c>
      <c r="BS55" s="1132">
        <f t="shared" si="23"/>
        <v>7</v>
      </c>
      <c r="BT55" s="1075">
        <f t="shared" si="24"/>
        <v>365</v>
      </c>
      <c r="BU55" s="253">
        <v>1</v>
      </c>
      <c r="BV55" s="1135">
        <v>0</v>
      </c>
      <c r="BW55" s="1135" t="s">
        <v>2224</v>
      </c>
      <c r="BX55" s="257">
        <v>0</v>
      </c>
      <c r="BY55" s="436">
        <v>0</v>
      </c>
      <c r="BZ55" s="1135">
        <v>1</v>
      </c>
      <c r="CA55" s="1135">
        <v>0</v>
      </c>
      <c r="CB55" s="1296"/>
      <c r="CD55" s="1136" t="str">
        <f>IF(A55=FALSE,"",Calcul!NZ55)</f>
        <v/>
      </c>
      <c r="CE55" s="1136" t="s">
        <v>2224</v>
      </c>
      <c r="CF55" s="1132" t="s">
        <v>2138</v>
      </c>
      <c r="CG55" s="1136" t="s">
        <v>2254</v>
      </c>
      <c r="CH55" s="1135" t="s">
        <v>2224</v>
      </c>
      <c r="CI55" s="257">
        <v>0</v>
      </c>
      <c r="CJ55" s="436">
        <v>0</v>
      </c>
      <c r="CK55" s="1135">
        <v>1</v>
      </c>
      <c r="CL55" s="1135">
        <v>0</v>
      </c>
      <c r="CM55" s="1170">
        <v>100000</v>
      </c>
      <c r="CN55" s="243">
        <v>2</v>
      </c>
      <c r="CO55" s="1135">
        <v>0</v>
      </c>
      <c r="CP55" s="1170">
        <f t="shared" si="16"/>
        <v>100000</v>
      </c>
      <c r="CQ55" s="243">
        <v>2</v>
      </c>
      <c r="CR55" s="1135">
        <v>0</v>
      </c>
    </row>
    <row r="56" spans="1:96" s="1127" customFormat="1" ht="30" customHeight="1" outlineLevel="1">
      <c r="A56" s="396" t="b">
        <f>Calcul!A56</f>
        <v>0</v>
      </c>
      <c r="B56" s="438" t="str">
        <f t="shared" si="17"/>
        <v/>
      </c>
      <c r="C56" s="1132" t="b">
        <v>0</v>
      </c>
      <c r="D56" s="1133" t="s">
        <v>2784</v>
      </c>
      <c r="E56" s="1075" t="s">
        <v>2139</v>
      </c>
      <c r="F56" s="338" t="str">
        <f>IF(A56=FALSE,"",IF(NAMES!$D$10=FALSE,IF(Detail!H56="","",Detail!H56),IF(Crewlist!D56="","",Crewlist!D56)))</f>
        <v/>
      </c>
      <c r="G56" s="338" t="str">
        <f>IF(A56=FALSE,"",IF(NAMES!$D$10=FALSE,IF(Detail!P56="","",Detail!P56),IF(Crewlist!E56="","",Crewlist!E56)))</f>
        <v/>
      </c>
      <c r="H56" s="338" t="str">
        <f>IF(A56=FALSE,"",IF(NAMES!$D$10=FALSE,IF(Detail!K56="","",Detail!K56),IF(Crewlist!F56="","",Crewlist!F56)))</f>
        <v/>
      </c>
      <c r="I56" s="1345" t="str">
        <f>IF(Crewlist!T56="","",Crewlist!T56)</f>
        <v/>
      </c>
      <c r="J56" s="1345" t="str">
        <f>IF(Crewlist!D56="","",IF(Crewlist!U56="",Crewlist!Y56,IF(DATERENOUVMOINS730&lt;&gt;Crewlist!U56&lt;&gt;Crewlist!Y56,Crewlist!U56,DATERENOUVMOINS365)))</f>
        <v/>
      </c>
      <c r="K56" s="1346" t="str">
        <f>IF(Detail!X56="","",Detail!X56)</f>
        <v/>
      </c>
      <c r="L56" s="1346" t="str">
        <f>IF(Detail!H56="","",IF(Detail!Y56="",DATERENOUV,IF(Detail!Y56&gt;Detail!D56,Detail!D56,Detail!Y56)))</f>
        <v/>
      </c>
      <c r="M56" s="829" t="str">
        <f>IF(A56=FALSE,"",IF(NAMES!$D$10=FALSE,IF(B56=B57,IF(N56=N57,0,(DATEDIF(K56,L56,"M")+1)),(DATEDIF(K56,L56,"M")+1)),IF(B56=B57,IF(N56=N57,0,(DATEDIF(I56,J56,"M")+1)),(DATEDIF(I56,J56,"M")+1))))</f>
        <v/>
      </c>
      <c r="N56" s="829" t="str">
        <f t="shared" si="5"/>
        <v/>
      </c>
      <c r="O56" s="340" t="str">
        <f>IF(A56=FALSE,"",IF(NAMES!$D$10=FALSE,IF((DATEDIF(K56,L56,"D")+1)&lt;365,(DATEDIF(K56,L56,"D")+1),365),IF((DATEDIF(I56,J56,"D")+1)&lt;365,(DATEDIF(I56,J56,"D")+1),365)))</f>
        <v/>
      </c>
      <c r="P56" s="340" t="str">
        <f>IF(A56=FALSE,"",IF(NAMES!$D$10=FALSE,IF(L56="",365,DATEDIF(K56,L56,"D")+1),IF(L56="",365,DATEDIF(I56,J56,"D")+1)))</f>
        <v/>
      </c>
      <c r="Q56" s="787" t="str">
        <f>Calcul!X56</f>
        <v/>
      </c>
      <c r="R56" s="787" t="str">
        <f>Calcul!Y56</f>
        <v/>
      </c>
      <c r="S56" s="811" t="str">
        <f>Calcul!AG56</f>
        <v/>
      </c>
      <c r="T56" s="350" t="str">
        <f>IF(A56=FALSE,"",IF(NAMES!$D$10=FALSE,IF(Detail!S56="","",Detail!S56),IF(Crewlist!V56="","",Crewlist!V56)))</f>
        <v/>
      </c>
      <c r="U56" s="242" t="str">
        <f>Calcul!AI56</f>
        <v/>
      </c>
      <c r="V56" s="242" t="str">
        <f>Calcul!AL56</f>
        <v/>
      </c>
      <c r="W56" s="242" t="str">
        <f>Calcul!AM56</f>
        <v/>
      </c>
      <c r="X56" s="335" t="str">
        <f>Calcul!AN56</f>
        <v/>
      </c>
      <c r="Y56" s="242" t="str">
        <f>Calcul!AO56</f>
        <v/>
      </c>
      <c r="Z56" s="242" t="str">
        <f>Calcul!AP56</f>
        <v/>
      </c>
      <c r="AA56" s="335" t="str">
        <f>Calcul!AQ56</f>
        <v/>
      </c>
      <c r="AB56" s="335" t="str">
        <f>IF(C56=FALSE,"",Calcul!BE56+Calcul!BF56)</f>
        <v/>
      </c>
      <c r="AC56" s="335" t="str">
        <f>IF(C56=FALSE,"",(Calcul!BG56+Calcul!BH56)+SUM(Calcul!BI56:BN56))</f>
        <v/>
      </c>
      <c r="AD56" s="335" t="str">
        <f>Calcul!BP56</f>
        <v/>
      </c>
      <c r="AE56" s="1325" t="s">
        <v>2866</v>
      </c>
      <c r="AF56" s="1134" t="s">
        <v>2254</v>
      </c>
      <c r="AG56" s="318" t="str">
        <f>IF(A56=FALSE,"",YEAR(Detail!F56)&amp;Detail!AG56&amp;Detail!AD56&amp;"-"&amp;Detail!AE56)</f>
        <v/>
      </c>
      <c r="AH56" s="1134" t="s">
        <v>2224</v>
      </c>
      <c r="AI56" s="1453">
        <v>0.1</v>
      </c>
      <c r="AJ56" s="1135">
        <f t="shared" si="18"/>
        <v>0.1</v>
      </c>
      <c r="AK56" s="1135">
        <f t="shared" si="19"/>
        <v>0</v>
      </c>
      <c r="AL56" s="1135">
        <f t="shared" si="20"/>
        <v>0</v>
      </c>
      <c r="AM56" s="1135" t="s">
        <v>2224</v>
      </c>
      <c r="AN56" s="1455">
        <v>15.1752</v>
      </c>
      <c r="AO56" s="436">
        <v>0</v>
      </c>
      <c r="AP56" s="1135">
        <v>1</v>
      </c>
      <c r="AQ56" s="1135">
        <v>0</v>
      </c>
      <c r="AT56" s="1132" t="s">
        <v>2140</v>
      </c>
      <c r="AU56" s="1136" t="s">
        <v>2255</v>
      </c>
      <c r="AV56" s="1136" t="str">
        <f>IF(A56=FALSE,"",IF(Detail!AT56="","N/A",YEAR(Detail!F56)&amp;Detail!AW56&amp;Detail!AT56&amp;"-"&amp;Detail!AU56&amp;" (100%/"&amp;Detail!CD56&amp;"/"&amp;Detail!CE56&amp;")"))</f>
        <v/>
      </c>
      <c r="AW56" s="1136" t="s">
        <v>2224</v>
      </c>
      <c r="AX56" s="1320" t="str">
        <f>Calcul!DB56</f>
        <v/>
      </c>
      <c r="AY56" s="1170" t="str">
        <f>IF(A56=FALSE,"",51000+(Detail!AA56*7000))</f>
        <v/>
      </c>
      <c r="AZ56" s="1170">
        <v>50000</v>
      </c>
      <c r="BA56" s="243">
        <v>3</v>
      </c>
      <c r="BB56" s="1135">
        <v>0</v>
      </c>
      <c r="BC56" s="1170" t="str">
        <f>IF(A56=FALSE,"",51000+(Detail!AA56*7000))</f>
        <v/>
      </c>
      <c r="BD56" s="1170">
        <f t="shared" si="13"/>
        <v>50000</v>
      </c>
      <c r="BE56" s="243">
        <f t="shared" si="14"/>
        <v>3</v>
      </c>
      <c r="BF56" s="1135">
        <f t="shared" si="15"/>
        <v>0</v>
      </c>
      <c r="BG56" s="1170" t="str">
        <f t="shared" si="21"/>
        <v/>
      </c>
      <c r="BH56" s="1170">
        <v>50000</v>
      </c>
      <c r="BI56" s="243">
        <v>3</v>
      </c>
      <c r="BJ56" s="1135">
        <v>0</v>
      </c>
      <c r="BK56" s="1170" t="str">
        <f t="shared" si="22"/>
        <v/>
      </c>
      <c r="BL56" s="1170">
        <v>50000</v>
      </c>
      <c r="BM56" s="243">
        <v>3</v>
      </c>
      <c r="BN56" s="1135">
        <v>0</v>
      </c>
      <c r="BO56" s="1132">
        <v>7</v>
      </c>
      <c r="BP56" s="1075">
        <v>365</v>
      </c>
      <c r="BQ56" s="244">
        <v>1</v>
      </c>
      <c r="BR56" s="1135">
        <v>0</v>
      </c>
      <c r="BS56" s="1132">
        <f t="shared" si="23"/>
        <v>7</v>
      </c>
      <c r="BT56" s="1075">
        <f t="shared" si="24"/>
        <v>365</v>
      </c>
      <c r="BU56" s="253">
        <v>1</v>
      </c>
      <c r="BV56" s="1135">
        <v>0</v>
      </c>
      <c r="BW56" s="1135" t="s">
        <v>2224</v>
      </c>
      <c r="BX56" s="257">
        <v>0</v>
      </c>
      <c r="BY56" s="436">
        <v>0</v>
      </c>
      <c r="BZ56" s="1135">
        <v>1</v>
      </c>
      <c r="CA56" s="1135">
        <v>0</v>
      </c>
      <c r="CB56" s="1296"/>
      <c r="CD56" s="1136" t="str">
        <f>IF(A56=FALSE,"",Calcul!NZ56)</f>
        <v/>
      </c>
      <c r="CE56" s="1136" t="s">
        <v>2224</v>
      </c>
      <c r="CF56" s="1132" t="s">
        <v>2138</v>
      </c>
      <c r="CG56" s="1136" t="s">
        <v>2254</v>
      </c>
      <c r="CH56" s="1135" t="s">
        <v>2224</v>
      </c>
      <c r="CI56" s="257">
        <v>0</v>
      </c>
      <c r="CJ56" s="436">
        <v>0</v>
      </c>
      <c r="CK56" s="1135">
        <v>1</v>
      </c>
      <c r="CL56" s="1135">
        <v>0</v>
      </c>
      <c r="CM56" s="1170">
        <v>100000</v>
      </c>
      <c r="CN56" s="243">
        <v>2</v>
      </c>
      <c r="CO56" s="1135">
        <v>0</v>
      </c>
      <c r="CP56" s="1170">
        <f t="shared" si="16"/>
        <v>100000</v>
      </c>
      <c r="CQ56" s="243">
        <v>2</v>
      </c>
      <c r="CR56" s="1135">
        <v>0</v>
      </c>
    </row>
    <row r="57" spans="1:96" s="1127" customFormat="1" ht="30" customHeight="1" outlineLevel="1">
      <c r="A57" s="396" t="b">
        <f>Calcul!A57</f>
        <v>0</v>
      </c>
      <c r="B57" s="438" t="str">
        <f t="shared" si="17"/>
        <v/>
      </c>
      <c r="C57" s="1132" t="b">
        <v>0</v>
      </c>
      <c r="D57" s="1133" t="s">
        <v>2784</v>
      </c>
      <c r="E57" s="1075" t="s">
        <v>2139</v>
      </c>
      <c r="F57" s="338" t="str">
        <f>IF(A57=FALSE,"",IF(NAMES!$D$10=FALSE,IF(Detail!H57="","",Detail!H57),IF(Crewlist!D57="","",Crewlist!D57)))</f>
        <v/>
      </c>
      <c r="G57" s="338" t="str">
        <f>IF(A57=FALSE,"",IF(NAMES!$D$10=FALSE,IF(Detail!P57="","",Detail!P57),IF(Crewlist!E57="","",Crewlist!E57)))</f>
        <v/>
      </c>
      <c r="H57" s="338" t="str">
        <f>IF(A57=FALSE,"",IF(NAMES!$D$10=FALSE,IF(Detail!K57="","",Detail!K57),IF(Crewlist!F57="","",Crewlist!F57)))</f>
        <v/>
      </c>
      <c r="I57" s="1345" t="str">
        <f>IF(Crewlist!T57="","",Crewlist!T57)</f>
        <v/>
      </c>
      <c r="J57" s="1345" t="str">
        <f>IF(Crewlist!D57="","",IF(Crewlist!U57="",Crewlist!Y57,IF(DATERENOUVMOINS730&lt;&gt;Crewlist!U57&lt;&gt;Crewlist!Y57,Crewlist!U57,DATERENOUVMOINS365)))</f>
        <v/>
      </c>
      <c r="K57" s="1346" t="str">
        <f>IF(Detail!X57="","",Detail!X57)</f>
        <v/>
      </c>
      <c r="L57" s="1346" t="str">
        <f>IF(Detail!H57="","",IF(Detail!Y57="",DATERENOUV,IF(Detail!Y57&gt;Detail!D57,Detail!D57,Detail!Y57)))</f>
        <v/>
      </c>
      <c r="M57" s="829" t="str">
        <f>IF(A57=FALSE,"",IF(NAMES!$D$10=FALSE,IF(B57=B58,IF(N57=N58,0,(DATEDIF(K57,L57,"M")+1)),(DATEDIF(K57,L57,"M")+1)),IF(B57=B58,IF(N57=N58,0,(DATEDIF(I57,J57,"M")+1)),(DATEDIF(I57,J57,"M")+1))))</f>
        <v/>
      </c>
      <c r="N57" s="829" t="str">
        <f t="shared" si="5"/>
        <v/>
      </c>
      <c r="O57" s="340" t="str">
        <f>IF(A57=FALSE,"",IF(NAMES!$D$10=FALSE,IF((DATEDIF(K57,L57,"D")+1)&lt;365,(DATEDIF(K57,L57,"D")+1),365),IF((DATEDIF(I57,J57,"D")+1)&lt;365,(DATEDIF(I57,J57,"D")+1),365)))</f>
        <v/>
      </c>
      <c r="P57" s="340" t="str">
        <f>IF(A57=FALSE,"",IF(NAMES!$D$10=FALSE,IF(L57="",365,DATEDIF(K57,L57,"D")+1),IF(L57="",365,DATEDIF(I57,J57,"D")+1)))</f>
        <v/>
      </c>
      <c r="Q57" s="787" t="str">
        <f>Calcul!X57</f>
        <v/>
      </c>
      <c r="R57" s="787" t="str">
        <f>Calcul!Y57</f>
        <v/>
      </c>
      <c r="S57" s="811" t="str">
        <f>Calcul!AG57</f>
        <v/>
      </c>
      <c r="T57" s="350" t="str">
        <f>IF(A57=FALSE,"",IF(NAMES!$D$10=FALSE,IF(Detail!S57="","",Detail!S57),IF(Crewlist!V57="","",Crewlist!V57)))</f>
        <v/>
      </c>
      <c r="U57" s="242" t="str">
        <f>Calcul!AI57</f>
        <v/>
      </c>
      <c r="V57" s="242" t="str">
        <f>Calcul!AL57</f>
        <v/>
      </c>
      <c r="W57" s="242" t="str">
        <f>Calcul!AM57</f>
        <v/>
      </c>
      <c r="X57" s="335" t="str">
        <f>Calcul!AN57</f>
        <v/>
      </c>
      <c r="Y57" s="242" t="str">
        <f>Calcul!AO57</f>
        <v/>
      </c>
      <c r="Z57" s="242" t="str">
        <f>Calcul!AP57</f>
        <v/>
      </c>
      <c r="AA57" s="335" t="str">
        <f>Calcul!AQ57</f>
        <v/>
      </c>
      <c r="AB57" s="335" t="str">
        <f>IF(C57=FALSE,"",Calcul!BE57+Calcul!BF57)</f>
        <v/>
      </c>
      <c r="AC57" s="335" t="str">
        <f>IF(C57=FALSE,"",(Calcul!BG57+Calcul!BH57)+SUM(Calcul!BI57:BN57))</f>
        <v/>
      </c>
      <c r="AD57" s="335" t="str">
        <f>Calcul!BP57</f>
        <v/>
      </c>
      <c r="AE57" s="1325" t="s">
        <v>2866</v>
      </c>
      <c r="AF57" s="1134" t="s">
        <v>2254</v>
      </c>
      <c r="AG57" s="318" t="str">
        <f>IF(A57=FALSE,"",YEAR(Detail!F57)&amp;Detail!AG57&amp;Detail!AD57&amp;"-"&amp;Detail!AE57)</f>
        <v/>
      </c>
      <c r="AH57" s="1134" t="s">
        <v>2224</v>
      </c>
      <c r="AI57" s="1453">
        <v>0.1</v>
      </c>
      <c r="AJ57" s="1135">
        <f t="shared" si="18"/>
        <v>0.1</v>
      </c>
      <c r="AK57" s="1135">
        <f t="shared" si="19"/>
        <v>0</v>
      </c>
      <c r="AL57" s="1135">
        <f t="shared" si="20"/>
        <v>0</v>
      </c>
      <c r="AM57" s="1135" t="s">
        <v>2224</v>
      </c>
      <c r="AN57" s="1455">
        <v>15.1752</v>
      </c>
      <c r="AO57" s="436">
        <v>0</v>
      </c>
      <c r="AP57" s="1135">
        <v>1</v>
      </c>
      <c r="AQ57" s="1135">
        <v>0</v>
      </c>
      <c r="AT57" s="1132" t="s">
        <v>2140</v>
      </c>
      <c r="AU57" s="1136" t="s">
        <v>2255</v>
      </c>
      <c r="AV57" s="1136" t="str">
        <f>IF(A57=FALSE,"",IF(Detail!AT57="","N/A",YEAR(Detail!F57)&amp;Detail!AW57&amp;Detail!AT57&amp;"-"&amp;Detail!AU57&amp;" (100%/"&amp;Detail!CD57&amp;"/"&amp;Detail!CE57&amp;")"))</f>
        <v/>
      </c>
      <c r="AW57" s="1136" t="s">
        <v>2224</v>
      </c>
      <c r="AX57" s="1320" t="str">
        <f>Calcul!DB57</f>
        <v/>
      </c>
      <c r="AY57" s="1170" t="str">
        <f>IF(A57=FALSE,"",51000+(Detail!AA57*7000))</f>
        <v/>
      </c>
      <c r="AZ57" s="1170">
        <v>50000</v>
      </c>
      <c r="BA57" s="243">
        <v>3</v>
      </c>
      <c r="BB57" s="1135">
        <v>0</v>
      </c>
      <c r="BC57" s="1170" t="str">
        <f>IF(A57=FALSE,"",51000+(Detail!AA57*7000))</f>
        <v/>
      </c>
      <c r="BD57" s="1170">
        <f t="shared" si="13"/>
        <v>50000</v>
      </c>
      <c r="BE57" s="243">
        <f t="shared" si="14"/>
        <v>3</v>
      </c>
      <c r="BF57" s="1135">
        <f t="shared" si="15"/>
        <v>0</v>
      </c>
      <c r="BG57" s="1170" t="str">
        <f t="shared" si="21"/>
        <v/>
      </c>
      <c r="BH57" s="1170">
        <v>50000</v>
      </c>
      <c r="BI57" s="243">
        <v>3</v>
      </c>
      <c r="BJ57" s="1135">
        <v>0</v>
      </c>
      <c r="BK57" s="1170" t="str">
        <f t="shared" si="22"/>
        <v/>
      </c>
      <c r="BL57" s="1170">
        <v>50000</v>
      </c>
      <c r="BM57" s="243">
        <v>3</v>
      </c>
      <c r="BN57" s="1135">
        <v>0</v>
      </c>
      <c r="BO57" s="1132">
        <v>7</v>
      </c>
      <c r="BP57" s="1075">
        <v>365</v>
      </c>
      <c r="BQ57" s="244">
        <v>1</v>
      </c>
      <c r="BR57" s="1135">
        <v>0</v>
      </c>
      <c r="BS57" s="1132">
        <f t="shared" si="23"/>
        <v>7</v>
      </c>
      <c r="BT57" s="1075">
        <f t="shared" si="24"/>
        <v>365</v>
      </c>
      <c r="BU57" s="253">
        <v>1</v>
      </c>
      <c r="BV57" s="1135">
        <v>0</v>
      </c>
      <c r="BW57" s="1135" t="s">
        <v>2224</v>
      </c>
      <c r="BX57" s="257">
        <v>0</v>
      </c>
      <c r="BY57" s="436">
        <v>0</v>
      </c>
      <c r="BZ57" s="1135">
        <v>1</v>
      </c>
      <c r="CA57" s="1135">
        <v>0</v>
      </c>
      <c r="CB57" s="1296"/>
      <c r="CD57" s="1136" t="str">
        <f>IF(A57=FALSE,"",Calcul!NZ57)</f>
        <v/>
      </c>
      <c r="CE57" s="1136" t="s">
        <v>2224</v>
      </c>
      <c r="CF57" s="1132" t="s">
        <v>2138</v>
      </c>
      <c r="CG57" s="1136" t="s">
        <v>2254</v>
      </c>
      <c r="CH57" s="1135" t="s">
        <v>2224</v>
      </c>
      <c r="CI57" s="257">
        <v>0</v>
      </c>
      <c r="CJ57" s="436">
        <v>0</v>
      </c>
      <c r="CK57" s="1135">
        <v>1</v>
      </c>
      <c r="CL57" s="1135">
        <v>0</v>
      </c>
      <c r="CM57" s="1170">
        <v>100000</v>
      </c>
      <c r="CN57" s="243">
        <v>2</v>
      </c>
      <c r="CO57" s="1135">
        <v>0</v>
      </c>
      <c r="CP57" s="1170">
        <f t="shared" si="16"/>
        <v>100000</v>
      </c>
      <c r="CQ57" s="243">
        <v>2</v>
      </c>
      <c r="CR57" s="1135">
        <v>0</v>
      </c>
    </row>
    <row r="58" spans="1:96" s="1127" customFormat="1" ht="30" customHeight="1" outlineLevel="1">
      <c r="A58" s="396" t="b">
        <f>Calcul!A58</f>
        <v>0</v>
      </c>
      <c r="B58" s="438" t="str">
        <f t="shared" si="17"/>
        <v/>
      </c>
      <c r="C58" s="1132" t="b">
        <v>0</v>
      </c>
      <c r="D58" s="1133" t="s">
        <v>2784</v>
      </c>
      <c r="E58" s="1075" t="s">
        <v>2139</v>
      </c>
      <c r="F58" s="338" t="str">
        <f>IF(A58=FALSE,"",IF(NAMES!$D$10=FALSE,IF(Detail!H58="","",Detail!H58),IF(Crewlist!D58="","",Crewlist!D58)))</f>
        <v/>
      </c>
      <c r="G58" s="338" t="str">
        <f>IF(A58=FALSE,"",IF(NAMES!$D$10=FALSE,IF(Detail!P58="","",Detail!P58),IF(Crewlist!E58="","",Crewlist!E58)))</f>
        <v/>
      </c>
      <c r="H58" s="338" t="str">
        <f>IF(A58=FALSE,"",IF(NAMES!$D$10=FALSE,IF(Detail!K58="","",Detail!K58),IF(Crewlist!F58="","",Crewlist!F58)))</f>
        <v/>
      </c>
      <c r="I58" s="1345" t="str">
        <f>IF(Crewlist!T58="","",Crewlist!T58)</f>
        <v/>
      </c>
      <c r="J58" s="1345" t="str">
        <f>IF(Crewlist!D58="","",IF(Crewlist!U58="",Crewlist!Y58,IF(DATERENOUVMOINS730&lt;&gt;Crewlist!U58&lt;&gt;Crewlist!Y58,Crewlist!U58,DATERENOUVMOINS365)))</f>
        <v/>
      </c>
      <c r="K58" s="1346" t="str">
        <f>IF(Detail!X58="","",Detail!X58)</f>
        <v/>
      </c>
      <c r="L58" s="1346" t="str">
        <f>IF(Detail!H58="","",IF(Detail!Y58="",DATERENOUV,IF(Detail!Y58&gt;Detail!D58,Detail!D58,Detail!Y58)))</f>
        <v/>
      </c>
      <c r="M58" s="829" t="str">
        <f>IF(A58=FALSE,"",IF(NAMES!$D$10=FALSE,IF(B58=B59,IF(N58=N59,0,(DATEDIF(K58,L58,"M")+1)),(DATEDIF(K58,L58,"M")+1)),IF(B58=B59,IF(N58=N59,0,(DATEDIF(I58,J58,"M")+1)),(DATEDIF(I58,J58,"M")+1))))</f>
        <v/>
      </c>
      <c r="N58" s="829" t="str">
        <f t="shared" si="5"/>
        <v/>
      </c>
      <c r="O58" s="340" t="str">
        <f>IF(A58=FALSE,"",IF(NAMES!$D$10=FALSE,IF((DATEDIF(K58,L58,"D")+1)&lt;365,(DATEDIF(K58,L58,"D")+1),365),IF((DATEDIF(I58,J58,"D")+1)&lt;365,(DATEDIF(I58,J58,"D")+1),365)))</f>
        <v/>
      </c>
      <c r="P58" s="340" t="str">
        <f>IF(A58=FALSE,"",IF(NAMES!$D$10=FALSE,IF(L58="",365,DATEDIF(K58,L58,"D")+1),IF(L58="",365,DATEDIF(I58,J58,"D")+1)))</f>
        <v/>
      </c>
      <c r="Q58" s="787" t="str">
        <f>Calcul!X58</f>
        <v/>
      </c>
      <c r="R58" s="787" t="str">
        <f>Calcul!Y58</f>
        <v/>
      </c>
      <c r="S58" s="811" t="str">
        <f>Calcul!AG58</f>
        <v/>
      </c>
      <c r="T58" s="350" t="str">
        <f>IF(A58=FALSE,"",IF(NAMES!$D$10=FALSE,IF(Detail!S58="","",Detail!S58),IF(Crewlist!V58="","",Crewlist!V58)))</f>
        <v/>
      </c>
      <c r="U58" s="242" t="str">
        <f>Calcul!AI58</f>
        <v/>
      </c>
      <c r="V58" s="242" t="str">
        <f>Calcul!AL58</f>
        <v/>
      </c>
      <c r="W58" s="242" t="str">
        <f>Calcul!AM58</f>
        <v/>
      </c>
      <c r="X58" s="335" t="str">
        <f>Calcul!AN58</f>
        <v/>
      </c>
      <c r="Y58" s="242" t="str">
        <f>Calcul!AO58</f>
        <v/>
      </c>
      <c r="Z58" s="242" t="str">
        <f>Calcul!AP58</f>
        <v/>
      </c>
      <c r="AA58" s="335" t="str">
        <f>Calcul!AQ58</f>
        <v/>
      </c>
      <c r="AB58" s="335" t="str">
        <f>IF(C58=FALSE,"",Calcul!BE58+Calcul!BF58)</f>
        <v/>
      </c>
      <c r="AC58" s="335" t="str">
        <f>IF(C58=FALSE,"",(Calcul!BG58+Calcul!BH58)+SUM(Calcul!BI58:BN58))</f>
        <v/>
      </c>
      <c r="AD58" s="335" t="str">
        <f>Calcul!BP58</f>
        <v/>
      </c>
      <c r="AE58" s="1325" t="s">
        <v>2866</v>
      </c>
      <c r="AF58" s="1134" t="s">
        <v>2254</v>
      </c>
      <c r="AG58" s="318" t="str">
        <f>IF(A58=FALSE,"",YEAR(Detail!F58)&amp;Detail!AG58&amp;Detail!AD58&amp;"-"&amp;Detail!AE58)</f>
        <v/>
      </c>
      <c r="AH58" s="1134" t="s">
        <v>2224</v>
      </c>
      <c r="AI58" s="1453">
        <v>0.1</v>
      </c>
      <c r="AJ58" s="1135">
        <f t="shared" si="18"/>
        <v>0.1</v>
      </c>
      <c r="AK58" s="1135">
        <f t="shared" si="19"/>
        <v>0</v>
      </c>
      <c r="AL58" s="1135">
        <f t="shared" si="20"/>
        <v>0</v>
      </c>
      <c r="AM58" s="1135" t="s">
        <v>2224</v>
      </c>
      <c r="AN58" s="1455">
        <v>15.1752</v>
      </c>
      <c r="AO58" s="436">
        <v>0</v>
      </c>
      <c r="AP58" s="1135">
        <v>1</v>
      </c>
      <c r="AQ58" s="1135">
        <v>0</v>
      </c>
      <c r="AT58" s="1132" t="s">
        <v>2140</v>
      </c>
      <c r="AU58" s="1136" t="s">
        <v>2255</v>
      </c>
      <c r="AV58" s="1136" t="str">
        <f>IF(A58=FALSE,"",IF(Detail!AT58="","N/A",YEAR(Detail!F58)&amp;Detail!AW58&amp;Detail!AT58&amp;"-"&amp;Detail!AU58&amp;" (100%/"&amp;Detail!CD58&amp;"/"&amp;Detail!CE58&amp;")"))</f>
        <v/>
      </c>
      <c r="AW58" s="1136" t="s">
        <v>2224</v>
      </c>
      <c r="AX58" s="1320" t="str">
        <f>Calcul!DB58</f>
        <v/>
      </c>
      <c r="AY58" s="1170" t="str">
        <f>IF(A58=FALSE,"",51000+(Detail!AA58*7000))</f>
        <v/>
      </c>
      <c r="AZ58" s="1170">
        <v>50000</v>
      </c>
      <c r="BA58" s="243">
        <v>3</v>
      </c>
      <c r="BB58" s="1135">
        <v>0</v>
      </c>
      <c r="BC58" s="1170" t="str">
        <f>IF(A58=FALSE,"",51000+(Detail!AA58*7000))</f>
        <v/>
      </c>
      <c r="BD58" s="1170">
        <f t="shared" si="13"/>
        <v>50000</v>
      </c>
      <c r="BE58" s="243">
        <f t="shared" si="14"/>
        <v>3</v>
      </c>
      <c r="BF58" s="1135">
        <f t="shared" si="15"/>
        <v>0</v>
      </c>
      <c r="BG58" s="1170" t="str">
        <f t="shared" si="21"/>
        <v/>
      </c>
      <c r="BH58" s="1170">
        <v>50000</v>
      </c>
      <c r="BI58" s="243">
        <v>3</v>
      </c>
      <c r="BJ58" s="1135">
        <v>0</v>
      </c>
      <c r="BK58" s="1170" t="str">
        <f t="shared" si="22"/>
        <v/>
      </c>
      <c r="BL58" s="1170">
        <v>50000</v>
      </c>
      <c r="BM58" s="243">
        <v>3</v>
      </c>
      <c r="BN58" s="1135">
        <v>0</v>
      </c>
      <c r="BO58" s="1132">
        <v>7</v>
      </c>
      <c r="BP58" s="1075">
        <v>365</v>
      </c>
      <c r="BQ58" s="244">
        <v>1</v>
      </c>
      <c r="BR58" s="1135">
        <v>0</v>
      </c>
      <c r="BS58" s="1132">
        <f t="shared" si="23"/>
        <v>7</v>
      </c>
      <c r="BT58" s="1075">
        <f t="shared" si="24"/>
        <v>365</v>
      </c>
      <c r="BU58" s="253">
        <v>1</v>
      </c>
      <c r="BV58" s="1135">
        <v>0</v>
      </c>
      <c r="BW58" s="1135" t="s">
        <v>2224</v>
      </c>
      <c r="BX58" s="257">
        <v>0</v>
      </c>
      <c r="BY58" s="436">
        <v>0</v>
      </c>
      <c r="BZ58" s="1135">
        <v>1</v>
      </c>
      <c r="CA58" s="1135">
        <v>0</v>
      </c>
      <c r="CB58" s="1296"/>
      <c r="CD58" s="1136" t="str">
        <f>IF(A58=FALSE,"",Calcul!NZ58)</f>
        <v/>
      </c>
      <c r="CE58" s="1136" t="s">
        <v>2224</v>
      </c>
      <c r="CF58" s="1132" t="s">
        <v>2138</v>
      </c>
      <c r="CG58" s="1136" t="s">
        <v>2254</v>
      </c>
      <c r="CH58" s="1135" t="s">
        <v>2224</v>
      </c>
      <c r="CI58" s="257">
        <v>0</v>
      </c>
      <c r="CJ58" s="436">
        <v>0</v>
      </c>
      <c r="CK58" s="1135">
        <v>1</v>
      </c>
      <c r="CL58" s="1135">
        <v>0</v>
      </c>
      <c r="CM58" s="1170">
        <v>100000</v>
      </c>
      <c r="CN58" s="243">
        <v>2</v>
      </c>
      <c r="CO58" s="1135">
        <v>0</v>
      </c>
      <c r="CP58" s="1170">
        <f t="shared" si="16"/>
        <v>100000</v>
      </c>
      <c r="CQ58" s="243">
        <v>2</v>
      </c>
      <c r="CR58" s="1135">
        <v>0</v>
      </c>
    </row>
    <row r="59" spans="1:96" s="1127" customFormat="1" ht="30" customHeight="1" outlineLevel="1">
      <c r="A59" s="396" t="b">
        <f>Calcul!A59</f>
        <v>0</v>
      </c>
      <c r="B59" s="438" t="str">
        <f t="shared" si="17"/>
        <v/>
      </c>
      <c r="C59" s="1132" t="b">
        <v>0</v>
      </c>
      <c r="D59" s="1133" t="s">
        <v>2293</v>
      </c>
      <c r="E59" s="1075" t="s">
        <v>2139</v>
      </c>
      <c r="F59" s="338" t="str">
        <f>IF(A59=FALSE,"",IF(NAMES!$D$10=FALSE,IF(Detail!H59="","",Detail!H59),IF(Crewlist!D59="","",Crewlist!D59)))</f>
        <v/>
      </c>
      <c r="G59" s="338" t="str">
        <f>IF(A59=FALSE,"",IF(NAMES!$D$10=FALSE,IF(Detail!P59="","",Detail!P59),IF(Crewlist!E59="","",Crewlist!E59)))</f>
        <v/>
      </c>
      <c r="H59" s="338" t="str">
        <f>IF(A59=FALSE,"",IF(NAMES!$D$10=FALSE,IF(Detail!K59="","",Detail!K59),IF(Crewlist!F59="","",Crewlist!F59)))</f>
        <v/>
      </c>
      <c r="I59" s="1345" t="str">
        <f>IF(Crewlist!T59="","",Crewlist!T59)</f>
        <v/>
      </c>
      <c r="J59" s="1345" t="str">
        <f>IF(Crewlist!D59="","",IF(Crewlist!U59="",Crewlist!Y59,IF(DATERENOUVMOINS730&lt;&gt;Crewlist!U59&lt;&gt;Crewlist!Y59,Crewlist!U59,DATERENOUVMOINS365)))</f>
        <v/>
      </c>
      <c r="K59" s="1346" t="str">
        <f>IF(Detail!X59="","",Detail!X59)</f>
        <v/>
      </c>
      <c r="L59" s="1346" t="str">
        <f>IF(Detail!H59="","",IF(Detail!Y59="",DATERENOUV,IF(Detail!Y59&gt;Detail!D59,Detail!D59,Detail!Y59)))</f>
        <v/>
      </c>
      <c r="M59" s="829" t="str">
        <f>IF(A59=FALSE,"",IF(NAMES!$D$10=FALSE,IF(B59=B60,IF(N59=N60,0,(DATEDIF(K59,L59,"M")+1)),(DATEDIF(K59,L59,"M")+1)),IF(B59=B60,IF(N59=N60,0,(DATEDIF(I59,J59,"M")+1)),(DATEDIF(I59,J59,"M")+1))))</f>
        <v/>
      </c>
      <c r="N59" s="829" t="str">
        <f t="shared" si="5"/>
        <v/>
      </c>
      <c r="O59" s="340" t="str">
        <f>IF(A59=FALSE,"",IF(NAMES!$D$10=FALSE,IF((DATEDIF(K59,L59,"D")+1)&lt;365,(DATEDIF(K59,L59,"D")+1),365),IF((DATEDIF(I59,J59,"D")+1)&lt;365,(DATEDIF(I59,J59,"D")+1),365)))</f>
        <v/>
      </c>
      <c r="P59" s="340" t="str">
        <f>IF(A59=FALSE,"",IF(NAMES!$D$10=FALSE,IF(L59="",365,DATEDIF(K59,L59,"D")+1),IF(L59="",365,DATEDIF(I59,J59,"D")+1)))</f>
        <v/>
      </c>
      <c r="Q59" s="787" t="str">
        <f>Calcul!X59</f>
        <v/>
      </c>
      <c r="R59" s="787" t="str">
        <f>Calcul!Y59</f>
        <v/>
      </c>
      <c r="S59" s="811" t="str">
        <f>Calcul!AG59</f>
        <v/>
      </c>
      <c r="T59" s="350" t="str">
        <f>IF(A59=FALSE,"",IF(NAMES!$D$10=FALSE,IF(Detail!S59="","",Detail!S59),IF(Crewlist!V59="","",Crewlist!V59)))</f>
        <v/>
      </c>
      <c r="U59" s="242" t="str">
        <f>Calcul!AI59</f>
        <v/>
      </c>
      <c r="V59" s="242" t="str">
        <f>Calcul!AL59</f>
        <v/>
      </c>
      <c r="W59" s="242" t="str">
        <f>Calcul!AM59</f>
        <v/>
      </c>
      <c r="X59" s="335" t="str">
        <f>Calcul!AN59</f>
        <v/>
      </c>
      <c r="Y59" s="242" t="str">
        <f>Calcul!AO59</f>
        <v/>
      </c>
      <c r="Z59" s="242" t="str">
        <f>Calcul!AP59</f>
        <v/>
      </c>
      <c r="AA59" s="335" t="str">
        <f>Calcul!AQ59</f>
        <v/>
      </c>
      <c r="AB59" s="335" t="str">
        <f>IF(C59=FALSE,"",Calcul!BE59+Calcul!BF59)</f>
        <v/>
      </c>
      <c r="AC59" s="335" t="str">
        <f>IF(C59=FALSE,"",(Calcul!BG59+Calcul!BH59)+SUM(Calcul!BI59:BN59))</f>
        <v/>
      </c>
      <c r="AD59" s="335" t="str">
        <f>Calcul!BP59</f>
        <v/>
      </c>
      <c r="AE59" s="1325" t="s">
        <v>2866</v>
      </c>
      <c r="AF59" s="1134" t="s">
        <v>2254</v>
      </c>
      <c r="AG59" s="318" t="str">
        <f>IF(A59=FALSE,"",YEAR(Detail!F59)&amp;Detail!AG59&amp;Detail!AD59&amp;"-"&amp;Detail!AE59)</f>
        <v/>
      </c>
      <c r="AH59" s="1134" t="s">
        <v>2224</v>
      </c>
      <c r="AI59" s="1453">
        <v>0.1</v>
      </c>
      <c r="AJ59" s="1135">
        <f t="shared" si="18"/>
        <v>0.1</v>
      </c>
      <c r="AK59" s="1135">
        <f t="shared" si="19"/>
        <v>0</v>
      </c>
      <c r="AL59" s="1135">
        <f t="shared" si="20"/>
        <v>0</v>
      </c>
      <c r="AM59" s="1135" t="s">
        <v>2224</v>
      </c>
      <c r="AN59" s="1455">
        <v>15.1752</v>
      </c>
      <c r="AO59" s="436">
        <v>0</v>
      </c>
      <c r="AP59" s="1135">
        <v>1</v>
      </c>
      <c r="AQ59" s="1135">
        <v>0</v>
      </c>
      <c r="AT59" s="1132" t="s">
        <v>2140</v>
      </c>
      <c r="AU59" s="1136" t="s">
        <v>2255</v>
      </c>
      <c r="AV59" s="1136" t="str">
        <f>IF(A59=FALSE,"",IF(Detail!AT59="","N/A",YEAR(Detail!F59)&amp;Detail!AW59&amp;Detail!AT59&amp;"-"&amp;Detail!AU59&amp;" (100%/"&amp;Detail!CD59&amp;"/"&amp;Detail!CE59&amp;")"))</f>
        <v/>
      </c>
      <c r="AW59" s="1136" t="s">
        <v>2224</v>
      </c>
      <c r="AX59" s="1320" t="str">
        <f>Calcul!DB59</f>
        <v/>
      </c>
      <c r="AY59" s="1170" t="str">
        <f>IF(A59=FALSE,"",51000+(Detail!AA59*7000))</f>
        <v/>
      </c>
      <c r="AZ59" s="1170">
        <v>50000</v>
      </c>
      <c r="BA59" s="243">
        <v>3</v>
      </c>
      <c r="BB59" s="1135">
        <v>0</v>
      </c>
      <c r="BC59" s="1170" t="str">
        <f>IF(A59=FALSE,"",51000+(Detail!AA59*7000))</f>
        <v/>
      </c>
      <c r="BD59" s="1170">
        <f t="shared" si="13"/>
        <v>50000</v>
      </c>
      <c r="BE59" s="243">
        <f t="shared" si="14"/>
        <v>3</v>
      </c>
      <c r="BF59" s="1135">
        <f t="shared" si="15"/>
        <v>0</v>
      </c>
      <c r="BG59" s="1170" t="str">
        <f t="shared" si="21"/>
        <v/>
      </c>
      <c r="BH59" s="1170">
        <v>50000</v>
      </c>
      <c r="BI59" s="243">
        <v>3</v>
      </c>
      <c r="BJ59" s="1135">
        <v>0</v>
      </c>
      <c r="BK59" s="1170" t="str">
        <f t="shared" si="22"/>
        <v/>
      </c>
      <c r="BL59" s="1170">
        <v>50000</v>
      </c>
      <c r="BM59" s="243">
        <v>3</v>
      </c>
      <c r="BN59" s="1135">
        <v>0</v>
      </c>
      <c r="BO59" s="1132">
        <v>7</v>
      </c>
      <c r="BP59" s="1075">
        <v>365</v>
      </c>
      <c r="BQ59" s="244">
        <v>1</v>
      </c>
      <c r="BR59" s="1135">
        <v>0</v>
      </c>
      <c r="BS59" s="1132">
        <f t="shared" si="23"/>
        <v>7</v>
      </c>
      <c r="BT59" s="1075">
        <f t="shared" si="24"/>
        <v>365</v>
      </c>
      <c r="BU59" s="253">
        <v>1</v>
      </c>
      <c r="BV59" s="1135">
        <v>0</v>
      </c>
      <c r="BW59" s="1135" t="s">
        <v>2224</v>
      </c>
      <c r="BX59" s="257">
        <v>0</v>
      </c>
      <c r="BY59" s="436">
        <v>0</v>
      </c>
      <c r="BZ59" s="1135">
        <v>1</v>
      </c>
      <c r="CA59" s="1135">
        <v>0</v>
      </c>
      <c r="CB59" s="1296"/>
      <c r="CD59" s="1136" t="str">
        <f>IF(A59=FALSE,"",Calcul!NZ59)</f>
        <v/>
      </c>
      <c r="CE59" s="1136" t="s">
        <v>2224</v>
      </c>
      <c r="CF59" s="1132" t="s">
        <v>2138</v>
      </c>
      <c r="CG59" s="1136" t="s">
        <v>2254</v>
      </c>
      <c r="CH59" s="1135" t="s">
        <v>2224</v>
      </c>
      <c r="CI59" s="257">
        <v>0</v>
      </c>
      <c r="CJ59" s="436">
        <v>0</v>
      </c>
      <c r="CK59" s="1135">
        <v>1</v>
      </c>
      <c r="CL59" s="1135">
        <v>0</v>
      </c>
      <c r="CM59" s="1170">
        <v>100000</v>
      </c>
      <c r="CN59" s="243">
        <v>2</v>
      </c>
      <c r="CO59" s="1135">
        <v>0</v>
      </c>
      <c r="CP59" s="1170">
        <f t="shared" si="16"/>
        <v>100000</v>
      </c>
      <c r="CQ59" s="243">
        <v>2</v>
      </c>
      <c r="CR59" s="1135">
        <v>0</v>
      </c>
    </row>
    <row r="60" spans="1:96" s="1127" customFormat="1" ht="30" customHeight="1" outlineLevel="1">
      <c r="A60" s="396" t="b">
        <f>Calcul!A60</f>
        <v>0</v>
      </c>
      <c r="B60" s="438" t="str">
        <f t="shared" si="17"/>
        <v/>
      </c>
      <c r="C60" s="1132" t="b">
        <v>0</v>
      </c>
      <c r="D60" s="1133" t="s">
        <v>2293</v>
      </c>
      <c r="E60" s="1075" t="s">
        <v>2139</v>
      </c>
      <c r="F60" s="338" t="str">
        <f>IF(A60=FALSE,"",IF(NAMES!$D$10=FALSE,IF(Detail!H60="","",Detail!H60),IF(Crewlist!D60="","",Crewlist!D60)))</f>
        <v/>
      </c>
      <c r="G60" s="338" t="str">
        <f>IF(A60=FALSE,"",IF(NAMES!$D$10=FALSE,IF(Detail!P60="","",Detail!P60),IF(Crewlist!E60="","",Crewlist!E60)))</f>
        <v/>
      </c>
      <c r="H60" s="338" t="str">
        <f>IF(A60=FALSE,"",IF(NAMES!$D$10=FALSE,IF(Detail!K60="","",Detail!K60),IF(Crewlist!F60="","",Crewlist!F60)))</f>
        <v/>
      </c>
      <c r="I60" s="1345" t="str">
        <f>IF(Crewlist!T60="","",Crewlist!T60)</f>
        <v/>
      </c>
      <c r="J60" s="1345" t="str">
        <f>IF(Crewlist!D60="","",IF(Crewlist!U60="",Crewlist!Y60,IF(DATERENOUVMOINS730&lt;&gt;Crewlist!U60&lt;&gt;Crewlist!Y60,Crewlist!U60,DATERENOUVMOINS365)))</f>
        <v/>
      </c>
      <c r="K60" s="1346" t="str">
        <f>IF(Detail!X60="","",Detail!X60)</f>
        <v/>
      </c>
      <c r="L60" s="1346" t="str">
        <f>IF(Detail!H60="","",IF(Detail!Y60="",DATERENOUV,IF(Detail!Y60&gt;Detail!D60,Detail!D60,Detail!Y60)))</f>
        <v/>
      </c>
      <c r="M60" s="829" t="str">
        <f>IF(A60=FALSE,"",IF(NAMES!$D$10=FALSE,IF(B60=B61,IF(N60=N61,0,(DATEDIF(K60,L60,"M")+1)),(DATEDIF(K60,L60,"M")+1)),IF(B60=B61,IF(N60=N61,0,(DATEDIF(I60,J60,"M")+1)),(DATEDIF(I60,J60,"M")+1))))</f>
        <v/>
      </c>
      <c r="N60" s="829" t="str">
        <f t="shared" si="5"/>
        <v/>
      </c>
      <c r="O60" s="340" t="str">
        <f>IF(A60=FALSE,"",IF(NAMES!$D$10=FALSE,IF((DATEDIF(K60,L60,"D")+1)&lt;365,(DATEDIF(K60,L60,"D")+1),365),IF((DATEDIF(I60,J60,"D")+1)&lt;365,(DATEDIF(I60,J60,"D")+1),365)))</f>
        <v/>
      </c>
      <c r="P60" s="340" t="str">
        <f>IF(A60=FALSE,"",IF(NAMES!$D$10=FALSE,IF(L60="",365,DATEDIF(K60,L60,"D")+1),IF(L60="",365,DATEDIF(I60,J60,"D")+1)))</f>
        <v/>
      </c>
      <c r="Q60" s="787" t="str">
        <f>Calcul!X60</f>
        <v/>
      </c>
      <c r="R60" s="787" t="str">
        <f>Calcul!Y60</f>
        <v/>
      </c>
      <c r="S60" s="811" t="str">
        <f>Calcul!AG60</f>
        <v/>
      </c>
      <c r="T60" s="350" t="str">
        <f>IF(A60=FALSE,"",IF(NAMES!$D$10=FALSE,IF(Detail!S60="","",Detail!S60),IF(Crewlist!V60="","",Crewlist!V60)))</f>
        <v/>
      </c>
      <c r="U60" s="242" t="str">
        <f>Calcul!AI60</f>
        <v/>
      </c>
      <c r="V60" s="242" t="str">
        <f>Calcul!AL60</f>
        <v/>
      </c>
      <c r="W60" s="242" t="str">
        <f>Calcul!AM60</f>
        <v/>
      </c>
      <c r="X60" s="335" t="str">
        <f>Calcul!AN60</f>
        <v/>
      </c>
      <c r="Y60" s="242" t="str">
        <f>Calcul!AO60</f>
        <v/>
      </c>
      <c r="Z60" s="242" t="str">
        <f>Calcul!AP60</f>
        <v/>
      </c>
      <c r="AA60" s="335" t="str">
        <f>Calcul!AQ60</f>
        <v/>
      </c>
      <c r="AB60" s="335" t="str">
        <f>IF(C60=FALSE,"",Calcul!BE60+Calcul!BF60)</f>
        <v/>
      </c>
      <c r="AC60" s="335" t="str">
        <f>IF(C60=FALSE,"",(Calcul!BG60+Calcul!BH60)+SUM(Calcul!BI60:BN60))</f>
        <v/>
      </c>
      <c r="AD60" s="335" t="str">
        <f>Calcul!BP60</f>
        <v/>
      </c>
      <c r="AE60" s="1325" t="s">
        <v>2866</v>
      </c>
      <c r="AF60" s="1134" t="s">
        <v>2254</v>
      </c>
      <c r="AG60" s="318" t="str">
        <f>IF(A60=FALSE,"",YEAR(Detail!F60)&amp;Detail!AG60&amp;Detail!AD60&amp;"-"&amp;Detail!AE60)</f>
        <v/>
      </c>
      <c r="AH60" s="1134" t="s">
        <v>2224</v>
      </c>
      <c r="AI60" s="1453">
        <v>0.1</v>
      </c>
      <c r="AJ60" s="1135">
        <f t="shared" si="18"/>
        <v>0.1</v>
      </c>
      <c r="AK60" s="1135">
        <f t="shared" si="19"/>
        <v>0</v>
      </c>
      <c r="AL60" s="1135">
        <f t="shared" si="20"/>
        <v>0</v>
      </c>
      <c r="AM60" s="1135" t="s">
        <v>2224</v>
      </c>
      <c r="AN60" s="1455">
        <v>15.1752</v>
      </c>
      <c r="AO60" s="436">
        <v>0</v>
      </c>
      <c r="AP60" s="1135">
        <v>1</v>
      </c>
      <c r="AQ60" s="1135">
        <v>0</v>
      </c>
      <c r="AT60" s="1132" t="s">
        <v>2140</v>
      </c>
      <c r="AU60" s="1136" t="s">
        <v>2255</v>
      </c>
      <c r="AV60" s="1136" t="str">
        <f>IF(A60=FALSE,"",IF(Detail!AT60="","N/A",YEAR(Detail!F60)&amp;Detail!AW60&amp;Detail!AT60&amp;"-"&amp;Detail!AU60&amp;" (100%/"&amp;Detail!CD60&amp;"/"&amp;Detail!CE60&amp;")"))</f>
        <v/>
      </c>
      <c r="AW60" s="1136" t="s">
        <v>2224</v>
      </c>
      <c r="AX60" s="1320" t="str">
        <f>Calcul!DB60</f>
        <v/>
      </c>
      <c r="AY60" s="1170" t="str">
        <f>IF(A60=FALSE,"",51000+(Detail!AA60*7000))</f>
        <v/>
      </c>
      <c r="AZ60" s="1170">
        <v>50000</v>
      </c>
      <c r="BA60" s="243">
        <v>3</v>
      </c>
      <c r="BB60" s="1135">
        <v>0</v>
      </c>
      <c r="BC60" s="1170" t="str">
        <f>IF(A60=FALSE,"",51000+(Detail!AA60*7000))</f>
        <v/>
      </c>
      <c r="BD60" s="1170">
        <f t="shared" si="13"/>
        <v>50000</v>
      </c>
      <c r="BE60" s="243">
        <f t="shared" si="14"/>
        <v>3</v>
      </c>
      <c r="BF60" s="1135">
        <f t="shared" si="15"/>
        <v>0</v>
      </c>
      <c r="BG60" s="1170" t="str">
        <f t="shared" si="21"/>
        <v/>
      </c>
      <c r="BH60" s="1170">
        <v>50000</v>
      </c>
      <c r="BI60" s="243">
        <v>3</v>
      </c>
      <c r="BJ60" s="1135">
        <v>0</v>
      </c>
      <c r="BK60" s="1170" t="str">
        <f t="shared" si="22"/>
        <v/>
      </c>
      <c r="BL60" s="1170">
        <v>50000</v>
      </c>
      <c r="BM60" s="243">
        <v>3</v>
      </c>
      <c r="BN60" s="1135">
        <v>0</v>
      </c>
      <c r="BO60" s="1132">
        <v>7</v>
      </c>
      <c r="BP60" s="1075">
        <v>365</v>
      </c>
      <c r="BQ60" s="244">
        <v>1</v>
      </c>
      <c r="BR60" s="1135">
        <v>0</v>
      </c>
      <c r="BS60" s="1132">
        <f t="shared" si="23"/>
        <v>7</v>
      </c>
      <c r="BT60" s="1075">
        <f t="shared" si="24"/>
        <v>365</v>
      </c>
      <c r="BU60" s="253">
        <v>1</v>
      </c>
      <c r="BV60" s="1135">
        <v>0</v>
      </c>
      <c r="BW60" s="1135" t="s">
        <v>2224</v>
      </c>
      <c r="BX60" s="257">
        <v>0</v>
      </c>
      <c r="BY60" s="436">
        <v>0</v>
      </c>
      <c r="BZ60" s="1135">
        <v>1</v>
      </c>
      <c r="CA60" s="1135">
        <v>0</v>
      </c>
      <c r="CB60" s="1296"/>
      <c r="CD60" s="1136" t="str">
        <f>IF(A60=FALSE,"",Calcul!NZ60)</f>
        <v/>
      </c>
      <c r="CE60" s="1136" t="s">
        <v>2224</v>
      </c>
      <c r="CF60" s="1132" t="s">
        <v>2138</v>
      </c>
      <c r="CG60" s="1136" t="s">
        <v>2254</v>
      </c>
      <c r="CH60" s="1135" t="s">
        <v>2224</v>
      </c>
      <c r="CI60" s="257">
        <v>0</v>
      </c>
      <c r="CJ60" s="436">
        <v>0</v>
      </c>
      <c r="CK60" s="1135">
        <v>1</v>
      </c>
      <c r="CL60" s="1135">
        <v>0</v>
      </c>
      <c r="CM60" s="1170">
        <v>100000</v>
      </c>
      <c r="CN60" s="243">
        <v>2</v>
      </c>
      <c r="CO60" s="1135">
        <v>0</v>
      </c>
      <c r="CP60" s="1170">
        <f t="shared" si="16"/>
        <v>100000</v>
      </c>
      <c r="CQ60" s="243">
        <v>2</v>
      </c>
      <c r="CR60" s="1135">
        <v>0</v>
      </c>
    </row>
    <row r="61" spans="1:96" s="1127" customFormat="1" ht="30" customHeight="1" outlineLevel="1">
      <c r="A61" s="396" t="b">
        <f>Calcul!A61</f>
        <v>0</v>
      </c>
      <c r="B61" s="438" t="str">
        <f t="shared" si="17"/>
        <v/>
      </c>
      <c r="C61" s="1132" t="b">
        <v>0</v>
      </c>
      <c r="D61" s="1133" t="s">
        <v>2293</v>
      </c>
      <c r="E61" s="1075" t="s">
        <v>2139</v>
      </c>
      <c r="F61" s="338" t="str">
        <f>IF(A61=FALSE,"",IF(NAMES!$D$10=FALSE,IF(Detail!H61="","",Detail!H61),IF(Crewlist!D61="","",Crewlist!D61)))</f>
        <v/>
      </c>
      <c r="G61" s="338" t="str">
        <f>IF(A61=FALSE,"",IF(NAMES!$D$10=FALSE,IF(Detail!P61="","",Detail!P61),IF(Crewlist!E61="","",Crewlist!E61)))</f>
        <v/>
      </c>
      <c r="H61" s="338" t="str">
        <f>IF(A61=FALSE,"",IF(NAMES!$D$10=FALSE,IF(Detail!K61="","",Detail!K61),IF(Crewlist!F61="","",Crewlist!F61)))</f>
        <v/>
      </c>
      <c r="I61" s="1345" t="str">
        <f>IF(Crewlist!T61="","",Crewlist!T61)</f>
        <v/>
      </c>
      <c r="J61" s="1345" t="str">
        <f>IF(Crewlist!D61="","",IF(Crewlist!U61="",Crewlist!Y61,IF(DATERENOUVMOINS730&lt;&gt;Crewlist!U61&lt;&gt;Crewlist!Y61,Crewlist!U61,DATERENOUVMOINS365)))</f>
        <v/>
      </c>
      <c r="K61" s="1346" t="str">
        <f>IF(Detail!X61="","",Detail!X61)</f>
        <v/>
      </c>
      <c r="L61" s="1346" t="str">
        <f>IF(Detail!H61="","",IF(Detail!Y61="",DATERENOUV,IF(Detail!Y61&gt;Detail!D61,Detail!D61,Detail!Y61)))</f>
        <v/>
      </c>
      <c r="M61" s="829" t="str">
        <f>IF(A61=FALSE,"",IF(NAMES!$D$10=FALSE,IF(B61=B62,IF(N61=N62,0,(DATEDIF(K61,L61,"M")+1)),(DATEDIF(K61,L61,"M")+1)),IF(B61=B62,IF(N61=N62,0,(DATEDIF(I61,J61,"M")+1)),(DATEDIF(I61,J61,"M")+1))))</f>
        <v/>
      </c>
      <c r="N61" s="829" t="str">
        <f t="shared" si="5"/>
        <v/>
      </c>
      <c r="O61" s="340" t="str">
        <f>IF(A61=FALSE,"",IF(NAMES!$D$10=FALSE,IF((DATEDIF(K61,L61,"D")+1)&lt;365,(DATEDIF(K61,L61,"D")+1),365),IF((DATEDIF(I61,J61,"D")+1)&lt;365,(DATEDIF(I61,J61,"D")+1),365)))</f>
        <v/>
      </c>
      <c r="P61" s="340" t="str">
        <f>IF(A61=FALSE,"",IF(NAMES!$D$10=FALSE,IF(L61="",365,DATEDIF(K61,L61,"D")+1),IF(L61="",365,DATEDIF(I61,J61,"D")+1)))</f>
        <v/>
      </c>
      <c r="Q61" s="787" t="str">
        <f>Calcul!X61</f>
        <v/>
      </c>
      <c r="R61" s="787" t="str">
        <f>Calcul!Y61</f>
        <v/>
      </c>
      <c r="S61" s="811" t="str">
        <f>Calcul!AG61</f>
        <v/>
      </c>
      <c r="T61" s="350" t="str">
        <f>IF(A61=FALSE,"",IF(NAMES!$D$10=FALSE,IF(Detail!S61="","",Detail!S61),IF(Crewlist!V61="","",Crewlist!V61)))</f>
        <v/>
      </c>
      <c r="U61" s="242" t="str">
        <f>Calcul!AI61</f>
        <v/>
      </c>
      <c r="V61" s="242" t="str">
        <f>Calcul!AL61</f>
        <v/>
      </c>
      <c r="W61" s="242" t="str">
        <f>Calcul!AM61</f>
        <v/>
      </c>
      <c r="X61" s="335" t="str">
        <f>Calcul!AN61</f>
        <v/>
      </c>
      <c r="Y61" s="242" t="str">
        <f>Calcul!AO61</f>
        <v/>
      </c>
      <c r="Z61" s="242" t="str">
        <f>Calcul!AP61</f>
        <v/>
      </c>
      <c r="AA61" s="335" t="str">
        <f>Calcul!AQ61</f>
        <v/>
      </c>
      <c r="AB61" s="335" t="str">
        <f>IF(C61=FALSE,"",Calcul!BE61+Calcul!BF61)</f>
        <v/>
      </c>
      <c r="AC61" s="335" t="str">
        <f>IF(C61=FALSE,"",(Calcul!BG61+Calcul!BH61)+SUM(Calcul!BI61:BN61))</f>
        <v/>
      </c>
      <c r="AD61" s="335" t="str">
        <f>Calcul!BP61</f>
        <v/>
      </c>
      <c r="AE61" s="1325" t="s">
        <v>2866</v>
      </c>
      <c r="AF61" s="1134" t="s">
        <v>2254</v>
      </c>
      <c r="AG61" s="318" t="str">
        <f>IF(A61=FALSE,"",YEAR(Detail!F61)&amp;Detail!AG61&amp;Detail!AD61&amp;"-"&amp;Detail!AE61)</f>
        <v/>
      </c>
      <c r="AH61" s="1134" t="s">
        <v>2224</v>
      </c>
      <c r="AI61" s="1453">
        <v>0.1</v>
      </c>
      <c r="AJ61" s="1135">
        <f t="shared" si="18"/>
        <v>0.1</v>
      </c>
      <c r="AK61" s="1135">
        <f t="shared" si="19"/>
        <v>0</v>
      </c>
      <c r="AL61" s="1135">
        <f t="shared" si="20"/>
        <v>0</v>
      </c>
      <c r="AM61" s="1135" t="s">
        <v>2224</v>
      </c>
      <c r="AN61" s="1455">
        <v>15.1752</v>
      </c>
      <c r="AO61" s="436">
        <v>0</v>
      </c>
      <c r="AP61" s="1135">
        <v>1</v>
      </c>
      <c r="AQ61" s="1135">
        <v>0</v>
      </c>
      <c r="AT61" s="1132" t="s">
        <v>2140</v>
      </c>
      <c r="AU61" s="1136" t="s">
        <v>2255</v>
      </c>
      <c r="AV61" s="1136" t="str">
        <f>IF(A61=FALSE,"",IF(Detail!AT61="","N/A",YEAR(Detail!F61)&amp;Detail!AW61&amp;Detail!AT61&amp;"-"&amp;Detail!AU61&amp;" (100%/"&amp;Detail!CD61&amp;"/"&amp;Detail!CE61&amp;")"))</f>
        <v/>
      </c>
      <c r="AW61" s="1136" t="s">
        <v>2224</v>
      </c>
      <c r="AX61" s="1320" t="str">
        <f>Calcul!DB61</f>
        <v/>
      </c>
      <c r="AY61" s="1170" t="str">
        <f>IF(A61=FALSE,"",51000+(Detail!AA61*7000))</f>
        <v/>
      </c>
      <c r="AZ61" s="1170">
        <v>50000</v>
      </c>
      <c r="BA61" s="243">
        <v>3</v>
      </c>
      <c r="BB61" s="1135">
        <v>0</v>
      </c>
      <c r="BC61" s="1170" t="str">
        <f>IF(A61=FALSE,"",51000+(Detail!AA61*7000))</f>
        <v/>
      </c>
      <c r="BD61" s="1170">
        <f t="shared" si="13"/>
        <v>50000</v>
      </c>
      <c r="BE61" s="243">
        <f t="shared" si="14"/>
        <v>3</v>
      </c>
      <c r="BF61" s="1135">
        <f t="shared" si="15"/>
        <v>0</v>
      </c>
      <c r="BG61" s="1170" t="str">
        <f t="shared" si="21"/>
        <v/>
      </c>
      <c r="BH61" s="1170">
        <v>50000</v>
      </c>
      <c r="BI61" s="243">
        <v>3</v>
      </c>
      <c r="BJ61" s="1135">
        <v>0</v>
      </c>
      <c r="BK61" s="1170" t="str">
        <f t="shared" si="22"/>
        <v/>
      </c>
      <c r="BL61" s="1170">
        <v>50000</v>
      </c>
      <c r="BM61" s="243">
        <v>3</v>
      </c>
      <c r="BN61" s="1135">
        <v>0</v>
      </c>
      <c r="BO61" s="1132">
        <v>7</v>
      </c>
      <c r="BP61" s="1075">
        <v>365</v>
      </c>
      <c r="BQ61" s="244">
        <v>1</v>
      </c>
      <c r="BR61" s="1135">
        <v>0</v>
      </c>
      <c r="BS61" s="1132">
        <f t="shared" si="23"/>
        <v>7</v>
      </c>
      <c r="BT61" s="1075">
        <f t="shared" si="24"/>
        <v>365</v>
      </c>
      <c r="BU61" s="253">
        <v>1</v>
      </c>
      <c r="BV61" s="1135">
        <v>0</v>
      </c>
      <c r="BW61" s="1135" t="s">
        <v>2224</v>
      </c>
      <c r="BX61" s="257">
        <v>0</v>
      </c>
      <c r="BY61" s="436">
        <v>0</v>
      </c>
      <c r="BZ61" s="1135">
        <v>1</v>
      </c>
      <c r="CA61" s="1135">
        <v>0</v>
      </c>
      <c r="CB61" s="1296"/>
      <c r="CD61" s="1136" t="str">
        <f>IF(A61=FALSE,"",Calcul!NZ61)</f>
        <v/>
      </c>
      <c r="CE61" s="1136" t="s">
        <v>2224</v>
      </c>
      <c r="CF61" s="1132" t="s">
        <v>2138</v>
      </c>
      <c r="CG61" s="1136" t="s">
        <v>2254</v>
      </c>
      <c r="CH61" s="1135" t="s">
        <v>2224</v>
      </c>
      <c r="CI61" s="257">
        <v>0</v>
      </c>
      <c r="CJ61" s="436">
        <v>0</v>
      </c>
      <c r="CK61" s="1135">
        <v>1</v>
      </c>
      <c r="CL61" s="1135">
        <v>0</v>
      </c>
      <c r="CM61" s="1170">
        <v>100000</v>
      </c>
      <c r="CN61" s="243">
        <v>2</v>
      </c>
      <c r="CO61" s="1135">
        <v>0</v>
      </c>
      <c r="CP61" s="1170">
        <f t="shared" si="16"/>
        <v>100000</v>
      </c>
      <c r="CQ61" s="243">
        <v>2</v>
      </c>
      <c r="CR61" s="1135">
        <v>0</v>
      </c>
    </row>
    <row r="62" spans="1:96" s="1127" customFormat="1" ht="30" customHeight="1" outlineLevel="1">
      <c r="A62" s="396" t="b">
        <f>Calcul!A62</f>
        <v>0</v>
      </c>
      <c r="B62" s="438" t="str">
        <f t="shared" si="17"/>
        <v/>
      </c>
      <c r="C62" s="1132" t="b">
        <v>0</v>
      </c>
      <c r="D62" s="1133" t="s">
        <v>2293</v>
      </c>
      <c r="E62" s="1075" t="s">
        <v>2139</v>
      </c>
      <c r="F62" s="338" t="str">
        <f>IF(A62=FALSE,"",IF(NAMES!$D$10=FALSE,IF(Detail!H62="","",Detail!H62),IF(Crewlist!D62="","",Crewlist!D62)))</f>
        <v/>
      </c>
      <c r="G62" s="338" t="str">
        <f>IF(A62=FALSE,"",IF(NAMES!$D$10=FALSE,IF(Detail!P62="","",Detail!P62),IF(Crewlist!E62="","",Crewlist!E62)))</f>
        <v/>
      </c>
      <c r="H62" s="338" t="str">
        <f>IF(A62=FALSE,"",IF(NAMES!$D$10=FALSE,IF(Detail!K62="","",Detail!K62),IF(Crewlist!F62="","",Crewlist!F62)))</f>
        <v/>
      </c>
      <c r="I62" s="1345" t="str">
        <f>IF(Crewlist!T62="","",Crewlist!T62)</f>
        <v/>
      </c>
      <c r="J62" s="1345" t="str">
        <f>IF(Crewlist!D62="","",IF(Crewlist!U62="",Crewlist!Y62,IF(DATERENOUVMOINS730&lt;&gt;Crewlist!U62&lt;&gt;Crewlist!Y62,Crewlist!U62,DATERENOUVMOINS365)))</f>
        <v/>
      </c>
      <c r="K62" s="1346" t="str">
        <f>IF(Detail!X62="","",Detail!X62)</f>
        <v/>
      </c>
      <c r="L62" s="1346" t="str">
        <f>IF(Detail!H62="","",IF(Detail!Y62="",DATERENOUV,IF(Detail!Y62&gt;Detail!D62,Detail!D62,Detail!Y62)))</f>
        <v/>
      </c>
      <c r="M62" s="829" t="str">
        <f>IF(A62=FALSE,"",IF(NAMES!$D$10=FALSE,IF(B62=B63,IF(N62=N63,0,(DATEDIF(K62,L62,"M")+1)),(DATEDIF(K62,L62,"M")+1)),IF(B62=B63,IF(N62=N63,0,(DATEDIF(I62,J62,"M")+1)),(DATEDIF(I62,J62,"M")+1))))</f>
        <v/>
      </c>
      <c r="N62" s="829" t="str">
        <f t="shared" si="5"/>
        <v/>
      </c>
      <c r="O62" s="340" t="str">
        <f>IF(A62=FALSE,"",IF(NAMES!$D$10=FALSE,IF((DATEDIF(K62,L62,"D")+1)&lt;365,(DATEDIF(K62,L62,"D")+1),365),IF((DATEDIF(I62,J62,"D")+1)&lt;365,(DATEDIF(I62,J62,"D")+1),365)))</f>
        <v/>
      </c>
      <c r="P62" s="340" t="str">
        <f>IF(A62=FALSE,"",IF(NAMES!$D$10=FALSE,IF(L62="",365,DATEDIF(K62,L62,"D")+1),IF(L62="",365,DATEDIF(I62,J62,"D")+1)))</f>
        <v/>
      </c>
      <c r="Q62" s="787" t="str">
        <f>Calcul!X62</f>
        <v/>
      </c>
      <c r="R62" s="787" t="str">
        <f>Calcul!Y62</f>
        <v/>
      </c>
      <c r="S62" s="811" t="str">
        <f>Calcul!AG62</f>
        <v/>
      </c>
      <c r="T62" s="350" t="str">
        <f>IF(A62=FALSE,"",IF(NAMES!$D$10=FALSE,IF(Detail!S62="","",Detail!S62),IF(Crewlist!V62="","",Crewlist!V62)))</f>
        <v/>
      </c>
      <c r="U62" s="242" t="str">
        <f>Calcul!AI62</f>
        <v/>
      </c>
      <c r="V62" s="242" t="str">
        <f>Calcul!AL62</f>
        <v/>
      </c>
      <c r="W62" s="242" t="str">
        <f>Calcul!AM62</f>
        <v/>
      </c>
      <c r="X62" s="335" t="str">
        <f>Calcul!AN62</f>
        <v/>
      </c>
      <c r="Y62" s="242" t="str">
        <f>Calcul!AO62</f>
        <v/>
      </c>
      <c r="Z62" s="242" t="str">
        <f>Calcul!AP62</f>
        <v/>
      </c>
      <c r="AA62" s="335" t="str">
        <f>Calcul!AQ62</f>
        <v/>
      </c>
      <c r="AB62" s="335" t="str">
        <f>IF(C62=FALSE,"",Calcul!BE62+Calcul!BF62)</f>
        <v/>
      </c>
      <c r="AC62" s="335" t="str">
        <f>IF(C62=FALSE,"",(Calcul!BG62+Calcul!BH62)+SUM(Calcul!BI62:BN62))</f>
        <v/>
      </c>
      <c r="AD62" s="335" t="str">
        <f>Calcul!BP62</f>
        <v/>
      </c>
      <c r="AE62" s="1325" t="s">
        <v>2866</v>
      </c>
      <c r="AF62" s="1134" t="s">
        <v>2254</v>
      </c>
      <c r="AG62" s="318" t="str">
        <f>IF(A62=FALSE,"",YEAR(Detail!F62)&amp;Detail!AG62&amp;Detail!AD62&amp;"-"&amp;Detail!AE62)</f>
        <v/>
      </c>
      <c r="AH62" s="1134" t="s">
        <v>2224</v>
      </c>
      <c r="AI62" s="1453">
        <v>0.1</v>
      </c>
      <c r="AJ62" s="1135">
        <f t="shared" si="18"/>
        <v>0.1</v>
      </c>
      <c r="AK62" s="1135">
        <f t="shared" si="19"/>
        <v>0</v>
      </c>
      <c r="AL62" s="1135">
        <f t="shared" si="20"/>
        <v>0</v>
      </c>
      <c r="AM62" s="1135" t="s">
        <v>2224</v>
      </c>
      <c r="AN62" s="1455">
        <v>15.1752</v>
      </c>
      <c r="AO62" s="436">
        <v>0</v>
      </c>
      <c r="AP62" s="1135">
        <v>1</v>
      </c>
      <c r="AQ62" s="1135">
        <v>0</v>
      </c>
      <c r="AT62" s="1132" t="s">
        <v>2140</v>
      </c>
      <c r="AU62" s="1136" t="s">
        <v>2255</v>
      </c>
      <c r="AV62" s="1136" t="str">
        <f>IF(A62=FALSE,"",IF(Detail!AT62="","N/A",YEAR(Detail!F62)&amp;Detail!AW62&amp;Detail!AT62&amp;"-"&amp;Detail!AU62&amp;" (100%/"&amp;Detail!CD62&amp;"/"&amp;Detail!CE62&amp;")"))</f>
        <v/>
      </c>
      <c r="AW62" s="1136" t="s">
        <v>2224</v>
      </c>
      <c r="AX62" s="1320" t="str">
        <f>Calcul!DB62</f>
        <v/>
      </c>
      <c r="AY62" s="1170" t="str">
        <f>IF(A62=FALSE,"",51000+(Detail!AA62*7000))</f>
        <v/>
      </c>
      <c r="AZ62" s="1170">
        <v>50000</v>
      </c>
      <c r="BA62" s="243">
        <v>3</v>
      </c>
      <c r="BB62" s="1135">
        <v>0</v>
      </c>
      <c r="BC62" s="1170" t="str">
        <f>IF(A62=FALSE,"",51000+(Detail!AA62*7000))</f>
        <v/>
      </c>
      <c r="BD62" s="1170">
        <f t="shared" si="13"/>
        <v>50000</v>
      </c>
      <c r="BE62" s="243">
        <f t="shared" si="14"/>
        <v>3</v>
      </c>
      <c r="BF62" s="1135">
        <f t="shared" si="15"/>
        <v>0</v>
      </c>
      <c r="BG62" s="1170" t="str">
        <f t="shared" si="21"/>
        <v/>
      </c>
      <c r="BH62" s="1170">
        <v>50000</v>
      </c>
      <c r="BI62" s="243">
        <v>3</v>
      </c>
      <c r="BJ62" s="1135">
        <v>0</v>
      </c>
      <c r="BK62" s="1170" t="str">
        <f t="shared" si="22"/>
        <v/>
      </c>
      <c r="BL62" s="1170">
        <v>50000</v>
      </c>
      <c r="BM62" s="243">
        <v>3</v>
      </c>
      <c r="BN62" s="1135">
        <v>0</v>
      </c>
      <c r="BO62" s="1132">
        <v>7</v>
      </c>
      <c r="BP62" s="1075">
        <v>365</v>
      </c>
      <c r="BQ62" s="244">
        <v>1</v>
      </c>
      <c r="BR62" s="1135">
        <v>0</v>
      </c>
      <c r="BS62" s="1132">
        <f t="shared" si="23"/>
        <v>7</v>
      </c>
      <c r="BT62" s="1075">
        <f t="shared" si="24"/>
        <v>365</v>
      </c>
      <c r="BU62" s="253">
        <v>1</v>
      </c>
      <c r="BV62" s="1135">
        <v>0</v>
      </c>
      <c r="BW62" s="1135" t="s">
        <v>2224</v>
      </c>
      <c r="BX62" s="257">
        <v>0</v>
      </c>
      <c r="BY62" s="436">
        <v>0</v>
      </c>
      <c r="BZ62" s="1135">
        <v>1</v>
      </c>
      <c r="CA62" s="1135">
        <v>0</v>
      </c>
      <c r="CB62" s="1296"/>
      <c r="CD62" s="1136" t="str">
        <f>IF(A62=FALSE,"",Calcul!NZ62)</f>
        <v/>
      </c>
      <c r="CE62" s="1136" t="s">
        <v>2224</v>
      </c>
      <c r="CF62" s="1132" t="s">
        <v>2138</v>
      </c>
      <c r="CG62" s="1136" t="s">
        <v>2254</v>
      </c>
      <c r="CH62" s="1135" t="s">
        <v>2224</v>
      </c>
      <c r="CI62" s="257">
        <v>0</v>
      </c>
      <c r="CJ62" s="436">
        <v>0</v>
      </c>
      <c r="CK62" s="1135">
        <v>1</v>
      </c>
      <c r="CL62" s="1135">
        <v>0</v>
      </c>
      <c r="CM62" s="1170">
        <v>100000</v>
      </c>
      <c r="CN62" s="243">
        <v>2</v>
      </c>
      <c r="CO62" s="1135">
        <v>0</v>
      </c>
      <c r="CP62" s="1170">
        <f t="shared" si="16"/>
        <v>100000</v>
      </c>
      <c r="CQ62" s="243">
        <v>2</v>
      </c>
      <c r="CR62" s="1135">
        <v>0</v>
      </c>
    </row>
    <row r="63" spans="1:96" s="1127" customFormat="1" ht="30" customHeight="1" outlineLevel="1">
      <c r="A63" s="396" t="b">
        <f>Calcul!A63</f>
        <v>0</v>
      </c>
      <c r="B63" s="438" t="str">
        <f t="shared" si="17"/>
        <v/>
      </c>
      <c r="C63" s="1132" t="b">
        <v>0</v>
      </c>
      <c r="D63" s="1133" t="s">
        <v>2293</v>
      </c>
      <c r="E63" s="1075" t="s">
        <v>2139</v>
      </c>
      <c r="F63" s="338" t="str">
        <f>IF(A63=FALSE,"",IF(NAMES!$D$10=FALSE,IF(Detail!H63="","",Detail!H63),IF(Crewlist!D63="","",Crewlist!D63)))</f>
        <v/>
      </c>
      <c r="G63" s="338" t="str">
        <f>IF(A63=FALSE,"",IF(NAMES!$D$10=FALSE,IF(Detail!P63="","",Detail!P63),IF(Crewlist!E63="","",Crewlist!E63)))</f>
        <v/>
      </c>
      <c r="H63" s="338" t="str">
        <f>IF(A63=FALSE,"",IF(NAMES!$D$10=FALSE,IF(Detail!K63="","",Detail!K63),IF(Crewlist!F63="","",Crewlist!F63)))</f>
        <v/>
      </c>
      <c r="I63" s="1345" t="str">
        <f>IF(Crewlist!T63="","",Crewlist!T63)</f>
        <v/>
      </c>
      <c r="J63" s="1345" t="str">
        <f>IF(Crewlist!D63="","",IF(Crewlist!U63="",Crewlist!Y63,IF(DATERENOUVMOINS730&lt;&gt;Crewlist!U63&lt;&gt;Crewlist!Y63,Crewlist!U63,DATERENOUVMOINS365)))</f>
        <v/>
      </c>
      <c r="K63" s="1346" t="str">
        <f>IF(Detail!X63="","",Detail!X63)</f>
        <v/>
      </c>
      <c r="L63" s="1346" t="str">
        <f>IF(Detail!H63="","",IF(Detail!Y63="",DATERENOUV,IF(Detail!Y63&gt;Detail!D63,Detail!D63,Detail!Y63)))</f>
        <v/>
      </c>
      <c r="M63" s="829" t="str">
        <f>IF(A63=FALSE,"",IF(NAMES!$D$10=FALSE,IF(B63=B64,IF(N63=N64,0,(DATEDIF(K63,L63,"M")+1)),(DATEDIF(K63,L63,"M")+1)),IF(B63=B64,IF(N63=N64,0,(DATEDIF(I63,J63,"M")+1)),(DATEDIF(I63,J63,"M")+1))))</f>
        <v/>
      </c>
      <c r="N63" s="829" t="str">
        <f t="shared" si="5"/>
        <v/>
      </c>
      <c r="O63" s="340" t="str">
        <f>IF(A63=FALSE,"",IF(NAMES!$D$10=FALSE,IF((DATEDIF(K63,L63,"D")+1)&lt;365,(DATEDIF(K63,L63,"D")+1),365),IF((DATEDIF(I63,J63,"D")+1)&lt;365,(DATEDIF(I63,J63,"D")+1),365)))</f>
        <v/>
      </c>
      <c r="P63" s="340" t="str">
        <f>IF(A63=FALSE,"",IF(NAMES!$D$10=FALSE,IF(L63="",365,DATEDIF(K63,L63,"D")+1),IF(L63="",365,DATEDIF(I63,J63,"D")+1)))</f>
        <v/>
      </c>
      <c r="Q63" s="787" t="str">
        <f>Calcul!X63</f>
        <v/>
      </c>
      <c r="R63" s="787" t="str">
        <f>Calcul!Y63</f>
        <v/>
      </c>
      <c r="S63" s="811" t="str">
        <f>Calcul!AG63</f>
        <v/>
      </c>
      <c r="T63" s="350" t="str">
        <f>IF(A63=FALSE,"",IF(NAMES!$D$10=FALSE,IF(Detail!S63="","",Detail!S63),IF(Crewlist!V63="","",Crewlist!V63)))</f>
        <v/>
      </c>
      <c r="U63" s="242" t="str">
        <f>Calcul!AI63</f>
        <v/>
      </c>
      <c r="V63" s="242" t="str">
        <f>Calcul!AL63</f>
        <v/>
      </c>
      <c r="W63" s="242" t="str">
        <f>Calcul!AM63</f>
        <v/>
      </c>
      <c r="X63" s="335" t="str">
        <f>Calcul!AN63</f>
        <v/>
      </c>
      <c r="Y63" s="242" t="str">
        <f>Calcul!AO63</f>
        <v/>
      </c>
      <c r="Z63" s="242" t="str">
        <f>Calcul!AP63</f>
        <v/>
      </c>
      <c r="AA63" s="335" t="str">
        <f>Calcul!AQ63</f>
        <v/>
      </c>
      <c r="AB63" s="335" t="str">
        <f>IF(C63=FALSE,"",Calcul!BE63+Calcul!BF63)</f>
        <v/>
      </c>
      <c r="AC63" s="335" t="str">
        <f>IF(C63=FALSE,"",(Calcul!BG63+Calcul!BH63)+SUM(Calcul!BI63:BN63))</f>
        <v/>
      </c>
      <c r="AD63" s="335" t="str">
        <f>Calcul!BP63</f>
        <v/>
      </c>
      <c r="AE63" s="1325" t="s">
        <v>2866</v>
      </c>
      <c r="AF63" s="1134" t="s">
        <v>2254</v>
      </c>
      <c r="AG63" s="318" t="str">
        <f>IF(A63=FALSE,"",YEAR(Detail!F63)&amp;Detail!AG63&amp;Detail!AD63&amp;"-"&amp;Detail!AE63)</f>
        <v/>
      </c>
      <c r="AH63" s="1134" t="s">
        <v>2224</v>
      </c>
      <c r="AI63" s="1453">
        <v>0.1</v>
      </c>
      <c r="AJ63" s="1135">
        <f t="shared" si="18"/>
        <v>0.1</v>
      </c>
      <c r="AK63" s="1135">
        <f t="shared" si="19"/>
        <v>0</v>
      </c>
      <c r="AL63" s="1135">
        <f t="shared" si="20"/>
        <v>0</v>
      </c>
      <c r="AM63" s="1135" t="s">
        <v>2224</v>
      </c>
      <c r="AN63" s="1455">
        <v>15.1752</v>
      </c>
      <c r="AO63" s="436">
        <v>0</v>
      </c>
      <c r="AP63" s="1135">
        <v>1</v>
      </c>
      <c r="AQ63" s="1135">
        <v>0</v>
      </c>
      <c r="AT63" s="1132" t="s">
        <v>2140</v>
      </c>
      <c r="AU63" s="1136" t="s">
        <v>2255</v>
      </c>
      <c r="AV63" s="1136" t="str">
        <f>IF(A63=FALSE,"",IF(Detail!AT63="","N/A",YEAR(Detail!F63)&amp;Detail!AW63&amp;Detail!AT63&amp;"-"&amp;Detail!AU63&amp;" (100%/"&amp;Detail!CD63&amp;"/"&amp;Detail!CE63&amp;")"))</f>
        <v/>
      </c>
      <c r="AW63" s="1136" t="s">
        <v>2224</v>
      </c>
      <c r="AX63" s="1320" t="str">
        <f>Calcul!DB63</f>
        <v/>
      </c>
      <c r="AY63" s="1170" t="str">
        <f>IF(A63=FALSE,"",51000+(Detail!AA63*7000))</f>
        <v/>
      </c>
      <c r="AZ63" s="1170">
        <v>50000</v>
      </c>
      <c r="BA63" s="243">
        <v>3</v>
      </c>
      <c r="BB63" s="1135">
        <v>0</v>
      </c>
      <c r="BC63" s="1170" t="str">
        <f>IF(A63=FALSE,"",51000+(Detail!AA63*7000))</f>
        <v/>
      </c>
      <c r="BD63" s="1170">
        <f t="shared" si="13"/>
        <v>50000</v>
      </c>
      <c r="BE63" s="243">
        <f t="shared" si="14"/>
        <v>3</v>
      </c>
      <c r="BF63" s="1135">
        <f t="shared" si="15"/>
        <v>0</v>
      </c>
      <c r="BG63" s="1170" t="str">
        <f t="shared" si="21"/>
        <v/>
      </c>
      <c r="BH63" s="1170">
        <v>50000</v>
      </c>
      <c r="BI63" s="243">
        <v>3</v>
      </c>
      <c r="BJ63" s="1135">
        <v>0</v>
      </c>
      <c r="BK63" s="1170" t="str">
        <f t="shared" si="22"/>
        <v/>
      </c>
      <c r="BL63" s="1170">
        <v>50000</v>
      </c>
      <c r="BM63" s="243">
        <v>3</v>
      </c>
      <c r="BN63" s="1135">
        <v>0</v>
      </c>
      <c r="BO63" s="1132">
        <v>7</v>
      </c>
      <c r="BP63" s="1075">
        <v>365</v>
      </c>
      <c r="BQ63" s="244">
        <v>1</v>
      </c>
      <c r="BR63" s="1135">
        <v>0</v>
      </c>
      <c r="BS63" s="1132">
        <f t="shared" si="23"/>
        <v>7</v>
      </c>
      <c r="BT63" s="1075">
        <f t="shared" si="24"/>
        <v>365</v>
      </c>
      <c r="BU63" s="253">
        <v>1</v>
      </c>
      <c r="BV63" s="1135">
        <v>0</v>
      </c>
      <c r="BW63" s="1135" t="s">
        <v>2224</v>
      </c>
      <c r="BX63" s="257">
        <v>0</v>
      </c>
      <c r="BY63" s="436">
        <v>0</v>
      </c>
      <c r="BZ63" s="1135">
        <v>1</v>
      </c>
      <c r="CA63" s="1135">
        <v>0</v>
      </c>
      <c r="CB63" s="1296"/>
      <c r="CD63" s="1136" t="str">
        <f>IF(A63=FALSE,"",Calcul!NZ63)</f>
        <v/>
      </c>
      <c r="CE63" s="1136" t="s">
        <v>2224</v>
      </c>
      <c r="CF63" s="1132" t="s">
        <v>2138</v>
      </c>
      <c r="CG63" s="1136" t="s">
        <v>2254</v>
      </c>
      <c r="CH63" s="1135" t="s">
        <v>2224</v>
      </c>
      <c r="CI63" s="257">
        <v>0</v>
      </c>
      <c r="CJ63" s="436">
        <v>0</v>
      </c>
      <c r="CK63" s="1135">
        <v>1</v>
      </c>
      <c r="CL63" s="1135">
        <v>0</v>
      </c>
      <c r="CM63" s="1170">
        <v>100000</v>
      </c>
      <c r="CN63" s="243">
        <v>2</v>
      </c>
      <c r="CO63" s="1135">
        <v>0</v>
      </c>
      <c r="CP63" s="1170">
        <f t="shared" si="16"/>
        <v>100000</v>
      </c>
      <c r="CQ63" s="243">
        <v>2</v>
      </c>
      <c r="CR63" s="1135">
        <v>0</v>
      </c>
    </row>
    <row r="64" spans="1:96" s="1127" customFormat="1" ht="30" customHeight="1" outlineLevel="1">
      <c r="A64" s="396" t="b">
        <f>Calcul!A64</f>
        <v>0</v>
      </c>
      <c r="B64" s="438" t="str">
        <f t="shared" si="17"/>
        <v/>
      </c>
      <c r="C64" s="1132" t="b">
        <v>0</v>
      </c>
      <c r="D64" s="1133" t="s">
        <v>2293</v>
      </c>
      <c r="E64" s="1075" t="s">
        <v>2139</v>
      </c>
      <c r="F64" s="338" t="str">
        <f>IF(A64=FALSE,"",IF(NAMES!$D$10=FALSE,IF(Detail!H64="","",Detail!H64),IF(Crewlist!D64="","",Crewlist!D64)))</f>
        <v/>
      </c>
      <c r="G64" s="338" t="str">
        <f>IF(A64=FALSE,"",IF(NAMES!$D$10=FALSE,IF(Detail!P64="","",Detail!P64),IF(Crewlist!E64="","",Crewlist!E64)))</f>
        <v/>
      </c>
      <c r="H64" s="338" t="str">
        <f>IF(A64=FALSE,"",IF(NAMES!$D$10=FALSE,IF(Detail!K64="","",Detail!K64),IF(Crewlist!F64="","",Crewlist!F64)))</f>
        <v/>
      </c>
      <c r="I64" s="1345" t="str">
        <f>IF(Crewlist!T64="","",Crewlist!T64)</f>
        <v/>
      </c>
      <c r="J64" s="1345" t="str">
        <f>IF(Crewlist!D64="","",IF(Crewlist!U64="",Crewlist!Y64,IF(DATERENOUVMOINS730&lt;&gt;Crewlist!U64&lt;&gt;Crewlist!Y64,Crewlist!U64,DATERENOUVMOINS365)))</f>
        <v/>
      </c>
      <c r="K64" s="1346" t="str">
        <f>IF(Detail!X64="","",Detail!X64)</f>
        <v/>
      </c>
      <c r="L64" s="1346" t="str">
        <f>IF(Detail!H64="","",IF(Detail!Y64="",DATERENOUV,IF(Detail!Y64&gt;Detail!D64,Detail!D64,Detail!Y64)))</f>
        <v/>
      </c>
      <c r="M64" s="829" t="str">
        <f>IF(A64=FALSE,"",IF(NAMES!$D$10=FALSE,IF(B64=B65,IF(N64=N65,0,(DATEDIF(K64,L64,"M")+1)),(DATEDIF(K64,L64,"M")+1)),IF(B64=B65,IF(N64=N65,0,(DATEDIF(I64,J64,"M")+1)),(DATEDIF(I64,J64,"M")+1))))</f>
        <v/>
      </c>
      <c r="N64" s="829" t="str">
        <f t="shared" si="5"/>
        <v/>
      </c>
      <c r="O64" s="340" t="str">
        <f>IF(A64=FALSE,"",IF(NAMES!$D$10=FALSE,IF((DATEDIF(K64,L64,"D")+1)&lt;365,(DATEDIF(K64,L64,"D")+1),365),IF((DATEDIF(I64,J64,"D")+1)&lt;365,(DATEDIF(I64,J64,"D")+1),365)))</f>
        <v/>
      </c>
      <c r="P64" s="340" t="str">
        <f>IF(A64=FALSE,"",IF(NAMES!$D$10=FALSE,IF(L64="",365,DATEDIF(K64,L64,"D")+1),IF(L64="",365,DATEDIF(I64,J64,"D")+1)))</f>
        <v/>
      </c>
      <c r="Q64" s="787" t="str">
        <f>Calcul!X64</f>
        <v/>
      </c>
      <c r="R64" s="787" t="str">
        <f>Calcul!Y64</f>
        <v/>
      </c>
      <c r="S64" s="811" t="str">
        <f>Calcul!AG64</f>
        <v/>
      </c>
      <c r="T64" s="350" t="str">
        <f>IF(A64=FALSE,"",IF(NAMES!$D$10=FALSE,IF(Detail!S64="","",Detail!S64),IF(Crewlist!V64="","",Crewlist!V64)))</f>
        <v/>
      </c>
      <c r="U64" s="242" t="str">
        <f>Calcul!AI64</f>
        <v/>
      </c>
      <c r="V64" s="242" t="str">
        <f>Calcul!AL64</f>
        <v/>
      </c>
      <c r="W64" s="242" t="str">
        <f>Calcul!AM64</f>
        <v/>
      </c>
      <c r="X64" s="335" t="str">
        <f>Calcul!AN64</f>
        <v/>
      </c>
      <c r="Y64" s="242" t="str">
        <f>Calcul!AO64</f>
        <v/>
      </c>
      <c r="Z64" s="242" t="str">
        <f>Calcul!AP64</f>
        <v/>
      </c>
      <c r="AA64" s="335" t="str">
        <f>Calcul!AQ64</f>
        <v/>
      </c>
      <c r="AB64" s="335" t="str">
        <f>IF(C64=FALSE,"",Calcul!BE64+Calcul!BF64)</f>
        <v/>
      </c>
      <c r="AC64" s="335" t="str">
        <f>IF(C64=FALSE,"",(Calcul!BG64+Calcul!BH64)+SUM(Calcul!BI64:BN64))</f>
        <v/>
      </c>
      <c r="AD64" s="335" t="str">
        <f>Calcul!BP64</f>
        <v/>
      </c>
      <c r="AE64" s="1325" t="s">
        <v>2866</v>
      </c>
      <c r="AF64" s="1134" t="s">
        <v>2254</v>
      </c>
      <c r="AG64" s="318" t="str">
        <f>IF(A64=FALSE,"",YEAR(Detail!F64)&amp;Detail!AG64&amp;Detail!AD64&amp;"-"&amp;Detail!AE64)</f>
        <v/>
      </c>
      <c r="AH64" s="1134" t="s">
        <v>2224</v>
      </c>
      <c r="AI64" s="1453">
        <v>0.1</v>
      </c>
      <c r="AJ64" s="1135">
        <f t="shared" si="18"/>
        <v>0.1</v>
      </c>
      <c r="AK64" s="1135">
        <f t="shared" si="19"/>
        <v>0</v>
      </c>
      <c r="AL64" s="1135">
        <f t="shared" si="20"/>
        <v>0</v>
      </c>
      <c r="AM64" s="1135" t="s">
        <v>2224</v>
      </c>
      <c r="AN64" s="1455">
        <v>15.1752</v>
      </c>
      <c r="AO64" s="436">
        <v>0</v>
      </c>
      <c r="AP64" s="1135">
        <v>1</v>
      </c>
      <c r="AQ64" s="1135">
        <v>0</v>
      </c>
      <c r="AT64" s="1132" t="s">
        <v>2140</v>
      </c>
      <c r="AU64" s="1136" t="s">
        <v>2255</v>
      </c>
      <c r="AV64" s="1136" t="str">
        <f>IF(A64=FALSE,"",IF(Detail!AT64="","N/A",YEAR(Detail!F64)&amp;Detail!AW64&amp;Detail!AT64&amp;"-"&amp;Detail!AU64&amp;" (100%/"&amp;Detail!CD64&amp;"/"&amp;Detail!CE64&amp;")"))</f>
        <v/>
      </c>
      <c r="AW64" s="1136" t="s">
        <v>2224</v>
      </c>
      <c r="AX64" s="1320" t="str">
        <f>Calcul!DB64</f>
        <v/>
      </c>
      <c r="AY64" s="1170" t="str">
        <f>IF(A64=FALSE,"",51000+(Detail!AA64*7000))</f>
        <v/>
      </c>
      <c r="AZ64" s="1170">
        <v>50000</v>
      </c>
      <c r="BA64" s="243">
        <v>3</v>
      </c>
      <c r="BB64" s="1135">
        <v>0</v>
      </c>
      <c r="BC64" s="1170" t="str">
        <f>IF(A64=FALSE,"",51000+(Detail!AA64*7000))</f>
        <v/>
      </c>
      <c r="BD64" s="1170">
        <f t="shared" si="13"/>
        <v>50000</v>
      </c>
      <c r="BE64" s="243">
        <f t="shared" si="14"/>
        <v>3</v>
      </c>
      <c r="BF64" s="1135">
        <f t="shared" si="15"/>
        <v>0</v>
      </c>
      <c r="BG64" s="1170" t="str">
        <f t="shared" si="21"/>
        <v/>
      </c>
      <c r="BH64" s="1170">
        <v>50000</v>
      </c>
      <c r="BI64" s="243">
        <v>3</v>
      </c>
      <c r="BJ64" s="1135">
        <v>0</v>
      </c>
      <c r="BK64" s="1170" t="str">
        <f t="shared" si="22"/>
        <v/>
      </c>
      <c r="BL64" s="1170">
        <v>50000</v>
      </c>
      <c r="BM64" s="243">
        <v>3</v>
      </c>
      <c r="BN64" s="1135">
        <v>0</v>
      </c>
      <c r="BO64" s="1132">
        <v>7</v>
      </c>
      <c r="BP64" s="1075">
        <v>365</v>
      </c>
      <c r="BQ64" s="244">
        <v>1</v>
      </c>
      <c r="BR64" s="1135">
        <v>0</v>
      </c>
      <c r="BS64" s="1132">
        <f t="shared" si="23"/>
        <v>7</v>
      </c>
      <c r="BT64" s="1075">
        <f t="shared" si="24"/>
        <v>365</v>
      </c>
      <c r="BU64" s="253">
        <v>1</v>
      </c>
      <c r="BV64" s="1135">
        <v>0</v>
      </c>
      <c r="BW64" s="1135" t="s">
        <v>2224</v>
      </c>
      <c r="BX64" s="257">
        <v>0</v>
      </c>
      <c r="BY64" s="436">
        <v>0</v>
      </c>
      <c r="BZ64" s="1135">
        <v>1</v>
      </c>
      <c r="CA64" s="1135">
        <v>0</v>
      </c>
      <c r="CB64" s="1296"/>
      <c r="CD64" s="1136" t="str">
        <f>IF(A64=FALSE,"",Calcul!NZ64)</f>
        <v/>
      </c>
      <c r="CE64" s="1136" t="s">
        <v>2224</v>
      </c>
      <c r="CF64" s="1132" t="s">
        <v>2138</v>
      </c>
      <c r="CG64" s="1136" t="s">
        <v>2254</v>
      </c>
      <c r="CH64" s="1135" t="s">
        <v>2224</v>
      </c>
      <c r="CI64" s="257">
        <v>0</v>
      </c>
      <c r="CJ64" s="436">
        <v>0</v>
      </c>
      <c r="CK64" s="1135">
        <v>1</v>
      </c>
      <c r="CL64" s="1135">
        <v>0</v>
      </c>
      <c r="CM64" s="1170">
        <v>100000</v>
      </c>
      <c r="CN64" s="243">
        <v>2</v>
      </c>
      <c r="CO64" s="1135">
        <v>0</v>
      </c>
      <c r="CP64" s="1170">
        <f t="shared" si="16"/>
        <v>100000</v>
      </c>
      <c r="CQ64" s="243">
        <v>2</v>
      </c>
      <c r="CR64" s="1135">
        <v>0</v>
      </c>
    </row>
    <row r="65" spans="1:96" s="1127" customFormat="1" ht="30" customHeight="1" outlineLevel="1">
      <c r="A65" s="396" t="b">
        <f>Calcul!A65</f>
        <v>0</v>
      </c>
      <c r="B65" s="438" t="str">
        <f t="shared" si="17"/>
        <v/>
      </c>
      <c r="C65" s="1132" t="b">
        <v>0</v>
      </c>
      <c r="D65" s="1133" t="s">
        <v>2293</v>
      </c>
      <c r="E65" s="1075" t="s">
        <v>2139</v>
      </c>
      <c r="F65" s="338" t="str">
        <f>IF(A65=FALSE,"",IF(NAMES!$D$10=FALSE,IF(Detail!H65="","",Detail!H65),IF(Crewlist!D65="","",Crewlist!D65)))</f>
        <v/>
      </c>
      <c r="G65" s="338" t="str">
        <f>IF(A65=FALSE,"",IF(NAMES!$D$10=FALSE,IF(Detail!P65="","",Detail!P65),IF(Crewlist!E65="","",Crewlist!E65)))</f>
        <v/>
      </c>
      <c r="H65" s="338" t="str">
        <f>IF(A65=FALSE,"",IF(NAMES!$D$10=FALSE,IF(Detail!K65="","",Detail!K65),IF(Crewlist!F65="","",Crewlist!F65)))</f>
        <v/>
      </c>
      <c r="I65" s="1345" t="str">
        <f>IF(Crewlist!T65="","",Crewlist!T65)</f>
        <v/>
      </c>
      <c r="J65" s="1345" t="str">
        <f>IF(Crewlist!D65="","",IF(Crewlist!U65="",Crewlist!Y65,IF(DATERENOUVMOINS730&lt;&gt;Crewlist!U65&lt;&gt;Crewlist!Y65,Crewlist!U65,DATERENOUVMOINS365)))</f>
        <v/>
      </c>
      <c r="K65" s="1346" t="str">
        <f>IF(Detail!X65="","",Detail!X65)</f>
        <v/>
      </c>
      <c r="L65" s="1346" t="str">
        <f>IF(Detail!H65="","",IF(Detail!Y65="",DATERENOUV,IF(Detail!Y65&gt;Detail!D65,Detail!D65,Detail!Y65)))</f>
        <v/>
      </c>
      <c r="M65" s="829" t="str">
        <f>IF(A65=FALSE,"",IF(NAMES!$D$10=FALSE,IF(B65=B66,IF(N65=N66,0,(DATEDIF(K65,L65,"M")+1)),(DATEDIF(K65,L65,"M")+1)),IF(B65=B66,IF(N65=N66,0,(DATEDIF(I65,J65,"M")+1)),(DATEDIF(I65,J65,"M")+1))))</f>
        <v/>
      </c>
      <c r="N65" s="829" t="str">
        <f t="shared" si="5"/>
        <v/>
      </c>
      <c r="O65" s="340" t="str">
        <f>IF(A65=FALSE,"",IF(NAMES!$D$10=FALSE,IF((DATEDIF(K65,L65,"D")+1)&lt;365,(DATEDIF(K65,L65,"D")+1),365),IF((DATEDIF(I65,J65,"D")+1)&lt;365,(DATEDIF(I65,J65,"D")+1),365)))</f>
        <v/>
      </c>
      <c r="P65" s="340" t="str">
        <f>IF(A65=FALSE,"",IF(NAMES!$D$10=FALSE,IF(L65="",365,DATEDIF(K65,L65,"D")+1),IF(L65="",365,DATEDIF(I65,J65,"D")+1)))</f>
        <v/>
      </c>
      <c r="Q65" s="787" t="str">
        <f>Calcul!X65</f>
        <v/>
      </c>
      <c r="R65" s="787" t="str">
        <f>Calcul!Y65</f>
        <v/>
      </c>
      <c r="S65" s="811" t="str">
        <f>Calcul!AG65</f>
        <v/>
      </c>
      <c r="T65" s="350" t="str">
        <f>IF(A65=FALSE,"",IF(NAMES!$D$10=FALSE,IF(Detail!S65="","",Detail!S65),IF(Crewlist!V65="","",Crewlist!V65)))</f>
        <v/>
      </c>
      <c r="U65" s="242" t="str">
        <f>Calcul!AI65</f>
        <v/>
      </c>
      <c r="V65" s="242" t="str">
        <f>Calcul!AL65</f>
        <v/>
      </c>
      <c r="W65" s="242" t="str">
        <f>Calcul!AM65</f>
        <v/>
      </c>
      <c r="X65" s="335" t="str">
        <f>Calcul!AN65</f>
        <v/>
      </c>
      <c r="Y65" s="242" t="str">
        <f>Calcul!AO65</f>
        <v/>
      </c>
      <c r="Z65" s="242" t="str">
        <f>Calcul!AP65</f>
        <v/>
      </c>
      <c r="AA65" s="335" t="str">
        <f>Calcul!AQ65</f>
        <v/>
      </c>
      <c r="AB65" s="335" t="str">
        <f>IF(C65=FALSE,"",Calcul!BE65+Calcul!BF65)</f>
        <v/>
      </c>
      <c r="AC65" s="335" t="str">
        <f>IF(C65=FALSE,"",(Calcul!BG65+Calcul!BH65)+SUM(Calcul!BI65:BN65))</f>
        <v/>
      </c>
      <c r="AD65" s="335" t="str">
        <f>Calcul!BP65</f>
        <v/>
      </c>
      <c r="AE65" s="1325" t="s">
        <v>2866</v>
      </c>
      <c r="AF65" s="1134" t="s">
        <v>2254</v>
      </c>
      <c r="AG65" s="318" t="str">
        <f>IF(A65=FALSE,"",YEAR(Detail!F65)&amp;Detail!AG65&amp;Detail!AD65&amp;"-"&amp;Detail!AE65)</f>
        <v/>
      </c>
      <c r="AH65" s="1134" t="s">
        <v>2224</v>
      </c>
      <c r="AI65" s="1453">
        <v>0.1</v>
      </c>
      <c r="AJ65" s="1135">
        <f t="shared" si="18"/>
        <v>0.1</v>
      </c>
      <c r="AK65" s="1135">
        <f t="shared" si="19"/>
        <v>0</v>
      </c>
      <c r="AL65" s="1135">
        <f t="shared" si="20"/>
        <v>0</v>
      </c>
      <c r="AM65" s="1135" t="s">
        <v>2224</v>
      </c>
      <c r="AN65" s="1455">
        <v>15.1752</v>
      </c>
      <c r="AO65" s="436">
        <v>0</v>
      </c>
      <c r="AP65" s="1135">
        <v>1</v>
      </c>
      <c r="AQ65" s="1135">
        <v>0</v>
      </c>
      <c r="AT65" s="1132" t="s">
        <v>2140</v>
      </c>
      <c r="AU65" s="1136" t="s">
        <v>2255</v>
      </c>
      <c r="AV65" s="1136" t="str">
        <f>IF(A65=FALSE,"",IF(Detail!AT65="","N/A",YEAR(Detail!F65)&amp;Detail!AW65&amp;Detail!AT65&amp;"-"&amp;Detail!AU65&amp;" (100%/"&amp;Detail!CD65&amp;"/"&amp;Detail!CE65&amp;")"))</f>
        <v/>
      </c>
      <c r="AW65" s="1136" t="s">
        <v>2224</v>
      </c>
      <c r="AX65" s="1320" t="str">
        <f>Calcul!DB65</f>
        <v/>
      </c>
      <c r="AY65" s="1170" t="str">
        <f>IF(A65=FALSE,"",51000+(Detail!AA65*7000))</f>
        <v/>
      </c>
      <c r="AZ65" s="1170">
        <v>50000</v>
      </c>
      <c r="BA65" s="243">
        <v>3</v>
      </c>
      <c r="BB65" s="1135">
        <v>0</v>
      </c>
      <c r="BC65" s="1170" t="str">
        <f>IF(A65=FALSE,"",51000+(Detail!AA65*7000))</f>
        <v/>
      </c>
      <c r="BD65" s="1170">
        <f t="shared" si="13"/>
        <v>50000</v>
      </c>
      <c r="BE65" s="243">
        <f t="shared" si="14"/>
        <v>3</v>
      </c>
      <c r="BF65" s="1135">
        <f t="shared" si="15"/>
        <v>0</v>
      </c>
      <c r="BG65" s="1170" t="str">
        <f t="shared" si="21"/>
        <v/>
      </c>
      <c r="BH65" s="1170">
        <v>50000</v>
      </c>
      <c r="BI65" s="243">
        <v>3</v>
      </c>
      <c r="BJ65" s="1135">
        <v>0</v>
      </c>
      <c r="BK65" s="1170" t="str">
        <f t="shared" si="22"/>
        <v/>
      </c>
      <c r="BL65" s="1170">
        <v>50000</v>
      </c>
      <c r="BM65" s="243">
        <v>3</v>
      </c>
      <c r="BN65" s="1135">
        <v>0</v>
      </c>
      <c r="BO65" s="1132">
        <v>7</v>
      </c>
      <c r="BP65" s="1075">
        <v>365</v>
      </c>
      <c r="BQ65" s="244">
        <v>1</v>
      </c>
      <c r="BR65" s="1135">
        <v>0</v>
      </c>
      <c r="BS65" s="1132">
        <f t="shared" si="23"/>
        <v>7</v>
      </c>
      <c r="BT65" s="1075">
        <f t="shared" si="24"/>
        <v>365</v>
      </c>
      <c r="BU65" s="253">
        <v>1</v>
      </c>
      <c r="BV65" s="1135">
        <v>0</v>
      </c>
      <c r="BW65" s="1135" t="s">
        <v>2224</v>
      </c>
      <c r="BX65" s="257">
        <v>0</v>
      </c>
      <c r="BY65" s="436">
        <v>0</v>
      </c>
      <c r="BZ65" s="1135">
        <v>1</v>
      </c>
      <c r="CA65" s="1135">
        <v>0</v>
      </c>
      <c r="CB65" s="1296"/>
      <c r="CD65" s="1136" t="str">
        <f>IF(A65=FALSE,"",Calcul!NZ65)</f>
        <v/>
      </c>
      <c r="CE65" s="1136" t="s">
        <v>2224</v>
      </c>
      <c r="CF65" s="1132" t="s">
        <v>2138</v>
      </c>
      <c r="CG65" s="1136" t="s">
        <v>2254</v>
      </c>
      <c r="CH65" s="1135" t="s">
        <v>2224</v>
      </c>
      <c r="CI65" s="257">
        <v>0</v>
      </c>
      <c r="CJ65" s="436">
        <v>0</v>
      </c>
      <c r="CK65" s="1135">
        <v>1</v>
      </c>
      <c r="CL65" s="1135">
        <v>0</v>
      </c>
      <c r="CM65" s="1170">
        <v>100000</v>
      </c>
      <c r="CN65" s="243">
        <v>2</v>
      </c>
      <c r="CO65" s="1135">
        <v>0</v>
      </c>
      <c r="CP65" s="1170">
        <f t="shared" si="16"/>
        <v>100000</v>
      </c>
      <c r="CQ65" s="243">
        <v>2</v>
      </c>
      <c r="CR65" s="1135">
        <v>0</v>
      </c>
    </row>
    <row r="66" spans="1:96" s="1127" customFormat="1" ht="30" customHeight="1" outlineLevel="1">
      <c r="A66" s="396" t="b">
        <f>Calcul!A66</f>
        <v>0</v>
      </c>
      <c r="B66" s="438" t="str">
        <f t="shared" si="17"/>
        <v/>
      </c>
      <c r="C66" s="1132" t="b">
        <v>0</v>
      </c>
      <c r="D66" s="1133" t="s">
        <v>2293</v>
      </c>
      <c r="E66" s="1075" t="s">
        <v>2139</v>
      </c>
      <c r="F66" s="338" t="str">
        <f>IF(A66=FALSE,"",IF(NAMES!$D$10=FALSE,IF(Detail!H66="","",Detail!H66),IF(Crewlist!D66="","",Crewlist!D66)))</f>
        <v/>
      </c>
      <c r="G66" s="338" t="str">
        <f>IF(A66=FALSE,"",IF(NAMES!$D$10=FALSE,IF(Detail!P66="","",Detail!P66),IF(Crewlist!E66="","",Crewlist!E66)))</f>
        <v/>
      </c>
      <c r="H66" s="338" t="str">
        <f>IF(A66=FALSE,"",IF(NAMES!$D$10=FALSE,IF(Detail!K66="","",Detail!K66),IF(Crewlist!F66="","",Crewlist!F66)))</f>
        <v/>
      </c>
      <c r="I66" s="1345" t="str">
        <f>IF(Crewlist!T66="","",Crewlist!T66)</f>
        <v/>
      </c>
      <c r="J66" s="1345" t="str">
        <f>IF(Crewlist!D66="","",IF(Crewlist!U66="",Crewlist!Y66,IF(DATERENOUVMOINS730&lt;&gt;Crewlist!U66&lt;&gt;Crewlist!Y66,Crewlist!U66,DATERENOUVMOINS365)))</f>
        <v/>
      </c>
      <c r="K66" s="1346" t="str">
        <f>IF(Detail!X66="","",Detail!X66)</f>
        <v/>
      </c>
      <c r="L66" s="1346" t="str">
        <f>IF(Detail!H66="","",IF(Detail!Y66="",DATERENOUV,IF(Detail!Y66&gt;Detail!D66,Detail!D66,Detail!Y66)))</f>
        <v/>
      </c>
      <c r="M66" s="829" t="str">
        <f>IF(A66=FALSE,"",IF(NAMES!$D$10=FALSE,IF(B66=B67,IF(N66=N67,0,(DATEDIF(K66,L66,"M")+1)),(DATEDIF(K66,L66,"M")+1)),IF(B66=B67,IF(N66=N67,0,(DATEDIF(I66,J66,"M")+1)),(DATEDIF(I66,J66,"M")+1))))</f>
        <v/>
      </c>
      <c r="N66" s="829" t="str">
        <f t="shared" si="5"/>
        <v/>
      </c>
      <c r="O66" s="340" t="str">
        <f>IF(A66=FALSE,"",IF(NAMES!$D$10=FALSE,IF((DATEDIF(K66,L66,"D")+1)&lt;365,(DATEDIF(K66,L66,"D")+1),365),IF((DATEDIF(I66,J66,"D")+1)&lt;365,(DATEDIF(I66,J66,"D")+1),365)))</f>
        <v/>
      </c>
      <c r="P66" s="340" t="str">
        <f>IF(A66=FALSE,"",IF(NAMES!$D$10=FALSE,IF(L66="",365,DATEDIF(K66,L66,"D")+1),IF(L66="",365,DATEDIF(I66,J66,"D")+1)))</f>
        <v/>
      </c>
      <c r="Q66" s="787" t="str">
        <f>Calcul!X66</f>
        <v/>
      </c>
      <c r="R66" s="787" t="str">
        <f>Calcul!Y66</f>
        <v/>
      </c>
      <c r="S66" s="811" t="str">
        <f>Calcul!AG66</f>
        <v/>
      </c>
      <c r="T66" s="350" t="str">
        <f>IF(A66=FALSE,"",IF(NAMES!$D$10=FALSE,IF(Detail!S66="","",Detail!S66),IF(Crewlist!V66="","",Crewlist!V66)))</f>
        <v/>
      </c>
      <c r="U66" s="242" t="str">
        <f>Calcul!AI66</f>
        <v/>
      </c>
      <c r="V66" s="242" t="str">
        <f>Calcul!AL66</f>
        <v/>
      </c>
      <c r="W66" s="242" t="str">
        <f>Calcul!AM66</f>
        <v/>
      </c>
      <c r="X66" s="335" t="str">
        <f>Calcul!AN66</f>
        <v/>
      </c>
      <c r="Y66" s="242" t="str">
        <f>Calcul!AO66</f>
        <v/>
      </c>
      <c r="Z66" s="242" t="str">
        <f>Calcul!AP66</f>
        <v/>
      </c>
      <c r="AA66" s="335" t="str">
        <f>Calcul!AQ66</f>
        <v/>
      </c>
      <c r="AB66" s="335" t="str">
        <f>IF(C66=FALSE,"",Calcul!BE66+Calcul!BF66)</f>
        <v/>
      </c>
      <c r="AC66" s="335" t="str">
        <f>IF(C66=FALSE,"",(Calcul!BG66+Calcul!BH66)+SUM(Calcul!BI66:BN66))</f>
        <v/>
      </c>
      <c r="AD66" s="335" t="str">
        <f>Calcul!BP66</f>
        <v/>
      </c>
      <c r="AE66" s="1325" t="s">
        <v>2866</v>
      </c>
      <c r="AF66" s="1134" t="s">
        <v>2254</v>
      </c>
      <c r="AG66" s="318" t="str">
        <f>IF(A66=FALSE,"",YEAR(Detail!F66)&amp;Detail!AG66&amp;Detail!AD66&amp;"-"&amp;Detail!AE66)</f>
        <v/>
      </c>
      <c r="AH66" s="1134" t="s">
        <v>2224</v>
      </c>
      <c r="AI66" s="1453">
        <v>0.1</v>
      </c>
      <c r="AJ66" s="1135">
        <f t="shared" si="18"/>
        <v>0.1</v>
      </c>
      <c r="AK66" s="1135">
        <f t="shared" si="19"/>
        <v>0</v>
      </c>
      <c r="AL66" s="1135">
        <f t="shared" si="20"/>
        <v>0</v>
      </c>
      <c r="AM66" s="1135" t="s">
        <v>2224</v>
      </c>
      <c r="AN66" s="1455">
        <v>15.1752</v>
      </c>
      <c r="AO66" s="436">
        <v>0</v>
      </c>
      <c r="AP66" s="1135">
        <v>1</v>
      </c>
      <c r="AQ66" s="1135">
        <v>0</v>
      </c>
      <c r="AT66" s="1132" t="s">
        <v>2140</v>
      </c>
      <c r="AU66" s="1136" t="s">
        <v>2255</v>
      </c>
      <c r="AV66" s="1136" t="str">
        <f>IF(A66=FALSE,"",IF(Detail!AT66="","N/A",YEAR(Detail!F66)&amp;Detail!AW66&amp;Detail!AT66&amp;"-"&amp;Detail!AU66&amp;" (100%/"&amp;Detail!CD66&amp;"/"&amp;Detail!CE66&amp;")"))</f>
        <v/>
      </c>
      <c r="AW66" s="1136" t="s">
        <v>2224</v>
      </c>
      <c r="AX66" s="1320" t="str">
        <f>Calcul!DB66</f>
        <v/>
      </c>
      <c r="AY66" s="1170" t="str">
        <f>IF(A66=FALSE,"",51000+(Detail!AA66*7000))</f>
        <v/>
      </c>
      <c r="AZ66" s="1170">
        <v>50000</v>
      </c>
      <c r="BA66" s="243">
        <v>3</v>
      </c>
      <c r="BB66" s="1135">
        <v>0</v>
      </c>
      <c r="BC66" s="1170" t="str">
        <f>IF(A66=FALSE,"",51000+(Detail!AA66*7000))</f>
        <v/>
      </c>
      <c r="BD66" s="1170">
        <f t="shared" si="13"/>
        <v>50000</v>
      </c>
      <c r="BE66" s="243">
        <f t="shared" si="14"/>
        <v>3</v>
      </c>
      <c r="BF66" s="1135">
        <f t="shared" si="15"/>
        <v>0</v>
      </c>
      <c r="BG66" s="1170" t="str">
        <f t="shared" si="21"/>
        <v/>
      </c>
      <c r="BH66" s="1170">
        <v>50000</v>
      </c>
      <c r="BI66" s="243">
        <v>3</v>
      </c>
      <c r="BJ66" s="1135">
        <v>0</v>
      </c>
      <c r="BK66" s="1170" t="str">
        <f t="shared" si="22"/>
        <v/>
      </c>
      <c r="BL66" s="1170">
        <v>50000</v>
      </c>
      <c r="BM66" s="243">
        <v>3</v>
      </c>
      <c r="BN66" s="1135">
        <v>0</v>
      </c>
      <c r="BO66" s="1132">
        <v>7</v>
      </c>
      <c r="BP66" s="1075">
        <v>365</v>
      </c>
      <c r="BQ66" s="244">
        <v>1</v>
      </c>
      <c r="BR66" s="1135">
        <v>0</v>
      </c>
      <c r="BS66" s="1132">
        <f t="shared" si="23"/>
        <v>7</v>
      </c>
      <c r="BT66" s="1075">
        <f t="shared" si="24"/>
        <v>365</v>
      </c>
      <c r="BU66" s="253">
        <v>1</v>
      </c>
      <c r="BV66" s="1135">
        <v>0</v>
      </c>
      <c r="BW66" s="1135" t="s">
        <v>2224</v>
      </c>
      <c r="BX66" s="257">
        <v>0</v>
      </c>
      <c r="BY66" s="436">
        <v>0</v>
      </c>
      <c r="BZ66" s="1135">
        <v>1</v>
      </c>
      <c r="CA66" s="1135">
        <v>0</v>
      </c>
      <c r="CB66" s="1296"/>
      <c r="CD66" s="1136" t="str">
        <f>IF(A66=FALSE,"",Calcul!NZ66)</f>
        <v/>
      </c>
      <c r="CE66" s="1136" t="s">
        <v>2224</v>
      </c>
      <c r="CF66" s="1132" t="s">
        <v>2138</v>
      </c>
      <c r="CG66" s="1136" t="s">
        <v>2254</v>
      </c>
      <c r="CH66" s="1135" t="s">
        <v>2224</v>
      </c>
      <c r="CI66" s="257">
        <v>0</v>
      </c>
      <c r="CJ66" s="436">
        <v>0</v>
      </c>
      <c r="CK66" s="1135">
        <v>1</v>
      </c>
      <c r="CL66" s="1135">
        <v>0</v>
      </c>
      <c r="CM66" s="1170">
        <v>100000</v>
      </c>
      <c r="CN66" s="243">
        <v>2</v>
      </c>
      <c r="CO66" s="1135">
        <v>0</v>
      </c>
      <c r="CP66" s="1170">
        <f t="shared" si="16"/>
        <v>100000</v>
      </c>
      <c r="CQ66" s="243">
        <v>2</v>
      </c>
      <c r="CR66" s="1135">
        <v>0</v>
      </c>
    </row>
    <row r="67" spans="1:96" s="1127" customFormat="1" ht="30" customHeight="1" outlineLevel="1">
      <c r="A67" s="396" t="b">
        <f>Calcul!A67</f>
        <v>0</v>
      </c>
      <c r="B67" s="438" t="str">
        <f t="shared" si="17"/>
        <v/>
      </c>
      <c r="C67" s="1132" t="b">
        <v>0</v>
      </c>
      <c r="D67" s="1133" t="s">
        <v>2293</v>
      </c>
      <c r="E67" s="1075" t="s">
        <v>2139</v>
      </c>
      <c r="F67" s="338" t="str">
        <f>IF(A67=FALSE,"",IF(NAMES!$D$10=FALSE,IF(Detail!H67="","",Detail!H67),IF(Crewlist!D67="","",Crewlist!D67)))</f>
        <v/>
      </c>
      <c r="G67" s="338" t="str">
        <f>IF(A67=FALSE,"",IF(NAMES!$D$10=FALSE,IF(Detail!P67="","",Detail!P67),IF(Crewlist!E67="","",Crewlist!E67)))</f>
        <v/>
      </c>
      <c r="H67" s="338" t="str">
        <f>IF(A67=FALSE,"",IF(NAMES!$D$10=FALSE,IF(Detail!K67="","",Detail!K67),IF(Crewlist!F67="","",Crewlist!F67)))</f>
        <v/>
      </c>
      <c r="I67" s="1345" t="str">
        <f>IF(Crewlist!T67="","",Crewlist!T67)</f>
        <v/>
      </c>
      <c r="J67" s="1345" t="str">
        <f>IF(Crewlist!D67="","",IF(Crewlist!U67="",Crewlist!Y67,IF(DATERENOUVMOINS730&lt;&gt;Crewlist!U67&lt;&gt;Crewlist!Y67,Crewlist!U67,DATERENOUVMOINS365)))</f>
        <v/>
      </c>
      <c r="K67" s="1346" t="str">
        <f>IF(Detail!X67="","",Detail!X67)</f>
        <v/>
      </c>
      <c r="L67" s="1346" t="str">
        <f>IF(Detail!H67="","",IF(Detail!Y67="",DATERENOUV,IF(Detail!Y67&gt;Detail!D67,Detail!D67,Detail!Y67)))</f>
        <v/>
      </c>
      <c r="M67" s="829" t="str">
        <f>IF(A67=FALSE,"",IF(NAMES!$D$10=FALSE,IF(B67=B68,IF(N67=N68,0,(DATEDIF(K67,L67,"M")+1)),(DATEDIF(K67,L67,"M")+1)),IF(B67=B68,IF(N67=N68,0,(DATEDIF(I67,J67,"M")+1)),(DATEDIF(I67,J67,"M")+1))))</f>
        <v/>
      </c>
      <c r="N67" s="829" t="str">
        <f t="shared" si="5"/>
        <v/>
      </c>
      <c r="O67" s="340" t="str">
        <f>IF(A67=FALSE,"",IF(NAMES!$D$10=FALSE,IF((DATEDIF(K67,L67,"D")+1)&lt;365,(DATEDIF(K67,L67,"D")+1),365),IF((DATEDIF(I67,J67,"D")+1)&lt;365,(DATEDIF(I67,J67,"D")+1),365)))</f>
        <v/>
      </c>
      <c r="P67" s="340" t="str">
        <f>IF(A67=FALSE,"",IF(NAMES!$D$10=FALSE,IF(L67="",365,DATEDIF(K67,L67,"D")+1),IF(L67="",365,DATEDIF(I67,J67,"D")+1)))</f>
        <v/>
      </c>
      <c r="Q67" s="787" t="str">
        <f>Calcul!X67</f>
        <v/>
      </c>
      <c r="R67" s="787" t="str">
        <f>Calcul!Y67</f>
        <v/>
      </c>
      <c r="S67" s="811" t="str">
        <f>Calcul!AG67</f>
        <v/>
      </c>
      <c r="T67" s="350" t="str">
        <f>IF(A67=FALSE,"",IF(NAMES!$D$10=FALSE,IF(Detail!S67="","",Detail!S67),IF(Crewlist!V67="","",Crewlist!V67)))</f>
        <v/>
      </c>
      <c r="U67" s="242" t="str">
        <f>Calcul!AI67</f>
        <v/>
      </c>
      <c r="V67" s="242" t="str">
        <f>Calcul!AL67</f>
        <v/>
      </c>
      <c r="W67" s="242" t="str">
        <f>Calcul!AM67</f>
        <v/>
      </c>
      <c r="X67" s="335" t="str">
        <f>Calcul!AN67</f>
        <v/>
      </c>
      <c r="Y67" s="242" t="str">
        <f>Calcul!AO67</f>
        <v/>
      </c>
      <c r="Z67" s="242" t="str">
        <f>Calcul!AP67</f>
        <v/>
      </c>
      <c r="AA67" s="335" t="str">
        <f>Calcul!AQ67</f>
        <v/>
      </c>
      <c r="AB67" s="335" t="str">
        <f>IF(C67=FALSE,"",Calcul!BE67+Calcul!BF67)</f>
        <v/>
      </c>
      <c r="AC67" s="335" t="str">
        <f>IF(C67=FALSE,"",(Calcul!BG67+Calcul!BH67)+SUM(Calcul!BI67:BN67))</f>
        <v/>
      </c>
      <c r="AD67" s="335" t="str">
        <f>Calcul!BP67</f>
        <v/>
      </c>
      <c r="AE67" s="1325" t="s">
        <v>2866</v>
      </c>
      <c r="AF67" s="1134" t="s">
        <v>2254</v>
      </c>
      <c r="AG67" s="318" t="str">
        <f>IF(A67=FALSE,"",YEAR(Detail!F67)&amp;Detail!AG67&amp;Detail!AD67&amp;"-"&amp;Detail!AE67)</f>
        <v/>
      </c>
      <c r="AH67" s="1134" t="s">
        <v>2224</v>
      </c>
      <c r="AI67" s="1453">
        <v>0.1</v>
      </c>
      <c r="AJ67" s="1135">
        <f t="shared" si="18"/>
        <v>0.1</v>
      </c>
      <c r="AK67" s="1135">
        <f t="shared" si="19"/>
        <v>0</v>
      </c>
      <c r="AL67" s="1135">
        <f t="shared" si="20"/>
        <v>0</v>
      </c>
      <c r="AM67" s="1135" t="s">
        <v>2224</v>
      </c>
      <c r="AN67" s="1455">
        <v>15.1752</v>
      </c>
      <c r="AO67" s="436">
        <v>0</v>
      </c>
      <c r="AP67" s="1135">
        <v>1</v>
      </c>
      <c r="AQ67" s="1135">
        <v>0</v>
      </c>
      <c r="AT67" s="1132" t="s">
        <v>2140</v>
      </c>
      <c r="AU67" s="1136" t="s">
        <v>2255</v>
      </c>
      <c r="AV67" s="1136" t="str">
        <f>IF(A67=FALSE,"",IF(Detail!AT67="","N/A",YEAR(Detail!F67)&amp;Detail!AW67&amp;Detail!AT67&amp;"-"&amp;Detail!AU67&amp;" (100%/"&amp;Detail!CD67&amp;"/"&amp;Detail!CE67&amp;")"))</f>
        <v/>
      </c>
      <c r="AW67" s="1136" t="s">
        <v>2224</v>
      </c>
      <c r="AX67" s="1320" t="str">
        <f>Calcul!DB67</f>
        <v/>
      </c>
      <c r="AY67" s="1170" t="str">
        <f>IF(A67=FALSE,"",51000+(Detail!AA67*7000))</f>
        <v/>
      </c>
      <c r="AZ67" s="1170">
        <v>50000</v>
      </c>
      <c r="BA67" s="243">
        <v>3</v>
      </c>
      <c r="BB67" s="1135">
        <v>0</v>
      </c>
      <c r="BC67" s="1170" t="str">
        <f>IF(A67=FALSE,"",51000+(Detail!AA67*7000))</f>
        <v/>
      </c>
      <c r="BD67" s="1170">
        <f t="shared" si="13"/>
        <v>50000</v>
      </c>
      <c r="BE67" s="243">
        <f t="shared" si="14"/>
        <v>3</v>
      </c>
      <c r="BF67" s="1135">
        <f t="shared" si="15"/>
        <v>0</v>
      </c>
      <c r="BG67" s="1170" t="str">
        <f t="shared" si="21"/>
        <v/>
      </c>
      <c r="BH67" s="1170">
        <v>50000</v>
      </c>
      <c r="BI67" s="243">
        <v>3</v>
      </c>
      <c r="BJ67" s="1135">
        <v>0</v>
      </c>
      <c r="BK67" s="1170" t="str">
        <f t="shared" si="22"/>
        <v/>
      </c>
      <c r="BL67" s="1170">
        <v>50000</v>
      </c>
      <c r="BM67" s="243">
        <v>3</v>
      </c>
      <c r="BN67" s="1135">
        <v>0</v>
      </c>
      <c r="BO67" s="1132">
        <v>7</v>
      </c>
      <c r="BP67" s="1075">
        <v>365</v>
      </c>
      <c r="BQ67" s="244">
        <v>1</v>
      </c>
      <c r="BR67" s="1135">
        <v>0</v>
      </c>
      <c r="BS67" s="1132">
        <f t="shared" si="23"/>
        <v>7</v>
      </c>
      <c r="BT67" s="1075">
        <f t="shared" si="24"/>
        <v>365</v>
      </c>
      <c r="BU67" s="253">
        <v>1</v>
      </c>
      <c r="BV67" s="1135">
        <v>0</v>
      </c>
      <c r="BW67" s="1135" t="s">
        <v>2224</v>
      </c>
      <c r="BX67" s="257">
        <v>0</v>
      </c>
      <c r="BY67" s="436">
        <v>0</v>
      </c>
      <c r="BZ67" s="1135">
        <v>1</v>
      </c>
      <c r="CA67" s="1135">
        <v>0</v>
      </c>
      <c r="CB67" s="1296"/>
      <c r="CD67" s="1136" t="str">
        <f>IF(A67=FALSE,"",Calcul!NZ67)</f>
        <v/>
      </c>
      <c r="CE67" s="1136" t="s">
        <v>2224</v>
      </c>
      <c r="CF67" s="1132" t="s">
        <v>2138</v>
      </c>
      <c r="CG67" s="1136" t="s">
        <v>2254</v>
      </c>
      <c r="CH67" s="1135" t="s">
        <v>2224</v>
      </c>
      <c r="CI67" s="257">
        <v>0</v>
      </c>
      <c r="CJ67" s="436">
        <v>0</v>
      </c>
      <c r="CK67" s="1135">
        <v>1</v>
      </c>
      <c r="CL67" s="1135">
        <v>0</v>
      </c>
      <c r="CM67" s="1170">
        <v>100000</v>
      </c>
      <c r="CN67" s="243">
        <v>2</v>
      </c>
      <c r="CO67" s="1135">
        <v>0</v>
      </c>
      <c r="CP67" s="1170">
        <f t="shared" si="16"/>
        <v>100000</v>
      </c>
      <c r="CQ67" s="243">
        <v>2</v>
      </c>
      <c r="CR67" s="1135">
        <v>0</v>
      </c>
    </row>
    <row r="68" spans="1:96" s="1127" customFormat="1" ht="30" customHeight="1" outlineLevel="1">
      <c r="A68" s="396" t="b">
        <f>Calcul!A68</f>
        <v>0</v>
      </c>
      <c r="B68" s="438" t="str">
        <f t="shared" si="17"/>
        <v/>
      </c>
      <c r="C68" s="1132" t="b">
        <v>0</v>
      </c>
      <c r="D68" s="1133" t="s">
        <v>2293</v>
      </c>
      <c r="E68" s="1075" t="s">
        <v>2139</v>
      </c>
      <c r="F68" s="338" t="str">
        <f>IF(A68=FALSE,"",IF(NAMES!$D$10=FALSE,IF(Detail!H68="","",Detail!H68),IF(Crewlist!D68="","",Crewlist!D68)))</f>
        <v/>
      </c>
      <c r="G68" s="338" t="str">
        <f>IF(A68=FALSE,"",IF(NAMES!$D$10=FALSE,IF(Detail!P68="","",Detail!P68),IF(Crewlist!E68="","",Crewlist!E68)))</f>
        <v/>
      </c>
      <c r="H68" s="338" t="str">
        <f>IF(A68=FALSE,"",IF(NAMES!$D$10=FALSE,IF(Detail!K68="","",Detail!K68),IF(Crewlist!F68="","",Crewlist!F68)))</f>
        <v/>
      </c>
      <c r="I68" s="1345" t="str">
        <f>IF(Crewlist!T68="","",Crewlist!T68)</f>
        <v/>
      </c>
      <c r="J68" s="1345" t="str">
        <f>IF(Crewlist!D68="","",IF(Crewlist!U68="",Crewlist!Y68,IF(DATERENOUVMOINS730&lt;&gt;Crewlist!U68&lt;&gt;Crewlist!Y68,Crewlist!U68,DATERENOUVMOINS365)))</f>
        <v/>
      </c>
      <c r="K68" s="1346" t="str">
        <f>IF(Detail!X68="","",Detail!X68)</f>
        <v/>
      </c>
      <c r="L68" s="1346" t="str">
        <f>IF(Detail!H68="","",IF(Detail!Y68="",DATERENOUV,IF(Detail!Y68&gt;Detail!D68,Detail!D68,Detail!Y68)))</f>
        <v/>
      </c>
      <c r="M68" s="829" t="str">
        <f>IF(A68=FALSE,"",IF(NAMES!$D$10=FALSE,IF(B68=B69,IF(N68=N69,0,(DATEDIF(K68,L68,"M")+1)),(DATEDIF(K68,L68,"M")+1)),IF(B68=B69,IF(N68=N69,0,(DATEDIF(I68,J68,"M")+1)),(DATEDIF(I68,J68,"M")+1))))</f>
        <v/>
      </c>
      <c r="N68" s="829" t="str">
        <f t="shared" si="5"/>
        <v/>
      </c>
      <c r="O68" s="340" t="str">
        <f>IF(A68=FALSE,"",IF(NAMES!$D$10=FALSE,IF((DATEDIF(K68,L68,"D")+1)&lt;365,(DATEDIF(K68,L68,"D")+1),365),IF((DATEDIF(I68,J68,"D")+1)&lt;365,(DATEDIF(I68,J68,"D")+1),365)))</f>
        <v/>
      </c>
      <c r="P68" s="340" t="str">
        <f>IF(A68=FALSE,"",IF(NAMES!$D$10=FALSE,IF(L68="",365,DATEDIF(K68,L68,"D")+1),IF(L68="",365,DATEDIF(I68,J68,"D")+1)))</f>
        <v/>
      </c>
      <c r="Q68" s="787" t="str">
        <f>Calcul!X68</f>
        <v/>
      </c>
      <c r="R68" s="787" t="str">
        <f>Calcul!Y68</f>
        <v/>
      </c>
      <c r="S68" s="811" t="str">
        <f>Calcul!AG68</f>
        <v/>
      </c>
      <c r="T68" s="350" t="str">
        <f>IF(A68=FALSE,"",IF(NAMES!$D$10=FALSE,IF(Detail!S68="","",Detail!S68),IF(Crewlist!V68="","",Crewlist!V68)))</f>
        <v/>
      </c>
      <c r="U68" s="242" t="str">
        <f>Calcul!AI68</f>
        <v/>
      </c>
      <c r="V68" s="242" t="str">
        <f>Calcul!AL68</f>
        <v/>
      </c>
      <c r="W68" s="242" t="str">
        <f>Calcul!AM68</f>
        <v/>
      </c>
      <c r="X68" s="335" t="str">
        <f>Calcul!AN68</f>
        <v/>
      </c>
      <c r="Y68" s="242" t="str">
        <f>Calcul!AO68</f>
        <v/>
      </c>
      <c r="Z68" s="242" t="str">
        <f>Calcul!AP68</f>
        <v/>
      </c>
      <c r="AA68" s="335" t="str">
        <f>Calcul!AQ68</f>
        <v/>
      </c>
      <c r="AB68" s="335" t="str">
        <f>IF(C68=FALSE,"",Calcul!BE68+Calcul!BF68)</f>
        <v/>
      </c>
      <c r="AC68" s="335" t="str">
        <f>IF(C68=FALSE,"",(Calcul!BG68+Calcul!BH68)+SUM(Calcul!BI68:BN68))</f>
        <v/>
      </c>
      <c r="AD68" s="335" t="str">
        <f>Calcul!BP68</f>
        <v/>
      </c>
      <c r="AE68" s="1325" t="s">
        <v>2866</v>
      </c>
      <c r="AF68" s="1134" t="s">
        <v>2254</v>
      </c>
      <c r="AG68" s="318" t="str">
        <f>IF(A68=FALSE,"",YEAR(Detail!F68)&amp;Detail!AG68&amp;Detail!AD68&amp;"-"&amp;Detail!AE68)</f>
        <v/>
      </c>
      <c r="AH68" s="1134" t="s">
        <v>2224</v>
      </c>
      <c r="AI68" s="1453">
        <v>0.1</v>
      </c>
      <c r="AJ68" s="1135">
        <f t="shared" si="18"/>
        <v>0.1</v>
      </c>
      <c r="AK68" s="1135">
        <f t="shared" si="19"/>
        <v>0</v>
      </c>
      <c r="AL68" s="1135">
        <f t="shared" si="20"/>
        <v>0</v>
      </c>
      <c r="AM68" s="1135" t="s">
        <v>2224</v>
      </c>
      <c r="AN68" s="1455">
        <v>15.1752</v>
      </c>
      <c r="AO68" s="436">
        <v>0</v>
      </c>
      <c r="AP68" s="1135">
        <v>1</v>
      </c>
      <c r="AQ68" s="1135">
        <v>0</v>
      </c>
      <c r="AT68" s="1132" t="s">
        <v>2140</v>
      </c>
      <c r="AU68" s="1136" t="s">
        <v>2255</v>
      </c>
      <c r="AV68" s="1136" t="str">
        <f>IF(A68=FALSE,"",IF(Detail!AT68="","N/A",YEAR(Detail!F68)&amp;Detail!AW68&amp;Detail!AT68&amp;"-"&amp;Detail!AU68&amp;" (100%/"&amp;Detail!CD68&amp;"/"&amp;Detail!CE68&amp;")"))</f>
        <v/>
      </c>
      <c r="AW68" s="1136" t="s">
        <v>2224</v>
      </c>
      <c r="AX68" s="1320" t="str">
        <f>Calcul!DB68</f>
        <v/>
      </c>
      <c r="AY68" s="1170" t="str">
        <f>IF(A68=FALSE,"",51000+(Detail!AA68*7000))</f>
        <v/>
      </c>
      <c r="AZ68" s="1170">
        <v>50000</v>
      </c>
      <c r="BA68" s="243">
        <v>3</v>
      </c>
      <c r="BB68" s="1135">
        <v>0</v>
      </c>
      <c r="BC68" s="1170" t="str">
        <f>IF(A68=FALSE,"",51000+(Detail!AA68*7000))</f>
        <v/>
      </c>
      <c r="BD68" s="1170">
        <f t="shared" si="13"/>
        <v>50000</v>
      </c>
      <c r="BE68" s="243">
        <f t="shared" si="14"/>
        <v>3</v>
      </c>
      <c r="BF68" s="1135">
        <f t="shared" si="15"/>
        <v>0</v>
      </c>
      <c r="BG68" s="1170" t="str">
        <f t="shared" si="21"/>
        <v/>
      </c>
      <c r="BH68" s="1170">
        <v>50000</v>
      </c>
      <c r="BI68" s="243">
        <v>3</v>
      </c>
      <c r="BJ68" s="1135">
        <v>0</v>
      </c>
      <c r="BK68" s="1170" t="str">
        <f t="shared" si="22"/>
        <v/>
      </c>
      <c r="BL68" s="1170">
        <v>50000</v>
      </c>
      <c r="BM68" s="243">
        <v>3</v>
      </c>
      <c r="BN68" s="1135">
        <v>0</v>
      </c>
      <c r="BO68" s="1132">
        <v>7</v>
      </c>
      <c r="BP68" s="1075">
        <v>365</v>
      </c>
      <c r="BQ68" s="244">
        <v>1</v>
      </c>
      <c r="BR68" s="1135">
        <v>0</v>
      </c>
      <c r="BS68" s="1132">
        <f t="shared" si="23"/>
        <v>7</v>
      </c>
      <c r="BT68" s="1075">
        <f t="shared" si="24"/>
        <v>365</v>
      </c>
      <c r="BU68" s="253">
        <v>1</v>
      </c>
      <c r="BV68" s="1135">
        <v>0</v>
      </c>
      <c r="BW68" s="1135" t="s">
        <v>2224</v>
      </c>
      <c r="BX68" s="257">
        <v>0</v>
      </c>
      <c r="BY68" s="436">
        <v>0</v>
      </c>
      <c r="BZ68" s="1135">
        <v>1</v>
      </c>
      <c r="CA68" s="1135">
        <v>0</v>
      </c>
      <c r="CB68" s="1296"/>
      <c r="CD68" s="1136" t="str">
        <f>IF(A68=FALSE,"",Calcul!NZ68)</f>
        <v/>
      </c>
      <c r="CE68" s="1136" t="s">
        <v>2224</v>
      </c>
      <c r="CF68" s="1132" t="s">
        <v>2138</v>
      </c>
      <c r="CG68" s="1136" t="s">
        <v>2254</v>
      </c>
      <c r="CH68" s="1135" t="s">
        <v>2224</v>
      </c>
      <c r="CI68" s="257">
        <v>0</v>
      </c>
      <c r="CJ68" s="436">
        <v>0</v>
      </c>
      <c r="CK68" s="1135">
        <v>1</v>
      </c>
      <c r="CL68" s="1135">
        <v>0</v>
      </c>
      <c r="CM68" s="1170">
        <v>100000</v>
      </c>
      <c r="CN68" s="243">
        <v>2</v>
      </c>
      <c r="CO68" s="1135">
        <v>0</v>
      </c>
      <c r="CP68" s="1170">
        <f t="shared" si="16"/>
        <v>100000</v>
      </c>
      <c r="CQ68" s="243">
        <v>2</v>
      </c>
      <c r="CR68" s="1135">
        <v>0</v>
      </c>
    </row>
    <row r="69" spans="1:96" s="1127" customFormat="1" ht="30" customHeight="1" outlineLevel="1">
      <c r="A69" s="396" t="b">
        <f>Calcul!A69</f>
        <v>0</v>
      </c>
      <c r="B69" s="438" t="str">
        <f t="shared" si="17"/>
        <v/>
      </c>
      <c r="C69" s="1132" t="b">
        <v>0</v>
      </c>
      <c r="D69" s="1133" t="s">
        <v>2293</v>
      </c>
      <c r="E69" s="1075" t="s">
        <v>2139</v>
      </c>
      <c r="F69" s="338" t="str">
        <f>IF(A69=FALSE,"",IF(NAMES!$D$10=FALSE,IF(Detail!H69="","",Detail!H69),IF(Crewlist!D69="","",Crewlist!D69)))</f>
        <v/>
      </c>
      <c r="G69" s="338" t="str">
        <f>IF(A69=FALSE,"",IF(NAMES!$D$10=FALSE,IF(Detail!P69="","",Detail!P69),IF(Crewlist!E69="","",Crewlist!E69)))</f>
        <v/>
      </c>
      <c r="H69" s="338" t="str">
        <f>IF(A69=FALSE,"",IF(NAMES!$D$10=FALSE,IF(Detail!K69="","",Detail!K69),IF(Crewlist!F69="","",Crewlist!F69)))</f>
        <v/>
      </c>
      <c r="I69" s="1345" t="str">
        <f>IF(Crewlist!T69="","",Crewlist!T69)</f>
        <v/>
      </c>
      <c r="J69" s="1345" t="str">
        <f>IF(Crewlist!D69="","",IF(Crewlist!U69="",Crewlist!Y69,IF(DATERENOUVMOINS730&lt;&gt;Crewlist!U69&lt;&gt;Crewlist!Y69,Crewlist!U69,DATERENOUVMOINS365)))</f>
        <v/>
      </c>
      <c r="K69" s="1346" t="str">
        <f>IF(Detail!X69="","",Detail!X69)</f>
        <v/>
      </c>
      <c r="L69" s="1346" t="str">
        <f>IF(Detail!H69="","",IF(Detail!Y69="",DATERENOUV,IF(Detail!Y69&gt;Detail!D69,Detail!D69,Detail!Y69)))</f>
        <v/>
      </c>
      <c r="M69" s="829" t="str">
        <f>IF(A69=FALSE,"",IF(NAMES!$D$10=FALSE,IF(B69=B70,IF(N69=N70,0,(DATEDIF(K69,L69,"M")+1)),(DATEDIF(K69,L69,"M")+1)),IF(B69=B70,IF(N69=N70,0,(DATEDIF(I69,J69,"M")+1)),(DATEDIF(I69,J69,"M")+1))))</f>
        <v/>
      </c>
      <c r="N69" s="829" t="str">
        <f t="shared" si="5"/>
        <v/>
      </c>
      <c r="O69" s="340" t="str">
        <f>IF(A69=FALSE,"",IF(NAMES!$D$10=FALSE,IF((DATEDIF(K69,L69,"D")+1)&lt;365,(DATEDIF(K69,L69,"D")+1),365),IF((DATEDIF(I69,J69,"D")+1)&lt;365,(DATEDIF(I69,J69,"D")+1),365)))</f>
        <v/>
      </c>
      <c r="P69" s="340" t="str">
        <f>IF(A69=FALSE,"",IF(NAMES!$D$10=FALSE,IF(L69="",365,DATEDIF(K69,L69,"D")+1),IF(L69="",365,DATEDIF(I69,J69,"D")+1)))</f>
        <v/>
      </c>
      <c r="Q69" s="787" t="str">
        <f>Calcul!X69</f>
        <v/>
      </c>
      <c r="R69" s="787" t="str">
        <f>Calcul!Y69</f>
        <v/>
      </c>
      <c r="S69" s="811" t="str">
        <f>Calcul!AG69</f>
        <v/>
      </c>
      <c r="T69" s="350" t="str">
        <f>IF(A69=FALSE,"",IF(NAMES!$D$10=FALSE,IF(Detail!S69="","",Detail!S69),IF(Crewlist!V69="","",Crewlist!V69)))</f>
        <v/>
      </c>
      <c r="U69" s="242" t="str">
        <f>Calcul!AI69</f>
        <v/>
      </c>
      <c r="V69" s="242" t="str">
        <f>Calcul!AL69</f>
        <v/>
      </c>
      <c r="W69" s="242" t="str">
        <f>Calcul!AM69</f>
        <v/>
      </c>
      <c r="X69" s="335" t="str">
        <f>Calcul!AN69</f>
        <v/>
      </c>
      <c r="Y69" s="242" t="str">
        <f>Calcul!AO69</f>
        <v/>
      </c>
      <c r="Z69" s="242" t="str">
        <f>Calcul!AP69</f>
        <v/>
      </c>
      <c r="AA69" s="335" t="str">
        <f>Calcul!AQ69</f>
        <v/>
      </c>
      <c r="AB69" s="335" t="str">
        <f>IF(C69=FALSE,"",Calcul!BE69+Calcul!BF69)</f>
        <v/>
      </c>
      <c r="AC69" s="335" t="str">
        <f>IF(C69=FALSE,"",(Calcul!BG69+Calcul!BH69)+SUM(Calcul!BI69:BN69))</f>
        <v/>
      </c>
      <c r="AD69" s="335" t="str">
        <f>Calcul!BP69</f>
        <v/>
      </c>
      <c r="AE69" s="1325" t="s">
        <v>2866</v>
      </c>
      <c r="AF69" s="1134" t="s">
        <v>2254</v>
      </c>
      <c r="AG69" s="318" t="str">
        <f>IF(A69=FALSE,"",YEAR(Detail!F69)&amp;Detail!AG69&amp;Detail!AD69&amp;"-"&amp;Detail!AE69)</f>
        <v/>
      </c>
      <c r="AH69" s="1134" t="s">
        <v>2224</v>
      </c>
      <c r="AI69" s="1453">
        <v>0.1</v>
      </c>
      <c r="AJ69" s="1135">
        <f t="shared" si="18"/>
        <v>0.1</v>
      </c>
      <c r="AK69" s="1135">
        <f t="shared" si="19"/>
        <v>0</v>
      </c>
      <c r="AL69" s="1135">
        <f t="shared" si="20"/>
        <v>0</v>
      </c>
      <c r="AM69" s="1135" t="s">
        <v>2224</v>
      </c>
      <c r="AN69" s="1455">
        <v>15.1752</v>
      </c>
      <c r="AO69" s="436">
        <v>0</v>
      </c>
      <c r="AP69" s="1135">
        <v>1</v>
      </c>
      <c r="AQ69" s="1135">
        <v>0</v>
      </c>
      <c r="AT69" s="1132" t="s">
        <v>2140</v>
      </c>
      <c r="AU69" s="1136" t="s">
        <v>2255</v>
      </c>
      <c r="AV69" s="1136" t="str">
        <f>IF(A69=FALSE,"",IF(Detail!AT69="","N/A",YEAR(Detail!F69)&amp;Detail!AW69&amp;Detail!AT69&amp;"-"&amp;Detail!AU69&amp;" (100%/"&amp;Detail!CD69&amp;"/"&amp;Detail!CE69&amp;")"))</f>
        <v/>
      </c>
      <c r="AW69" s="1136" t="s">
        <v>2224</v>
      </c>
      <c r="AX69" s="1320" t="str">
        <f>Calcul!DB69</f>
        <v/>
      </c>
      <c r="AY69" s="1170" t="str">
        <f>IF(A69=FALSE,"",51000+(Detail!AA69*7000))</f>
        <v/>
      </c>
      <c r="AZ69" s="1170">
        <v>50000</v>
      </c>
      <c r="BA69" s="243">
        <v>3</v>
      </c>
      <c r="BB69" s="1135">
        <v>0</v>
      </c>
      <c r="BC69" s="1170" t="str">
        <f>IF(A69=FALSE,"",51000+(Detail!AA69*7000))</f>
        <v/>
      </c>
      <c r="BD69" s="1170">
        <f t="shared" si="13"/>
        <v>50000</v>
      </c>
      <c r="BE69" s="243">
        <f t="shared" si="14"/>
        <v>3</v>
      </c>
      <c r="BF69" s="1135">
        <f t="shared" si="15"/>
        <v>0</v>
      </c>
      <c r="BG69" s="1170" t="str">
        <f t="shared" si="21"/>
        <v/>
      </c>
      <c r="BH69" s="1170">
        <v>50000</v>
      </c>
      <c r="BI69" s="243">
        <v>3</v>
      </c>
      <c r="BJ69" s="1135">
        <v>0</v>
      </c>
      <c r="BK69" s="1170" t="str">
        <f t="shared" si="22"/>
        <v/>
      </c>
      <c r="BL69" s="1170">
        <v>50000</v>
      </c>
      <c r="BM69" s="243">
        <v>3</v>
      </c>
      <c r="BN69" s="1135">
        <v>0</v>
      </c>
      <c r="BO69" s="1132">
        <v>7</v>
      </c>
      <c r="BP69" s="1075">
        <v>365</v>
      </c>
      <c r="BQ69" s="244">
        <v>1</v>
      </c>
      <c r="BR69" s="1135">
        <v>0</v>
      </c>
      <c r="BS69" s="1132">
        <f t="shared" si="23"/>
        <v>7</v>
      </c>
      <c r="BT69" s="1075">
        <f t="shared" si="24"/>
        <v>365</v>
      </c>
      <c r="BU69" s="253">
        <v>1</v>
      </c>
      <c r="BV69" s="1135">
        <v>0</v>
      </c>
      <c r="BW69" s="1135" t="s">
        <v>2224</v>
      </c>
      <c r="BX69" s="257">
        <v>0</v>
      </c>
      <c r="BY69" s="436">
        <v>0</v>
      </c>
      <c r="BZ69" s="1135">
        <v>1</v>
      </c>
      <c r="CA69" s="1135">
        <v>0</v>
      </c>
      <c r="CB69" s="1296"/>
      <c r="CD69" s="1136" t="str">
        <f>IF(A69=FALSE,"",Calcul!NZ69)</f>
        <v/>
      </c>
      <c r="CE69" s="1136" t="s">
        <v>2224</v>
      </c>
      <c r="CF69" s="1132" t="s">
        <v>2138</v>
      </c>
      <c r="CG69" s="1136" t="s">
        <v>2254</v>
      </c>
      <c r="CH69" s="1135" t="s">
        <v>2224</v>
      </c>
      <c r="CI69" s="257">
        <v>0</v>
      </c>
      <c r="CJ69" s="436">
        <v>0</v>
      </c>
      <c r="CK69" s="1135">
        <v>1</v>
      </c>
      <c r="CL69" s="1135">
        <v>0</v>
      </c>
      <c r="CM69" s="1170">
        <v>100000</v>
      </c>
      <c r="CN69" s="243">
        <v>2</v>
      </c>
      <c r="CO69" s="1135">
        <v>0</v>
      </c>
      <c r="CP69" s="1170">
        <f t="shared" si="16"/>
        <v>100000</v>
      </c>
      <c r="CQ69" s="243">
        <v>2</v>
      </c>
      <c r="CR69" s="1135">
        <v>0</v>
      </c>
    </row>
    <row r="70" spans="1:96" s="1127" customFormat="1" ht="30" customHeight="1" outlineLevel="1">
      <c r="A70" s="396" t="b">
        <f>Calcul!A70</f>
        <v>0</v>
      </c>
      <c r="B70" s="438" t="str">
        <f t="shared" si="17"/>
        <v/>
      </c>
      <c r="C70" s="1132" t="b">
        <v>0</v>
      </c>
      <c r="D70" s="1133" t="s">
        <v>2293</v>
      </c>
      <c r="E70" s="1075" t="s">
        <v>2139</v>
      </c>
      <c r="F70" s="338" t="str">
        <f>IF(A70=FALSE,"",IF(NAMES!$D$10=FALSE,IF(Detail!H70="","",Detail!H70),IF(Crewlist!D70="","",Crewlist!D70)))</f>
        <v/>
      </c>
      <c r="G70" s="338" t="str">
        <f>IF(A70=FALSE,"",IF(NAMES!$D$10=FALSE,IF(Detail!P70="","",Detail!P70),IF(Crewlist!E70="","",Crewlist!E70)))</f>
        <v/>
      </c>
      <c r="H70" s="338" t="str">
        <f>IF(A70=FALSE,"",IF(NAMES!$D$10=FALSE,IF(Detail!K70="","",Detail!K70),IF(Crewlist!F70="","",Crewlist!F70)))</f>
        <v/>
      </c>
      <c r="I70" s="1345" t="str">
        <f>IF(Crewlist!T70="","",Crewlist!T70)</f>
        <v/>
      </c>
      <c r="J70" s="1345" t="str">
        <f>IF(Crewlist!D70="","",IF(Crewlist!U70="",Crewlist!Y70,IF(DATERENOUVMOINS730&lt;&gt;Crewlist!U70&lt;&gt;Crewlist!Y70,Crewlist!U70,DATERENOUVMOINS365)))</f>
        <v/>
      </c>
      <c r="K70" s="1346" t="str">
        <f>IF(Detail!X70="","",Detail!X70)</f>
        <v/>
      </c>
      <c r="L70" s="1346" t="str">
        <f>IF(Detail!H70="","",IF(Detail!Y70="",DATERENOUV,IF(Detail!Y70&gt;Detail!D70,Detail!D70,Detail!Y70)))</f>
        <v/>
      </c>
      <c r="M70" s="829" t="str">
        <f>IF(A70=FALSE,"",IF(NAMES!$D$10=FALSE,IF(B70=B71,IF(N70=N71,0,(DATEDIF(K70,L70,"M")+1)),(DATEDIF(K70,L70,"M")+1)),IF(B70=B71,IF(N70=N71,0,(DATEDIF(I70,J70,"M")+1)),(DATEDIF(I70,J70,"M")+1))))</f>
        <v/>
      </c>
      <c r="N70" s="829" t="str">
        <f t="shared" si="5"/>
        <v/>
      </c>
      <c r="O70" s="340" t="str">
        <f>IF(A70=FALSE,"",IF(NAMES!$D$10=FALSE,IF((DATEDIF(K70,L70,"D")+1)&lt;365,(DATEDIF(K70,L70,"D")+1),365),IF((DATEDIF(I70,J70,"D")+1)&lt;365,(DATEDIF(I70,J70,"D")+1),365)))</f>
        <v/>
      </c>
      <c r="P70" s="340" t="str">
        <f>IF(A70=FALSE,"",IF(NAMES!$D$10=FALSE,IF(L70="",365,DATEDIF(K70,L70,"D")+1),IF(L70="",365,DATEDIF(I70,J70,"D")+1)))</f>
        <v/>
      </c>
      <c r="Q70" s="787" t="str">
        <f>Calcul!X70</f>
        <v/>
      </c>
      <c r="R70" s="787" t="str">
        <f>Calcul!Y70</f>
        <v/>
      </c>
      <c r="S70" s="811" t="str">
        <f>Calcul!AG70</f>
        <v/>
      </c>
      <c r="T70" s="350" t="str">
        <f>IF(A70=FALSE,"",IF(NAMES!$D$10=FALSE,IF(Detail!S70="","",Detail!S70),IF(Crewlist!V70="","",Crewlist!V70)))</f>
        <v/>
      </c>
      <c r="U70" s="242" t="str">
        <f>Calcul!AI70</f>
        <v/>
      </c>
      <c r="V70" s="242" t="str">
        <f>Calcul!AL70</f>
        <v/>
      </c>
      <c r="W70" s="242" t="str">
        <f>Calcul!AM70</f>
        <v/>
      </c>
      <c r="X70" s="335" t="str">
        <f>Calcul!AN70</f>
        <v/>
      </c>
      <c r="Y70" s="242" t="str">
        <f>Calcul!AO70</f>
        <v/>
      </c>
      <c r="Z70" s="242" t="str">
        <f>Calcul!AP70</f>
        <v/>
      </c>
      <c r="AA70" s="335" t="str">
        <f>Calcul!AQ70</f>
        <v/>
      </c>
      <c r="AB70" s="335" t="str">
        <f>IF(C70=FALSE,"",Calcul!BE70+Calcul!BF70)</f>
        <v/>
      </c>
      <c r="AC70" s="335" t="str">
        <f>IF(C70=FALSE,"",(Calcul!BG70+Calcul!BH70)+SUM(Calcul!BI70:BN70))</f>
        <v/>
      </c>
      <c r="AD70" s="335" t="str">
        <f>Calcul!BP70</f>
        <v/>
      </c>
      <c r="AE70" s="1325" t="s">
        <v>2866</v>
      </c>
      <c r="AF70" s="1134" t="s">
        <v>2254</v>
      </c>
      <c r="AG70" s="318" t="str">
        <f>IF(A70=FALSE,"",YEAR(Detail!F70)&amp;Detail!AG70&amp;Detail!AD70&amp;"-"&amp;Detail!AE70)</f>
        <v/>
      </c>
      <c r="AH70" s="1134" t="s">
        <v>2224</v>
      </c>
      <c r="AI70" s="1453">
        <v>0.1</v>
      </c>
      <c r="AJ70" s="1135">
        <f t="shared" si="18"/>
        <v>0.1</v>
      </c>
      <c r="AK70" s="1135">
        <f t="shared" si="19"/>
        <v>0</v>
      </c>
      <c r="AL70" s="1135">
        <f t="shared" si="20"/>
        <v>0</v>
      </c>
      <c r="AM70" s="1135" t="s">
        <v>2224</v>
      </c>
      <c r="AN70" s="1455">
        <v>15.1752</v>
      </c>
      <c r="AO70" s="436">
        <v>0</v>
      </c>
      <c r="AP70" s="1135">
        <v>1</v>
      </c>
      <c r="AQ70" s="1135">
        <v>0</v>
      </c>
      <c r="AT70" s="1132" t="s">
        <v>2140</v>
      </c>
      <c r="AU70" s="1136" t="s">
        <v>2255</v>
      </c>
      <c r="AV70" s="1136" t="str">
        <f>IF(A70=FALSE,"",IF(Detail!AT70="","N/A",YEAR(Detail!F70)&amp;Detail!AW70&amp;Detail!AT70&amp;"-"&amp;Detail!AU70&amp;" (100%/"&amp;Detail!CD70&amp;"/"&amp;Detail!CE70&amp;")"))</f>
        <v/>
      </c>
      <c r="AW70" s="1136" t="s">
        <v>2224</v>
      </c>
      <c r="AX70" s="1320" t="str">
        <f>Calcul!DB70</f>
        <v/>
      </c>
      <c r="AY70" s="1170" t="str">
        <f>IF(A70=FALSE,"",51000+(Detail!AA70*7000))</f>
        <v/>
      </c>
      <c r="AZ70" s="1170">
        <v>50000</v>
      </c>
      <c r="BA70" s="243">
        <v>3</v>
      </c>
      <c r="BB70" s="1135">
        <v>0</v>
      </c>
      <c r="BC70" s="1170" t="str">
        <f>IF(A70=FALSE,"",51000+(Detail!AA70*7000))</f>
        <v/>
      </c>
      <c r="BD70" s="1170">
        <f t="shared" si="13"/>
        <v>50000</v>
      </c>
      <c r="BE70" s="243">
        <f t="shared" si="14"/>
        <v>3</v>
      </c>
      <c r="BF70" s="1135">
        <f t="shared" si="15"/>
        <v>0</v>
      </c>
      <c r="BG70" s="1170" t="str">
        <f t="shared" si="21"/>
        <v/>
      </c>
      <c r="BH70" s="1170">
        <v>50000</v>
      </c>
      <c r="BI70" s="243">
        <v>3</v>
      </c>
      <c r="BJ70" s="1135">
        <v>0</v>
      </c>
      <c r="BK70" s="1170" t="str">
        <f t="shared" si="22"/>
        <v/>
      </c>
      <c r="BL70" s="1170">
        <v>50000</v>
      </c>
      <c r="BM70" s="243">
        <v>3</v>
      </c>
      <c r="BN70" s="1135">
        <v>0</v>
      </c>
      <c r="BO70" s="1132">
        <v>7</v>
      </c>
      <c r="BP70" s="1075">
        <v>365</v>
      </c>
      <c r="BQ70" s="244">
        <v>1</v>
      </c>
      <c r="BR70" s="1135">
        <v>0</v>
      </c>
      <c r="BS70" s="1132">
        <f t="shared" si="23"/>
        <v>7</v>
      </c>
      <c r="BT70" s="1075">
        <f t="shared" si="24"/>
        <v>365</v>
      </c>
      <c r="BU70" s="253">
        <v>1</v>
      </c>
      <c r="BV70" s="1135">
        <v>0</v>
      </c>
      <c r="BW70" s="1135" t="s">
        <v>2224</v>
      </c>
      <c r="BX70" s="257">
        <v>0</v>
      </c>
      <c r="BY70" s="436">
        <v>0</v>
      </c>
      <c r="BZ70" s="1135">
        <v>1</v>
      </c>
      <c r="CA70" s="1135">
        <v>0</v>
      </c>
      <c r="CB70" s="1296"/>
      <c r="CD70" s="1136" t="str">
        <f>IF(A70=FALSE,"",Calcul!NZ70)</f>
        <v/>
      </c>
      <c r="CE70" s="1136" t="s">
        <v>2224</v>
      </c>
      <c r="CF70" s="1132" t="s">
        <v>2138</v>
      </c>
      <c r="CG70" s="1136" t="s">
        <v>2254</v>
      </c>
      <c r="CH70" s="1135" t="s">
        <v>2224</v>
      </c>
      <c r="CI70" s="257">
        <v>0</v>
      </c>
      <c r="CJ70" s="436">
        <v>0</v>
      </c>
      <c r="CK70" s="1135">
        <v>1</v>
      </c>
      <c r="CL70" s="1135">
        <v>0</v>
      </c>
      <c r="CM70" s="1170">
        <v>100000</v>
      </c>
      <c r="CN70" s="243">
        <v>2</v>
      </c>
      <c r="CO70" s="1135">
        <v>0</v>
      </c>
      <c r="CP70" s="1170">
        <f t="shared" si="16"/>
        <v>100000</v>
      </c>
      <c r="CQ70" s="243">
        <v>2</v>
      </c>
      <c r="CR70" s="1135">
        <v>0</v>
      </c>
    </row>
    <row r="71" spans="1:96" s="1127" customFormat="1" ht="30" customHeight="1" outlineLevel="1">
      <c r="A71" s="396" t="b">
        <f>Calcul!A71</f>
        <v>0</v>
      </c>
      <c r="B71" s="438" t="str">
        <f t="shared" si="17"/>
        <v/>
      </c>
      <c r="C71" s="1132" t="b">
        <v>0</v>
      </c>
      <c r="D71" s="1133" t="s">
        <v>2293</v>
      </c>
      <c r="E71" s="1075" t="s">
        <v>2139</v>
      </c>
      <c r="F71" s="338" t="str">
        <f>IF(A71=FALSE,"",IF(NAMES!$D$10=FALSE,IF(Detail!H71="","",Detail!H71),IF(Crewlist!D71="","",Crewlist!D71)))</f>
        <v/>
      </c>
      <c r="G71" s="338" t="str">
        <f>IF(A71=FALSE,"",IF(NAMES!$D$10=FALSE,IF(Detail!P71="","",Detail!P71),IF(Crewlist!E71="","",Crewlist!E71)))</f>
        <v/>
      </c>
      <c r="H71" s="338" t="str">
        <f>IF(A71=FALSE,"",IF(NAMES!$D$10=FALSE,IF(Detail!K71="","",Detail!K71),IF(Crewlist!F71="","",Crewlist!F71)))</f>
        <v/>
      </c>
      <c r="I71" s="1345" t="str">
        <f>IF(Crewlist!T71="","",Crewlist!T71)</f>
        <v/>
      </c>
      <c r="J71" s="1345" t="str">
        <f>IF(Crewlist!D71="","",IF(Crewlist!U71="",Crewlist!Y71,IF(DATERENOUVMOINS730&lt;&gt;Crewlist!U71&lt;&gt;Crewlist!Y71,Crewlist!U71,DATERENOUVMOINS365)))</f>
        <v/>
      </c>
      <c r="K71" s="1346" t="str">
        <f>IF(Detail!X71="","",Detail!X71)</f>
        <v/>
      </c>
      <c r="L71" s="1346" t="str">
        <f>IF(Detail!H71="","",IF(Detail!Y71="",DATERENOUV,IF(Detail!Y71&gt;Detail!D71,Detail!D71,Detail!Y71)))</f>
        <v/>
      </c>
      <c r="M71" s="829" t="str">
        <f>IF(A71=FALSE,"",IF(NAMES!$D$10=FALSE,IF(B71=B72,IF(N71=N72,0,(DATEDIF(K71,L71,"M")+1)),(DATEDIF(K71,L71,"M")+1)),IF(B71=B72,IF(N71=N72,0,(DATEDIF(I71,J71,"M")+1)),(DATEDIF(I71,J71,"M")+1))))</f>
        <v/>
      </c>
      <c r="N71" s="829" t="str">
        <f t="shared" si="5"/>
        <v/>
      </c>
      <c r="O71" s="340" t="str">
        <f>IF(A71=FALSE,"",IF(NAMES!$D$10=FALSE,IF((DATEDIF(K71,L71,"D")+1)&lt;365,(DATEDIF(K71,L71,"D")+1),365),IF((DATEDIF(I71,J71,"D")+1)&lt;365,(DATEDIF(I71,J71,"D")+1),365)))</f>
        <v/>
      </c>
      <c r="P71" s="340" t="str">
        <f>IF(A71=FALSE,"",IF(NAMES!$D$10=FALSE,IF(L71="",365,DATEDIF(K71,L71,"D")+1),IF(L71="",365,DATEDIF(I71,J71,"D")+1)))</f>
        <v/>
      </c>
      <c r="Q71" s="787" t="str">
        <f>Calcul!X71</f>
        <v/>
      </c>
      <c r="R71" s="787" t="str">
        <f>Calcul!Y71</f>
        <v/>
      </c>
      <c r="S71" s="811" t="str">
        <f>Calcul!AG71</f>
        <v/>
      </c>
      <c r="T71" s="350" t="str">
        <f>IF(A71=FALSE,"",IF(NAMES!$D$10=FALSE,IF(Detail!S71="","",Detail!S71),IF(Crewlist!V71="","",Crewlist!V71)))</f>
        <v/>
      </c>
      <c r="U71" s="242" t="str">
        <f>Calcul!AI71</f>
        <v/>
      </c>
      <c r="V71" s="242" t="str">
        <f>Calcul!AL71</f>
        <v/>
      </c>
      <c r="W71" s="242" t="str">
        <f>Calcul!AM71</f>
        <v/>
      </c>
      <c r="X71" s="335" t="str">
        <f>Calcul!AN71</f>
        <v/>
      </c>
      <c r="Y71" s="242" t="str">
        <f>Calcul!AO71</f>
        <v/>
      </c>
      <c r="Z71" s="242" t="str">
        <f>Calcul!AP71</f>
        <v/>
      </c>
      <c r="AA71" s="335" t="str">
        <f>Calcul!AQ71</f>
        <v/>
      </c>
      <c r="AB71" s="335" t="str">
        <f>IF(C71=FALSE,"",Calcul!BE71+Calcul!BF71)</f>
        <v/>
      </c>
      <c r="AC71" s="335" t="str">
        <f>IF(C71=FALSE,"",(Calcul!BG71+Calcul!BH71)+SUM(Calcul!BI71:BN71))</f>
        <v/>
      </c>
      <c r="AD71" s="335" t="str">
        <f>Calcul!BP71</f>
        <v/>
      </c>
      <c r="AE71" s="1325" t="s">
        <v>2866</v>
      </c>
      <c r="AF71" s="1134" t="s">
        <v>2254</v>
      </c>
      <c r="AG71" s="318" t="str">
        <f>IF(A71=FALSE,"",YEAR(Detail!F71)&amp;Detail!AG71&amp;Detail!AD71&amp;"-"&amp;Detail!AE71)</f>
        <v/>
      </c>
      <c r="AH71" s="1134" t="s">
        <v>2224</v>
      </c>
      <c r="AI71" s="1453">
        <v>0.1</v>
      </c>
      <c r="AJ71" s="1135">
        <f t="shared" si="18"/>
        <v>0.1</v>
      </c>
      <c r="AK71" s="1135">
        <f t="shared" si="19"/>
        <v>0</v>
      </c>
      <c r="AL71" s="1135">
        <f t="shared" si="20"/>
        <v>0</v>
      </c>
      <c r="AM71" s="1135" t="s">
        <v>2224</v>
      </c>
      <c r="AN71" s="1455">
        <v>15.1752</v>
      </c>
      <c r="AO71" s="436">
        <v>0</v>
      </c>
      <c r="AP71" s="1135">
        <v>1</v>
      </c>
      <c r="AQ71" s="1135">
        <v>0</v>
      </c>
      <c r="AT71" s="1132" t="s">
        <v>2140</v>
      </c>
      <c r="AU71" s="1136" t="s">
        <v>2255</v>
      </c>
      <c r="AV71" s="1136" t="str">
        <f>IF(A71=FALSE,"",IF(Detail!AT71="","N/A",YEAR(Detail!F71)&amp;Detail!AW71&amp;Detail!AT71&amp;"-"&amp;Detail!AU71&amp;" (100%/"&amp;Detail!CD71&amp;"/"&amp;Detail!CE71&amp;")"))</f>
        <v/>
      </c>
      <c r="AW71" s="1136" t="s">
        <v>2224</v>
      </c>
      <c r="AX71" s="1320" t="str">
        <f>Calcul!DB71</f>
        <v/>
      </c>
      <c r="AY71" s="1170" t="str">
        <f>IF(A71=FALSE,"",51000+(Detail!AA71*7000))</f>
        <v/>
      </c>
      <c r="AZ71" s="1170">
        <v>50000</v>
      </c>
      <c r="BA71" s="243">
        <v>3</v>
      </c>
      <c r="BB71" s="1135">
        <v>0</v>
      </c>
      <c r="BC71" s="1170" t="str">
        <f>IF(A71=FALSE,"",51000+(Detail!AA71*7000))</f>
        <v/>
      </c>
      <c r="BD71" s="1170">
        <f t="shared" si="13"/>
        <v>50000</v>
      </c>
      <c r="BE71" s="243">
        <f t="shared" si="14"/>
        <v>3</v>
      </c>
      <c r="BF71" s="1135">
        <f t="shared" si="15"/>
        <v>0</v>
      </c>
      <c r="BG71" s="1170" t="str">
        <f t="shared" si="21"/>
        <v/>
      </c>
      <c r="BH71" s="1170">
        <v>50000</v>
      </c>
      <c r="BI71" s="243">
        <v>3</v>
      </c>
      <c r="BJ71" s="1135">
        <v>0</v>
      </c>
      <c r="BK71" s="1170" t="str">
        <f t="shared" si="22"/>
        <v/>
      </c>
      <c r="BL71" s="1170">
        <v>50000</v>
      </c>
      <c r="BM71" s="243">
        <v>3</v>
      </c>
      <c r="BN71" s="1135">
        <v>0</v>
      </c>
      <c r="BO71" s="1132">
        <v>7</v>
      </c>
      <c r="BP71" s="1075">
        <v>365</v>
      </c>
      <c r="BQ71" s="244">
        <v>1</v>
      </c>
      <c r="BR71" s="1135">
        <v>0</v>
      </c>
      <c r="BS71" s="1132">
        <f t="shared" si="23"/>
        <v>7</v>
      </c>
      <c r="BT71" s="1075">
        <f t="shared" si="24"/>
        <v>365</v>
      </c>
      <c r="BU71" s="253">
        <v>1</v>
      </c>
      <c r="BV71" s="1135">
        <v>0</v>
      </c>
      <c r="BW71" s="1135" t="s">
        <v>2224</v>
      </c>
      <c r="BX71" s="257">
        <v>0</v>
      </c>
      <c r="BY71" s="436">
        <v>0</v>
      </c>
      <c r="BZ71" s="1135">
        <v>1</v>
      </c>
      <c r="CA71" s="1135">
        <v>0</v>
      </c>
      <c r="CB71" s="1296"/>
      <c r="CD71" s="1136" t="str">
        <f>IF(A71=FALSE,"",Calcul!NZ71)</f>
        <v/>
      </c>
      <c r="CE71" s="1136" t="s">
        <v>2224</v>
      </c>
      <c r="CF71" s="1132" t="s">
        <v>2138</v>
      </c>
      <c r="CG71" s="1136" t="s">
        <v>2254</v>
      </c>
      <c r="CH71" s="1135" t="s">
        <v>2224</v>
      </c>
      <c r="CI71" s="257">
        <v>0</v>
      </c>
      <c r="CJ71" s="436">
        <v>0</v>
      </c>
      <c r="CK71" s="1135">
        <v>1</v>
      </c>
      <c r="CL71" s="1135">
        <v>0</v>
      </c>
      <c r="CM71" s="1170">
        <v>100000</v>
      </c>
      <c r="CN71" s="243">
        <v>2</v>
      </c>
      <c r="CO71" s="1135">
        <v>0</v>
      </c>
      <c r="CP71" s="1170">
        <f t="shared" si="16"/>
        <v>100000</v>
      </c>
      <c r="CQ71" s="243">
        <v>2</v>
      </c>
      <c r="CR71" s="1135">
        <v>0</v>
      </c>
    </row>
    <row r="72" spans="1:96" s="1127" customFormat="1" ht="30" customHeight="1" outlineLevel="1">
      <c r="A72" s="396" t="b">
        <f>Calcul!A72</f>
        <v>0</v>
      </c>
      <c r="B72" s="438" t="str">
        <f t="shared" si="17"/>
        <v/>
      </c>
      <c r="C72" s="1132" t="b">
        <v>0</v>
      </c>
      <c r="D72" s="1133" t="s">
        <v>2293</v>
      </c>
      <c r="E72" s="1075" t="s">
        <v>2139</v>
      </c>
      <c r="F72" s="338" t="str">
        <f>IF(A72=FALSE,"",IF(NAMES!$D$10=FALSE,IF(Detail!H72="","",Detail!H72),IF(Crewlist!D72="","",Crewlist!D72)))</f>
        <v/>
      </c>
      <c r="G72" s="338" t="str">
        <f>IF(A72=FALSE,"",IF(NAMES!$D$10=FALSE,IF(Detail!P72="","",Detail!P72),IF(Crewlist!E72="","",Crewlist!E72)))</f>
        <v/>
      </c>
      <c r="H72" s="338" t="str">
        <f>IF(A72=FALSE,"",IF(NAMES!$D$10=FALSE,IF(Detail!K72="","",Detail!K72),IF(Crewlist!F72="","",Crewlist!F72)))</f>
        <v/>
      </c>
      <c r="I72" s="1345" t="str">
        <f>IF(Crewlist!T72="","",Crewlist!T72)</f>
        <v/>
      </c>
      <c r="J72" s="1345" t="str">
        <f>IF(Crewlist!D72="","",IF(Crewlist!U72="",Crewlist!Y72,IF(DATERENOUVMOINS730&lt;&gt;Crewlist!U72&lt;&gt;Crewlist!Y72,Crewlist!U72,DATERENOUVMOINS365)))</f>
        <v/>
      </c>
      <c r="K72" s="1346" t="str">
        <f>IF(Detail!X72="","",Detail!X72)</f>
        <v/>
      </c>
      <c r="L72" s="1346" t="str">
        <f>IF(Detail!H72="","",IF(Detail!Y72="",DATERENOUV,IF(Detail!Y72&gt;Detail!D72,Detail!D72,Detail!Y72)))</f>
        <v/>
      </c>
      <c r="M72" s="829" t="str">
        <f>IF(A72=FALSE,"",IF(NAMES!$D$10=FALSE,IF(B72=B73,IF(N72=N73,0,(DATEDIF(K72,L72,"M")+1)),(DATEDIF(K72,L72,"M")+1)),IF(B72=B73,IF(N72=N73,0,(DATEDIF(I72,J72,"M")+1)),(DATEDIF(I72,J72,"M")+1))))</f>
        <v/>
      </c>
      <c r="N72" s="829" t="str">
        <f t="shared" si="5"/>
        <v/>
      </c>
      <c r="O72" s="340" t="str">
        <f>IF(A72=FALSE,"",IF(NAMES!$D$10=FALSE,IF((DATEDIF(K72,L72,"D")+1)&lt;365,(DATEDIF(K72,L72,"D")+1),365),IF((DATEDIF(I72,J72,"D")+1)&lt;365,(DATEDIF(I72,J72,"D")+1),365)))</f>
        <v/>
      </c>
      <c r="P72" s="340" t="str">
        <f>IF(A72=FALSE,"",IF(NAMES!$D$10=FALSE,IF(L72="",365,DATEDIF(K72,L72,"D")+1),IF(L72="",365,DATEDIF(I72,J72,"D")+1)))</f>
        <v/>
      </c>
      <c r="Q72" s="787" t="str">
        <f>Calcul!X72</f>
        <v/>
      </c>
      <c r="R72" s="787" t="str">
        <f>Calcul!Y72</f>
        <v/>
      </c>
      <c r="S72" s="811" t="str">
        <f>Calcul!AG72</f>
        <v/>
      </c>
      <c r="T72" s="350" t="str">
        <f>IF(A72=FALSE,"",IF(NAMES!$D$10=FALSE,IF(Detail!S72="","",Detail!S72),IF(Crewlist!V72="","",Crewlist!V72)))</f>
        <v/>
      </c>
      <c r="U72" s="242" t="str">
        <f>Calcul!AI72</f>
        <v/>
      </c>
      <c r="V72" s="242" t="str">
        <f>Calcul!AL72</f>
        <v/>
      </c>
      <c r="W72" s="242" t="str">
        <f>Calcul!AM72</f>
        <v/>
      </c>
      <c r="X72" s="335" t="str">
        <f>Calcul!AN72</f>
        <v/>
      </c>
      <c r="Y72" s="242" t="str">
        <f>Calcul!AO72</f>
        <v/>
      </c>
      <c r="Z72" s="242" t="str">
        <f>Calcul!AP72</f>
        <v/>
      </c>
      <c r="AA72" s="335" t="str">
        <f>Calcul!AQ72</f>
        <v/>
      </c>
      <c r="AB72" s="335" t="str">
        <f>IF(C72=FALSE,"",Calcul!BE72+Calcul!BF72)</f>
        <v/>
      </c>
      <c r="AC72" s="335" t="str">
        <f>IF(C72=FALSE,"",(Calcul!BG72+Calcul!BH72)+SUM(Calcul!BI72:BN72))</f>
        <v/>
      </c>
      <c r="AD72" s="335" t="str">
        <f>Calcul!BP72</f>
        <v/>
      </c>
      <c r="AE72" s="1325" t="s">
        <v>2866</v>
      </c>
      <c r="AF72" s="1134" t="s">
        <v>2254</v>
      </c>
      <c r="AG72" s="318" t="str">
        <f>IF(A72=FALSE,"",YEAR(Detail!F72)&amp;Detail!AG72&amp;Detail!AD72&amp;"-"&amp;Detail!AE72)</f>
        <v/>
      </c>
      <c r="AH72" s="1134" t="s">
        <v>2224</v>
      </c>
      <c r="AI72" s="1453">
        <v>0.1</v>
      </c>
      <c r="AJ72" s="1135">
        <f t="shared" si="18"/>
        <v>0.1</v>
      </c>
      <c r="AK72" s="1135">
        <f t="shared" si="19"/>
        <v>0</v>
      </c>
      <c r="AL72" s="1135">
        <f t="shared" si="20"/>
        <v>0</v>
      </c>
      <c r="AM72" s="1135" t="s">
        <v>2224</v>
      </c>
      <c r="AN72" s="1455">
        <v>15.1752</v>
      </c>
      <c r="AO72" s="436">
        <v>0</v>
      </c>
      <c r="AP72" s="1135">
        <v>1</v>
      </c>
      <c r="AQ72" s="1135">
        <v>0</v>
      </c>
      <c r="AT72" s="1132" t="s">
        <v>2140</v>
      </c>
      <c r="AU72" s="1136" t="s">
        <v>2255</v>
      </c>
      <c r="AV72" s="1136" t="str">
        <f>IF(A72=FALSE,"",IF(Detail!AT72="","N/A",YEAR(Detail!F72)&amp;Detail!AW72&amp;Detail!AT72&amp;"-"&amp;Detail!AU72&amp;" (100%/"&amp;Detail!CD72&amp;"/"&amp;Detail!CE72&amp;")"))</f>
        <v/>
      </c>
      <c r="AW72" s="1136" t="s">
        <v>2224</v>
      </c>
      <c r="AX72" s="1320" t="str">
        <f>Calcul!DB72</f>
        <v/>
      </c>
      <c r="AY72" s="1170" t="str">
        <f>IF(A72=FALSE,"",51000+(Detail!AA72*7000))</f>
        <v/>
      </c>
      <c r="AZ72" s="1170">
        <v>50000</v>
      </c>
      <c r="BA72" s="243">
        <v>3</v>
      </c>
      <c r="BB72" s="1135">
        <v>0</v>
      </c>
      <c r="BC72" s="1170" t="str">
        <f>IF(A72=FALSE,"",51000+(Detail!AA72*7000))</f>
        <v/>
      </c>
      <c r="BD72" s="1170">
        <f t="shared" si="13"/>
        <v>50000</v>
      </c>
      <c r="BE72" s="243">
        <f t="shared" si="14"/>
        <v>3</v>
      </c>
      <c r="BF72" s="1135">
        <f t="shared" si="15"/>
        <v>0</v>
      </c>
      <c r="BG72" s="1170" t="str">
        <f t="shared" si="21"/>
        <v/>
      </c>
      <c r="BH72" s="1170">
        <v>50000</v>
      </c>
      <c r="BI72" s="243">
        <v>3</v>
      </c>
      <c r="BJ72" s="1135">
        <v>0</v>
      </c>
      <c r="BK72" s="1170" t="str">
        <f t="shared" si="22"/>
        <v/>
      </c>
      <c r="BL72" s="1170">
        <v>50000</v>
      </c>
      <c r="BM72" s="243">
        <v>3</v>
      </c>
      <c r="BN72" s="1135">
        <v>0</v>
      </c>
      <c r="BO72" s="1132">
        <v>7</v>
      </c>
      <c r="BP72" s="1075">
        <v>365</v>
      </c>
      <c r="BQ72" s="244">
        <v>1</v>
      </c>
      <c r="BR72" s="1135">
        <v>0</v>
      </c>
      <c r="BS72" s="1132">
        <f t="shared" si="23"/>
        <v>7</v>
      </c>
      <c r="BT72" s="1075">
        <f t="shared" si="24"/>
        <v>365</v>
      </c>
      <c r="BU72" s="253">
        <v>1</v>
      </c>
      <c r="BV72" s="1135">
        <v>0</v>
      </c>
      <c r="BW72" s="1135" t="s">
        <v>2224</v>
      </c>
      <c r="BX72" s="257">
        <v>0</v>
      </c>
      <c r="BY72" s="436">
        <v>0</v>
      </c>
      <c r="BZ72" s="1135">
        <v>1</v>
      </c>
      <c r="CA72" s="1135">
        <v>0</v>
      </c>
      <c r="CB72" s="1296"/>
      <c r="CD72" s="1136" t="str">
        <f>IF(A72=FALSE,"",Calcul!NZ72)</f>
        <v/>
      </c>
      <c r="CE72" s="1136" t="s">
        <v>2224</v>
      </c>
      <c r="CF72" s="1132" t="s">
        <v>2138</v>
      </c>
      <c r="CG72" s="1136" t="s">
        <v>2254</v>
      </c>
      <c r="CH72" s="1135" t="s">
        <v>2224</v>
      </c>
      <c r="CI72" s="257">
        <v>0</v>
      </c>
      <c r="CJ72" s="436">
        <v>0</v>
      </c>
      <c r="CK72" s="1135">
        <v>1</v>
      </c>
      <c r="CL72" s="1135">
        <v>0</v>
      </c>
      <c r="CM72" s="1170">
        <v>100000</v>
      </c>
      <c r="CN72" s="243">
        <v>2</v>
      </c>
      <c r="CO72" s="1135">
        <v>0</v>
      </c>
      <c r="CP72" s="1170">
        <f t="shared" si="16"/>
        <v>100000</v>
      </c>
      <c r="CQ72" s="243">
        <v>2</v>
      </c>
      <c r="CR72" s="1135">
        <v>0</v>
      </c>
    </row>
    <row r="73" spans="1:96" s="1127" customFormat="1" ht="30" customHeight="1" outlineLevel="1">
      <c r="A73" s="396" t="b">
        <f>Calcul!A73</f>
        <v>0</v>
      </c>
      <c r="B73" s="438" t="str">
        <f t="shared" si="17"/>
        <v/>
      </c>
      <c r="C73" s="1132" t="b">
        <v>0</v>
      </c>
      <c r="D73" s="1133" t="s">
        <v>2293</v>
      </c>
      <c r="E73" s="1075" t="s">
        <v>2139</v>
      </c>
      <c r="F73" s="338" t="str">
        <f>IF(A73=FALSE,"",IF(NAMES!$D$10=FALSE,IF(Detail!H73="","",Detail!H73),IF(Crewlist!D73="","",Crewlist!D73)))</f>
        <v/>
      </c>
      <c r="G73" s="338" t="str">
        <f>IF(A73=FALSE,"",IF(NAMES!$D$10=FALSE,IF(Detail!P73="","",Detail!P73),IF(Crewlist!E73="","",Crewlist!E73)))</f>
        <v/>
      </c>
      <c r="H73" s="338" t="str">
        <f>IF(A73=FALSE,"",IF(NAMES!$D$10=FALSE,IF(Detail!K73="","",Detail!K73),IF(Crewlist!F73="","",Crewlist!F73)))</f>
        <v/>
      </c>
      <c r="I73" s="1345" t="str">
        <f>IF(Crewlist!T73="","",Crewlist!T73)</f>
        <v/>
      </c>
      <c r="J73" s="1345" t="str">
        <f>IF(Crewlist!D73="","",IF(Crewlist!U73="",Crewlist!Y73,IF(DATERENOUVMOINS730&lt;&gt;Crewlist!U73&lt;&gt;Crewlist!Y73,Crewlist!U73,DATERENOUVMOINS365)))</f>
        <v/>
      </c>
      <c r="K73" s="1346" t="str">
        <f>IF(Detail!X73="","",Detail!X73)</f>
        <v/>
      </c>
      <c r="L73" s="1346" t="str">
        <f>IF(Detail!H73="","",IF(Detail!Y73="",DATERENOUV,IF(Detail!Y73&gt;Detail!D73,Detail!D73,Detail!Y73)))</f>
        <v/>
      </c>
      <c r="M73" s="829" t="str">
        <f>IF(A73=FALSE,"",IF(NAMES!$D$10=FALSE,IF(B73=B74,IF(N73=N74,0,(DATEDIF(K73,L73,"M")+1)),(DATEDIF(K73,L73,"M")+1)),IF(B73=B74,IF(N73=N74,0,(DATEDIF(I73,J73,"M")+1)),(DATEDIF(I73,J73,"M")+1))))</f>
        <v/>
      </c>
      <c r="N73" s="829" t="str">
        <f t="shared" si="5"/>
        <v/>
      </c>
      <c r="O73" s="340" t="str">
        <f>IF(A73=FALSE,"",IF(NAMES!$D$10=FALSE,IF((DATEDIF(K73,L73,"D")+1)&lt;365,(DATEDIF(K73,L73,"D")+1),365),IF((DATEDIF(I73,J73,"D")+1)&lt;365,(DATEDIF(I73,J73,"D")+1),365)))</f>
        <v/>
      </c>
      <c r="P73" s="340" t="str">
        <f>IF(A73=FALSE,"",IF(NAMES!$D$10=FALSE,IF(L73="",365,DATEDIF(K73,L73,"D")+1),IF(L73="",365,DATEDIF(I73,J73,"D")+1)))</f>
        <v/>
      </c>
      <c r="Q73" s="787" t="str">
        <f>Calcul!X73</f>
        <v/>
      </c>
      <c r="R73" s="787" t="str">
        <f>Calcul!Y73</f>
        <v/>
      </c>
      <c r="S73" s="811" t="str">
        <f>Calcul!AG73</f>
        <v/>
      </c>
      <c r="T73" s="350" t="str">
        <f>IF(A73=FALSE,"",IF(NAMES!$D$10=FALSE,IF(Detail!S73="","",Detail!S73),IF(Crewlist!V73="","",Crewlist!V73)))</f>
        <v/>
      </c>
      <c r="U73" s="242" t="str">
        <f>Calcul!AI73</f>
        <v/>
      </c>
      <c r="V73" s="242" t="str">
        <f>Calcul!AL73</f>
        <v/>
      </c>
      <c r="W73" s="242" t="str">
        <f>Calcul!AM73</f>
        <v/>
      </c>
      <c r="X73" s="335" t="str">
        <f>Calcul!AN73</f>
        <v/>
      </c>
      <c r="Y73" s="242" t="str">
        <f>Calcul!AO73</f>
        <v/>
      </c>
      <c r="Z73" s="242" t="str">
        <f>Calcul!AP73</f>
        <v/>
      </c>
      <c r="AA73" s="335" t="str">
        <f>Calcul!AQ73</f>
        <v/>
      </c>
      <c r="AB73" s="335" t="str">
        <f>IF(C73=FALSE,"",Calcul!BE73+Calcul!BF73)</f>
        <v/>
      </c>
      <c r="AC73" s="335" t="str">
        <f>IF(C73=FALSE,"",(Calcul!BG73+Calcul!BH73)+SUM(Calcul!BI73:BN73))</f>
        <v/>
      </c>
      <c r="AD73" s="335" t="str">
        <f>Calcul!BP73</f>
        <v/>
      </c>
      <c r="AE73" s="1325" t="s">
        <v>2866</v>
      </c>
      <c r="AF73" s="1134" t="s">
        <v>2254</v>
      </c>
      <c r="AG73" s="318" t="str">
        <f>IF(A73=FALSE,"",YEAR(Detail!F73)&amp;Detail!AG73&amp;Detail!AD73&amp;"-"&amp;Detail!AE73)</f>
        <v/>
      </c>
      <c r="AH73" s="1134" t="s">
        <v>2224</v>
      </c>
      <c r="AI73" s="1453">
        <v>0.1</v>
      </c>
      <c r="AJ73" s="1135">
        <f t="shared" si="18"/>
        <v>0.1</v>
      </c>
      <c r="AK73" s="1135">
        <f t="shared" si="19"/>
        <v>0</v>
      </c>
      <c r="AL73" s="1135">
        <f t="shared" si="20"/>
        <v>0</v>
      </c>
      <c r="AM73" s="1135" t="s">
        <v>2224</v>
      </c>
      <c r="AN73" s="1455">
        <v>15.1752</v>
      </c>
      <c r="AO73" s="436">
        <v>0</v>
      </c>
      <c r="AP73" s="1135">
        <v>1</v>
      </c>
      <c r="AQ73" s="1135">
        <v>0</v>
      </c>
      <c r="AT73" s="1132" t="s">
        <v>2140</v>
      </c>
      <c r="AU73" s="1136" t="s">
        <v>2255</v>
      </c>
      <c r="AV73" s="1136" t="str">
        <f>IF(A73=FALSE,"",IF(Detail!AT73="","N/A",YEAR(Detail!F73)&amp;Detail!AW73&amp;Detail!AT73&amp;"-"&amp;Detail!AU73&amp;" (100%/"&amp;Detail!CD73&amp;"/"&amp;Detail!CE73&amp;")"))</f>
        <v/>
      </c>
      <c r="AW73" s="1136" t="s">
        <v>2224</v>
      </c>
      <c r="AX73" s="1320" t="str">
        <f>Calcul!DB73</f>
        <v/>
      </c>
      <c r="AY73" s="1170" t="str">
        <f>IF(A73=FALSE,"",51000+(Detail!AA73*7000))</f>
        <v/>
      </c>
      <c r="AZ73" s="1170">
        <v>50000</v>
      </c>
      <c r="BA73" s="243">
        <v>3</v>
      </c>
      <c r="BB73" s="1135">
        <v>0</v>
      </c>
      <c r="BC73" s="1170" t="str">
        <f>IF(A73=FALSE,"",51000+(Detail!AA73*7000))</f>
        <v/>
      </c>
      <c r="BD73" s="1170">
        <f t="shared" si="13"/>
        <v>50000</v>
      </c>
      <c r="BE73" s="243">
        <f t="shared" si="14"/>
        <v>3</v>
      </c>
      <c r="BF73" s="1135">
        <f t="shared" si="15"/>
        <v>0</v>
      </c>
      <c r="BG73" s="1170" t="str">
        <f t="shared" si="21"/>
        <v/>
      </c>
      <c r="BH73" s="1170">
        <v>50000</v>
      </c>
      <c r="BI73" s="243">
        <v>3</v>
      </c>
      <c r="BJ73" s="1135">
        <v>0</v>
      </c>
      <c r="BK73" s="1170" t="str">
        <f t="shared" si="22"/>
        <v/>
      </c>
      <c r="BL73" s="1170">
        <v>50000</v>
      </c>
      <c r="BM73" s="243">
        <v>3</v>
      </c>
      <c r="BN73" s="1135">
        <v>0</v>
      </c>
      <c r="BO73" s="1132">
        <v>7</v>
      </c>
      <c r="BP73" s="1075">
        <v>365</v>
      </c>
      <c r="BQ73" s="244">
        <v>1</v>
      </c>
      <c r="BR73" s="1135">
        <v>0</v>
      </c>
      <c r="BS73" s="1132">
        <f t="shared" si="23"/>
        <v>7</v>
      </c>
      <c r="BT73" s="1075">
        <f t="shared" si="24"/>
        <v>365</v>
      </c>
      <c r="BU73" s="253">
        <v>1</v>
      </c>
      <c r="BV73" s="1135">
        <v>0</v>
      </c>
      <c r="BW73" s="1135" t="s">
        <v>2224</v>
      </c>
      <c r="BX73" s="257">
        <v>0</v>
      </c>
      <c r="BY73" s="436">
        <v>0</v>
      </c>
      <c r="BZ73" s="1135">
        <v>1</v>
      </c>
      <c r="CA73" s="1135">
        <v>0</v>
      </c>
      <c r="CB73" s="1296"/>
      <c r="CD73" s="1136" t="str">
        <f>IF(A73=FALSE,"",Calcul!NZ73)</f>
        <v/>
      </c>
      <c r="CE73" s="1136" t="s">
        <v>2224</v>
      </c>
      <c r="CF73" s="1132" t="s">
        <v>2138</v>
      </c>
      <c r="CG73" s="1136" t="s">
        <v>2254</v>
      </c>
      <c r="CH73" s="1135" t="s">
        <v>2224</v>
      </c>
      <c r="CI73" s="257">
        <v>0</v>
      </c>
      <c r="CJ73" s="436">
        <v>0</v>
      </c>
      <c r="CK73" s="1135">
        <v>1</v>
      </c>
      <c r="CL73" s="1135">
        <v>0</v>
      </c>
      <c r="CM73" s="1170">
        <v>100000</v>
      </c>
      <c r="CN73" s="243">
        <v>2</v>
      </c>
      <c r="CO73" s="1135">
        <v>0</v>
      </c>
      <c r="CP73" s="1170">
        <f t="shared" si="16"/>
        <v>100000</v>
      </c>
      <c r="CQ73" s="243">
        <v>2</v>
      </c>
      <c r="CR73" s="1135">
        <v>0</v>
      </c>
    </row>
    <row r="74" spans="1:96" s="1127" customFormat="1" ht="30" customHeight="1" outlineLevel="1">
      <c r="A74" s="396" t="b">
        <f>Calcul!A74</f>
        <v>0</v>
      </c>
      <c r="B74" s="438" t="str">
        <f t="shared" si="17"/>
        <v/>
      </c>
      <c r="C74" s="1132" t="b">
        <v>0</v>
      </c>
      <c r="D74" s="1133" t="s">
        <v>2293</v>
      </c>
      <c r="E74" s="1075" t="s">
        <v>2139</v>
      </c>
      <c r="F74" s="338" t="str">
        <f>IF(A74=FALSE,"",IF(NAMES!$D$10=FALSE,IF(Detail!H74="","",Detail!H74),IF(Crewlist!D74="","",Crewlist!D74)))</f>
        <v/>
      </c>
      <c r="G74" s="338" t="str">
        <f>IF(A74=FALSE,"",IF(NAMES!$D$10=FALSE,IF(Detail!P74="","",Detail!P74),IF(Crewlist!E74="","",Crewlist!E74)))</f>
        <v/>
      </c>
      <c r="H74" s="338" t="str">
        <f>IF(A74=FALSE,"",IF(NAMES!$D$10=FALSE,IF(Detail!K74="","",Detail!K74),IF(Crewlist!F74="","",Crewlist!F74)))</f>
        <v/>
      </c>
      <c r="I74" s="1345" t="str">
        <f>IF(Crewlist!T74="","",Crewlist!T74)</f>
        <v/>
      </c>
      <c r="J74" s="1345" t="str">
        <f>IF(Crewlist!D74="","",IF(Crewlist!U74="",Crewlist!Y74,IF(DATERENOUVMOINS730&lt;&gt;Crewlist!U74&lt;&gt;Crewlist!Y74,Crewlist!U74,DATERENOUVMOINS365)))</f>
        <v/>
      </c>
      <c r="K74" s="1346" t="str">
        <f>IF(Detail!X74="","",Detail!X74)</f>
        <v/>
      </c>
      <c r="L74" s="1346" t="str">
        <f>IF(Detail!H74="","",IF(Detail!Y74="",DATERENOUV,IF(Detail!Y74&gt;Detail!D74,Detail!D74,Detail!Y74)))</f>
        <v/>
      </c>
      <c r="M74" s="829" t="str">
        <f>IF(A74=FALSE,"",IF(NAMES!$D$10=FALSE,IF(B74=B75,IF(N74=N75,0,(DATEDIF(K74,L74,"M")+1)),(DATEDIF(K74,L74,"M")+1)),IF(B74=B75,IF(N74=N75,0,(DATEDIF(I74,J74,"M")+1)),(DATEDIF(I74,J74,"M")+1))))</f>
        <v/>
      </c>
      <c r="N74" s="829" t="str">
        <f t="shared" si="5"/>
        <v/>
      </c>
      <c r="O74" s="340" t="str">
        <f>IF(A74=FALSE,"",IF(NAMES!$D$10=FALSE,IF((DATEDIF(K74,L74,"D")+1)&lt;365,(DATEDIF(K74,L74,"D")+1),365),IF((DATEDIF(I74,J74,"D")+1)&lt;365,(DATEDIF(I74,J74,"D")+1),365)))</f>
        <v/>
      </c>
      <c r="P74" s="340" t="str">
        <f>IF(A74=FALSE,"",IF(NAMES!$D$10=FALSE,IF(L74="",365,DATEDIF(K74,L74,"D")+1),IF(L74="",365,DATEDIF(I74,J74,"D")+1)))</f>
        <v/>
      </c>
      <c r="Q74" s="787" t="str">
        <f>Calcul!X74</f>
        <v/>
      </c>
      <c r="R74" s="787" t="str">
        <f>Calcul!Y74</f>
        <v/>
      </c>
      <c r="S74" s="811" t="str">
        <f>Calcul!AG74</f>
        <v/>
      </c>
      <c r="T74" s="350" t="str">
        <f>IF(A74=FALSE,"",IF(NAMES!$D$10=FALSE,IF(Detail!S74="","",Detail!S74),IF(Crewlist!V74="","",Crewlist!V74)))</f>
        <v/>
      </c>
      <c r="U74" s="242" t="str">
        <f>Calcul!AI74</f>
        <v/>
      </c>
      <c r="V74" s="242" t="str">
        <f>Calcul!AL74</f>
        <v/>
      </c>
      <c r="W74" s="242" t="str">
        <f>Calcul!AM74</f>
        <v/>
      </c>
      <c r="X74" s="335" t="str">
        <f>Calcul!AN74</f>
        <v/>
      </c>
      <c r="Y74" s="242" t="str">
        <f>Calcul!AO74</f>
        <v/>
      </c>
      <c r="Z74" s="242" t="str">
        <f>Calcul!AP74</f>
        <v/>
      </c>
      <c r="AA74" s="335" t="str">
        <f>Calcul!AQ74</f>
        <v/>
      </c>
      <c r="AB74" s="335" t="str">
        <f>IF(C74=FALSE,"",Calcul!BE74+Calcul!BF74)</f>
        <v/>
      </c>
      <c r="AC74" s="335" t="str">
        <f>IF(C74=FALSE,"",(Calcul!BG74+Calcul!BH74)+SUM(Calcul!BI74:BN74))</f>
        <v/>
      </c>
      <c r="AD74" s="335" t="str">
        <f>Calcul!BP74</f>
        <v/>
      </c>
      <c r="AE74" s="1325" t="s">
        <v>2866</v>
      </c>
      <c r="AF74" s="1134" t="s">
        <v>2254</v>
      </c>
      <c r="AG74" s="318" t="str">
        <f>IF(A74=FALSE,"",YEAR(Detail!F74)&amp;Detail!AG74&amp;Detail!AD74&amp;"-"&amp;Detail!AE74)</f>
        <v/>
      </c>
      <c r="AH74" s="1134" t="s">
        <v>2224</v>
      </c>
      <c r="AI74" s="1453">
        <v>0.1</v>
      </c>
      <c r="AJ74" s="1135">
        <f t="shared" si="18"/>
        <v>0.1</v>
      </c>
      <c r="AK74" s="1135">
        <f t="shared" si="19"/>
        <v>0</v>
      </c>
      <c r="AL74" s="1135">
        <f t="shared" si="20"/>
        <v>0</v>
      </c>
      <c r="AM74" s="1135" t="s">
        <v>2224</v>
      </c>
      <c r="AN74" s="1455">
        <v>15.1752</v>
      </c>
      <c r="AO74" s="436">
        <v>0</v>
      </c>
      <c r="AP74" s="1135">
        <v>1</v>
      </c>
      <c r="AQ74" s="1135">
        <v>0</v>
      </c>
      <c r="AT74" s="1132" t="s">
        <v>2140</v>
      </c>
      <c r="AU74" s="1136" t="s">
        <v>2255</v>
      </c>
      <c r="AV74" s="1136" t="str">
        <f>IF(A74=FALSE,"",IF(Detail!AT74="","N/A",YEAR(Detail!F74)&amp;Detail!AW74&amp;Detail!AT74&amp;"-"&amp;Detail!AU74&amp;" (100%/"&amp;Detail!CD74&amp;"/"&amp;Detail!CE74&amp;")"))</f>
        <v/>
      </c>
      <c r="AW74" s="1136" t="s">
        <v>2224</v>
      </c>
      <c r="AX74" s="1320" t="str">
        <f>Calcul!DB74</f>
        <v/>
      </c>
      <c r="AY74" s="1170" t="str">
        <f>IF(A74=FALSE,"",51000+(Detail!AA74*7000))</f>
        <v/>
      </c>
      <c r="AZ74" s="1170">
        <v>50000</v>
      </c>
      <c r="BA74" s="243">
        <v>3</v>
      </c>
      <c r="BB74" s="1135">
        <v>0</v>
      </c>
      <c r="BC74" s="1170" t="str">
        <f>IF(A74=FALSE,"",51000+(Detail!AA74*7000))</f>
        <v/>
      </c>
      <c r="BD74" s="1170">
        <f t="shared" si="13"/>
        <v>50000</v>
      </c>
      <c r="BE74" s="243">
        <f t="shared" si="14"/>
        <v>3</v>
      </c>
      <c r="BF74" s="1135">
        <f t="shared" si="15"/>
        <v>0</v>
      </c>
      <c r="BG74" s="1170" t="str">
        <f t="shared" si="21"/>
        <v/>
      </c>
      <c r="BH74" s="1170">
        <v>50000</v>
      </c>
      <c r="BI74" s="243">
        <v>3</v>
      </c>
      <c r="BJ74" s="1135">
        <v>0</v>
      </c>
      <c r="BK74" s="1170" t="str">
        <f t="shared" si="22"/>
        <v/>
      </c>
      <c r="BL74" s="1170">
        <v>50000</v>
      </c>
      <c r="BM74" s="243">
        <v>3</v>
      </c>
      <c r="BN74" s="1135">
        <v>0</v>
      </c>
      <c r="BO74" s="1132">
        <v>7</v>
      </c>
      <c r="BP74" s="1075">
        <v>365</v>
      </c>
      <c r="BQ74" s="244">
        <v>1</v>
      </c>
      <c r="BR74" s="1135">
        <v>0</v>
      </c>
      <c r="BS74" s="1132">
        <f t="shared" si="23"/>
        <v>7</v>
      </c>
      <c r="BT74" s="1075">
        <f t="shared" si="24"/>
        <v>365</v>
      </c>
      <c r="BU74" s="253">
        <v>1</v>
      </c>
      <c r="BV74" s="1135">
        <v>0</v>
      </c>
      <c r="BW74" s="1135" t="s">
        <v>2224</v>
      </c>
      <c r="BX74" s="257">
        <v>0</v>
      </c>
      <c r="BY74" s="436">
        <v>0</v>
      </c>
      <c r="BZ74" s="1135">
        <v>1</v>
      </c>
      <c r="CA74" s="1135">
        <v>0</v>
      </c>
      <c r="CB74" s="1296"/>
      <c r="CD74" s="1136" t="str">
        <f>IF(A74=FALSE,"",Calcul!NZ74)</f>
        <v/>
      </c>
      <c r="CE74" s="1136" t="s">
        <v>2224</v>
      </c>
      <c r="CF74" s="1132" t="s">
        <v>2138</v>
      </c>
      <c r="CG74" s="1136" t="s">
        <v>2254</v>
      </c>
      <c r="CH74" s="1135" t="s">
        <v>2224</v>
      </c>
      <c r="CI74" s="257">
        <v>0</v>
      </c>
      <c r="CJ74" s="436">
        <v>0</v>
      </c>
      <c r="CK74" s="1135">
        <v>1</v>
      </c>
      <c r="CL74" s="1135">
        <v>0</v>
      </c>
      <c r="CM74" s="1170">
        <v>100000</v>
      </c>
      <c r="CN74" s="243">
        <v>2</v>
      </c>
      <c r="CO74" s="1135">
        <v>0</v>
      </c>
      <c r="CP74" s="1170">
        <f t="shared" si="16"/>
        <v>100000</v>
      </c>
      <c r="CQ74" s="243">
        <v>2</v>
      </c>
      <c r="CR74" s="1135">
        <v>0</v>
      </c>
    </row>
    <row r="75" spans="1:96" s="1127" customFormat="1" ht="30" customHeight="1" outlineLevel="1">
      <c r="A75" s="396" t="b">
        <f>Calcul!A75</f>
        <v>0</v>
      </c>
      <c r="B75" s="438" t="str">
        <f t="shared" si="17"/>
        <v/>
      </c>
      <c r="C75" s="1132" t="b">
        <v>0</v>
      </c>
      <c r="D75" s="1133" t="s">
        <v>2293</v>
      </c>
      <c r="E75" s="1075" t="s">
        <v>2139</v>
      </c>
      <c r="F75" s="338" t="str">
        <f>IF(A75=FALSE,"",IF(NAMES!$D$10=FALSE,IF(Detail!H75="","",Detail!H75),IF(Crewlist!D75="","",Crewlist!D75)))</f>
        <v/>
      </c>
      <c r="G75" s="338" t="str">
        <f>IF(A75=FALSE,"",IF(NAMES!$D$10=FALSE,IF(Detail!P75="","",Detail!P75),IF(Crewlist!E75="","",Crewlist!E75)))</f>
        <v/>
      </c>
      <c r="H75" s="338" t="str">
        <f>IF(A75=FALSE,"",IF(NAMES!$D$10=FALSE,IF(Detail!K75="","",Detail!K75),IF(Crewlist!F75="","",Crewlist!F75)))</f>
        <v/>
      </c>
      <c r="I75" s="1345" t="str">
        <f>IF(Crewlist!T75="","",Crewlist!T75)</f>
        <v/>
      </c>
      <c r="J75" s="1345" t="str">
        <f>IF(Crewlist!D75="","",IF(Crewlist!U75="",Crewlist!Y75,IF(DATERENOUVMOINS730&lt;&gt;Crewlist!U75&lt;&gt;Crewlist!Y75,Crewlist!U75,DATERENOUVMOINS365)))</f>
        <v/>
      </c>
      <c r="K75" s="1346" t="str">
        <f>IF(Detail!X75="","",Detail!X75)</f>
        <v/>
      </c>
      <c r="L75" s="1346" t="str">
        <f>IF(Detail!H75="","",IF(Detail!Y75="",DATERENOUV,IF(Detail!Y75&gt;Detail!D75,Detail!D75,Detail!Y75)))</f>
        <v/>
      </c>
      <c r="M75" s="829" t="str">
        <f>IF(A75=FALSE,"",IF(NAMES!$D$10=FALSE,IF(B75=B76,IF(N75=N76,0,(DATEDIF(K75,L75,"M")+1)),(DATEDIF(K75,L75,"M")+1)),IF(B75=B76,IF(N75=N76,0,(DATEDIF(I75,J75,"M")+1)),(DATEDIF(I75,J75,"M")+1))))</f>
        <v/>
      </c>
      <c r="N75" s="829" t="str">
        <f t="shared" si="5"/>
        <v/>
      </c>
      <c r="O75" s="340" t="str">
        <f>IF(A75=FALSE,"",IF(NAMES!$D$10=FALSE,IF((DATEDIF(K75,L75,"D")+1)&lt;365,(DATEDIF(K75,L75,"D")+1),365),IF((DATEDIF(I75,J75,"D")+1)&lt;365,(DATEDIF(I75,J75,"D")+1),365)))</f>
        <v/>
      </c>
      <c r="P75" s="340" t="str">
        <f>IF(A75=FALSE,"",IF(NAMES!$D$10=FALSE,IF(L75="",365,DATEDIF(K75,L75,"D")+1),IF(L75="",365,DATEDIF(I75,J75,"D")+1)))</f>
        <v/>
      </c>
      <c r="Q75" s="787" t="str">
        <f>Calcul!X75</f>
        <v/>
      </c>
      <c r="R75" s="787" t="str">
        <f>Calcul!Y75</f>
        <v/>
      </c>
      <c r="S75" s="811" t="str">
        <f>Calcul!AG75</f>
        <v/>
      </c>
      <c r="T75" s="350" t="str">
        <f>IF(A75=FALSE,"",IF(NAMES!$D$10=FALSE,IF(Detail!S75="","",Detail!S75),IF(Crewlist!V75="","",Crewlist!V75)))</f>
        <v/>
      </c>
      <c r="U75" s="242" t="str">
        <f>Calcul!AI75</f>
        <v/>
      </c>
      <c r="V75" s="242" t="str">
        <f>Calcul!AL75</f>
        <v/>
      </c>
      <c r="W75" s="242" t="str">
        <f>Calcul!AM75</f>
        <v/>
      </c>
      <c r="X75" s="335" t="str">
        <f>Calcul!AN75</f>
        <v/>
      </c>
      <c r="Y75" s="242" t="str">
        <f>Calcul!AO75</f>
        <v/>
      </c>
      <c r="Z75" s="242" t="str">
        <f>Calcul!AP75</f>
        <v/>
      </c>
      <c r="AA75" s="335" t="str">
        <f>Calcul!AQ75</f>
        <v/>
      </c>
      <c r="AB75" s="335" t="str">
        <f>IF(C75=FALSE,"",Calcul!BE75+Calcul!BF75)</f>
        <v/>
      </c>
      <c r="AC75" s="335" t="str">
        <f>IF(C75=FALSE,"",(Calcul!BG75+Calcul!BH75)+SUM(Calcul!BI75:BN75))</f>
        <v/>
      </c>
      <c r="AD75" s="335" t="str">
        <f>Calcul!BP75</f>
        <v/>
      </c>
      <c r="AE75" s="1325" t="s">
        <v>2866</v>
      </c>
      <c r="AF75" s="1134" t="s">
        <v>2254</v>
      </c>
      <c r="AG75" s="318" t="str">
        <f>IF(A75=FALSE,"",YEAR(Detail!F75)&amp;Detail!AG75&amp;Detail!AD75&amp;"-"&amp;Detail!AE75)</f>
        <v/>
      </c>
      <c r="AH75" s="1134" t="s">
        <v>2224</v>
      </c>
      <c r="AI75" s="1453">
        <v>0.1</v>
      </c>
      <c r="AJ75" s="1135">
        <f t="shared" si="18"/>
        <v>0.1</v>
      </c>
      <c r="AK75" s="1135">
        <f t="shared" si="19"/>
        <v>0</v>
      </c>
      <c r="AL75" s="1135">
        <f t="shared" si="20"/>
        <v>0</v>
      </c>
      <c r="AM75" s="1135" t="s">
        <v>2224</v>
      </c>
      <c r="AN75" s="1455">
        <v>15.1752</v>
      </c>
      <c r="AO75" s="436">
        <v>0</v>
      </c>
      <c r="AP75" s="1135">
        <v>1</v>
      </c>
      <c r="AQ75" s="1135">
        <v>0</v>
      </c>
      <c r="AT75" s="1132" t="s">
        <v>2140</v>
      </c>
      <c r="AU75" s="1136" t="s">
        <v>2255</v>
      </c>
      <c r="AV75" s="1136" t="str">
        <f>IF(A75=FALSE,"",IF(Detail!AT75="","N/A",YEAR(Detail!F75)&amp;Detail!AW75&amp;Detail!AT75&amp;"-"&amp;Detail!AU75&amp;" (100%/"&amp;Detail!CD75&amp;"/"&amp;Detail!CE75&amp;")"))</f>
        <v/>
      </c>
      <c r="AW75" s="1136" t="s">
        <v>2224</v>
      </c>
      <c r="AX75" s="1320" t="str">
        <f>Calcul!DB75</f>
        <v/>
      </c>
      <c r="AY75" s="1170" t="str">
        <f>IF(A75=FALSE,"",51000+(Detail!AA75*7000))</f>
        <v/>
      </c>
      <c r="AZ75" s="1170">
        <v>50000</v>
      </c>
      <c r="BA75" s="243">
        <v>3</v>
      </c>
      <c r="BB75" s="1135">
        <v>0</v>
      </c>
      <c r="BC75" s="1170" t="str">
        <f>IF(A75=FALSE,"",51000+(Detail!AA75*7000))</f>
        <v/>
      </c>
      <c r="BD75" s="1170">
        <f t="shared" si="13"/>
        <v>50000</v>
      </c>
      <c r="BE75" s="243">
        <f t="shared" si="14"/>
        <v>3</v>
      </c>
      <c r="BF75" s="1135">
        <f t="shared" si="15"/>
        <v>0</v>
      </c>
      <c r="BG75" s="1170" t="str">
        <f t="shared" si="21"/>
        <v/>
      </c>
      <c r="BH75" s="1170">
        <v>50000</v>
      </c>
      <c r="BI75" s="243">
        <v>3</v>
      </c>
      <c r="BJ75" s="1135">
        <v>0</v>
      </c>
      <c r="BK75" s="1170" t="str">
        <f t="shared" si="22"/>
        <v/>
      </c>
      <c r="BL75" s="1170">
        <v>50000</v>
      </c>
      <c r="BM75" s="243">
        <v>3</v>
      </c>
      <c r="BN75" s="1135">
        <v>0</v>
      </c>
      <c r="BO75" s="1132">
        <v>7</v>
      </c>
      <c r="BP75" s="1075">
        <v>365</v>
      </c>
      <c r="BQ75" s="244">
        <v>1</v>
      </c>
      <c r="BR75" s="1135">
        <v>0</v>
      </c>
      <c r="BS75" s="1132">
        <f t="shared" si="23"/>
        <v>7</v>
      </c>
      <c r="BT75" s="1075">
        <f t="shared" si="24"/>
        <v>365</v>
      </c>
      <c r="BU75" s="253">
        <v>1</v>
      </c>
      <c r="BV75" s="1135">
        <v>0</v>
      </c>
      <c r="BW75" s="1135" t="s">
        <v>2224</v>
      </c>
      <c r="BX75" s="257">
        <v>0</v>
      </c>
      <c r="BY75" s="436">
        <v>0</v>
      </c>
      <c r="BZ75" s="1135">
        <v>1</v>
      </c>
      <c r="CA75" s="1135">
        <v>0</v>
      </c>
      <c r="CB75" s="1296"/>
      <c r="CD75" s="1136" t="str">
        <f>IF(A75=FALSE,"",Calcul!NZ75)</f>
        <v/>
      </c>
      <c r="CE75" s="1136" t="s">
        <v>2224</v>
      </c>
      <c r="CF75" s="1132" t="s">
        <v>2138</v>
      </c>
      <c r="CG75" s="1136" t="s">
        <v>2254</v>
      </c>
      <c r="CH75" s="1135" t="s">
        <v>2224</v>
      </c>
      <c r="CI75" s="257">
        <v>0</v>
      </c>
      <c r="CJ75" s="436">
        <v>0</v>
      </c>
      <c r="CK75" s="1135">
        <v>1</v>
      </c>
      <c r="CL75" s="1135">
        <v>0</v>
      </c>
      <c r="CM75" s="1170">
        <v>100000</v>
      </c>
      <c r="CN75" s="243">
        <v>2</v>
      </c>
      <c r="CO75" s="1135">
        <v>0</v>
      </c>
      <c r="CP75" s="1170">
        <f t="shared" si="16"/>
        <v>100000</v>
      </c>
      <c r="CQ75" s="243">
        <v>2</v>
      </c>
      <c r="CR75" s="1135">
        <v>0</v>
      </c>
    </row>
    <row r="76" spans="1:96" s="1127" customFormat="1" ht="30" customHeight="1" outlineLevel="1">
      <c r="A76" s="396" t="b">
        <f>Calcul!A76</f>
        <v>0</v>
      </c>
      <c r="B76" s="438" t="str">
        <f t="shared" si="17"/>
        <v/>
      </c>
      <c r="C76" s="1132" t="b">
        <v>0</v>
      </c>
      <c r="D76" s="1133" t="s">
        <v>2293</v>
      </c>
      <c r="E76" s="1075" t="s">
        <v>2139</v>
      </c>
      <c r="F76" s="338" t="str">
        <f>IF(A76=FALSE,"",IF(NAMES!$D$10=FALSE,IF(Detail!H76="","",Detail!H76),IF(Crewlist!D76="","",Crewlist!D76)))</f>
        <v/>
      </c>
      <c r="G76" s="338" t="str">
        <f>IF(A76=FALSE,"",IF(NAMES!$D$10=FALSE,IF(Detail!P76="","",Detail!P76),IF(Crewlist!E76="","",Crewlist!E76)))</f>
        <v/>
      </c>
      <c r="H76" s="338" t="str">
        <f>IF(A76=FALSE,"",IF(NAMES!$D$10=FALSE,IF(Detail!K76="","",Detail!K76),IF(Crewlist!F76="","",Crewlist!F76)))</f>
        <v/>
      </c>
      <c r="I76" s="1345" t="str">
        <f>IF(Crewlist!T76="","",Crewlist!T76)</f>
        <v/>
      </c>
      <c r="J76" s="1345" t="str">
        <f>IF(Crewlist!D76="","",IF(Crewlist!U76="",Crewlist!Y76,IF(DATERENOUVMOINS730&lt;&gt;Crewlist!U76&lt;&gt;Crewlist!Y76,Crewlist!U76,DATERENOUVMOINS365)))</f>
        <v/>
      </c>
      <c r="K76" s="1346" t="str">
        <f>IF(Detail!X76="","",Detail!X76)</f>
        <v/>
      </c>
      <c r="L76" s="1346" t="str">
        <f>IF(Detail!H76="","",IF(Detail!Y76="",DATERENOUV,IF(Detail!Y76&gt;Detail!D76,Detail!D76,Detail!Y76)))</f>
        <v/>
      </c>
      <c r="M76" s="829" t="str">
        <f>IF(A76=FALSE,"",IF(NAMES!$D$10=FALSE,IF(B76=B77,IF(N76=N77,0,(DATEDIF(K76,L76,"M")+1)),(DATEDIF(K76,L76,"M")+1)),IF(B76=B77,IF(N76=N77,0,(DATEDIF(I76,J76,"M")+1)),(DATEDIF(I76,J76,"M")+1))))</f>
        <v/>
      </c>
      <c r="N76" s="829" t="str">
        <f t="shared" si="5"/>
        <v/>
      </c>
      <c r="O76" s="340" t="str">
        <f>IF(A76=FALSE,"",IF(NAMES!$D$10=FALSE,IF((DATEDIF(K76,L76,"D")+1)&lt;365,(DATEDIF(K76,L76,"D")+1),365),IF((DATEDIF(I76,J76,"D")+1)&lt;365,(DATEDIF(I76,J76,"D")+1),365)))</f>
        <v/>
      </c>
      <c r="P76" s="340" t="str">
        <f>IF(A76=FALSE,"",IF(NAMES!$D$10=FALSE,IF(L76="",365,DATEDIF(K76,L76,"D")+1),IF(L76="",365,DATEDIF(I76,J76,"D")+1)))</f>
        <v/>
      </c>
      <c r="Q76" s="787" t="str">
        <f>Calcul!X76</f>
        <v/>
      </c>
      <c r="R76" s="787" t="str">
        <f>Calcul!Y76</f>
        <v/>
      </c>
      <c r="S76" s="811" t="str">
        <f>Calcul!AG76</f>
        <v/>
      </c>
      <c r="T76" s="350" t="str">
        <f>IF(A76=FALSE,"",IF(NAMES!$D$10=FALSE,IF(Detail!S76="","",Detail!S76),IF(Crewlist!V76="","",Crewlist!V76)))</f>
        <v/>
      </c>
      <c r="U76" s="242" t="str">
        <f>Calcul!AI76</f>
        <v/>
      </c>
      <c r="V76" s="242" t="str">
        <f>Calcul!AL76</f>
        <v/>
      </c>
      <c r="W76" s="242" t="str">
        <f>Calcul!AM76</f>
        <v/>
      </c>
      <c r="X76" s="335" t="str">
        <f>Calcul!AN76</f>
        <v/>
      </c>
      <c r="Y76" s="242" t="str">
        <f>Calcul!AO76</f>
        <v/>
      </c>
      <c r="Z76" s="242" t="str">
        <f>Calcul!AP76</f>
        <v/>
      </c>
      <c r="AA76" s="335" t="str">
        <f>Calcul!AQ76</f>
        <v/>
      </c>
      <c r="AB76" s="335" t="str">
        <f>IF(C76=FALSE,"",Calcul!BE76+Calcul!BF76)</f>
        <v/>
      </c>
      <c r="AC76" s="335" t="str">
        <f>IF(C76=FALSE,"",(Calcul!BG76+Calcul!BH76)+SUM(Calcul!BI76:BN76))</f>
        <v/>
      </c>
      <c r="AD76" s="335" t="str">
        <f>Calcul!BP76</f>
        <v/>
      </c>
      <c r="AE76" s="1325" t="s">
        <v>2866</v>
      </c>
      <c r="AF76" s="1134" t="s">
        <v>2254</v>
      </c>
      <c r="AG76" s="318" t="str">
        <f>IF(A76=FALSE,"",YEAR(Detail!F76)&amp;Detail!AG76&amp;Detail!AD76&amp;"-"&amp;Detail!AE76)</f>
        <v/>
      </c>
      <c r="AH76" s="1134" t="s">
        <v>2224</v>
      </c>
      <c r="AI76" s="1453">
        <v>0.1</v>
      </c>
      <c r="AJ76" s="1135">
        <f t="shared" si="18"/>
        <v>0.1</v>
      </c>
      <c r="AK76" s="1135">
        <f t="shared" si="19"/>
        <v>0</v>
      </c>
      <c r="AL76" s="1135">
        <f t="shared" si="20"/>
        <v>0</v>
      </c>
      <c r="AM76" s="1135" t="s">
        <v>2224</v>
      </c>
      <c r="AN76" s="1455">
        <v>15.1752</v>
      </c>
      <c r="AO76" s="436">
        <v>0</v>
      </c>
      <c r="AP76" s="1135">
        <v>1</v>
      </c>
      <c r="AQ76" s="1135">
        <v>0</v>
      </c>
      <c r="AT76" s="1132" t="s">
        <v>2140</v>
      </c>
      <c r="AU76" s="1136" t="s">
        <v>2255</v>
      </c>
      <c r="AV76" s="1136" t="str">
        <f>IF(A76=FALSE,"",IF(Detail!AT76="","N/A",YEAR(Detail!F76)&amp;Detail!AW76&amp;Detail!AT76&amp;"-"&amp;Detail!AU76&amp;" (100%/"&amp;Detail!CD76&amp;"/"&amp;Detail!CE76&amp;")"))</f>
        <v/>
      </c>
      <c r="AW76" s="1136" t="s">
        <v>2224</v>
      </c>
      <c r="AX76" s="1320" t="str">
        <f>Calcul!DB76</f>
        <v/>
      </c>
      <c r="AY76" s="1170" t="str">
        <f>IF(A76=FALSE,"",51000+(Detail!AA76*7000))</f>
        <v/>
      </c>
      <c r="AZ76" s="1170">
        <v>50000</v>
      </c>
      <c r="BA76" s="243">
        <v>3</v>
      </c>
      <c r="BB76" s="1135">
        <v>0</v>
      </c>
      <c r="BC76" s="1170" t="str">
        <f>IF(A76=FALSE,"",51000+(Detail!AA76*7000))</f>
        <v/>
      </c>
      <c r="BD76" s="1170">
        <f t="shared" si="13"/>
        <v>50000</v>
      </c>
      <c r="BE76" s="243">
        <f t="shared" si="14"/>
        <v>3</v>
      </c>
      <c r="BF76" s="1135">
        <f t="shared" si="15"/>
        <v>0</v>
      </c>
      <c r="BG76" s="1170" t="str">
        <f t="shared" si="21"/>
        <v/>
      </c>
      <c r="BH76" s="1170">
        <v>50000</v>
      </c>
      <c r="BI76" s="243">
        <v>3</v>
      </c>
      <c r="BJ76" s="1135">
        <v>0</v>
      </c>
      <c r="BK76" s="1170" t="str">
        <f t="shared" si="22"/>
        <v/>
      </c>
      <c r="BL76" s="1170">
        <v>50000</v>
      </c>
      <c r="BM76" s="243">
        <v>3</v>
      </c>
      <c r="BN76" s="1135">
        <v>0</v>
      </c>
      <c r="BO76" s="1132">
        <v>7</v>
      </c>
      <c r="BP76" s="1075">
        <v>365</v>
      </c>
      <c r="BQ76" s="244">
        <v>1</v>
      </c>
      <c r="BR76" s="1135">
        <v>0</v>
      </c>
      <c r="BS76" s="1132">
        <f t="shared" si="23"/>
        <v>7</v>
      </c>
      <c r="BT76" s="1075">
        <f t="shared" si="24"/>
        <v>365</v>
      </c>
      <c r="BU76" s="253">
        <v>1</v>
      </c>
      <c r="BV76" s="1135">
        <v>0</v>
      </c>
      <c r="BW76" s="1135" t="s">
        <v>2224</v>
      </c>
      <c r="BX76" s="257">
        <v>0</v>
      </c>
      <c r="BY76" s="436">
        <v>0</v>
      </c>
      <c r="BZ76" s="1135">
        <v>1</v>
      </c>
      <c r="CA76" s="1135">
        <v>0</v>
      </c>
      <c r="CB76" s="1296"/>
      <c r="CD76" s="1136" t="str">
        <f>IF(A76=FALSE,"",Calcul!NZ76)</f>
        <v/>
      </c>
      <c r="CE76" s="1136" t="s">
        <v>2224</v>
      </c>
      <c r="CF76" s="1132" t="s">
        <v>2138</v>
      </c>
      <c r="CG76" s="1136" t="s">
        <v>2254</v>
      </c>
      <c r="CH76" s="1135" t="s">
        <v>2224</v>
      </c>
      <c r="CI76" s="257">
        <v>0</v>
      </c>
      <c r="CJ76" s="436">
        <v>0</v>
      </c>
      <c r="CK76" s="1135">
        <v>1</v>
      </c>
      <c r="CL76" s="1135">
        <v>0</v>
      </c>
      <c r="CM76" s="1170">
        <v>100000</v>
      </c>
      <c r="CN76" s="243">
        <v>2</v>
      </c>
      <c r="CO76" s="1135">
        <v>0</v>
      </c>
      <c r="CP76" s="1170">
        <f t="shared" si="16"/>
        <v>100000</v>
      </c>
      <c r="CQ76" s="243">
        <v>2</v>
      </c>
      <c r="CR76" s="1135">
        <v>0</v>
      </c>
    </row>
    <row r="77" spans="1:96" s="1127" customFormat="1" ht="30" customHeight="1" outlineLevel="1">
      <c r="A77" s="396" t="b">
        <f>Calcul!A77</f>
        <v>0</v>
      </c>
      <c r="B77" s="438" t="str">
        <f t="shared" si="17"/>
        <v/>
      </c>
      <c r="C77" s="1132" t="b">
        <v>0</v>
      </c>
      <c r="D77" s="1133" t="s">
        <v>2293</v>
      </c>
      <c r="E77" s="1075" t="s">
        <v>2139</v>
      </c>
      <c r="F77" s="338" t="str">
        <f>IF(A77=FALSE,"",IF(NAMES!$D$10=FALSE,IF(Detail!H77="","",Detail!H77),IF(Crewlist!D77="","",Crewlist!D77)))</f>
        <v/>
      </c>
      <c r="G77" s="338" t="str">
        <f>IF(A77=FALSE,"",IF(NAMES!$D$10=FALSE,IF(Detail!P77="","",Detail!P77),IF(Crewlist!E77="","",Crewlist!E77)))</f>
        <v/>
      </c>
      <c r="H77" s="338" t="str">
        <f>IF(A77=FALSE,"",IF(NAMES!$D$10=FALSE,IF(Detail!K77="","",Detail!K77),IF(Crewlist!F77="","",Crewlist!F77)))</f>
        <v/>
      </c>
      <c r="I77" s="1345" t="str">
        <f>IF(Crewlist!T77="","",Crewlist!T77)</f>
        <v/>
      </c>
      <c r="J77" s="1345" t="str">
        <f>IF(Crewlist!D77="","",IF(Crewlist!U77="",Crewlist!Y77,IF(DATERENOUVMOINS730&lt;&gt;Crewlist!U77&lt;&gt;Crewlist!Y77,Crewlist!U77,DATERENOUVMOINS365)))</f>
        <v/>
      </c>
      <c r="K77" s="1346" t="str">
        <f>IF(Detail!X77="","",Detail!X77)</f>
        <v/>
      </c>
      <c r="L77" s="1346" t="str">
        <f>IF(Detail!H77="","",IF(Detail!Y77="",DATERENOUV,IF(Detail!Y77&gt;Detail!D77,Detail!D77,Detail!Y77)))</f>
        <v/>
      </c>
      <c r="M77" s="829" t="str">
        <f>IF(A77=FALSE,"",IF(NAMES!$D$10=FALSE,IF(B77=B78,IF(N77=N78,0,(DATEDIF(K77,L77,"M")+1)),(DATEDIF(K77,L77,"M")+1)),IF(B77=B78,IF(N77=N78,0,(DATEDIF(I77,J77,"M")+1)),(DATEDIF(I77,J77,"M")+1))))</f>
        <v/>
      </c>
      <c r="N77" s="829" t="str">
        <f t="shared" si="5"/>
        <v/>
      </c>
      <c r="O77" s="340" t="str">
        <f>IF(A77=FALSE,"",IF(NAMES!$D$10=FALSE,IF((DATEDIF(K77,L77,"D")+1)&lt;365,(DATEDIF(K77,L77,"D")+1),365),IF((DATEDIF(I77,J77,"D")+1)&lt;365,(DATEDIF(I77,J77,"D")+1),365)))</f>
        <v/>
      </c>
      <c r="P77" s="340" t="str">
        <f>IF(A77=FALSE,"",IF(NAMES!$D$10=FALSE,IF(L77="",365,DATEDIF(K77,L77,"D")+1),IF(L77="",365,DATEDIF(I77,J77,"D")+1)))</f>
        <v/>
      </c>
      <c r="Q77" s="787" t="str">
        <f>Calcul!X77</f>
        <v/>
      </c>
      <c r="R77" s="787" t="str">
        <f>Calcul!Y77</f>
        <v/>
      </c>
      <c r="S77" s="811" t="str">
        <f>Calcul!AG77</f>
        <v/>
      </c>
      <c r="T77" s="350" t="str">
        <f>IF(A77=FALSE,"",IF(NAMES!$D$10=FALSE,IF(Detail!S77="","",Detail!S77),IF(Crewlist!V77="","",Crewlist!V77)))</f>
        <v/>
      </c>
      <c r="U77" s="242" t="str">
        <f>Calcul!AI77</f>
        <v/>
      </c>
      <c r="V77" s="242" t="str">
        <f>Calcul!AL77</f>
        <v/>
      </c>
      <c r="W77" s="242" t="str">
        <f>Calcul!AM77</f>
        <v/>
      </c>
      <c r="X77" s="335" t="str">
        <f>Calcul!AN77</f>
        <v/>
      </c>
      <c r="Y77" s="242" t="str">
        <f>Calcul!AO77</f>
        <v/>
      </c>
      <c r="Z77" s="242" t="str">
        <f>Calcul!AP77</f>
        <v/>
      </c>
      <c r="AA77" s="335" t="str">
        <f>Calcul!AQ77</f>
        <v/>
      </c>
      <c r="AB77" s="335" t="str">
        <f>IF(C77=FALSE,"",Calcul!BE77+Calcul!BF77)</f>
        <v/>
      </c>
      <c r="AC77" s="335" t="str">
        <f>IF(C77=FALSE,"",(Calcul!BG77+Calcul!BH77)+SUM(Calcul!BI77:BN77))</f>
        <v/>
      </c>
      <c r="AD77" s="335" t="str">
        <f>Calcul!BP77</f>
        <v/>
      </c>
      <c r="AE77" s="1325" t="s">
        <v>2866</v>
      </c>
      <c r="AF77" s="1134" t="s">
        <v>2254</v>
      </c>
      <c r="AG77" s="318" t="str">
        <f>IF(A77=FALSE,"",YEAR(Detail!F77)&amp;Detail!AG77&amp;Detail!AD77&amp;"-"&amp;Detail!AE77)</f>
        <v/>
      </c>
      <c r="AH77" s="1134" t="s">
        <v>2224</v>
      </c>
      <c r="AI77" s="1453">
        <v>0.1</v>
      </c>
      <c r="AJ77" s="1135">
        <f t="shared" si="18"/>
        <v>0.1</v>
      </c>
      <c r="AK77" s="1135">
        <f t="shared" si="19"/>
        <v>0</v>
      </c>
      <c r="AL77" s="1135">
        <f t="shared" si="20"/>
        <v>0</v>
      </c>
      <c r="AM77" s="1135" t="s">
        <v>2224</v>
      </c>
      <c r="AN77" s="1455">
        <v>15.1752</v>
      </c>
      <c r="AO77" s="436">
        <v>0</v>
      </c>
      <c r="AP77" s="1135">
        <v>1</v>
      </c>
      <c r="AQ77" s="1135">
        <v>0</v>
      </c>
      <c r="AT77" s="1132" t="s">
        <v>2140</v>
      </c>
      <c r="AU77" s="1136" t="s">
        <v>2255</v>
      </c>
      <c r="AV77" s="1136" t="str">
        <f>IF(A77=FALSE,"",IF(Detail!AT77="","N/A",YEAR(Detail!F77)&amp;Detail!AW77&amp;Detail!AT77&amp;"-"&amp;Detail!AU77&amp;" (100%/"&amp;Detail!CD77&amp;"/"&amp;Detail!CE77&amp;")"))</f>
        <v/>
      </c>
      <c r="AW77" s="1136" t="s">
        <v>2224</v>
      </c>
      <c r="AX77" s="1320" t="str">
        <f>Calcul!DB77</f>
        <v/>
      </c>
      <c r="AY77" s="1170" t="str">
        <f>IF(A77=FALSE,"",51000+(Detail!AA77*7000))</f>
        <v/>
      </c>
      <c r="AZ77" s="1170">
        <v>50000</v>
      </c>
      <c r="BA77" s="243">
        <v>3</v>
      </c>
      <c r="BB77" s="1135">
        <v>0</v>
      </c>
      <c r="BC77" s="1170" t="str">
        <f>IF(A77=FALSE,"",51000+(Detail!AA77*7000))</f>
        <v/>
      </c>
      <c r="BD77" s="1170">
        <f t="shared" si="13"/>
        <v>50000</v>
      </c>
      <c r="BE77" s="243">
        <f t="shared" si="14"/>
        <v>3</v>
      </c>
      <c r="BF77" s="1135">
        <f t="shared" si="15"/>
        <v>0</v>
      </c>
      <c r="BG77" s="1170" t="str">
        <f t="shared" si="21"/>
        <v/>
      </c>
      <c r="BH77" s="1170">
        <v>50000</v>
      </c>
      <c r="BI77" s="243">
        <v>3</v>
      </c>
      <c r="BJ77" s="1135">
        <v>0</v>
      </c>
      <c r="BK77" s="1170" t="str">
        <f t="shared" si="22"/>
        <v/>
      </c>
      <c r="BL77" s="1170">
        <v>50000</v>
      </c>
      <c r="BM77" s="243">
        <v>3</v>
      </c>
      <c r="BN77" s="1135">
        <v>0</v>
      </c>
      <c r="BO77" s="1132">
        <v>7</v>
      </c>
      <c r="BP77" s="1075">
        <v>365</v>
      </c>
      <c r="BQ77" s="244">
        <v>1</v>
      </c>
      <c r="BR77" s="1135">
        <v>0</v>
      </c>
      <c r="BS77" s="1132">
        <f t="shared" si="23"/>
        <v>7</v>
      </c>
      <c r="BT77" s="1075">
        <f t="shared" si="24"/>
        <v>365</v>
      </c>
      <c r="BU77" s="253">
        <v>1</v>
      </c>
      <c r="BV77" s="1135">
        <v>0</v>
      </c>
      <c r="BW77" s="1135" t="s">
        <v>2224</v>
      </c>
      <c r="BX77" s="257">
        <v>0</v>
      </c>
      <c r="BY77" s="436">
        <v>0</v>
      </c>
      <c r="BZ77" s="1135">
        <v>1</v>
      </c>
      <c r="CA77" s="1135">
        <v>0</v>
      </c>
      <c r="CB77" s="1296"/>
      <c r="CD77" s="1136" t="str">
        <f>IF(A77=FALSE,"",Calcul!NZ77)</f>
        <v/>
      </c>
      <c r="CE77" s="1136" t="s">
        <v>2224</v>
      </c>
      <c r="CF77" s="1132" t="s">
        <v>2138</v>
      </c>
      <c r="CG77" s="1136" t="s">
        <v>2254</v>
      </c>
      <c r="CH77" s="1135" t="s">
        <v>2224</v>
      </c>
      <c r="CI77" s="257">
        <v>0</v>
      </c>
      <c r="CJ77" s="436">
        <v>0</v>
      </c>
      <c r="CK77" s="1135">
        <v>1</v>
      </c>
      <c r="CL77" s="1135">
        <v>0</v>
      </c>
      <c r="CM77" s="1170">
        <v>100000</v>
      </c>
      <c r="CN77" s="243">
        <v>2</v>
      </c>
      <c r="CO77" s="1135">
        <v>0</v>
      </c>
      <c r="CP77" s="1170">
        <f t="shared" si="16"/>
        <v>100000</v>
      </c>
      <c r="CQ77" s="243">
        <v>2</v>
      </c>
      <c r="CR77" s="1135">
        <v>0</v>
      </c>
    </row>
    <row r="78" spans="1:96" s="1127" customFormat="1" ht="30" customHeight="1" outlineLevel="1">
      <c r="A78" s="396" t="b">
        <f>Calcul!A78</f>
        <v>0</v>
      </c>
      <c r="B78" s="438" t="str">
        <f t="shared" si="17"/>
        <v/>
      </c>
      <c r="C78" s="1132" t="b">
        <v>0</v>
      </c>
      <c r="D78" s="1133" t="s">
        <v>2293</v>
      </c>
      <c r="E78" s="1075" t="s">
        <v>2139</v>
      </c>
      <c r="F78" s="338" t="str">
        <f>IF(A78=FALSE,"",IF(NAMES!$D$10=FALSE,IF(Detail!H78="","",Detail!H78),IF(Crewlist!D78="","",Crewlist!D78)))</f>
        <v/>
      </c>
      <c r="G78" s="338" t="str">
        <f>IF(A78=FALSE,"",IF(NAMES!$D$10=FALSE,IF(Detail!P78="","",Detail!P78),IF(Crewlist!E78="","",Crewlist!E78)))</f>
        <v/>
      </c>
      <c r="H78" s="338" t="str">
        <f>IF(A78=FALSE,"",IF(NAMES!$D$10=FALSE,IF(Detail!K78="","",Detail!K78),IF(Crewlist!F78="","",Crewlist!F78)))</f>
        <v/>
      </c>
      <c r="I78" s="1345" t="str">
        <f>IF(Crewlist!T78="","",Crewlist!T78)</f>
        <v/>
      </c>
      <c r="J78" s="1345" t="str">
        <f>IF(Crewlist!D78="","",IF(Crewlist!U78="",Crewlist!Y78,IF(DATERENOUVMOINS730&lt;&gt;Crewlist!U78&lt;&gt;Crewlist!Y78,Crewlist!U78,DATERENOUVMOINS365)))</f>
        <v/>
      </c>
      <c r="K78" s="1346" t="str">
        <f>IF(Detail!X78="","",Detail!X78)</f>
        <v/>
      </c>
      <c r="L78" s="1346" t="str">
        <f>IF(Detail!H78="","",IF(Detail!Y78="",DATERENOUV,IF(Detail!Y78&gt;Detail!D78,Detail!D78,Detail!Y78)))</f>
        <v/>
      </c>
      <c r="M78" s="829" t="str">
        <f>IF(A78=FALSE,"",IF(NAMES!$D$10=FALSE,IF(B78=B79,IF(N78=N79,0,(DATEDIF(K78,L78,"M")+1)),(DATEDIF(K78,L78,"M")+1)),IF(B78=B79,IF(N78=N79,0,(DATEDIF(I78,J78,"M")+1)),(DATEDIF(I78,J78,"M")+1))))</f>
        <v/>
      </c>
      <c r="N78" s="829" t="str">
        <f t="shared" si="5"/>
        <v/>
      </c>
      <c r="O78" s="340" t="str">
        <f>IF(A78=FALSE,"",IF(NAMES!$D$10=FALSE,IF((DATEDIF(K78,L78,"D")+1)&lt;365,(DATEDIF(K78,L78,"D")+1),365),IF((DATEDIF(I78,J78,"D")+1)&lt;365,(DATEDIF(I78,J78,"D")+1),365)))</f>
        <v/>
      </c>
      <c r="P78" s="340" t="str">
        <f>IF(A78=FALSE,"",IF(NAMES!$D$10=FALSE,IF(L78="",365,DATEDIF(K78,L78,"D")+1),IF(L78="",365,DATEDIF(I78,J78,"D")+1)))</f>
        <v/>
      </c>
      <c r="Q78" s="787" t="str">
        <f>Calcul!X78</f>
        <v/>
      </c>
      <c r="R78" s="787" t="str">
        <f>Calcul!Y78</f>
        <v/>
      </c>
      <c r="S78" s="811" t="str">
        <f>Calcul!AG78</f>
        <v/>
      </c>
      <c r="T78" s="350" t="str">
        <f>IF(A78=FALSE,"",IF(NAMES!$D$10=FALSE,IF(Detail!S78="","",Detail!S78),IF(Crewlist!V78="","",Crewlist!V78)))</f>
        <v/>
      </c>
      <c r="U78" s="242" t="str">
        <f>Calcul!AI78</f>
        <v/>
      </c>
      <c r="V78" s="242" t="str">
        <f>Calcul!AL78</f>
        <v/>
      </c>
      <c r="W78" s="242" t="str">
        <f>Calcul!AM78</f>
        <v/>
      </c>
      <c r="X78" s="335" t="str">
        <f>Calcul!AN78</f>
        <v/>
      </c>
      <c r="Y78" s="242" t="str">
        <f>Calcul!AO78</f>
        <v/>
      </c>
      <c r="Z78" s="242" t="str">
        <f>Calcul!AP78</f>
        <v/>
      </c>
      <c r="AA78" s="335" t="str">
        <f>Calcul!AQ78</f>
        <v/>
      </c>
      <c r="AB78" s="335" t="str">
        <f>IF(C78=FALSE,"",Calcul!BE78+Calcul!BF78)</f>
        <v/>
      </c>
      <c r="AC78" s="335" t="str">
        <f>IF(C78=FALSE,"",(Calcul!BG78+Calcul!BH78)+SUM(Calcul!BI78:BN78))</f>
        <v/>
      </c>
      <c r="AD78" s="335" t="str">
        <f>Calcul!BP78</f>
        <v/>
      </c>
      <c r="AE78" s="1325" t="s">
        <v>2866</v>
      </c>
      <c r="AF78" s="1134" t="s">
        <v>2254</v>
      </c>
      <c r="AG78" s="318" t="str">
        <f>IF(A78=FALSE,"",YEAR(Detail!F78)&amp;Detail!AG78&amp;Detail!AD78&amp;"-"&amp;Detail!AE78)</f>
        <v/>
      </c>
      <c r="AH78" s="1134" t="s">
        <v>2224</v>
      </c>
      <c r="AI78" s="1453">
        <v>0.1</v>
      </c>
      <c r="AJ78" s="1135">
        <f t="shared" si="18"/>
        <v>0.1</v>
      </c>
      <c r="AK78" s="1135">
        <f t="shared" si="19"/>
        <v>0</v>
      </c>
      <c r="AL78" s="1135">
        <f t="shared" si="20"/>
        <v>0</v>
      </c>
      <c r="AM78" s="1135" t="s">
        <v>2224</v>
      </c>
      <c r="AN78" s="1455">
        <v>15.1752</v>
      </c>
      <c r="AO78" s="436">
        <v>0</v>
      </c>
      <c r="AP78" s="1135">
        <v>1</v>
      </c>
      <c r="AQ78" s="1135">
        <v>0</v>
      </c>
      <c r="AT78" s="1132" t="s">
        <v>2140</v>
      </c>
      <c r="AU78" s="1136" t="s">
        <v>2255</v>
      </c>
      <c r="AV78" s="1136" t="str">
        <f>IF(A78=FALSE,"",IF(Detail!AT78="","N/A",YEAR(Detail!F78)&amp;Detail!AW78&amp;Detail!AT78&amp;"-"&amp;Detail!AU78&amp;" (100%/"&amp;Detail!CD78&amp;"/"&amp;Detail!CE78&amp;")"))</f>
        <v/>
      </c>
      <c r="AW78" s="1136" t="s">
        <v>2224</v>
      </c>
      <c r="AX78" s="1320" t="str">
        <f>Calcul!DB78</f>
        <v/>
      </c>
      <c r="AY78" s="1170" t="str">
        <f>IF(A78=FALSE,"",51000+(Detail!AA78*7000))</f>
        <v/>
      </c>
      <c r="AZ78" s="1170">
        <v>50000</v>
      </c>
      <c r="BA78" s="243">
        <v>3</v>
      </c>
      <c r="BB78" s="1135">
        <v>0</v>
      </c>
      <c r="BC78" s="1170" t="str">
        <f>IF(A78=FALSE,"",51000+(Detail!AA78*7000))</f>
        <v/>
      </c>
      <c r="BD78" s="1170">
        <f t="shared" si="13"/>
        <v>50000</v>
      </c>
      <c r="BE78" s="243">
        <f t="shared" si="14"/>
        <v>3</v>
      </c>
      <c r="BF78" s="1135">
        <f t="shared" si="15"/>
        <v>0</v>
      </c>
      <c r="BG78" s="1170" t="str">
        <f t="shared" si="21"/>
        <v/>
      </c>
      <c r="BH78" s="1170">
        <v>50000</v>
      </c>
      <c r="BI78" s="243">
        <v>3</v>
      </c>
      <c r="BJ78" s="1135">
        <v>0</v>
      </c>
      <c r="BK78" s="1170" t="str">
        <f t="shared" si="22"/>
        <v/>
      </c>
      <c r="BL78" s="1170">
        <v>50000</v>
      </c>
      <c r="BM78" s="243">
        <v>3</v>
      </c>
      <c r="BN78" s="1135">
        <v>0</v>
      </c>
      <c r="BO78" s="1132">
        <v>7</v>
      </c>
      <c r="BP78" s="1075">
        <v>365</v>
      </c>
      <c r="BQ78" s="244">
        <v>1</v>
      </c>
      <c r="BR78" s="1135">
        <v>0</v>
      </c>
      <c r="BS78" s="1132">
        <f t="shared" si="23"/>
        <v>7</v>
      </c>
      <c r="BT78" s="1075">
        <f t="shared" si="24"/>
        <v>365</v>
      </c>
      <c r="BU78" s="253">
        <v>1</v>
      </c>
      <c r="BV78" s="1135">
        <v>0</v>
      </c>
      <c r="BW78" s="1135" t="s">
        <v>2224</v>
      </c>
      <c r="BX78" s="257">
        <v>0</v>
      </c>
      <c r="BY78" s="436">
        <v>0</v>
      </c>
      <c r="BZ78" s="1135">
        <v>1</v>
      </c>
      <c r="CA78" s="1135">
        <v>0</v>
      </c>
      <c r="CB78" s="1296"/>
      <c r="CD78" s="1136" t="str">
        <f>IF(A78=FALSE,"",Calcul!NZ78)</f>
        <v/>
      </c>
      <c r="CE78" s="1136" t="s">
        <v>2224</v>
      </c>
      <c r="CF78" s="1132" t="s">
        <v>2138</v>
      </c>
      <c r="CG78" s="1136" t="s">
        <v>2254</v>
      </c>
      <c r="CH78" s="1135" t="s">
        <v>2224</v>
      </c>
      <c r="CI78" s="257">
        <v>0</v>
      </c>
      <c r="CJ78" s="436">
        <v>0</v>
      </c>
      <c r="CK78" s="1135">
        <v>1</v>
      </c>
      <c r="CL78" s="1135">
        <v>0</v>
      </c>
      <c r="CM78" s="1170">
        <v>100000</v>
      </c>
      <c r="CN78" s="243">
        <v>2</v>
      </c>
      <c r="CO78" s="1135">
        <v>0</v>
      </c>
      <c r="CP78" s="1170">
        <f t="shared" si="16"/>
        <v>100000</v>
      </c>
      <c r="CQ78" s="243">
        <v>2</v>
      </c>
      <c r="CR78" s="1135">
        <v>0</v>
      </c>
    </row>
    <row r="79" spans="1:96" s="1127" customFormat="1" ht="30" customHeight="1" outlineLevel="1">
      <c r="A79" s="396" t="b">
        <f>Calcul!A79</f>
        <v>0</v>
      </c>
      <c r="B79" s="438" t="str">
        <f t="shared" ref="B79:B110" si="25">IF(A79=FALSE,"",CONCATENATE(C79,F79,N79,K79))</f>
        <v/>
      </c>
      <c r="C79" s="1132" t="b">
        <v>0</v>
      </c>
      <c r="D79" s="1133" t="s">
        <v>2293</v>
      </c>
      <c r="E79" s="1075" t="s">
        <v>2139</v>
      </c>
      <c r="F79" s="338" t="str">
        <f>IF(A79=FALSE,"",IF(NAMES!$D$10=FALSE,IF(Detail!H79="","",Detail!H79),IF(Crewlist!D79="","",Crewlist!D79)))</f>
        <v/>
      </c>
      <c r="G79" s="338" t="str">
        <f>IF(A79=FALSE,"",IF(NAMES!$D$10=FALSE,IF(Detail!P79="","",Detail!P79),IF(Crewlist!E79="","",Crewlist!E79)))</f>
        <v/>
      </c>
      <c r="H79" s="338" t="str">
        <f>IF(A79=FALSE,"",IF(NAMES!$D$10=FALSE,IF(Detail!K79="","",Detail!K79),IF(Crewlist!F79="","",Crewlist!F79)))</f>
        <v/>
      </c>
      <c r="I79" s="1345" t="str">
        <f>IF(Crewlist!T79="","",Crewlist!T79)</f>
        <v/>
      </c>
      <c r="J79" s="1345" t="str">
        <f>IF(Crewlist!D79="","",IF(Crewlist!U79="",Crewlist!Y79,IF(DATERENOUVMOINS730&lt;&gt;Crewlist!U79&lt;&gt;Crewlist!Y79,Crewlist!U79,DATERENOUVMOINS365)))</f>
        <v/>
      </c>
      <c r="K79" s="1346" t="str">
        <f>IF(Detail!X79="","",Detail!X79)</f>
        <v/>
      </c>
      <c r="L79" s="1346" t="str">
        <f>IF(Detail!H79="","",IF(Detail!Y79="",DATERENOUV,IF(Detail!Y79&gt;Detail!D79,Detail!D79,Detail!Y79)))</f>
        <v/>
      </c>
      <c r="M79" s="829" t="str">
        <f>IF(A79=FALSE,"",IF(NAMES!$D$10=FALSE,IF(B79=B80,IF(N79=N80,0,(DATEDIF(K79,L79,"M")+1)),(DATEDIF(K79,L79,"M")+1)),IF(B79=B80,IF(N79=N80,0,(DATEDIF(I79,J79,"M")+1)),(DATEDIF(I79,J79,"M")+1))))</f>
        <v/>
      </c>
      <c r="N79" s="829" t="str">
        <f t="shared" si="5"/>
        <v/>
      </c>
      <c r="O79" s="340" t="str">
        <f>IF(A79=FALSE,"",IF(NAMES!$D$10=FALSE,IF((DATEDIF(K79,L79,"D")+1)&lt;365,(DATEDIF(K79,L79,"D")+1),365),IF((DATEDIF(I79,J79,"D")+1)&lt;365,(DATEDIF(I79,J79,"D")+1),365)))</f>
        <v/>
      </c>
      <c r="P79" s="340" t="str">
        <f>IF(A79=FALSE,"",IF(NAMES!$D$10=FALSE,IF(L79="",365,DATEDIF(K79,L79,"D")+1),IF(L79="",365,DATEDIF(I79,J79,"D")+1)))</f>
        <v/>
      </c>
      <c r="Q79" s="787" t="str">
        <f>Calcul!X79</f>
        <v/>
      </c>
      <c r="R79" s="787" t="str">
        <f>Calcul!Y79</f>
        <v/>
      </c>
      <c r="S79" s="811" t="str">
        <f>Calcul!AG79</f>
        <v/>
      </c>
      <c r="T79" s="350" t="str">
        <f>IF(A79=FALSE,"",IF(NAMES!$D$10=FALSE,IF(Detail!S79="","",Detail!S79),IF(Crewlist!V79="","",Crewlist!V79)))</f>
        <v/>
      </c>
      <c r="U79" s="242" t="str">
        <f>Calcul!AI79</f>
        <v/>
      </c>
      <c r="V79" s="242" t="str">
        <f>Calcul!AL79</f>
        <v/>
      </c>
      <c r="W79" s="242" t="str">
        <f>Calcul!AM79</f>
        <v/>
      </c>
      <c r="X79" s="335" t="str">
        <f>Calcul!AN79</f>
        <v/>
      </c>
      <c r="Y79" s="242" t="str">
        <f>Calcul!AO79</f>
        <v/>
      </c>
      <c r="Z79" s="242" t="str">
        <f>Calcul!AP79</f>
        <v/>
      </c>
      <c r="AA79" s="335" t="str">
        <f>Calcul!AQ79</f>
        <v/>
      </c>
      <c r="AB79" s="335" t="str">
        <f>IF(C79=FALSE,"",Calcul!BE79+Calcul!BF79)</f>
        <v/>
      </c>
      <c r="AC79" s="335" t="str">
        <f>IF(C79=FALSE,"",(Calcul!BG79+Calcul!BH79)+SUM(Calcul!BI79:BN79))</f>
        <v/>
      </c>
      <c r="AD79" s="335" t="str">
        <f>Calcul!BP79</f>
        <v/>
      </c>
      <c r="AE79" s="1325" t="s">
        <v>2866</v>
      </c>
      <c r="AF79" s="1134" t="s">
        <v>2254</v>
      </c>
      <c r="AG79" s="318" t="str">
        <f>IF(A79=FALSE,"",YEAR(Detail!F79)&amp;Detail!AG79&amp;Detail!AD79&amp;"-"&amp;Detail!AE79)</f>
        <v/>
      </c>
      <c r="AH79" s="1134" t="s">
        <v>2224</v>
      </c>
      <c r="AI79" s="1453">
        <v>0.1</v>
      </c>
      <c r="AJ79" s="1135">
        <f t="shared" ref="AJ79:AJ110" si="26">AI79</f>
        <v>0.1</v>
      </c>
      <c r="AK79" s="1135">
        <f t="shared" ref="AK79:AK110" si="27">CR79</f>
        <v>0</v>
      </c>
      <c r="AL79" s="1135">
        <f t="shared" ref="AL79:AL110" si="28">AK79</f>
        <v>0</v>
      </c>
      <c r="AM79" s="1135" t="s">
        <v>2224</v>
      </c>
      <c r="AN79" s="1455">
        <v>15.1752</v>
      </c>
      <c r="AO79" s="436">
        <v>0</v>
      </c>
      <c r="AP79" s="1135">
        <v>1</v>
      </c>
      <c r="AQ79" s="1135">
        <v>0</v>
      </c>
      <c r="AT79" s="1132" t="s">
        <v>2140</v>
      </c>
      <c r="AU79" s="1136" t="s">
        <v>2255</v>
      </c>
      <c r="AV79" s="1136" t="str">
        <f>IF(A79=FALSE,"",IF(Detail!AT79="","N/A",YEAR(Detail!F79)&amp;Detail!AW79&amp;Detail!AT79&amp;"-"&amp;Detail!AU79&amp;" (100%/"&amp;Detail!CD79&amp;"/"&amp;Detail!CE79&amp;")"))</f>
        <v/>
      </c>
      <c r="AW79" s="1136" t="s">
        <v>2224</v>
      </c>
      <c r="AX79" s="1320" t="str">
        <f>Calcul!DB79</f>
        <v/>
      </c>
      <c r="AY79" s="1170" t="str">
        <f>IF(A79=FALSE,"",51000+(Detail!AA79*7000))</f>
        <v/>
      </c>
      <c r="AZ79" s="1170">
        <v>50000</v>
      </c>
      <c r="BA79" s="243">
        <v>3</v>
      </c>
      <c r="BB79" s="1135">
        <v>0</v>
      </c>
      <c r="BC79" s="1170" t="str">
        <f>IF(A79=FALSE,"",51000+(Detail!AA79*7000))</f>
        <v/>
      </c>
      <c r="BD79" s="1170">
        <f t="shared" si="13"/>
        <v>50000</v>
      </c>
      <c r="BE79" s="243">
        <f t="shared" si="14"/>
        <v>3</v>
      </c>
      <c r="BF79" s="1135">
        <f t="shared" si="15"/>
        <v>0</v>
      </c>
      <c r="BG79" s="1170" t="str">
        <f t="shared" ref="BG79:BG110" si="29">IF(A79=FALSE,"",60000)</f>
        <v/>
      </c>
      <c r="BH79" s="1170">
        <v>50000</v>
      </c>
      <c r="BI79" s="243">
        <v>3</v>
      </c>
      <c r="BJ79" s="1135">
        <v>0</v>
      </c>
      <c r="BK79" s="1170" t="str">
        <f t="shared" ref="BK79:BK110" si="30">IF(A79=FALSE,"",60000)</f>
        <v/>
      </c>
      <c r="BL79" s="1170">
        <v>50000</v>
      </c>
      <c r="BM79" s="243">
        <v>3</v>
      </c>
      <c r="BN79" s="1135">
        <v>0</v>
      </c>
      <c r="BO79" s="1132">
        <v>7</v>
      </c>
      <c r="BP79" s="1075">
        <v>365</v>
      </c>
      <c r="BQ79" s="244">
        <v>1</v>
      </c>
      <c r="BR79" s="1135">
        <v>0</v>
      </c>
      <c r="BS79" s="1132">
        <f t="shared" ref="BS79:BS110" si="31">BO79</f>
        <v>7</v>
      </c>
      <c r="BT79" s="1075">
        <f t="shared" ref="BT79:BT110" si="32">BP79</f>
        <v>365</v>
      </c>
      <c r="BU79" s="253">
        <v>1</v>
      </c>
      <c r="BV79" s="1135">
        <v>0</v>
      </c>
      <c r="BW79" s="1135" t="s">
        <v>2224</v>
      </c>
      <c r="BX79" s="257">
        <v>0</v>
      </c>
      <c r="BY79" s="436">
        <v>0</v>
      </c>
      <c r="BZ79" s="1135">
        <v>1</v>
      </c>
      <c r="CA79" s="1135">
        <v>0</v>
      </c>
      <c r="CB79" s="1296"/>
      <c r="CD79" s="1136" t="str">
        <f>IF(A79=FALSE,"",Calcul!NZ79)</f>
        <v/>
      </c>
      <c r="CE79" s="1136" t="s">
        <v>2224</v>
      </c>
      <c r="CF79" s="1132" t="s">
        <v>2138</v>
      </c>
      <c r="CG79" s="1136" t="s">
        <v>2254</v>
      </c>
      <c r="CH79" s="1135" t="s">
        <v>2224</v>
      </c>
      <c r="CI79" s="257">
        <v>0</v>
      </c>
      <c r="CJ79" s="436">
        <v>0</v>
      </c>
      <c r="CK79" s="1135">
        <v>1</v>
      </c>
      <c r="CL79" s="1135">
        <v>0</v>
      </c>
      <c r="CM79" s="1170">
        <v>100000</v>
      </c>
      <c r="CN79" s="243">
        <v>2</v>
      </c>
      <c r="CO79" s="1135">
        <v>0</v>
      </c>
      <c r="CP79" s="1170">
        <f t="shared" si="16"/>
        <v>100000</v>
      </c>
      <c r="CQ79" s="243">
        <v>2</v>
      </c>
      <c r="CR79" s="1135">
        <v>0</v>
      </c>
    </row>
    <row r="80" spans="1:96" s="383" customFormat="1" ht="30" customHeight="1" outlineLevel="1">
      <c r="A80" s="396" t="b">
        <f>Calcul!A80</f>
        <v>0</v>
      </c>
      <c r="B80" s="438" t="str">
        <f t="shared" si="25"/>
        <v/>
      </c>
      <c r="C80" s="1132" t="b">
        <v>0</v>
      </c>
      <c r="D80" s="1133" t="s">
        <v>2293</v>
      </c>
      <c r="E80" s="241" t="s">
        <v>2139</v>
      </c>
      <c r="F80" s="338" t="str">
        <f>IF(A80=FALSE,"",IF(NAMES!$D$10=FALSE,IF(Detail!H80="","",Detail!H80),IF(Crewlist!D80="","",Crewlist!D80)))</f>
        <v/>
      </c>
      <c r="G80" s="338" t="str">
        <f>IF(A80=FALSE,"",IF(NAMES!$D$10=FALSE,IF(Detail!P80="","",Detail!P80),IF(Crewlist!E80="","",Crewlist!E80)))</f>
        <v/>
      </c>
      <c r="H80" s="338" t="str">
        <f>IF(A80=FALSE,"",IF(NAMES!$D$10=FALSE,IF(Detail!K80="","",Detail!K80),IF(Crewlist!F80="","",Crewlist!F80)))</f>
        <v/>
      </c>
      <c r="I80" s="1345" t="str">
        <f>IF(Crewlist!T80="","",Crewlist!T80)</f>
        <v/>
      </c>
      <c r="J80" s="1345" t="str">
        <f>IF(Crewlist!D80="","",IF(Crewlist!U80="",Crewlist!Y80,IF(DATERENOUVMOINS730&lt;&gt;Crewlist!U80&lt;&gt;Crewlist!Y80,Crewlist!U80,DATERENOUVMOINS365)))</f>
        <v/>
      </c>
      <c r="K80" s="1346" t="str">
        <f>IF(Detail!X80="","",Detail!X80)</f>
        <v/>
      </c>
      <c r="L80" s="1346" t="str">
        <f>IF(Detail!H80="","",IF(Detail!Y80="",DATERENOUV,IF(Detail!Y80&gt;Detail!D80,Detail!D80,Detail!Y80)))</f>
        <v/>
      </c>
      <c r="M80" s="829" t="str">
        <f>IF(A80=FALSE,"",IF(NAMES!$D$10=FALSE,IF(B80=B81,IF(N80=N81,0,(DATEDIF(K80,L80,"M")+1)),(DATEDIF(K80,L80,"M")+1)),IF(B80=B81,IF(N80=N81,0,(DATEDIF(I80,J80,"M")+1)),(DATEDIF(I80,J80,"M")+1))))</f>
        <v/>
      </c>
      <c r="N80" s="339" t="str">
        <f t="shared" ref="N80:N120" si="33">TEXT(K80,"mmmm")</f>
        <v/>
      </c>
      <c r="O80" s="340" t="str">
        <f>IF(A80=FALSE,"",IF(NAMES!$D$10=FALSE,IF((DATEDIF(K80,L80,"D")+1)&lt;365,(DATEDIF(K80,L80,"D")+1),365),IF((DATEDIF(I80,J80,"D")+1)&lt;365,(DATEDIF(I80,J80,"D")+1),365)))</f>
        <v/>
      </c>
      <c r="P80" s="340" t="str">
        <f>IF(A80=FALSE,"",IF(NAMES!$D$10=FALSE,IF(L80="",365,DATEDIF(K80,L80,"D")+1),IF(L80="",365,DATEDIF(I80,J80,"D")+1)))</f>
        <v/>
      </c>
      <c r="Q80" s="787" t="str">
        <f>Calcul!X80</f>
        <v/>
      </c>
      <c r="R80" s="787" t="str">
        <f>Calcul!Y80</f>
        <v/>
      </c>
      <c r="S80" s="811" t="str">
        <f>Calcul!AG80</f>
        <v/>
      </c>
      <c r="T80" s="350" t="str">
        <f>IF(A80=FALSE,"",IF(NAMES!$D$10=FALSE,IF(Detail!S80="","",Detail!S80),IF(Crewlist!V80="","",Crewlist!V80)))</f>
        <v/>
      </c>
      <c r="U80" s="242" t="str">
        <f>Calcul!AI80</f>
        <v/>
      </c>
      <c r="V80" s="242" t="str">
        <f>Calcul!AL80</f>
        <v/>
      </c>
      <c r="W80" s="242" t="str">
        <f>Calcul!AM80</f>
        <v/>
      </c>
      <c r="X80" s="335" t="str">
        <f>Calcul!AN80</f>
        <v/>
      </c>
      <c r="Y80" s="242" t="str">
        <f>Calcul!AO80</f>
        <v/>
      </c>
      <c r="Z80" s="242" t="str">
        <f>Calcul!AP80</f>
        <v/>
      </c>
      <c r="AA80" s="335" t="str">
        <f>Calcul!AQ80</f>
        <v/>
      </c>
      <c r="AB80" s="335" t="str">
        <f>IF(C80=FALSE,"",Calcul!BE80+Calcul!BF80)</f>
        <v/>
      </c>
      <c r="AC80" s="335" t="str">
        <f>IF(C80=FALSE,"",(Calcul!BG80+Calcul!BH80)+SUM(Calcul!BI80:BN80))</f>
        <v/>
      </c>
      <c r="AD80" s="335" t="str">
        <f>Calcul!BP80</f>
        <v/>
      </c>
      <c r="AE80" s="1325" t="s">
        <v>2866</v>
      </c>
      <c r="AF80" s="450" t="s">
        <v>2254</v>
      </c>
      <c r="AG80" s="318" t="str">
        <f>IF(A80=FALSE,"",YEAR(Detail!F80)&amp;Detail!AG80&amp;Detail!AD80&amp;"-"&amp;Detail!AE80)</f>
        <v/>
      </c>
      <c r="AH80" s="1134" t="s">
        <v>2224</v>
      </c>
      <c r="AI80" s="1453">
        <v>0.1</v>
      </c>
      <c r="AJ80" s="828">
        <f t="shared" si="26"/>
        <v>0.1</v>
      </c>
      <c r="AK80" s="828">
        <f t="shared" si="27"/>
        <v>0</v>
      </c>
      <c r="AL80" s="828">
        <f t="shared" si="28"/>
        <v>0</v>
      </c>
      <c r="AM80" s="1135" t="s">
        <v>2224</v>
      </c>
      <c r="AN80" s="1455">
        <v>15.1752</v>
      </c>
      <c r="AO80" s="436">
        <v>0</v>
      </c>
      <c r="AP80" s="254">
        <v>1</v>
      </c>
      <c r="AQ80" s="254">
        <v>0</v>
      </c>
      <c r="AS80" s="1127"/>
      <c r="AT80" s="1132" t="s">
        <v>2140</v>
      </c>
      <c r="AU80" s="1136" t="s">
        <v>2255</v>
      </c>
      <c r="AV80" s="1136" t="str">
        <f>IF(A80=FALSE,"",IF(Detail!AT80="","N/A",YEAR(Detail!F80)&amp;Detail!AW80&amp;Detail!AT80&amp;"-"&amp;Detail!AU80&amp;" (100%/"&amp;Detail!CD80&amp;"/"&amp;Detail!CE80&amp;")"))</f>
        <v/>
      </c>
      <c r="AW80" s="1136" t="s">
        <v>2224</v>
      </c>
      <c r="AX80" s="1320" t="str">
        <f>Calcul!DB80</f>
        <v/>
      </c>
      <c r="AY80" s="1298" t="str">
        <f>IF(A80=FALSE,"",51000+(Detail!AA80*7000))</f>
        <v/>
      </c>
      <c r="AZ80" s="1170">
        <v>50000</v>
      </c>
      <c r="BA80" s="243">
        <v>3</v>
      </c>
      <c r="BB80" s="1135">
        <v>0</v>
      </c>
      <c r="BC80" s="1298" t="str">
        <f>IF(A80=FALSE,"",51000+(Detail!AA80*7000))</f>
        <v/>
      </c>
      <c r="BD80" s="1298">
        <f t="shared" ref="BD80:BD120" si="34">AZ80</f>
        <v>50000</v>
      </c>
      <c r="BE80" s="1299">
        <f t="shared" ref="BE80:BE120" si="35">BA80</f>
        <v>3</v>
      </c>
      <c r="BF80" s="1284">
        <f t="shared" ref="BF80:BF120" si="36">BB80</f>
        <v>0</v>
      </c>
      <c r="BG80" s="397" t="str">
        <f t="shared" si="29"/>
        <v/>
      </c>
      <c r="BH80" s="1138">
        <v>50000</v>
      </c>
      <c r="BI80" s="243">
        <v>3</v>
      </c>
      <c r="BJ80" s="254">
        <v>0</v>
      </c>
      <c r="BK80" s="397" t="str">
        <f t="shared" si="30"/>
        <v/>
      </c>
      <c r="BL80" s="1138">
        <v>50000</v>
      </c>
      <c r="BM80" s="243">
        <v>3</v>
      </c>
      <c r="BN80" s="254">
        <v>0</v>
      </c>
      <c r="BO80" s="239">
        <v>7</v>
      </c>
      <c r="BP80" s="1075">
        <v>365</v>
      </c>
      <c r="BQ80" s="244">
        <v>1</v>
      </c>
      <c r="BR80" s="254">
        <v>0</v>
      </c>
      <c r="BS80" s="239">
        <f t="shared" si="31"/>
        <v>7</v>
      </c>
      <c r="BT80" s="241">
        <f t="shared" si="32"/>
        <v>365</v>
      </c>
      <c r="BU80" s="253">
        <v>1</v>
      </c>
      <c r="BV80" s="254">
        <v>0</v>
      </c>
      <c r="BW80" s="254" t="s">
        <v>2224</v>
      </c>
      <c r="BX80" s="257">
        <v>0</v>
      </c>
      <c r="BY80" s="436">
        <v>0</v>
      </c>
      <c r="BZ80" s="254">
        <v>1</v>
      </c>
      <c r="CA80" s="254">
        <v>0</v>
      </c>
      <c r="CB80" s="1296"/>
      <c r="CD80" s="1136" t="str">
        <f>IF(A80=FALSE,"",Calcul!NZ80)</f>
        <v/>
      </c>
      <c r="CE80" s="1136" t="s">
        <v>2224</v>
      </c>
      <c r="CF80" s="1132" t="s">
        <v>2138</v>
      </c>
      <c r="CG80" s="1136" t="s">
        <v>2254</v>
      </c>
      <c r="CH80" s="1135" t="s">
        <v>2224</v>
      </c>
      <c r="CI80" s="257">
        <v>0</v>
      </c>
      <c r="CJ80" s="436">
        <v>0</v>
      </c>
      <c r="CK80" s="1135">
        <v>1</v>
      </c>
      <c r="CL80" s="1135">
        <v>0</v>
      </c>
      <c r="CM80" s="1170">
        <v>100000</v>
      </c>
      <c r="CN80" s="243">
        <v>2</v>
      </c>
      <c r="CO80" s="254">
        <v>0</v>
      </c>
      <c r="CP80" s="1298">
        <f t="shared" ref="CP80:CP120" si="37">CM80</f>
        <v>100000</v>
      </c>
      <c r="CQ80" s="243">
        <v>2</v>
      </c>
      <c r="CR80" s="254">
        <v>0</v>
      </c>
    </row>
    <row r="81" spans="1:96" s="383" customFormat="1" ht="30" customHeight="1" outlineLevel="1">
      <c r="A81" s="396" t="b">
        <f>Calcul!A81</f>
        <v>0</v>
      </c>
      <c r="B81" s="438" t="str">
        <f t="shared" si="25"/>
        <v/>
      </c>
      <c r="C81" s="1132" t="b">
        <v>0</v>
      </c>
      <c r="D81" s="1133" t="s">
        <v>2293</v>
      </c>
      <c r="E81" s="241" t="s">
        <v>2139</v>
      </c>
      <c r="F81" s="338" t="str">
        <f>IF(A81=FALSE,"",IF(NAMES!$D$10=FALSE,IF(Detail!H81="","",Detail!H81),IF(Crewlist!D81="","",Crewlist!D81)))</f>
        <v/>
      </c>
      <c r="G81" s="338" t="str">
        <f>IF(A81=FALSE,"",IF(NAMES!$D$10=FALSE,IF(Detail!P81="","",Detail!P81),IF(Crewlist!E81="","",Crewlist!E81)))</f>
        <v/>
      </c>
      <c r="H81" s="338" t="str">
        <f>IF(A81=FALSE,"",IF(NAMES!$D$10=FALSE,IF(Detail!K81="","",Detail!K81),IF(Crewlist!F81="","",Crewlist!F81)))</f>
        <v/>
      </c>
      <c r="I81" s="1345" t="str">
        <f>IF(Crewlist!T81="","",Crewlist!T81)</f>
        <v/>
      </c>
      <c r="J81" s="1345" t="str">
        <f>IF(Crewlist!D81="","",IF(Crewlist!U81="",Crewlist!Y81,IF(DATERENOUVMOINS730&lt;&gt;Crewlist!U81&lt;&gt;Crewlist!Y81,Crewlist!U81,DATERENOUVMOINS365)))</f>
        <v/>
      </c>
      <c r="K81" s="1346" t="str">
        <f>IF(Detail!X81="","",Detail!X81)</f>
        <v/>
      </c>
      <c r="L81" s="1346" t="str">
        <f>IF(Detail!H81="","",IF(Detail!Y81="",DATERENOUV,IF(Detail!Y81&gt;Detail!D81,Detail!D81,Detail!Y81)))</f>
        <v/>
      </c>
      <c r="M81" s="829" t="str">
        <f>IF(A81=FALSE,"",IF(NAMES!$D$10=FALSE,IF(B81=B82,IF(N81=N82,0,(DATEDIF(K81,L81,"M")+1)),(DATEDIF(K81,L81,"M")+1)),IF(B81=B82,IF(N81=N82,0,(DATEDIF(I81,J81,"M")+1)),(DATEDIF(I81,J81,"M")+1))))</f>
        <v/>
      </c>
      <c r="N81" s="339" t="str">
        <f t="shared" si="33"/>
        <v/>
      </c>
      <c r="O81" s="340" t="str">
        <f>IF(A81=FALSE,"",IF(NAMES!$D$10=FALSE,IF((DATEDIF(K81,L81,"D")+1)&lt;365,(DATEDIF(K81,L81,"D")+1),365),IF((DATEDIF(I81,J81,"D")+1)&lt;365,(DATEDIF(I81,J81,"D")+1),365)))</f>
        <v/>
      </c>
      <c r="P81" s="340" t="str">
        <f>IF(A81=FALSE,"",IF(NAMES!$D$10=FALSE,IF(L81="",365,DATEDIF(K81,L81,"D")+1),IF(L81="",365,DATEDIF(I81,J81,"D")+1)))</f>
        <v/>
      </c>
      <c r="Q81" s="787" t="str">
        <f>Calcul!X81</f>
        <v/>
      </c>
      <c r="R81" s="787" t="str">
        <f>Calcul!Y81</f>
        <v/>
      </c>
      <c r="S81" s="811" t="str">
        <f>Calcul!AG81</f>
        <v/>
      </c>
      <c r="T81" s="350" t="str">
        <f>IF(A81=FALSE,"",IF(NAMES!$D$10=FALSE,IF(Detail!S81="","",Detail!S81),IF(Crewlist!V81="","",Crewlist!V81)))</f>
        <v/>
      </c>
      <c r="U81" s="242" t="str">
        <f>Calcul!AI81</f>
        <v/>
      </c>
      <c r="V81" s="242" t="str">
        <f>Calcul!AL81</f>
        <v/>
      </c>
      <c r="W81" s="242" t="str">
        <f>Calcul!AM81</f>
        <v/>
      </c>
      <c r="X81" s="335" t="str">
        <f>Calcul!AN81</f>
        <v/>
      </c>
      <c r="Y81" s="242" t="str">
        <f>Calcul!AO81</f>
        <v/>
      </c>
      <c r="Z81" s="242" t="str">
        <f>Calcul!AP81</f>
        <v/>
      </c>
      <c r="AA81" s="335" t="str">
        <f>Calcul!AQ81</f>
        <v/>
      </c>
      <c r="AB81" s="335" t="str">
        <f>IF(C81=FALSE,"",Calcul!BE81+Calcul!BF81)</f>
        <v/>
      </c>
      <c r="AC81" s="335" t="str">
        <f>IF(C81=FALSE,"",(Calcul!BG81+Calcul!BH81)+SUM(Calcul!BI81:BN81))</f>
        <v/>
      </c>
      <c r="AD81" s="335" t="str">
        <f>Calcul!BP81</f>
        <v/>
      </c>
      <c r="AE81" s="1325" t="s">
        <v>2866</v>
      </c>
      <c r="AF81" s="450" t="s">
        <v>2254</v>
      </c>
      <c r="AG81" s="318" t="str">
        <f>IF(A81=FALSE,"",YEAR(Detail!F81)&amp;Detail!AG81&amp;Detail!AD81&amp;"-"&amp;Detail!AE81)</f>
        <v/>
      </c>
      <c r="AH81" s="1134" t="s">
        <v>2224</v>
      </c>
      <c r="AI81" s="1453">
        <v>0.1</v>
      </c>
      <c r="AJ81" s="828">
        <f t="shared" si="26"/>
        <v>0.1</v>
      </c>
      <c r="AK81" s="828">
        <f t="shared" si="27"/>
        <v>0</v>
      </c>
      <c r="AL81" s="828">
        <f t="shared" si="28"/>
        <v>0</v>
      </c>
      <c r="AM81" s="1135" t="s">
        <v>2224</v>
      </c>
      <c r="AN81" s="1455">
        <v>15.1752</v>
      </c>
      <c r="AO81" s="436">
        <v>0</v>
      </c>
      <c r="AP81" s="254">
        <v>1</v>
      </c>
      <c r="AQ81" s="254">
        <v>0</v>
      </c>
      <c r="AS81" s="1127"/>
      <c r="AT81" s="1132" t="s">
        <v>2140</v>
      </c>
      <c r="AU81" s="1136" t="s">
        <v>2255</v>
      </c>
      <c r="AV81" s="1136" t="str">
        <f>IF(A81=FALSE,"",IF(Detail!AT81="","N/A",YEAR(Detail!F81)&amp;Detail!AW81&amp;Detail!AT81&amp;"-"&amp;Detail!AU81&amp;" (100%/"&amp;Detail!CD81&amp;"/"&amp;Detail!CE81&amp;")"))</f>
        <v/>
      </c>
      <c r="AW81" s="1136" t="s">
        <v>2224</v>
      </c>
      <c r="AX81" s="1320" t="str">
        <f>Calcul!DB81</f>
        <v/>
      </c>
      <c r="AY81" s="1298" t="str">
        <f>IF(A81=FALSE,"",51000+(Detail!AA81*7000))</f>
        <v/>
      </c>
      <c r="AZ81" s="1170">
        <v>50000</v>
      </c>
      <c r="BA81" s="243">
        <v>3</v>
      </c>
      <c r="BB81" s="1135">
        <v>0</v>
      </c>
      <c r="BC81" s="1298" t="str">
        <f>IF(A81=FALSE,"",51000+(Detail!AA81*7000))</f>
        <v/>
      </c>
      <c r="BD81" s="1298">
        <f t="shared" si="34"/>
        <v>50000</v>
      </c>
      <c r="BE81" s="1299">
        <f t="shared" si="35"/>
        <v>3</v>
      </c>
      <c r="BF81" s="1284">
        <f t="shared" si="36"/>
        <v>0</v>
      </c>
      <c r="BG81" s="397" t="str">
        <f t="shared" si="29"/>
        <v/>
      </c>
      <c r="BH81" s="1138">
        <v>50000</v>
      </c>
      <c r="BI81" s="243">
        <v>3</v>
      </c>
      <c r="BJ81" s="254">
        <v>0</v>
      </c>
      <c r="BK81" s="397" t="str">
        <f t="shared" si="30"/>
        <v/>
      </c>
      <c r="BL81" s="1138">
        <v>50000</v>
      </c>
      <c r="BM81" s="243">
        <v>3</v>
      </c>
      <c r="BN81" s="254">
        <v>0</v>
      </c>
      <c r="BO81" s="239">
        <v>7</v>
      </c>
      <c r="BP81" s="1075">
        <v>365</v>
      </c>
      <c r="BQ81" s="244">
        <v>1</v>
      </c>
      <c r="BR81" s="254">
        <v>0</v>
      </c>
      <c r="BS81" s="239">
        <f t="shared" si="31"/>
        <v>7</v>
      </c>
      <c r="BT81" s="241">
        <f t="shared" si="32"/>
        <v>365</v>
      </c>
      <c r="BU81" s="253">
        <v>1</v>
      </c>
      <c r="BV81" s="254">
        <v>0</v>
      </c>
      <c r="BW81" s="254" t="s">
        <v>2224</v>
      </c>
      <c r="BX81" s="257">
        <v>0</v>
      </c>
      <c r="BY81" s="436">
        <v>0</v>
      </c>
      <c r="BZ81" s="254">
        <v>1</v>
      </c>
      <c r="CA81" s="254">
        <v>0</v>
      </c>
      <c r="CB81" s="1296"/>
      <c r="CD81" s="1136" t="str">
        <f>IF(A81=FALSE,"",Calcul!NZ81)</f>
        <v/>
      </c>
      <c r="CE81" s="1136" t="s">
        <v>2224</v>
      </c>
      <c r="CF81" s="1132" t="s">
        <v>2138</v>
      </c>
      <c r="CG81" s="1136" t="s">
        <v>2254</v>
      </c>
      <c r="CH81" s="1135" t="s">
        <v>2224</v>
      </c>
      <c r="CI81" s="257">
        <v>0</v>
      </c>
      <c r="CJ81" s="436">
        <v>0</v>
      </c>
      <c r="CK81" s="1135">
        <v>1</v>
      </c>
      <c r="CL81" s="1135">
        <v>0</v>
      </c>
      <c r="CM81" s="1170">
        <v>100000</v>
      </c>
      <c r="CN81" s="243">
        <v>2</v>
      </c>
      <c r="CO81" s="254">
        <v>0</v>
      </c>
      <c r="CP81" s="1298">
        <f t="shared" si="37"/>
        <v>100000</v>
      </c>
      <c r="CQ81" s="243">
        <v>2</v>
      </c>
      <c r="CR81" s="254">
        <v>0</v>
      </c>
    </row>
    <row r="82" spans="1:96" s="383" customFormat="1" ht="30" customHeight="1" outlineLevel="1">
      <c r="A82" s="396" t="b">
        <f>Calcul!A82</f>
        <v>0</v>
      </c>
      <c r="B82" s="438" t="str">
        <f t="shared" si="25"/>
        <v/>
      </c>
      <c r="C82" s="1132" t="b">
        <v>0</v>
      </c>
      <c r="D82" s="1133" t="s">
        <v>2293</v>
      </c>
      <c r="E82" s="241" t="s">
        <v>2139</v>
      </c>
      <c r="F82" s="338" t="str">
        <f>IF(A82=FALSE,"",IF(NAMES!$D$10=FALSE,IF(Detail!H82="","",Detail!H82),IF(Crewlist!D82="","",Crewlist!D82)))</f>
        <v/>
      </c>
      <c r="G82" s="338" t="str">
        <f>IF(A82=FALSE,"",IF(NAMES!$D$10=FALSE,IF(Detail!P82="","",Detail!P82),IF(Crewlist!E82="","",Crewlist!E82)))</f>
        <v/>
      </c>
      <c r="H82" s="338" t="str">
        <f>IF(A82=FALSE,"",IF(NAMES!$D$10=FALSE,IF(Detail!K82="","",Detail!K82),IF(Crewlist!F82="","",Crewlist!F82)))</f>
        <v/>
      </c>
      <c r="I82" s="1345" t="str">
        <f>IF(Crewlist!T82="","",Crewlist!T82)</f>
        <v/>
      </c>
      <c r="J82" s="1345" t="str">
        <f>IF(Crewlist!D82="","",IF(Crewlist!U82="",Crewlist!Y82,IF(DATERENOUVMOINS730&lt;&gt;Crewlist!U82&lt;&gt;Crewlist!Y82,Crewlist!U82,DATERENOUVMOINS365)))</f>
        <v/>
      </c>
      <c r="K82" s="1346" t="str">
        <f>IF(Detail!X82="","",Detail!X82)</f>
        <v/>
      </c>
      <c r="L82" s="1346" t="str">
        <f>IF(Detail!H82="","",IF(Detail!Y82="",DATERENOUV,IF(Detail!Y82&gt;Detail!D82,Detail!D82,Detail!Y82)))</f>
        <v/>
      </c>
      <c r="M82" s="829" t="str">
        <f>IF(A82=FALSE,"",IF(NAMES!$D$10=FALSE,IF(B82=B83,IF(N82=N83,0,(DATEDIF(K82,L82,"M")+1)),(DATEDIF(K82,L82,"M")+1)),IF(B82=B83,IF(N82=N83,0,(DATEDIF(I82,J82,"M")+1)),(DATEDIF(I82,J82,"M")+1))))</f>
        <v/>
      </c>
      <c r="N82" s="339" t="str">
        <f t="shared" si="33"/>
        <v/>
      </c>
      <c r="O82" s="340" t="str">
        <f>IF(A82=FALSE,"",IF(NAMES!$D$10=FALSE,IF((DATEDIF(K82,L82,"D")+1)&lt;365,(DATEDIF(K82,L82,"D")+1),365),IF((DATEDIF(I82,J82,"D")+1)&lt;365,(DATEDIF(I82,J82,"D")+1),365)))</f>
        <v/>
      </c>
      <c r="P82" s="340" t="str">
        <f>IF(A82=FALSE,"",IF(NAMES!$D$10=FALSE,IF(L82="",365,DATEDIF(K82,L82,"D")+1),IF(L82="",365,DATEDIF(I82,J82,"D")+1)))</f>
        <v/>
      </c>
      <c r="Q82" s="787" t="str">
        <f>Calcul!X82</f>
        <v/>
      </c>
      <c r="R82" s="787" t="str">
        <f>Calcul!Y82</f>
        <v/>
      </c>
      <c r="S82" s="811" t="str">
        <f>Calcul!AG82</f>
        <v/>
      </c>
      <c r="T82" s="350" t="str">
        <f>IF(A82=FALSE,"",IF(NAMES!$D$10=FALSE,IF(Detail!S82="","",Detail!S82),IF(Crewlist!V82="","",Crewlist!V82)))</f>
        <v/>
      </c>
      <c r="U82" s="242" t="str">
        <f>Calcul!AI82</f>
        <v/>
      </c>
      <c r="V82" s="242" t="str">
        <f>Calcul!AL82</f>
        <v/>
      </c>
      <c r="W82" s="242" t="str">
        <f>Calcul!AM82</f>
        <v/>
      </c>
      <c r="X82" s="335" t="str">
        <f>Calcul!AN82</f>
        <v/>
      </c>
      <c r="Y82" s="242" t="str">
        <f>Calcul!AO82</f>
        <v/>
      </c>
      <c r="Z82" s="242" t="str">
        <f>Calcul!AP82</f>
        <v/>
      </c>
      <c r="AA82" s="335" t="str">
        <f>Calcul!AQ82</f>
        <v/>
      </c>
      <c r="AB82" s="335" t="str">
        <f>IF(C82=FALSE,"",Calcul!BE82+Calcul!BF82)</f>
        <v/>
      </c>
      <c r="AC82" s="335" t="str">
        <f>IF(C82=FALSE,"",(Calcul!BG82+Calcul!BH82)+SUM(Calcul!BI82:BN82))</f>
        <v/>
      </c>
      <c r="AD82" s="335" t="str">
        <f>Calcul!BP82</f>
        <v/>
      </c>
      <c r="AE82" s="1325" t="s">
        <v>2866</v>
      </c>
      <c r="AF82" s="450" t="s">
        <v>2254</v>
      </c>
      <c r="AG82" s="318" t="str">
        <f>IF(A82=FALSE,"",YEAR(Detail!F82)&amp;Detail!AG82&amp;Detail!AD82&amp;"-"&amp;Detail!AE82)</f>
        <v/>
      </c>
      <c r="AH82" s="1134" t="s">
        <v>2224</v>
      </c>
      <c r="AI82" s="1453">
        <v>0.1</v>
      </c>
      <c r="AJ82" s="828">
        <f t="shared" si="26"/>
        <v>0.1</v>
      </c>
      <c r="AK82" s="828">
        <f t="shared" si="27"/>
        <v>0</v>
      </c>
      <c r="AL82" s="828">
        <f t="shared" si="28"/>
        <v>0</v>
      </c>
      <c r="AM82" s="1135" t="s">
        <v>2224</v>
      </c>
      <c r="AN82" s="1455">
        <v>15.1752</v>
      </c>
      <c r="AO82" s="436">
        <v>0</v>
      </c>
      <c r="AP82" s="254">
        <v>1</v>
      </c>
      <c r="AQ82" s="254">
        <v>0</v>
      </c>
      <c r="AS82" s="1127"/>
      <c r="AT82" s="1132" t="s">
        <v>2140</v>
      </c>
      <c r="AU82" s="1136" t="s">
        <v>2255</v>
      </c>
      <c r="AV82" s="1136" t="str">
        <f>IF(A82=FALSE,"",IF(Detail!AT82="","N/A",YEAR(Detail!F82)&amp;Detail!AW82&amp;Detail!AT82&amp;"-"&amp;Detail!AU82&amp;" (100%/"&amp;Detail!CD82&amp;"/"&amp;Detail!CE82&amp;")"))</f>
        <v/>
      </c>
      <c r="AW82" s="1136" t="s">
        <v>2224</v>
      </c>
      <c r="AX82" s="1320" t="str">
        <f>Calcul!DB82</f>
        <v/>
      </c>
      <c r="AY82" s="1298" t="str">
        <f>IF(A82=FALSE,"",51000+(Detail!AA82*7000))</f>
        <v/>
      </c>
      <c r="AZ82" s="1170">
        <v>50000</v>
      </c>
      <c r="BA82" s="243">
        <v>3</v>
      </c>
      <c r="BB82" s="1135">
        <v>0</v>
      </c>
      <c r="BC82" s="1298" t="str">
        <f>IF(A82=FALSE,"",51000+(Detail!AA82*7000))</f>
        <v/>
      </c>
      <c r="BD82" s="1298">
        <f t="shared" si="34"/>
        <v>50000</v>
      </c>
      <c r="BE82" s="1299">
        <f t="shared" si="35"/>
        <v>3</v>
      </c>
      <c r="BF82" s="1284">
        <f t="shared" si="36"/>
        <v>0</v>
      </c>
      <c r="BG82" s="397" t="str">
        <f t="shared" si="29"/>
        <v/>
      </c>
      <c r="BH82" s="1138">
        <v>50000</v>
      </c>
      <c r="BI82" s="243">
        <v>3</v>
      </c>
      <c r="BJ82" s="254">
        <v>0</v>
      </c>
      <c r="BK82" s="397" t="str">
        <f t="shared" si="30"/>
        <v/>
      </c>
      <c r="BL82" s="1138">
        <v>50000</v>
      </c>
      <c r="BM82" s="243">
        <v>3</v>
      </c>
      <c r="BN82" s="254">
        <v>0</v>
      </c>
      <c r="BO82" s="239">
        <v>7</v>
      </c>
      <c r="BP82" s="1075">
        <v>365</v>
      </c>
      <c r="BQ82" s="244">
        <v>1</v>
      </c>
      <c r="BR82" s="254">
        <v>0</v>
      </c>
      <c r="BS82" s="239">
        <f t="shared" si="31"/>
        <v>7</v>
      </c>
      <c r="BT82" s="241">
        <f t="shared" si="32"/>
        <v>365</v>
      </c>
      <c r="BU82" s="253">
        <v>1</v>
      </c>
      <c r="BV82" s="254">
        <v>0</v>
      </c>
      <c r="BW82" s="254" t="s">
        <v>2224</v>
      </c>
      <c r="BX82" s="257">
        <v>0</v>
      </c>
      <c r="BY82" s="436">
        <v>0</v>
      </c>
      <c r="BZ82" s="254">
        <v>1</v>
      </c>
      <c r="CA82" s="254">
        <v>0</v>
      </c>
      <c r="CB82" s="1296"/>
      <c r="CD82" s="1136" t="str">
        <f>IF(A82=FALSE,"",Calcul!NZ82)</f>
        <v/>
      </c>
      <c r="CE82" s="1136" t="s">
        <v>2224</v>
      </c>
      <c r="CF82" s="1132" t="s">
        <v>2138</v>
      </c>
      <c r="CG82" s="1136" t="s">
        <v>2254</v>
      </c>
      <c r="CH82" s="1135" t="s">
        <v>2224</v>
      </c>
      <c r="CI82" s="257">
        <v>0</v>
      </c>
      <c r="CJ82" s="436">
        <v>0</v>
      </c>
      <c r="CK82" s="1135">
        <v>1</v>
      </c>
      <c r="CL82" s="1135">
        <v>0</v>
      </c>
      <c r="CM82" s="1170">
        <v>100000</v>
      </c>
      <c r="CN82" s="243">
        <v>2</v>
      </c>
      <c r="CO82" s="254">
        <v>0</v>
      </c>
      <c r="CP82" s="1298">
        <f t="shared" si="37"/>
        <v>100000</v>
      </c>
      <c r="CQ82" s="243">
        <v>2</v>
      </c>
      <c r="CR82" s="254">
        <v>0</v>
      </c>
    </row>
    <row r="83" spans="1:96" s="383" customFormat="1" ht="30" customHeight="1" outlineLevel="1">
      <c r="A83" s="396" t="b">
        <f>Calcul!A83</f>
        <v>0</v>
      </c>
      <c r="B83" s="438" t="str">
        <f t="shared" si="25"/>
        <v/>
      </c>
      <c r="C83" s="1132" t="b">
        <v>0</v>
      </c>
      <c r="D83" s="1133" t="s">
        <v>2293</v>
      </c>
      <c r="E83" s="241" t="s">
        <v>2139</v>
      </c>
      <c r="F83" s="338" t="str">
        <f>IF(A83=FALSE,"",IF(NAMES!$D$10=FALSE,IF(Detail!H83="","",Detail!H83),IF(Crewlist!D83="","",Crewlist!D83)))</f>
        <v/>
      </c>
      <c r="G83" s="338" t="str">
        <f>IF(A83=FALSE,"",IF(NAMES!$D$10=FALSE,IF(Detail!P83="","",Detail!P83),IF(Crewlist!E83="","",Crewlist!E83)))</f>
        <v/>
      </c>
      <c r="H83" s="338" t="str">
        <f>IF(A83=FALSE,"",IF(NAMES!$D$10=FALSE,IF(Detail!K83="","",Detail!K83),IF(Crewlist!F83="","",Crewlist!F83)))</f>
        <v/>
      </c>
      <c r="I83" s="1345" t="str">
        <f>IF(Crewlist!T83="","",Crewlist!T83)</f>
        <v/>
      </c>
      <c r="J83" s="1345" t="str">
        <f>IF(Crewlist!D83="","",IF(Crewlist!U83="",Crewlist!Y83,IF(DATERENOUVMOINS730&lt;&gt;Crewlist!U83&lt;&gt;Crewlist!Y83,Crewlist!U83,DATERENOUVMOINS365)))</f>
        <v/>
      </c>
      <c r="K83" s="1346" t="str">
        <f>IF(Detail!X83="","",Detail!X83)</f>
        <v/>
      </c>
      <c r="L83" s="1346" t="str">
        <f>IF(Detail!H83="","",IF(Detail!Y83="",DATERENOUV,IF(Detail!Y83&gt;Detail!D83,Detail!D83,Detail!Y83)))</f>
        <v/>
      </c>
      <c r="M83" s="829" t="str">
        <f>IF(A83=FALSE,"",IF(NAMES!$D$10=FALSE,IF(B83=B84,IF(N83=N84,0,(DATEDIF(K83,L83,"M")+1)),(DATEDIF(K83,L83,"M")+1)),IF(B83=B84,IF(N83=N84,0,(DATEDIF(I83,J83,"M")+1)),(DATEDIF(I83,J83,"M")+1))))</f>
        <v/>
      </c>
      <c r="N83" s="339" t="str">
        <f t="shared" si="33"/>
        <v/>
      </c>
      <c r="O83" s="340" t="str">
        <f>IF(A83=FALSE,"",IF(NAMES!$D$10=FALSE,IF((DATEDIF(K83,L83,"D")+1)&lt;365,(DATEDIF(K83,L83,"D")+1),365),IF((DATEDIF(I83,J83,"D")+1)&lt;365,(DATEDIF(I83,J83,"D")+1),365)))</f>
        <v/>
      </c>
      <c r="P83" s="340" t="str">
        <f>IF(A83=FALSE,"",IF(NAMES!$D$10=FALSE,IF(L83="",365,DATEDIF(K83,L83,"D")+1),IF(L83="",365,DATEDIF(I83,J83,"D")+1)))</f>
        <v/>
      </c>
      <c r="Q83" s="787" t="str">
        <f>Calcul!X83</f>
        <v/>
      </c>
      <c r="R83" s="787" t="str">
        <f>Calcul!Y83</f>
        <v/>
      </c>
      <c r="S83" s="811" t="str">
        <f>Calcul!AG83</f>
        <v/>
      </c>
      <c r="T83" s="350" t="str">
        <f>IF(A83=FALSE,"",IF(NAMES!$D$10=FALSE,IF(Detail!S83="","",Detail!S83),IF(Crewlist!V83="","",Crewlist!V83)))</f>
        <v/>
      </c>
      <c r="U83" s="242" t="str">
        <f>Calcul!AI83</f>
        <v/>
      </c>
      <c r="V83" s="242" t="str">
        <f>Calcul!AL83</f>
        <v/>
      </c>
      <c r="W83" s="242" t="str">
        <f>Calcul!AM83</f>
        <v/>
      </c>
      <c r="X83" s="335" t="str">
        <f>Calcul!AN83</f>
        <v/>
      </c>
      <c r="Y83" s="242" t="str">
        <f>Calcul!AO83</f>
        <v/>
      </c>
      <c r="Z83" s="242" t="str">
        <f>Calcul!AP83</f>
        <v/>
      </c>
      <c r="AA83" s="335" t="str">
        <f>Calcul!AQ83</f>
        <v/>
      </c>
      <c r="AB83" s="335" t="str">
        <f>IF(C83=FALSE,"",Calcul!BE83+Calcul!BF83)</f>
        <v/>
      </c>
      <c r="AC83" s="335" t="str">
        <f>IF(C83=FALSE,"",(Calcul!BG83+Calcul!BH83)+SUM(Calcul!BI83:BN83))</f>
        <v/>
      </c>
      <c r="AD83" s="335" t="str">
        <f>Calcul!BP83</f>
        <v/>
      </c>
      <c r="AE83" s="1325" t="s">
        <v>2866</v>
      </c>
      <c r="AF83" s="450" t="s">
        <v>2254</v>
      </c>
      <c r="AG83" s="318" t="str">
        <f>IF(A83=FALSE,"",YEAR(Detail!F83)&amp;Detail!AG83&amp;Detail!AD83&amp;"-"&amp;Detail!AE83)</f>
        <v/>
      </c>
      <c r="AH83" s="1134" t="s">
        <v>2224</v>
      </c>
      <c r="AI83" s="1135">
        <v>0</v>
      </c>
      <c r="AJ83" s="828">
        <f t="shared" si="26"/>
        <v>0</v>
      </c>
      <c r="AK83" s="828">
        <f t="shared" si="27"/>
        <v>0</v>
      </c>
      <c r="AL83" s="828">
        <f t="shared" si="28"/>
        <v>0</v>
      </c>
      <c r="AM83" s="1135" t="s">
        <v>2224</v>
      </c>
      <c r="AN83" s="1455">
        <v>15.1752</v>
      </c>
      <c r="AO83" s="436">
        <v>0</v>
      </c>
      <c r="AP83" s="254">
        <v>1</v>
      </c>
      <c r="AQ83" s="254">
        <v>0</v>
      </c>
      <c r="AS83" s="1127"/>
      <c r="AT83" s="239" t="s">
        <v>2140</v>
      </c>
      <c r="AU83" s="1136" t="s">
        <v>2255</v>
      </c>
      <c r="AV83" s="1136" t="str">
        <f>IF(A83=FALSE,"",IF(Detail!AT83="","N/A",YEAR(Detail!F83)&amp;Detail!AW83&amp;Detail!AT83&amp;"-"&amp;Detail!AU83&amp;" (100%/"&amp;Detail!CD83&amp;"/"&amp;Detail!CE83&amp;")"))</f>
        <v/>
      </c>
      <c r="AW83" s="1136" t="s">
        <v>2224</v>
      </c>
      <c r="AX83" s="1320" t="str">
        <f>Calcul!DB83</f>
        <v/>
      </c>
      <c r="AY83" s="1298" t="str">
        <f>IF(A83=FALSE,"",51000+(Detail!AA83*7000))</f>
        <v/>
      </c>
      <c r="AZ83" s="1170">
        <v>50000</v>
      </c>
      <c r="BA83" s="243">
        <v>3</v>
      </c>
      <c r="BB83" s="1135">
        <v>0</v>
      </c>
      <c r="BC83" s="1298" t="str">
        <f>IF(A83=FALSE,"",51000+(Detail!AA83*7000))</f>
        <v/>
      </c>
      <c r="BD83" s="1298">
        <f t="shared" si="34"/>
        <v>50000</v>
      </c>
      <c r="BE83" s="1299">
        <f t="shared" si="35"/>
        <v>3</v>
      </c>
      <c r="BF83" s="1284">
        <f t="shared" si="36"/>
        <v>0</v>
      </c>
      <c r="BG83" s="397" t="str">
        <f t="shared" si="29"/>
        <v/>
      </c>
      <c r="BH83" s="1138">
        <v>50000</v>
      </c>
      <c r="BI83" s="243">
        <v>3</v>
      </c>
      <c r="BJ83" s="254">
        <v>0</v>
      </c>
      <c r="BK83" s="397" t="str">
        <f t="shared" si="30"/>
        <v/>
      </c>
      <c r="BL83" s="1138">
        <v>50000</v>
      </c>
      <c r="BM83" s="243">
        <v>3</v>
      </c>
      <c r="BN83" s="254">
        <v>0</v>
      </c>
      <c r="BO83" s="239">
        <v>7</v>
      </c>
      <c r="BP83" s="1075">
        <v>365</v>
      </c>
      <c r="BQ83" s="244">
        <v>1</v>
      </c>
      <c r="BR83" s="254">
        <v>0</v>
      </c>
      <c r="BS83" s="239">
        <f t="shared" si="31"/>
        <v>7</v>
      </c>
      <c r="BT83" s="241">
        <f t="shared" si="32"/>
        <v>365</v>
      </c>
      <c r="BU83" s="253">
        <v>1</v>
      </c>
      <c r="BV83" s="254">
        <v>0</v>
      </c>
      <c r="BW83" s="254" t="s">
        <v>2224</v>
      </c>
      <c r="BX83" s="257">
        <v>0</v>
      </c>
      <c r="BY83" s="436">
        <v>0</v>
      </c>
      <c r="BZ83" s="254">
        <v>1</v>
      </c>
      <c r="CA83" s="254">
        <v>0</v>
      </c>
      <c r="CB83" s="1296"/>
      <c r="CD83" s="1136" t="str">
        <f>IF(A83=FALSE,"",Calcul!NZ83)</f>
        <v/>
      </c>
      <c r="CE83" s="1136" t="s">
        <v>2224</v>
      </c>
      <c r="CF83" s="1132" t="s">
        <v>2138</v>
      </c>
      <c r="CG83" s="1136" t="s">
        <v>2254</v>
      </c>
      <c r="CH83" s="1135" t="s">
        <v>2224</v>
      </c>
      <c r="CI83" s="257">
        <v>0</v>
      </c>
      <c r="CJ83" s="436">
        <v>0</v>
      </c>
      <c r="CK83" s="1135">
        <v>1</v>
      </c>
      <c r="CL83" s="1135">
        <v>0</v>
      </c>
      <c r="CM83" s="1170">
        <v>100000</v>
      </c>
      <c r="CN83" s="243">
        <v>2</v>
      </c>
      <c r="CO83" s="254">
        <v>0</v>
      </c>
      <c r="CP83" s="1298">
        <f t="shared" si="37"/>
        <v>100000</v>
      </c>
      <c r="CQ83" s="243">
        <v>2</v>
      </c>
      <c r="CR83" s="254">
        <v>0</v>
      </c>
    </row>
    <row r="84" spans="1:96" s="383" customFormat="1" ht="30" customHeight="1" outlineLevel="1">
      <c r="A84" s="396" t="b">
        <f>Calcul!A84</f>
        <v>0</v>
      </c>
      <c r="B84" s="438" t="str">
        <f t="shared" si="25"/>
        <v/>
      </c>
      <c r="C84" s="1132" t="b">
        <v>0</v>
      </c>
      <c r="D84" s="1133" t="s">
        <v>2293</v>
      </c>
      <c r="E84" s="241" t="s">
        <v>2139</v>
      </c>
      <c r="F84" s="338" t="str">
        <f>IF(A84=FALSE,"",IF(NAMES!$D$10=FALSE,IF(Detail!H84="","",Detail!H84),IF(Crewlist!D84="","",Crewlist!D84)))</f>
        <v/>
      </c>
      <c r="G84" s="338" t="str">
        <f>IF(A84=FALSE,"",IF(NAMES!$D$10=FALSE,IF(Detail!P84="","",Detail!P84),IF(Crewlist!E84="","",Crewlist!E84)))</f>
        <v/>
      </c>
      <c r="H84" s="338" t="str">
        <f>IF(A84=FALSE,"",IF(NAMES!$D$10=FALSE,IF(Detail!K84="","",Detail!K84),IF(Crewlist!F84="","",Crewlist!F84)))</f>
        <v/>
      </c>
      <c r="I84" s="1345" t="str">
        <f>IF(Crewlist!T84="","",Crewlist!T84)</f>
        <v/>
      </c>
      <c r="J84" s="1345" t="str">
        <f>IF(Crewlist!D84="","",IF(Crewlist!U84="",Crewlist!Y84,IF(DATERENOUVMOINS730&lt;&gt;Crewlist!U84&lt;&gt;Crewlist!Y84,Crewlist!U84,DATERENOUVMOINS365)))</f>
        <v/>
      </c>
      <c r="K84" s="1346" t="str">
        <f>IF(Detail!X84="","",Detail!X84)</f>
        <v/>
      </c>
      <c r="L84" s="1346" t="str">
        <f>IF(Detail!H84="","",IF(Detail!Y84="",DATERENOUV,IF(Detail!Y84&gt;Detail!D84,Detail!D84,Detail!Y84)))</f>
        <v/>
      </c>
      <c r="M84" s="829" t="str">
        <f>IF(A84=FALSE,"",IF(NAMES!$D$10=FALSE,IF(B84=B85,IF(N84=N85,0,(DATEDIF(K84,L84,"M")+1)),(DATEDIF(K84,L84,"M")+1)),IF(B84=B85,IF(N84=N85,0,(DATEDIF(I84,J84,"M")+1)),(DATEDIF(I84,J84,"M")+1))))</f>
        <v/>
      </c>
      <c r="N84" s="339" t="str">
        <f t="shared" si="33"/>
        <v/>
      </c>
      <c r="O84" s="340" t="str">
        <f>IF(A84=FALSE,"",IF(NAMES!$D$10=FALSE,IF((DATEDIF(K84,L84,"D")+1)&lt;365,(DATEDIF(K84,L84,"D")+1),365),IF((DATEDIF(I84,J84,"D")+1)&lt;365,(DATEDIF(I84,J84,"D")+1),365)))</f>
        <v/>
      </c>
      <c r="P84" s="340" t="str">
        <f>IF(A84=FALSE,"",IF(NAMES!$D$10=FALSE,IF(L84="",365,DATEDIF(K84,L84,"D")+1),IF(L84="",365,DATEDIF(I84,J84,"D")+1)))</f>
        <v/>
      </c>
      <c r="Q84" s="787" t="str">
        <f>Calcul!X84</f>
        <v/>
      </c>
      <c r="R84" s="787" t="str">
        <f>Calcul!Y84</f>
        <v/>
      </c>
      <c r="S84" s="811" t="str">
        <f>Calcul!AG84</f>
        <v/>
      </c>
      <c r="T84" s="350" t="str">
        <f>IF(A84=FALSE,"",IF(NAMES!$D$10=FALSE,IF(Detail!S84="","",Detail!S84),IF(Crewlist!V84="","",Crewlist!V84)))</f>
        <v/>
      </c>
      <c r="U84" s="242" t="str">
        <f>Calcul!AI84</f>
        <v/>
      </c>
      <c r="V84" s="242" t="str">
        <f>Calcul!AL84</f>
        <v/>
      </c>
      <c r="W84" s="242" t="str">
        <f>Calcul!AM84</f>
        <v/>
      </c>
      <c r="X84" s="335" t="str">
        <f>Calcul!AN84</f>
        <v/>
      </c>
      <c r="Y84" s="242" t="str">
        <f>Calcul!AO84</f>
        <v/>
      </c>
      <c r="Z84" s="242" t="str">
        <f>Calcul!AP84</f>
        <v/>
      </c>
      <c r="AA84" s="335" t="str">
        <f>Calcul!AQ84</f>
        <v/>
      </c>
      <c r="AB84" s="335" t="str">
        <f>IF(C84=FALSE,"",Calcul!BE84+Calcul!BF84)</f>
        <v/>
      </c>
      <c r="AC84" s="335" t="str">
        <f>IF(C84=FALSE,"",(Calcul!BG84+Calcul!BH84)+SUM(Calcul!BI84:BN84))</f>
        <v/>
      </c>
      <c r="AD84" s="335" t="str">
        <f>Calcul!BP84</f>
        <v/>
      </c>
      <c r="AE84" s="1325" t="s">
        <v>2866</v>
      </c>
      <c r="AF84" s="450" t="s">
        <v>2254</v>
      </c>
      <c r="AG84" s="318" t="str">
        <f>IF(A84=FALSE,"",YEAR(Detail!F84)&amp;Detail!AG84&amp;Detail!AD84&amp;"-"&amp;Detail!AE84)</f>
        <v/>
      </c>
      <c r="AH84" s="1134" t="s">
        <v>2224</v>
      </c>
      <c r="AI84" s="1135">
        <v>0</v>
      </c>
      <c r="AJ84" s="828">
        <f t="shared" si="26"/>
        <v>0</v>
      </c>
      <c r="AK84" s="828">
        <f t="shared" si="27"/>
        <v>0</v>
      </c>
      <c r="AL84" s="828">
        <f t="shared" si="28"/>
        <v>0</v>
      </c>
      <c r="AM84" s="1135" t="s">
        <v>2224</v>
      </c>
      <c r="AN84" s="1455">
        <v>15.1752</v>
      </c>
      <c r="AO84" s="436">
        <v>0</v>
      </c>
      <c r="AP84" s="254">
        <v>1</v>
      </c>
      <c r="AQ84" s="254">
        <v>0</v>
      </c>
      <c r="AS84" s="1127"/>
      <c r="AT84" s="239" t="s">
        <v>2140</v>
      </c>
      <c r="AU84" s="1136" t="s">
        <v>2255</v>
      </c>
      <c r="AV84" s="1136" t="str">
        <f>IF(A84=FALSE,"",IF(Detail!AT84="","N/A",YEAR(Detail!F84)&amp;Detail!AW84&amp;Detail!AT84&amp;"-"&amp;Detail!AU84&amp;" (100%/"&amp;Detail!CD84&amp;"/"&amp;Detail!CE84&amp;")"))</f>
        <v/>
      </c>
      <c r="AW84" s="1136" t="s">
        <v>2224</v>
      </c>
      <c r="AX84" s="1320" t="str">
        <f>Calcul!DB84</f>
        <v/>
      </c>
      <c r="AY84" s="1298" t="str">
        <f>IF(A84=FALSE,"",51000+(Detail!AA84*7000))</f>
        <v/>
      </c>
      <c r="AZ84" s="1170">
        <v>50000</v>
      </c>
      <c r="BA84" s="243">
        <v>3</v>
      </c>
      <c r="BB84" s="1135">
        <v>0</v>
      </c>
      <c r="BC84" s="1298" t="str">
        <f>IF(A84=FALSE,"",51000+(Detail!AA84*7000))</f>
        <v/>
      </c>
      <c r="BD84" s="1298">
        <f t="shared" si="34"/>
        <v>50000</v>
      </c>
      <c r="BE84" s="1299">
        <f t="shared" si="35"/>
        <v>3</v>
      </c>
      <c r="BF84" s="1284">
        <f t="shared" si="36"/>
        <v>0</v>
      </c>
      <c r="BG84" s="397" t="str">
        <f t="shared" si="29"/>
        <v/>
      </c>
      <c r="BH84" s="1138">
        <v>50000</v>
      </c>
      <c r="BI84" s="243">
        <v>3</v>
      </c>
      <c r="BJ84" s="254">
        <v>0</v>
      </c>
      <c r="BK84" s="397" t="str">
        <f t="shared" si="30"/>
        <v/>
      </c>
      <c r="BL84" s="1138">
        <v>50000</v>
      </c>
      <c r="BM84" s="243">
        <v>3</v>
      </c>
      <c r="BN84" s="254">
        <v>0</v>
      </c>
      <c r="BO84" s="239">
        <v>7</v>
      </c>
      <c r="BP84" s="1075">
        <v>365</v>
      </c>
      <c r="BQ84" s="244">
        <v>1</v>
      </c>
      <c r="BR84" s="254">
        <v>0</v>
      </c>
      <c r="BS84" s="239">
        <f t="shared" si="31"/>
        <v>7</v>
      </c>
      <c r="BT84" s="241">
        <f t="shared" si="32"/>
        <v>365</v>
      </c>
      <c r="BU84" s="253">
        <v>1</v>
      </c>
      <c r="BV84" s="254">
        <v>0</v>
      </c>
      <c r="BW84" s="254" t="s">
        <v>2224</v>
      </c>
      <c r="BX84" s="257">
        <v>0</v>
      </c>
      <c r="BY84" s="436">
        <v>0</v>
      </c>
      <c r="BZ84" s="254">
        <v>1</v>
      </c>
      <c r="CA84" s="254">
        <v>0</v>
      </c>
      <c r="CB84" s="1296"/>
      <c r="CD84" s="1136" t="str">
        <f>IF(A84=FALSE,"",Calcul!NZ84)</f>
        <v/>
      </c>
      <c r="CE84" s="1136" t="s">
        <v>2224</v>
      </c>
      <c r="CF84" s="1132" t="s">
        <v>2138</v>
      </c>
      <c r="CG84" s="1136" t="s">
        <v>2254</v>
      </c>
      <c r="CH84" s="1135" t="s">
        <v>2224</v>
      </c>
      <c r="CI84" s="257">
        <v>0</v>
      </c>
      <c r="CJ84" s="436">
        <v>0</v>
      </c>
      <c r="CK84" s="1135">
        <v>1</v>
      </c>
      <c r="CL84" s="1135">
        <v>0</v>
      </c>
      <c r="CM84" s="1170">
        <v>100000</v>
      </c>
      <c r="CN84" s="243">
        <v>2</v>
      </c>
      <c r="CO84" s="254">
        <v>0</v>
      </c>
      <c r="CP84" s="1298">
        <f t="shared" si="37"/>
        <v>100000</v>
      </c>
      <c r="CQ84" s="243">
        <v>2</v>
      </c>
      <c r="CR84" s="254">
        <v>0</v>
      </c>
    </row>
    <row r="85" spans="1:96" s="383" customFormat="1" ht="30" customHeight="1" outlineLevel="1">
      <c r="A85" s="396" t="b">
        <f>Calcul!A85</f>
        <v>0</v>
      </c>
      <c r="B85" s="438" t="str">
        <f t="shared" si="25"/>
        <v/>
      </c>
      <c r="C85" s="1132" t="b">
        <v>0</v>
      </c>
      <c r="D85" s="1133" t="s">
        <v>2293</v>
      </c>
      <c r="E85" s="241" t="s">
        <v>2139</v>
      </c>
      <c r="F85" s="338" t="str">
        <f>IF(A85=FALSE,"",IF(NAMES!$D$10=FALSE,IF(Detail!H85="","",Detail!H85),IF(Crewlist!D85="","",Crewlist!D85)))</f>
        <v/>
      </c>
      <c r="G85" s="338" t="str">
        <f>IF(A85=FALSE,"",IF(NAMES!$D$10=FALSE,IF(Detail!P85="","",Detail!P85),IF(Crewlist!E85="","",Crewlist!E85)))</f>
        <v/>
      </c>
      <c r="H85" s="338" t="str">
        <f>IF(A85=FALSE,"",IF(NAMES!$D$10=FALSE,IF(Detail!K85="","",Detail!K85),IF(Crewlist!F85="","",Crewlist!F85)))</f>
        <v/>
      </c>
      <c r="I85" s="1345" t="str">
        <f>IF(Crewlist!T85="","",Crewlist!T85)</f>
        <v/>
      </c>
      <c r="J85" s="1345" t="str">
        <f>IF(Crewlist!D85="","",IF(Crewlist!U85="",Crewlist!Y85,IF(DATERENOUVMOINS730&lt;&gt;Crewlist!U85&lt;&gt;Crewlist!Y85,Crewlist!U85,DATERENOUVMOINS365)))</f>
        <v/>
      </c>
      <c r="K85" s="1346" t="str">
        <f>IF(Detail!X85="","",Detail!X85)</f>
        <v/>
      </c>
      <c r="L85" s="1346" t="str">
        <f>IF(Detail!H85="","",IF(Detail!Y85="",DATERENOUV,IF(Detail!Y85&gt;Detail!D85,Detail!D85,Detail!Y85)))</f>
        <v/>
      </c>
      <c r="M85" s="829" t="str">
        <f>IF(A85=FALSE,"",IF(NAMES!$D$10=FALSE,IF(B85=B86,IF(N85=N86,0,(DATEDIF(K85,L85,"M")+1)),(DATEDIF(K85,L85,"M")+1)),IF(B85=B86,IF(N85=N86,0,(DATEDIF(I85,J85,"M")+1)),(DATEDIF(I85,J85,"M")+1))))</f>
        <v/>
      </c>
      <c r="N85" s="339" t="str">
        <f t="shared" si="33"/>
        <v/>
      </c>
      <c r="O85" s="340" t="str">
        <f>IF(A85=FALSE,"",IF(NAMES!$D$10=FALSE,IF((DATEDIF(K85,L85,"D")+1)&lt;365,(DATEDIF(K85,L85,"D")+1),365),IF((DATEDIF(I85,J85,"D")+1)&lt;365,(DATEDIF(I85,J85,"D")+1),365)))</f>
        <v/>
      </c>
      <c r="P85" s="340" t="str">
        <f>IF(A85=FALSE,"",IF(NAMES!$D$10=FALSE,IF(L85="",365,DATEDIF(K85,L85,"D")+1),IF(L85="",365,DATEDIF(I85,J85,"D")+1)))</f>
        <v/>
      </c>
      <c r="Q85" s="787" t="str">
        <f>Calcul!X85</f>
        <v/>
      </c>
      <c r="R85" s="787" t="str">
        <f>Calcul!Y85</f>
        <v/>
      </c>
      <c r="S85" s="811" t="str">
        <f>Calcul!AG85</f>
        <v/>
      </c>
      <c r="T85" s="350" t="str">
        <f>IF(A85=FALSE,"",IF(NAMES!$D$10=FALSE,IF(Detail!S85="","",Detail!S85),IF(Crewlist!V85="","",Crewlist!V85)))</f>
        <v/>
      </c>
      <c r="U85" s="242" t="str">
        <f>Calcul!AI85</f>
        <v/>
      </c>
      <c r="V85" s="242" t="str">
        <f>Calcul!AL85</f>
        <v/>
      </c>
      <c r="W85" s="242" t="str">
        <f>Calcul!AM85</f>
        <v/>
      </c>
      <c r="X85" s="335" t="str">
        <f>Calcul!AN85</f>
        <v/>
      </c>
      <c r="Y85" s="242" t="str">
        <f>Calcul!AO85</f>
        <v/>
      </c>
      <c r="Z85" s="242" t="str">
        <f>Calcul!AP85</f>
        <v/>
      </c>
      <c r="AA85" s="335" t="str">
        <f>Calcul!AQ85</f>
        <v/>
      </c>
      <c r="AB85" s="335" t="str">
        <f>IF(C85=FALSE,"",Calcul!BE85+Calcul!BF85)</f>
        <v/>
      </c>
      <c r="AC85" s="335" t="str">
        <f>IF(C85=FALSE,"",(Calcul!BG85+Calcul!BH85)+SUM(Calcul!BI85:BN85))</f>
        <v/>
      </c>
      <c r="AD85" s="335" t="str">
        <f>Calcul!BP85</f>
        <v/>
      </c>
      <c r="AE85" s="1325" t="s">
        <v>2866</v>
      </c>
      <c r="AF85" s="450" t="s">
        <v>2254</v>
      </c>
      <c r="AG85" s="318" t="str">
        <f>IF(A85=FALSE,"",YEAR(Detail!F85)&amp;Detail!AG85&amp;Detail!AD85&amp;"-"&amp;Detail!AE85)</f>
        <v/>
      </c>
      <c r="AH85" s="1134" t="s">
        <v>2224</v>
      </c>
      <c r="AI85" s="1135">
        <v>0</v>
      </c>
      <c r="AJ85" s="828">
        <f t="shared" si="26"/>
        <v>0</v>
      </c>
      <c r="AK85" s="828">
        <f t="shared" si="27"/>
        <v>0</v>
      </c>
      <c r="AL85" s="828">
        <f t="shared" si="28"/>
        <v>0</v>
      </c>
      <c r="AM85" s="1135" t="s">
        <v>2224</v>
      </c>
      <c r="AN85" s="1455">
        <v>15.1752</v>
      </c>
      <c r="AO85" s="436">
        <v>0</v>
      </c>
      <c r="AP85" s="254">
        <v>1</v>
      </c>
      <c r="AQ85" s="254">
        <v>0</v>
      </c>
      <c r="AS85" s="1127"/>
      <c r="AT85" s="239" t="s">
        <v>2140</v>
      </c>
      <c r="AU85" s="1136" t="s">
        <v>2255</v>
      </c>
      <c r="AV85" s="1136" t="str">
        <f>IF(A85=FALSE,"",IF(Detail!AT85="","N/A",YEAR(Detail!F85)&amp;Detail!AW85&amp;Detail!AT85&amp;"-"&amp;Detail!AU85&amp;" (100%/"&amp;Detail!CD85&amp;"/"&amp;Detail!CE85&amp;")"))</f>
        <v/>
      </c>
      <c r="AW85" s="1136" t="s">
        <v>2224</v>
      </c>
      <c r="AX85" s="1320" t="str">
        <f>Calcul!DB85</f>
        <v/>
      </c>
      <c r="AY85" s="1298" t="str">
        <f>IF(A85=FALSE,"",51000+(Detail!AA85*7000))</f>
        <v/>
      </c>
      <c r="AZ85" s="1170">
        <v>50000</v>
      </c>
      <c r="BA85" s="243">
        <v>3</v>
      </c>
      <c r="BB85" s="1135">
        <v>0</v>
      </c>
      <c r="BC85" s="1298" t="str">
        <f>IF(A85=FALSE,"",51000+(Detail!AA85*7000))</f>
        <v/>
      </c>
      <c r="BD85" s="1298">
        <f t="shared" si="34"/>
        <v>50000</v>
      </c>
      <c r="BE85" s="1299">
        <f t="shared" si="35"/>
        <v>3</v>
      </c>
      <c r="BF85" s="1284">
        <f t="shared" si="36"/>
        <v>0</v>
      </c>
      <c r="BG85" s="397" t="str">
        <f t="shared" si="29"/>
        <v/>
      </c>
      <c r="BH85" s="1138">
        <v>50000</v>
      </c>
      <c r="BI85" s="243">
        <v>3</v>
      </c>
      <c r="BJ85" s="254">
        <v>0</v>
      </c>
      <c r="BK85" s="397" t="str">
        <f t="shared" si="30"/>
        <v/>
      </c>
      <c r="BL85" s="1138">
        <v>50000</v>
      </c>
      <c r="BM85" s="243">
        <v>3</v>
      </c>
      <c r="BN85" s="254">
        <v>0</v>
      </c>
      <c r="BO85" s="239">
        <v>7</v>
      </c>
      <c r="BP85" s="1075">
        <v>365</v>
      </c>
      <c r="BQ85" s="244">
        <v>1</v>
      </c>
      <c r="BR85" s="254">
        <v>0</v>
      </c>
      <c r="BS85" s="239">
        <f t="shared" si="31"/>
        <v>7</v>
      </c>
      <c r="BT85" s="241">
        <f t="shared" si="32"/>
        <v>365</v>
      </c>
      <c r="BU85" s="253">
        <v>1</v>
      </c>
      <c r="BV85" s="254">
        <v>0</v>
      </c>
      <c r="BW85" s="254" t="s">
        <v>2224</v>
      </c>
      <c r="BX85" s="257">
        <v>0</v>
      </c>
      <c r="BY85" s="436">
        <v>0</v>
      </c>
      <c r="BZ85" s="254">
        <v>1</v>
      </c>
      <c r="CA85" s="254">
        <v>0</v>
      </c>
      <c r="CB85" s="1296"/>
      <c r="CD85" s="1136" t="str">
        <f>IF(A85=FALSE,"",Calcul!NZ85)</f>
        <v/>
      </c>
      <c r="CE85" s="1136" t="s">
        <v>2224</v>
      </c>
      <c r="CF85" s="1132" t="s">
        <v>2138</v>
      </c>
      <c r="CG85" s="1136" t="s">
        <v>2254</v>
      </c>
      <c r="CH85" s="1135" t="s">
        <v>2224</v>
      </c>
      <c r="CI85" s="257">
        <v>0</v>
      </c>
      <c r="CJ85" s="436">
        <v>0</v>
      </c>
      <c r="CK85" s="1135">
        <v>1</v>
      </c>
      <c r="CL85" s="1135">
        <v>0</v>
      </c>
      <c r="CM85" s="1170">
        <v>100000</v>
      </c>
      <c r="CN85" s="243">
        <v>2</v>
      </c>
      <c r="CO85" s="254">
        <v>0</v>
      </c>
      <c r="CP85" s="1298">
        <f t="shared" si="37"/>
        <v>100000</v>
      </c>
      <c r="CQ85" s="243">
        <v>2</v>
      </c>
      <c r="CR85" s="254">
        <v>0</v>
      </c>
    </row>
    <row r="86" spans="1:96" s="383" customFormat="1" ht="30" customHeight="1" outlineLevel="1">
      <c r="A86" s="396" t="b">
        <f>Calcul!A86</f>
        <v>0</v>
      </c>
      <c r="B86" s="438" t="str">
        <f t="shared" si="25"/>
        <v/>
      </c>
      <c r="C86" s="1132" t="b">
        <v>0</v>
      </c>
      <c r="D86" s="1133" t="s">
        <v>2293</v>
      </c>
      <c r="E86" s="241" t="s">
        <v>2139</v>
      </c>
      <c r="F86" s="338" t="str">
        <f>IF(A86=FALSE,"",IF(NAMES!$D$10=FALSE,IF(Detail!H86="","",Detail!H86),IF(Crewlist!D86="","",Crewlist!D86)))</f>
        <v/>
      </c>
      <c r="G86" s="338" t="str">
        <f>IF(A86=FALSE,"",IF(NAMES!$D$10=FALSE,IF(Detail!P86="","",Detail!P86),IF(Crewlist!E86="","",Crewlist!E86)))</f>
        <v/>
      </c>
      <c r="H86" s="338" t="str">
        <f>IF(A86=FALSE,"",IF(NAMES!$D$10=FALSE,IF(Detail!K86="","",Detail!K86),IF(Crewlist!F86="","",Crewlist!F86)))</f>
        <v/>
      </c>
      <c r="I86" s="1345" t="str">
        <f>IF(Crewlist!T86="","",Crewlist!T86)</f>
        <v/>
      </c>
      <c r="J86" s="1345" t="str">
        <f>IF(Crewlist!D86="","",IF(Crewlist!U86="",Crewlist!Y86,IF(DATERENOUVMOINS730&lt;&gt;Crewlist!U86&lt;&gt;Crewlist!Y86,Crewlist!U86,DATERENOUVMOINS365)))</f>
        <v/>
      </c>
      <c r="K86" s="1346" t="str">
        <f>IF(Detail!X86="","",Detail!X86)</f>
        <v/>
      </c>
      <c r="L86" s="1346" t="str">
        <f>IF(Detail!H86="","",IF(Detail!Y86="",DATERENOUV,IF(Detail!Y86&gt;Detail!D86,Detail!D86,Detail!Y86)))</f>
        <v/>
      </c>
      <c r="M86" s="829" t="str">
        <f>IF(A86=FALSE,"",IF(NAMES!$D$10=FALSE,IF(B86=B87,IF(N86=N87,0,(DATEDIF(K86,L86,"M")+1)),(DATEDIF(K86,L86,"M")+1)),IF(B86=B87,IF(N86=N87,0,(DATEDIF(I86,J86,"M")+1)),(DATEDIF(I86,J86,"M")+1))))</f>
        <v/>
      </c>
      <c r="N86" s="339" t="str">
        <f t="shared" si="33"/>
        <v/>
      </c>
      <c r="O86" s="340" t="str">
        <f>IF(A86=FALSE,"",IF(NAMES!$D$10=FALSE,IF((DATEDIF(K86,L86,"D")+1)&lt;365,(DATEDIF(K86,L86,"D")+1),365),IF((DATEDIF(I86,J86,"D")+1)&lt;365,(DATEDIF(I86,J86,"D")+1),365)))</f>
        <v/>
      </c>
      <c r="P86" s="340" t="str">
        <f>IF(A86=FALSE,"",IF(NAMES!$D$10=FALSE,IF(L86="",365,DATEDIF(K86,L86,"D")+1),IF(L86="",365,DATEDIF(I86,J86,"D")+1)))</f>
        <v/>
      </c>
      <c r="Q86" s="787" t="str">
        <f>Calcul!X86</f>
        <v/>
      </c>
      <c r="R86" s="787" t="str">
        <f>Calcul!Y86</f>
        <v/>
      </c>
      <c r="S86" s="811" t="str">
        <f>Calcul!AG86</f>
        <v/>
      </c>
      <c r="T86" s="350" t="str">
        <f>IF(A86=FALSE,"",IF(NAMES!$D$10=FALSE,IF(Detail!S86="","",Detail!S86),IF(Crewlist!V86="","",Crewlist!V86)))</f>
        <v/>
      </c>
      <c r="U86" s="242" t="str">
        <f>Calcul!AI86</f>
        <v/>
      </c>
      <c r="V86" s="242" t="str">
        <f>Calcul!AL86</f>
        <v/>
      </c>
      <c r="W86" s="242" t="str">
        <f>Calcul!AM86</f>
        <v/>
      </c>
      <c r="X86" s="335" t="str">
        <f>Calcul!AN86</f>
        <v/>
      </c>
      <c r="Y86" s="242" t="str">
        <f>Calcul!AO86</f>
        <v/>
      </c>
      <c r="Z86" s="242" t="str">
        <f>Calcul!AP86</f>
        <v/>
      </c>
      <c r="AA86" s="335" t="str">
        <f>Calcul!AQ86</f>
        <v/>
      </c>
      <c r="AB86" s="335" t="str">
        <f>IF(C86=FALSE,"",Calcul!BE86+Calcul!BF86)</f>
        <v/>
      </c>
      <c r="AC86" s="335" t="str">
        <f>IF(C86=FALSE,"",(Calcul!BG86+Calcul!BH86)+SUM(Calcul!BI86:BN86))</f>
        <v/>
      </c>
      <c r="AD86" s="335" t="str">
        <f>Calcul!BP86</f>
        <v/>
      </c>
      <c r="AE86" s="1325" t="s">
        <v>2866</v>
      </c>
      <c r="AF86" s="450" t="s">
        <v>2254</v>
      </c>
      <c r="AG86" s="318" t="str">
        <f>IF(A86=FALSE,"",YEAR(Detail!F86)&amp;Detail!AG86&amp;Detail!AD86&amp;"-"&amp;Detail!AE86)</f>
        <v/>
      </c>
      <c r="AH86" s="1134" t="s">
        <v>2224</v>
      </c>
      <c r="AI86" s="1135">
        <v>0</v>
      </c>
      <c r="AJ86" s="828">
        <f t="shared" si="26"/>
        <v>0</v>
      </c>
      <c r="AK86" s="828">
        <f t="shared" si="27"/>
        <v>0</v>
      </c>
      <c r="AL86" s="828">
        <f t="shared" si="28"/>
        <v>0</v>
      </c>
      <c r="AM86" s="1135" t="s">
        <v>2224</v>
      </c>
      <c r="AN86" s="1455">
        <v>15.1752</v>
      </c>
      <c r="AO86" s="436">
        <v>0</v>
      </c>
      <c r="AP86" s="254">
        <v>1</v>
      </c>
      <c r="AQ86" s="254">
        <v>0</v>
      </c>
      <c r="AS86" s="1127"/>
      <c r="AT86" s="239" t="s">
        <v>2140</v>
      </c>
      <c r="AU86" s="1136" t="s">
        <v>2255</v>
      </c>
      <c r="AV86" s="1136" t="str">
        <f>IF(A86=FALSE,"",IF(Detail!AT86="","N/A",YEAR(Detail!F86)&amp;Detail!AW86&amp;Detail!AT86&amp;"-"&amp;Detail!AU86&amp;" (100%/"&amp;Detail!CD86&amp;"/"&amp;Detail!CE86&amp;")"))</f>
        <v/>
      </c>
      <c r="AW86" s="1136" t="s">
        <v>2224</v>
      </c>
      <c r="AX86" s="1320" t="str">
        <f>Calcul!DB86</f>
        <v/>
      </c>
      <c r="AY86" s="1298" t="str">
        <f>IF(A86=FALSE,"",51000+(Detail!AA86*7000))</f>
        <v/>
      </c>
      <c r="AZ86" s="1170">
        <v>50000</v>
      </c>
      <c r="BA86" s="243">
        <v>3</v>
      </c>
      <c r="BB86" s="1135">
        <v>0</v>
      </c>
      <c r="BC86" s="1298" t="str">
        <f>IF(A86=FALSE,"",51000+(Detail!AA86*7000))</f>
        <v/>
      </c>
      <c r="BD86" s="1298">
        <f t="shared" si="34"/>
        <v>50000</v>
      </c>
      <c r="BE86" s="1299">
        <f t="shared" si="35"/>
        <v>3</v>
      </c>
      <c r="BF86" s="1284">
        <f t="shared" si="36"/>
        <v>0</v>
      </c>
      <c r="BG86" s="397" t="str">
        <f t="shared" si="29"/>
        <v/>
      </c>
      <c r="BH86" s="1138">
        <v>50000</v>
      </c>
      <c r="BI86" s="243">
        <v>3</v>
      </c>
      <c r="BJ86" s="254">
        <v>0</v>
      </c>
      <c r="BK86" s="397" t="str">
        <f t="shared" si="30"/>
        <v/>
      </c>
      <c r="BL86" s="1138">
        <v>50000</v>
      </c>
      <c r="BM86" s="243">
        <v>3</v>
      </c>
      <c r="BN86" s="254">
        <v>0</v>
      </c>
      <c r="BO86" s="239">
        <v>7</v>
      </c>
      <c r="BP86" s="1075">
        <v>365</v>
      </c>
      <c r="BQ86" s="244">
        <v>1</v>
      </c>
      <c r="BR86" s="254">
        <v>0</v>
      </c>
      <c r="BS86" s="239">
        <f t="shared" si="31"/>
        <v>7</v>
      </c>
      <c r="BT86" s="241">
        <f t="shared" si="32"/>
        <v>365</v>
      </c>
      <c r="BU86" s="253">
        <v>1</v>
      </c>
      <c r="BV86" s="254">
        <v>0</v>
      </c>
      <c r="BW86" s="254" t="s">
        <v>2224</v>
      </c>
      <c r="BX86" s="257">
        <v>0</v>
      </c>
      <c r="BY86" s="436">
        <v>0</v>
      </c>
      <c r="BZ86" s="254">
        <v>1</v>
      </c>
      <c r="CA86" s="254">
        <v>0</v>
      </c>
      <c r="CB86" s="1296"/>
      <c r="CD86" s="1136" t="str">
        <f>IF(A86=FALSE,"",Calcul!NZ86)</f>
        <v/>
      </c>
      <c r="CE86" s="1136" t="s">
        <v>2224</v>
      </c>
      <c r="CF86" s="1132" t="s">
        <v>2138</v>
      </c>
      <c r="CG86" s="1136" t="s">
        <v>2254</v>
      </c>
      <c r="CH86" s="1135" t="s">
        <v>2224</v>
      </c>
      <c r="CI86" s="257">
        <v>0</v>
      </c>
      <c r="CJ86" s="436">
        <v>0</v>
      </c>
      <c r="CK86" s="1135">
        <v>1</v>
      </c>
      <c r="CL86" s="1135">
        <v>0</v>
      </c>
      <c r="CM86" s="1170">
        <v>100000</v>
      </c>
      <c r="CN86" s="243">
        <v>2</v>
      </c>
      <c r="CO86" s="254">
        <v>0</v>
      </c>
      <c r="CP86" s="1298">
        <f t="shared" si="37"/>
        <v>100000</v>
      </c>
      <c r="CQ86" s="243">
        <v>2</v>
      </c>
      <c r="CR86" s="254">
        <v>0</v>
      </c>
    </row>
    <row r="87" spans="1:96" s="383" customFormat="1" ht="30" customHeight="1" outlineLevel="1">
      <c r="A87" s="396" t="b">
        <f>Calcul!A87</f>
        <v>0</v>
      </c>
      <c r="B87" s="438" t="str">
        <f t="shared" si="25"/>
        <v/>
      </c>
      <c r="C87" s="1132" t="b">
        <v>0</v>
      </c>
      <c r="D87" s="1133" t="s">
        <v>2293</v>
      </c>
      <c r="E87" s="241" t="s">
        <v>2139</v>
      </c>
      <c r="F87" s="338" t="str">
        <f>IF(A87=FALSE,"",IF(NAMES!$D$10=FALSE,IF(Detail!H87="","",Detail!H87),IF(Crewlist!D87="","",Crewlist!D87)))</f>
        <v/>
      </c>
      <c r="G87" s="338" t="str">
        <f>IF(A87=FALSE,"",IF(NAMES!$D$10=FALSE,IF(Detail!P87="","",Detail!P87),IF(Crewlist!E87="","",Crewlist!E87)))</f>
        <v/>
      </c>
      <c r="H87" s="338" t="str">
        <f>IF(A87=FALSE,"",IF(NAMES!$D$10=FALSE,IF(Detail!K87="","",Detail!K87),IF(Crewlist!F87="","",Crewlist!F87)))</f>
        <v/>
      </c>
      <c r="I87" s="1345" t="str">
        <f>IF(Crewlist!T87="","",Crewlist!T87)</f>
        <v/>
      </c>
      <c r="J87" s="1345" t="str">
        <f>IF(Crewlist!D87="","",IF(Crewlist!U87="",Crewlist!Y87,IF(DATERENOUVMOINS730&lt;&gt;Crewlist!U87&lt;&gt;Crewlist!Y87,Crewlist!U87,DATERENOUVMOINS365)))</f>
        <v/>
      </c>
      <c r="K87" s="1346" t="str">
        <f>IF(Detail!X87="","",Detail!X87)</f>
        <v/>
      </c>
      <c r="L87" s="1346" t="str">
        <f>IF(Detail!H87="","",IF(Detail!Y87="",DATERENOUV,IF(Detail!Y87&gt;Detail!D87,Detail!D87,Detail!Y87)))</f>
        <v/>
      </c>
      <c r="M87" s="829" t="str">
        <f>IF(A87=FALSE,"",IF(NAMES!$D$10=FALSE,IF(B87=B88,IF(N87=N88,0,(DATEDIF(K87,L87,"M")+1)),(DATEDIF(K87,L87,"M")+1)),IF(B87=B88,IF(N87=N88,0,(DATEDIF(I87,J87,"M")+1)),(DATEDIF(I87,J87,"M")+1))))</f>
        <v/>
      </c>
      <c r="N87" s="339" t="str">
        <f t="shared" si="33"/>
        <v/>
      </c>
      <c r="O87" s="340" t="str">
        <f>IF(A87=FALSE,"",IF(NAMES!$D$10=FALSE,IF((DATEDIF(K87,L87,"D")+1)&lt;365,(DATEDIF(K87,L87,"D")+1),365),IF((DATEDIF(I87,J87,"D")+1)&lt;365,(DATEDIF(I87,J87,"D")+1),365)))</f>
        <v/>
      </c>
      <c r="P87" s="340" t="str">
        <f>IF(A87=FALSE,"",IF(NAMES!$D$10=FALSE,IF(L87="",365,DATEDIF(K87,L87,"D")+1),IF(L87="",365,DATEDIF(I87,J87,"D")+1)))</f>
        <v/>
      </c>
      <c r="Q87" s="787" t="str">
        <f>Calcul!X87</f>
        <v/>
      </c>
      <c r="R87" s="787" t="str">
        <f>Calcul!Y87</f>
        <v/>
      </c>
      <c r="S87" s="811" t="str">
        <f>Calcul!AG87</f>
        <v/>
      </c>
      <c r="T87" s="350" t="str">
        <f>IF(A87=FALSE,"",IF(NAMES!$D$10=FALSE,IF(Detail!S87="","",Detail!S87),IF(Crewlist!V87="","",Crewlist!V87)))</f>
        <v/>
      </c>
      <c r="U87" s="242" t="str">
        <f>Calcul!AI87</f>
        <v/>
      </c>
      <c r="V87" s="242" t="str">
        <f>Calcul!AL87</f>
        <v/>
      </c>
      <c r="W87" s="242" t="str">
        <f>Calcul!AM87</f>
        <v/>
      </c>
      <c r="X87" s="335" t="str">
        <f>Calcul!AN87</f>
        <v/>
      </c>
      <c r="Y87" s="242" t="str">
        <f>Calcul!AO87</f>
        <v/>
      </c>
      <c r="Z87" s="242" t="str">
        <f>Calcul!AP87</f>
        <v/>
      </c>
      <c r="AA87" s="335" t="str">
        <f>Calcul!AQ87</f>
        <v/>
      </c>
      <c r="AB87" s="335" t="str">
        <f>IF(C87=FALSE,"",Calcul!BE87+Calcul!BF87)</f>
        <v/>
      </c>
      <c r="AC87" s="335" t="str">
        <f>IF(C87=FALSE,"",(Calcul!BG87+Calcul!BH87)+SUM(Calcul!BI87:BN87))</f>
        <v/>
      </c>
      <c r="AD87" s="335" t="str">
        <f>Calcul!BP87</f>
        <v/>
      </c>
      <c r="AE87" s="1325" t="s">
        <v>2866</v>
      </c>
      <c r="AF87" s="450" t="s">
        <v>2254</v>
      </c>
      <c r="AG87" s="318" t="str">
        <f>IF(A87=FALSE,"",YEAR(Detail!F87)&amp;Detail!AG87&amp;Detail!AD87&amp;"-"&amp;Detail!AE87)</f>
        <v/>
      </c>
      <c r="AH87" s="1134" t="s">
        <v>2224</v>
      </c>
      <c r="AI87" s="1135">
        <v>0</v>
      </c>
      <c r="AJ87" s="828">
        <f t="shared" si="26"/>
        <v>0</v>
      </c>
      <c r="AK87" s="828">
        <f t="shared" si="27"/>
        <v>0</v>
      </c>
      <c r="AL87" s="828">
        <f t="shared" si="28"/>
        <v>0</v>
      </c>
      <c r="AM87" s="1135" t="s">
        <v>2224</v>
      </c>
      <c r="AN87" s="1455">
        <v>15.1752</v>
      </c>
      <c r="AO87" s="436">
        <v>0</v>
      </c>
      <c r="AP87" s="254">
        <v>1</v>
      </c>
      <c r="AQ87" s="254">
        <v>0</v>
      </c>
      <c r="AS87" s="1127"/>
      <c r="AT87" s="239" t="s">
        <v>2140</v>
      </c>
      <c r="AU87" s="1136" t="s">
        <v>2255</v>
      </c>
      <c r="AV87" s="1136" t="str">
        <f>IF(A87=FALSE,"",IF(Detail!AT87="","N/A",YEAR(Detail!F87)&amp;Detail!AW87&amp;Detail!AT87&amp;"-"&amp;Detail!AU87&amp;" (100%/"&amp;Detail!CD87&amp;"/"&amp;Detail!CE87&amp;")"))</f>
        <v/>
      </c>
      <c r="AW87" s="1136" t="s">
        <v>2224</v>
      </c>
      <c r="AX87" s="1320" t="str">
        <f>Calcul!DB87</f>
        <v/>
      </c>
      <c r="AY87" s="1298" t="str">
        <f>IF(A87=FALSE,"",51000+(Detail!AA87*7000))</f>
        <v/>
      </c>
      <c r="AZ87" s="1170">
        <v>50000</v>
      </c>
      <c r="BA87" s="243">
        <v>3</v>
      </c>
      <c r="BB87" s="1135">
        <v>0</v>
      </c>
      <c r="BC87" s="1298" t="str">
        <f>IF(A87=FALSE,"",51000+(Detail!AA87*7000))</f>
        <v/>
      </c>
      <c r="BD87" s="1298">
        <f t="shared" si="34"/>
        <v>50000</v>
      </c>
      <c r="BE87" s="1299">
        <f t="shared" si="35"/>
        <v>3</v>
      </c>
      <c r="BF87" s="1284">
        <f t="shared" si="36"/>
        <v>0</v>
      </c>
      <c r="BG87" s="397" t="str">
        <f t="shared" si="29"/>
        <v/>
      </c>
      <c r="BH87" s="1138">
        <v>50000</v>
      </c>
      <c r="BI87" s="243">
        <v>3</v>
      </c>
      <c r="BJ87" s="254">
        <v>0</v>
      </c>
      <c r="BK87" s="397" t="str">
        <f t="shared" si="30"/>
        <v/>
      </c>
      <c r="BL87" s="1138">
        <v>50000</v>
      </c>
      <c r="BM87" s="243">
        <v>3</v>
      </c>
      <c r="BN87" s="254">
        <v>0</v>
      </c>
      <c r="BO87" s="239">
        <v>7</v>
      </c>
      <c r="BP87" s="1075">
        <v>365</v>
      </c>
      <c r="BQ87" s="244">
        <v>1</v>
      </c>
      <c r="BR87" s="254">
        <v>0</v>
      </c>
      <c r="BS87" s="239">
        <f t="shared" si="31"/>
        <v>7</v>
      </c>
      <c r="BT87" s="241">
        <f t="shared" si="32"/>
        <v>365</v>
      </c>
      <c r="BU87" s="253">
        <v>1</v>
      </c>
      <c r="BV87" s="254">
        <v>0</v>
      </c>
      <c r="BW87" s="254" t="s">
        <v>2224</v>
      </c>
      <c r="BX87" s="257">
        <v>0</v>
      </c>
      <c r="BY87" s="436">
        <v>0</v>
      </c>
      <c r="BZ87" s="254">
        <v>1</v>
      </c>
      <c r="CA87" s="254">
        <v>0</v>
      </c>
      <c r="CB87" s="1296"/>
      <c r="CD87" s="1136" t="str">
        <f>IF(A87=FALSE,"",Calcul!NZ87)</f>
        <v/>
      </c>
      <c r="CE87" s="1136" t="s">
        <v>2224</v>
      </c>
      <c r="CF87" s="1132" t="s">
        <v>2138</v>
      </c>
      <c r="CG87" s="1136" t="s">
        <v>2254</v>
      </c>
      <c r="CH87" s="1135" t="s">
        <v>2224</v>
      </c>
      <c r="CI87" s="257">
        <v>0</v>
      </c>
      <c r="CJ87" s="436">
        <v>0</v>
      </c>
      <c r="CK87" s="1135">
        <v>1</v>
      </c>
      <c r="CL87" s="1135">
        <v>0</v>
      </c>
      <c r="CM87" s="1170">
        <v>100000</v>
      </c>
      <c r="CN87" s="243">
        <v>2</v>
      </c>
      <c r="CO87" s="254">
        <v>0</v>
      </c>
      <c r="CP87" s="1298">
        <f t="shared" si="37"/>
        <v>100000</v>
      </c>
      <c r="CQ87" s="243">
        <v>2</v>
      </c>
      <c r="CR87" s="254">
        <v>0</v>
      </c>
    </row>
    <row r="88" spans="1:96" s="383" customFormat="1" ht="30" customHeight="1" outlineLevel="1">
      <c r="A88" s="396" t="b">
        <f>Calcul!A88</f>
        <v>0</v>
      </c>
      <c r="B88" s="438" t="str">
        <f t="shared" si="25"/>
        <v/>
      </c>
      <c r="C88" s="1132" t="b">
        <v>0</v>
      </c>
      <c r="D88" s="1133" t="s">
        <v>2293</v>
      </c>
      <c r="E88" s="241" t="s">
        <v>2139</v>
      </c>
      <c r="F88" s="338" t="str">
        <f>IF(A88=FALSE,"",IF(NAMES!$D$10=FALSE,IF(Detail!H88="","",Detail!H88),IF(Crewlist!D88="","",Crewlist!D88)))</f>
        <v/>
      </c>
      <c r="G88" s="338" t="str">
        <f>IF(A88=FALSE,"",IF(NAMES!$D$10=FALSE,IF(Detail!P88="","",Detail!P88),IF(Crewlist!E88="","",Crewlist!E88)))</f>
        <v/>
      </c>
      <c r="H88" s="338" t="str">
        <f>IF(A88=FALSE,"",IF(NAMES!$D$10=FALSE,IF(Detail!K88="","",Detail!K88),IF(Crewlist!F88="","",Crewlist!F88)))</f>
        <v/>
      </c>
      <c r="I88" s="1345" t="str">
        <f>IF(Crewlist!T88="","",Crewlist!T88)</f>
        <v/>
      </c>
      <c r="J88" s="1345" t="str">
        <f>IF(Crewlist!D88="","",IF(Crewlist!U88="",Crewlist!Y88,IF(DATERENOUVMOINS730&lt;&gt;Crewlist!U88&lt;&gt;Crewlist!Y88,Crewlist!U88,DATERENOUVMOINS365)))</f>
        <v/>
      </c>
      <c r="K88" s="1346" t="str">
        <f>IF(Detail!X88="","",Detail!X88)</f>
        <v/>
      </c>
      <c r="L88" s="1346" t="str">
        <f>IF(Detail!H88="","",IF(Detail!Y88="",DATERENOUV,IF(Detail!Y88&gt;Detail!D88,Detail!D88,Detail!Y88)))</f>
        <v/>
      </c>
      <c r="M88" s="829" t="str">
        <f>IF(A88=FALSE,"",IF(NAMES!$D$10=FALSE,IF(B88=B89,IF(N88=N89,0,(DATEDIF(K88,L88,"M")+1)),(DATEDIF(K88,L88,"M")+1)),IF(B88=B89,IF(N88=N89,0,(DATEDIF(I88,J88,"M")+1)),(DATEDIF(I88,J88,"M")+1))))</f>
        <v/>
      </c>
      <c r="N88" s="339" t="str">
        <f t="shared" si="33"/>
        <v/>
      </c>
      <c r="O88" s="340" t="str">
        <f>IF(A88=FALSE,"",IF(NAMES!$D$10=FALSE,IF((DATEDIF(K88,L88,"D")+1)&lt;365,(DATEDIF(K88,L88,"D")+1),365),IF((DATEDIF(I88,J88,"D")+1)&lt;365,(DATEDIF(I88,J88,"D")+1),365)))</f>
        <v/>
      </c>
      <c r="P88" s="340" t="str">
        <f>IF(A88=FALSE,"",IF(NAMES!$D$10=FALSE,IF(L88="",365,DATEDIF(K88,L88,"D")+1),IF(L88="",365,DATEDIF(I88,J88,"D")+1)))</f>
        <v/>
      </c>
      <c r="Q88" s="787" t="str">
        <f>Calcul!X88</f>
        <v/>
      </c>
      <c r="R88" s="787" t="str">
        <f>Calcul!Y88</f>
        <v/>
      </c>
      <c r="S88" s="811" t="str">
        <f>Calcul!AG88</f>
        <v/>
      </c>
      <c r="T88" s="350" t="str">
        <f>IF(A88=FALSE,"",IF(NAMES!$D$10=FALSE,IF(Detail!S88="","",Detail!S88),IF(Crewlist!V88="","",Crewlist!V88)))</f>
        <v/>
      </c>
      <c r="U88" s="242" t="str">
        <f>Calcul!AI88</f>
        <v/>
      </c>
      <c r="V88" s="242" t="str">
        <f>Calcul!AL88</f>
        <v/>
      </c>
      <c r="W88" s="242" t="str">
        <f>Calcul!AM88</f>
        <v/>
      </c>
      <c r="X88" s="335" t="str">
        <f>Calcul!AN88</f>
        <v/>
      </c>
      <c r="Y88" s="242" t="str">
        <f>Calcul!AO88</f>
        <v/>
      </c>
      <c r="Z88" s="242" t="str">
        <f>Calcul!AP88</f>
        <v/>
      </c>
      <c r="AA88" s="335" t="str">
        <f>Calcul!AQ88</f>
        <v/>
      </c>
      <c r="AB88" s="335" t="str">
        <f>IF(C88=FALSE,"",Calcul!BE88+Calcul!BF88)</f>
        <v/>
      </c>
      <c r="AC88" s="335" t="str">
        <f>IF(C88=FALSE,"",(Calcul!BG88+Calcul!BH88)+SUM(Calcul!BI88:BN88))</f>
        <v/>
      </c>
      <c r="AD88" s="335" t="str">
        <f>Calcul!BP88</f>
        <v/>
      </c>
      <c r="AE88" s="1325" t="s">
        <v>2866</v>
      </c>
      <c r="AF88" s="450" t="s">
        <v>2254</v>
      </c>
      <c r="AG88" s="318" t="str">
        <f>IF(A88=FALSE,"",YEAR(Detail!F88)&amp;Detail!AG88&amp;Detail!AD88&amp;"-"&amp;Detail!AE88)</f>
        <v/>
      </c>
      <c r="AH88" s="1134" t="s">
        <v>2224</v>
      </c>
      <c r="AI88" s="1135">
        <v>0</v>
      </c>
      <c r="AJ88" s="828">
        <f t="shared" si="26"/>
        <v>0</v>
      </c>
      <c r="AK88" s="828">
        <f t="shared" si="27"/>
        <v>0</v>
      </c>
      <c r="AL88" s="828">
        <f t="shared" si="28"/>
        <v>0</v>
      </c>
      <c r="AM88" s="1135" t="s">
        <v>2224</v>
      </c>
      <c r="AN88" s="1455">
        <v>15.1752</v>
      </c>
      <c r="AO88" s="436">
        <v>0</v>
      </c>
      <c r="AP88" s="254">
        <v>1</v>
      </c>
      <c r="AQ88" s="254">
        <v>0</v>
      </c>
      <c r="AS88" s="1127"/>
      <c r="AT88" s="239" t="s">
        <v>2140</v>
      </c>
      <c r="AU88" s="1136" t="s">
        <v>2255</v>
      </c>
      <c r="AV88" s="1136" t="str">
        <f>IF(A88=FALSE,"",IF(Detail!AT88="","N/A",YEAR(Detail!F88)&amp;Detail!AW88&amp;Detail!AT88&amp;"-"&amp;Detail!AU88&amp;" (100%/"&amp;Detail!CD88&amp;"/"&amp;Detail!CE88&amp;")"))</f>
        <v/>
      </c>
      <c r="AW88" s="1136" t="s">
        <v>2224</v>
      </c>
      <c r="AX88" s="1320" t="str">
        <f>Calcul!DB88</f>
        <v/>
      </c>
      <c r="AY88" s="1298" t="str">
        <f>IF(A88=FALSE,"",51000+(Detail!AA88*7000))</f>
        <v/>
      </c>
      <c r="AZ88" s="1170">
        <v>50000</v>
      </c>
      <c r="BA88" s="243">
        <v>3</v>
      </c>
      <c r="BB88" s="1135">
        <v>0</v>
      </c>
      <c r="BC88" s="1298" t="str">
        <f>IF(A88=FALSE,"",51000+(Detail!AA88*7000))</f>
        <v/>
      </c>
      <c r="BD88" s="1298">
        <f t="shared" si="34"/>
        <v>50000</v>
      </c>
      <c r="BE88" s="1299">
        <f t="shared" si="35"/>
        <v>3</v>
      </c>
      <c r="BF88" s="1284">
        <f t="shared" si="36"/>
        <v>0</v>
      </c>
      <c r="BG88" s="397" t="str">
        <f t="shared" si="29"/>
        <v/>
      </c>
      <c r="BH88" s="1138">
        <v>50000</v>
      </c>
      <c r="BI88" s="243">
        <v>3</v>
      </c>
      <c r="BJ88" s="254">
        <v>0</v>
      </c>
      <c r="BK88" s="397" t="str">
        <f t="shared" si="30"/>
        <v/>
      </c>
      <c r="BL88" s="1138">
        <v>50000</v>
      </c>
      <c r="BM88" s="243">
        <v>3</v>
      </c>
      <c r="BN88" s="254">
        <v>0</v>
      </c>
      <c r="BO88" s="239">
        <v>7</v>
      </c>
      <c r="BP88" s="1075">
        <v>365</v>
      </c>
      <c r="BQ88" s="244">
        <v>1</v>
      </c>
      <c r="BR88" s="254">
        <v>0</v>
      </c>
      <c r="BS88" s="239">
        <f t="shared" si="31"/>
        <v>7</v>
      </c>
      <c r="BT88" s="241">
        <f t="shared" si="32"/>
        <v>365</v>
      </c>
      <c r="BU88" s="253">
        <v>1</v>
      </c>
      <c r="BV88" s="254">
        <v>0</v>
      </c>
      <c r="BW88" s="254" t="s">
        <v>2224</v>
      </c>
      <c r="BX88" s="257">
        <v>0</v>
      </c>
      <c r="BY88" s="436">
        <v>0</v>
      </c>
      <c r="BZ88" s="254">
        <v>1</v>
      </c>
      <c r="CA88" s="254">
        <v>0</v>
      </c>
      <c r="CB88" s="1296"/>
      <c r="CD88" s="1136" t="str">
        <f>IF(A88=FALSE,"",Calcul!NZ88)</f>
        <v/>
      </c>
      <c r="CE88" s="1136" t="s">
        <v>2224</v>
      </c>
      <c r="CF88" s="1132" t="s">
        <v>2138</v>
      </c>
      <c r="CG88" s="1136" t="s">
        <v>2254</v>
      </c>
      <c r="CH88" s="1135" t="s">
        <v>2224</v>
      </c>
      <c r="CI88" s="257">
        <v>0</v>
      </c>
      <c r="CJ88" s="436">
        <v>0</v>
      </c>
      <c r="CK88" s="1135">
        <v>1</v>
      </c>
      <c r="CL88" s="1135">
        <v>0</v>
      </c>
      <c r="CM88" s="1170">
        <v>100000</v>
      </c>
      <c r="CN88" s="243">
        <v>2</v>
      </c>
      <c r="CO88" s="254">
        <v>0</v>
      </c>
      <c r="CP88" s="1298">
        <f t="shared" si="37"/>
        <v>100000</v>
      </c>
      <c r="CQ88" s="243">
        <v>2</v>
      </c>
      <c r="CR88" s="254">
        <v>0</v>
      </c>
    </row>
    <row r="89" spans="1:96" s="383" customFormat="1" ht="30" customHeight="1" outlineLevel="1">
      <c r="A89" s="396" t="b">
        <f>Calcul!A89</f>
        <v>0</v>
      </c>
      <c r="B89" s="438" t="str">
        <f t="shared" si="25"/>
        <v/>
      </c>
      <c r="C89" s="1132" t="b">
        <v>0</v>
      </c>
      <c r="D89" s="1133" t="s">
        <v>2293</v>
      </c>
      <c r="E89" s="241" t="s">
        <v>2139</v>
      </c>
      <c r="F89" s="338" t="str">
        <f>IF(A89=FALSE,"",IF(NAMES!$D$10=FALSE,IF(Detail!H89="","",Detail!H89),IF(Crewlist!D89="","",Crewlist!D89)))</f>
        <v/>
      </c>
      <c r="G89" s="338" t="str">
        <f>IF(A89=FALSE,"",IF(NAMES!$D$10=FALSE,IF(Detail!P89="","",Detail!P89),IF(Crewlist!E89="","",Crewlist!E89)))</f>
        <v/>
      </c>
      <c r="H89" s="338" t="str">
        <f>IF(A89=FALSE,"",IF(NAMES!$D$10=FALSE,IF(Detail!K89="","",Detail!K89),IF(Crewlist!F89="","",Crewlist!F89)))</f>
        <v/>
      </c>
      <c r="I89" s="1345" t="str">
        <f>IF(Crewlist!T89="","",Crewlist!T89)</f>
        <v/>
      </c>
      <c r="J89" s="1345" t="str">
        <f>IF(Crewlist!D89="","",IF(Crewlist!U89="",Crewlist!Y89,IF(DATERENOUVMOINS730&lt;&gt;Crewlist!U89&lt;&gt;Crewlist!Y89,Crewlist!U89,DATERENOUVMOINS365)))</f>
        <v/>
      </c>
      <c r="K89" s="1346" t="str">
        <f>IF(Detail!X89="","",Detail!X89)</f>
        <v/>
      </c>
      <c r="L89" s="1346" t="str">
        <f>IF(Detail!H89="","",IF(Detail!Y89="",DATERENOUV,IF(Detail!Y89&gt;Detail!D89,Detail!D89,Detail!Y89)))</f>
        <v/>
      </c>
      <c r="M89" s="829" t="str">
        <f>IF(A89=FALSE,"",IF(NAMES!$D$10=FALSE,IF(B89=B90,IF(N89=N90,0,(DATEDIF(K89,L89,"M")+1)),(DATEDIF(K89,L89,"M")+1)),IF(B89=B90,IF(N89=N90,0,(DATEDIF(I89,J89,"M")+1)),(DATEDIF(I89,J89,"M")+1))))</f>
        <v/>
      </c>
      <c r="N89" s="339" t="str">
        <f t="shared" si="33"/>
        <v/>
      </c>
      <c r="O89" s="340" t="str">
        <f>IF(A89=FALSE,"",IF(NAMES!$D$10=FALSE,IF((DATEDIF(K89,L89,"D")+1)&lt;365,(DATEDIF(K89,L89,"D")+1),365),IF((DATEDIF(I89,J89,"D")+1)&lt;365,(DATEDIF(I89,J89,"D")+1),365)))</f>
        <v/>
      </c>
      <c r="P89" s="340" t="str">
        <f>IF(A89=FALSE,"",IF(NAMES!$D$10=FALSE,IF(L89="",365,DATEDIF(K89,L89,"D")+1),IF(L89="",365,DATEDIF(I89,J89,"D")+1)))</f>
        <v/>
      </c>
      <c r="Q89" s="787" t="str">
        <f>Calcul!X89</f>
        <v/>
      </c>
      <c r="R89" s="787" t="str">
        <f>Calcul!Y89</f>
        <v/>
      </c>
      <c r="S89" s="811" t="str">
        <f>Calcul!AG89</f>
        <v/>
      </c>
      <c r="T89" s="350" t="str">
        <f>IF(A89=FALSE,"",IF(NAMES!$D$10=FALSE,IF(Detail!S89="","",Detail!S89),IF(Crewlist!V89="","",Crewlist!V89)))</f>
        <v/>
      </c>
      <c r="U89" s="242" t="str">
        <f>Calcul!AI89</f>
        <v/>
      </c>
      <c r="V89" s="242" t="str">
        <f>Calcul!AL89</f>
        <v/>
      </c>
      <c r="W89" s="242" t="str">
        <f>Calcul!AM89</f>
        <v/>
      </c>
      <c r="X89" s="335" t="str">
        <f>Calcul!AN89</f>
        <v/>
      </c>
      <c r="Y89" s="242" t="str">
        <f>Calcul!AO89</f>
        <v/>
      </c>
      <c r="Z89" s="242" t="str">
        <f>Calcul!AP89</f>
        <v/>
      </c>
      <c r="AA89" s="335" t="str">
        <f>Calcul!AQ89</f>
        <v/>
      </c>
      <c r="AB89" s="335" t="str">
        <f>IF(C89=FALSE,"",Calcul!BE89+Calcul!BF89)</f>
        <v/>
      </c>
      <c r="AC89" s="335" t="str">
        <f>IF(C89=FALSE,"",(Calcul!BG89+Calcul!BH89)+SUM(Calcul!BI89:BN89))</f>
        <v/>
      </c>
      <c r="AD89" s="335" t="str">
        <f>Calcul!BP89</f>
        <v/>
      </c>
      <c r="AE89" s="1325" t="s">
        <v>2866</v>
      </c>
      <c r="AF89" s="450" t="s">
        <v>2254</v>
      </c>
      <c r="AG89" s="318" t="str">
        <f>IF(A89=FALSE,"",YEAR(Detail!F89)&amp;Detail!AG89&amp;Detail!AD89&amp;"-"&amp;Detail!AE89)</f>
        <v/>
      </c>
      <c r="AH89" s="1134" t="s">
        <v>2224</v>
      </c>
      <c r="AI89" s="1135">
        <v>0</v>
      </c>
      <c r="AJ89" s="828">
        <f t="shared" si="26"/>
        <v>0</v>
      </c>
      <c r="AK89" s="828">
        <f t="shared" si="27"/>
        <v>0</v>
      </c>
      <c r="AL89" s="828">
        <f t="shared" si="28"/>
        <v>0</v>
      </c>
      <c r="AM89" s="1135" t="s">
        <v>2224</v>
      </c>
      <c r="AN89" s="1455">
        <v>15.1752</v>
      </c>
      <c r="AO89" s="436">
        <v>0</v>
      </c>
      <c r="AP89" s="254">
        <v>1</v>
      </c>
      <c r="AQ89" s="254">
        <v>0</v>
      </c>
      <c r="AS89" s="1127"/>
      <c r="AT89" s="239" t="s">
        <v>2140</v>
      </c>
      <c r="AU89" s="1136" t="s">
        <v>2255</v>
      </c>
      <c r="AV89" s="1136" t="str">
        <f>IF(A89=FALSE,"",IF(Detail!AT89="","N/A",YEAR(Detail!F89)&amp;Detail!AW89&amp;Detail!AT89&amp;"-"&amp;Detail!AU89&amp;" (100%/"&amp;Detail!CD89&amp;"/"&amp;Detail!CE89&amp;")"))</f>
        <v/>
      </c>
      <c r="AW89" s="1136" t="s">
        <v>2224</v>
      </c>
      <c r="AX89" s="1320" t="str">
        <f>Calcul!DB89</f>
        <v/>
      </c>
      <c r="AY89" s="1298" t="str">
        <f>IF(A89=FALSE,"",51000+(Detail!AA89*7000))</f>
        <v/>
      </c>
      <c r="AZ89" s="1170">
        <v>50000</v>
      </c>
      <c r="BA89" s="243">
        <v>3</v>
      </c>
      <c r="BB89" s="1135">
        <v>0</v>
      </c>
      <c r="BC89" s="1298" t="str">
        <f>IF(A89=FALSE,"",51000+(Detail!AA89*7000))</f>
        <v/>
      </c>
      <c r="BD89" s="1298">
        <f t="shared" si="34"/>
        <v>50000</v>
      </c>
      <c r="BE89" s="1299">
        <f t="shared" si="35"/>
        <v>3</v>
      </c>
      <c r="BF89" s="1284">
        <f t="shared" si="36"/>
        <v>0</v>
      </c>
      <c r="BG89" s="397" t="str">
        <f t="shared" si="29"/>
        <v/>
      </c>
      <c r="BH89" s="1138">
        <v>50000</v>
      </c>
      <c r="BI89" s="243">
        <v>3</v>
      </c>
      <c r="BJ89" s="254">
        <v>0</v>
      </c>
      <c r="BK89" s="397" t="str">
        <f t="shared" si="30"/>
        <v/>
      </c>
      <c r="BL89" s="1138">
        <v>50000</v>
      </c>
      <c r="BM89" s="243">
        <v>3</v>
      </c>
      <c r="BN89" s="254">
        <v>0</v>
      </c>
      <c r="BO89" s="239">
        <v>7</v>
      </c>
      <c r="BP89" s="1075">
        <v>365</v>
      </c>
      <c r="BQ89" s="244">
        <v>1</v>
      </c>
      <c r="BR89" s="254">
        <v>0</v>
      </c>
      <c r="BS89" s="239">
        <f t="shared" si="31"/>
        <v>7</v>
      </c>
      <c r="BT89" s="241">
        <f t="shared" si="32"/>
        <v>365</v>
      </c>
      <c r="BU89" s="253">
        <v>1</v>
      </c>
      <c r="BV89" s="254">
        <v>0</v>
      </c>
      <c r="BW89" s="254" t="s">
        <v>2224</v>
      </c>
      <c r="BX89" s="257">
        <v>0</v>
      </c>
      <c r="BY89" s="436">
        <v>0</v>
      </c>
      <c r="BZ89" s="254">
        <v>1</v>
      </c>
      <c r="CA89" s="254">
        <v>0</v>
      </c>
      <c r="CB89" s="1296"/>
      <c r="CD89" s="1136" t="str">
        <f>IF(A89=FALSE,"",Calcul!NZ89)</f>
        <v/>
      </c>
      <c r="CE89" s="1136" t="s">
        <v>2224</v>
      </c>
      <c r="CF89" s="1132" t="s">
        <v>2138</v>
      </c>
      <c r="CG89" s="1136" t="s">
        <v>2254</v>
      </c>
      <c r="CH89" s="1135" t="s">
        <v>2224</v>
      </c>
      <c r="CI89" s="257">
        <v>0</v>
      </c>
      <c r="CJ89" s="436">
        <v>0</v>
      </c>
      <c r="CK89" s="1135">
        <v>1</v>
      </c>
      <c r="CL89" s="1135">
        <v>0</v>
      </c>
      <c r="CM89" s="1170">
        <v>100000</v>
      </c>
      <c r="CN89" s="243">
        <v>2</v>
      </c>
      <c r="CO89" s="254">
        <v>0</v>
      </c>
      <c r="CP89" s="1298">
        <f t="shared" si="37"/>
        <v>100000</v>
      </c>
      <c r="CQ89" s="243">
        <v>2</v>
      </c>
      <c r="CR89" s="254">
        <v>0</v>
      </c>
    </row>
    <row r="90" spans="1:96" s="383" customFormat="1" ht="30" customHeight="1" outlineLevel="1">
      <c r="A90" s="396" t="b">
        <f>Calcul!A90</f>
        <v>0</v>
      </c>
      <c r="B90" s="438" t="str">
        <f t="shared" si="25"/>
        <v/>
      </c>
      <c r="C90" s="1132" t="b">
        <v>0</v>
      </c>
      <c r="D90" s="1133" t="s">
        <v>2293</v>
      </c>
      <c r="E90" s="241" t="s">
        <v>2139</v>
      </c>
      <c r="F90" s="338" t="str">
        <f>IF(A90=FALSE,"",IF(NAMES!$D$10=FALSE,IF(Detail!H90="","",Detail!H90),IF(Crewlist!D90="","",Crewlist!D90)))</f>
        <v/>
      </c>
      <c r="G90" s="338" t="str">
        <f>IF(A90=FALSE,"",IF(NAMES!$D$10=FALSE,IF(Detail!P90="","",Detail!P90),IF(Crewlist!E90="","",Crewlist!E90)))</f>
        <v/>
      </c>
      <c r="H90" s="338" t="str">
        <f>IF(A90=FALSE,"",IF(NAMES!$D$10=FALSE,IF(Detail!K90="","",Detail!K90),IF(Crewlist!F90="","",Crewlist!F90)))</f>
        <v/>
      </c>
      <c r="I90" s="1345" t="str">
        <f>IF(Crewlist!T90="","",Crewlist!T90)</f>
        <v/>
      </c>
      <c r="J90" s="1345" t="str">
        <f>IF(Crewlist!D90="","",IF(Crewlist!U90="",Crewlist!Y90,IF(DATERENOUVMOINS730&lt;&gt;Crewlist!U90&lt;&gt;Crewlist!Y90,Crewlist!U90,DATERENOUVMOINS365)))</f>
        <v/>
      </c>
      <c r="K90" s="1346" t="str">
        <f>IF(Detail!X90="","",Detail!X90)</f>
        <v/>
      </c>
      <c r="L90" s="1346" t="str">
        <f>IF(Detail!H90="","",IF(Detail!Y90="",DATERENOUV,IF(Detail!Y90&gt;Detail!D90,Detail!D90,Detail!Y90)))</f>
        <v/>
      </c>
      <c r="M90" s="829" t="str">
        <f>IF(A90=FALSE,"",IF(NAMES!$D$10=FALSE,IF(B90=B91,IF(N90=N91,0,(DATEDIF(K90,L90,"M")+1)),(DATEDIF(K90,L90,"M")+1)),IF(B90=B91,IF(N90=N91,0,(DATEDIF(I90,J90,"M")+1)),(DATEDIF(I90,J90,"M")+1))))</f>
        <v/>
      </c>
      <c r="N90" s="339" t="str">
        <f t="shared" si="33"/>
        <v/>
      </c>
      <c r="O90" s="340" t="str">
        <f>IF(A90=FALSE,"",IF(NAMES!$D$10=FALSE,IF((DATEDIF(K90,L90,"D")+1)&lt;365,(DATEDIF(K90,L90,"D")+1),365),IF((DATEDIF(I90,J90,"D")+1)&lt;365,(DATEDIF(I90,J90,"D")+1),365)))</f>
        <v/>
      </c>
      <c r="P90" s="340" t="str">
        <f>IF(A90=FALSE,"",IF(NAMES!$D$10=FALSE,IF(L90="",365,DATEDIF(K90,L90,"D")+1),IF(L90="",365,DATEDIF(I90,J90,"D")+1)))</f>
        <v/>
      </c>
      <c r="Q90" s="787" t="str">
        <f>Calcul!X90</f>
        <v/>
      </c>
      <c r="R90" s="787" t="str">
        <f>Calcul!Y90</f>
        <v/>
      </c>
      <c r="S90" s="811" t="str">
        <f>Calcul!AG90</f>
        <v/>
      </c>
      <c r="T90" s="350" t="str">
        <f>IF(A90=FALSE,"",IF(NAMES!$D$10=FALSE,IF(Detail!S90="","",Detail!S90),IF(Crewlist!V90="","",Crewlist!V90)))</f>
        <v/>
      </c>
      <c r="U90" s="242" t="str">
        <f>Calcul!AI90</f>
        <v/>
      </c>
      <c r="V90" s="242" t="str">
        <f>Calcul!AL90</f>
        <v/>
      </c>
      <c r="W90" s="242" t="str">
        <f>Calcul!AM90</f>
        <v/>
      </c>
      <c r="X90" s="335" t="str">
        <f>Calcul!AN90</f>
        <v/>
      </c>
      <c r="Y90" s="242" t="str">
        <f>Calcul!AO90</f>
        <v/>
      </c>
      <c r="Z90" s="242" t="str">
        <f>Calcul!AP90</f>
        <v/>
      </c>
      <c r="AA90" s="335" t="str">
        <f>Calcul!AQ90</f>
        <v/>
      </c>
      <c r="AB90" s="335" t="str">
        <f>IF(C90=FALSE,"",Calcul!BE90+Calcul!BF90)</f>
        <v/>
      </c>
      <c r="AC90" s="335" t="str">
        <f>IF(C90=FALSE,"",(Calcul!BG90+Calcul!BH90)+SUM(Calcul!BI90:BN90))</f>
        <v/>
      </c>
      <c r="AD90" s="335" t="str">
        <f>Calcul!BP90</f>
        <v/>
      </c>
      <c r="AE90" s="1325" t="s">
        <v>2866</v>
      </c>
      <c r="AF90" s="450" t="s">
        <v>2254</v>
      </c>
      <c r="AG90" s="318" t="str">
        <f>IF(A90=FALSE,"",YEAR(Detail!F90)&amp;Detail!AG90&amp;Detail!AD90&amp;"-"&amp;Detail!AE90)</f>
        <v/>
      </c>
      <c r="AH90" s="1134" t="s">
        <v>2224</v>
      </c>
      <c r="AI90" s="1135">
        <v>0</v>
      </c>
      <c r="AJ90" s="828">
        <f t="shared" si="26"/>
        <v>0</v>
      </c>
      <c r="AK90" s="828">
        <f t="shared" si="27"/>
        <v>0</v>
      </c>
      <c r="AL90" s="828">
        <f t="shared" si="28"/>
        <v>0</v>
      </c>
      <c r="AM90" s="1135" t="s">
        <v>2224</v>
      </c>
      <c r="AN90" s="1455">
        <v>15.1752</v>
      </c>
      <c r="AO90" s="436">
        <v>0</v>
      </c>
      <c r="AP90" s="254">
        <v>1</v>
      </c>
      <c r="AQ90" s="254">
        <v>0</v>
      </c>
      <c r="AS90" s="1127"/>
      <c r="AT90" s="239" t="s">
        <v>2140</v>
      </c>
      <c r="AU90" s="1136" t="s">
        <v>2255</v>
      </c>
      <c r="AV90" s="1136" t="str">
        <f>IF(A90=FALSE,"",IF(Detail!AT90="","N/A",YEAR(Detail!F90)&amp;Detail!AW90&amp;Detail!AT90&amp;"-"&amp;Detail!AU90&amp;" (100%/"&amp;Detail!CD90&amp;"/"&amp;Detail!CE90&amp;")"))</f>
        <v/>
      </c>
      <c r="AW90" s="1136" t="s">
        <v>2224</v>
      </c>
      <c r="AX90" s="1320" t="str">
        <f>Calcul!DB90</f>
        <v/>
      </c>
      <c r="AY90" s="1298" t="str">
        <f>IF(A90=FALSE,"",51000+(Detail!AA90*7000))</f>
        <v/>
      </c>
      <c r="AZ90" s="1170">
        <v>50000</v>
      </c>
      <c r="BA90" s="243">
        <v>3</v>
      </c>
      <c r="BB90" s="1135">
        <v>0</v>
      </c>
      <c r="BC90" s="1298" t="str">
        <f>IF(A90=FALSE,"",51000+(Detail!AA90*7000))</f>
        <v/>
      </c>
      <c r="BD90" s="1298">
        <f t="shared" si="34"/>
        <v>50000</v>
      </c>
      <c r="BE90" s="1299">
        <f t="shared" si="35"/>
        <v>3</v>
      </c>
      <c r="BF90" s="1284">
        <f t="shared" si="36"/>
        <v>0</v>
      </c>
      <c r="BG90" s="397" t="str">
        <f t="shared" si="29"/>
        <v/>
      </c>
      <c r="BH90" s="1138">
        <v>50000</v>
      </c>
      <c r="BI90" s="243">
        <v>3</v>
      </c>
      <c r="BJ90" s="254">
        <v>0</v>
      </c>
      <c r="BK90" s="397" t="str">
        <f t="shared" si="30"/>
        <v/>
      </c>
      <c r="BL90" s="1138">
        <v>50000</v>
      </c>
      <c r="BM90" s="243">
        <v>3</v>
      </c>
      <c r="BN90" s="254">
        <v>0</v>
      </c>
      <c r="BO90" s="239">
        <v>7</v>
      </c>
      <c r="BP90" s="1075">
        <v>365</v>
      </c>
      <c r="BQ90" s="244">
        <v>1</v>
      </c>
      <c r="BR90" s="254">
        <v>0</v>
      </c>
      <c r="BS90" s="239">
        <f t="shared" si="31"/>
        <v>7</v>
      </c>
      <c r="BT90" s="241">
        <f t="shared" si="32"/>
        <v>365</v>
      </c>
      <c r="BU90" s="253">
        <v>1</v>
      </c>
      <c r="BV90" s="254">
        <v>0</v>
      </c>
      <c r="BW90" s="254" t="s">
        <v>2224</v>
      </c>
      <c r="BX90" s="257">
        <v>0</v>
      </c>
      <c r="BY90" s="436">
        <v>0</v>
      </c>
      <c r="BZ90" s="254">
        <v>1</v>
      </c>
      <c r="CA90" s="254">
        <v>0</v>
      </c>
      <c r="CB90" s="1296"/>
      <c r="CD90" s="1136" t="str">
        <f>IF(A90=FALSE,"",Calcul!NZ90)</f>
        <v/>
      </c>
      <c r="CE90" s="1136" t="s">
        <v>2224</v>
      </c>
      <c r="CF90" s="1132" t="s">
        <v>2138</v>
      </c>
      <c r="CG90" s="1136" t="s">
        <v>2254</v>
      </c>
      <c r="CH90" s="1135" t="s">
        <v>2224</v>
      </c>
      <c r="CI90" s="257">
        <v>0</v>
      </c>
      <c r="CJ90" s="436">
        <v>0</v>
      </c>
      <c r="CK90" s="1135">
        <v>1</v>
      </c>
      <c r="CL90" s="1135">
        <v>0</v>
      </c>
      <c r="CM90" s="1170">
        <v>100000</v>
      </c>
      <c r="CN90" s="243">
        <v>2</v>
      </c>
      <c r="CO90" s="254">
        <v>0</v>
      </c>
      <c r="CP90" s="1298">
        <f t="shared" si="37"/>
        <v>100000</v>
      </c>
      <c r="CQ90" s="243">
        <v>2</v>
      </c>
      <c r="CR90" s="254">
        <v>0</v>
      </c>
    </row>
    <row r="91" spans="1:96" s="383" customFormat="1" ht="30" customHeight="1" outlineLevel="1">
      <c r="A91" s="396" t="b">
        <f>Calcul!A91</f>
        <v>0</v>
      </c>
      <c r="B91" s="438" t="str">
        <f t="shared" si="25"/>
        <v/>
      </c>
      <c r="C91" s="1132" t="b">
        <v>0</v>
      </c>
      <c r="D91" s="1133" t="s">
        <v>2293</v>
      </c>
      <c r="E91" s="241" t="s">
        <v>2139</v>
      </c>
      <c r="F91" s="338" t="str">
        <f>IF(A91=FALSE,"",IF(NAMES!$D$10=FALSE,IF(Detail!H91="","",Detail!H91),IF(Crewlist!D91="","",Crewlist!D91)))</f>
        <v/>
      </c>
      <c r="G91" s="338" t="str">
        <f>IF(A91=FALSE,"",IF(NAMES!$D$10=FALSE,IF(Detail!P91="","",Detail!P91),IF(Crewlist!E91="","",Crewlist!E91)))</f>
        <v/>
      </c>
      <c r="H91" s="338" t="str">
        <f>IF(A91=FALSE,"",IF(NAMES!$D$10=FALSE,IF(Detail!K91="","",Detail!K91),IF(Crewlist!F91="","",Crewlist!F91)))</f>
        <v/>
      </c>
      <c r="I91" s="1345" t="str">
        <f>IF(Crewlist!T91="","",Crewlist!T91)</f>
        <v/>
      </c>
      <c r="J91" s="1345" t="str">
        <f>IF(Crewlist!D91="","",IF(Crewlist!U91="",Crewlist!Y91,IF(DATERENOUVMOINS730&lt;&gt;Crewlist!U91&lt;&gt;Crewlist!Y91,Crewlist!U91,DATERENOUVMOINS365)))</f>
        <v/>
      </c>
      <c r="K91" s="1346" t="str">
        <f>IF(Detail!X91="","",Detail!X91)</f>
        <v/>
      </c>
      <c r="L91" s="1346" t="str">
        <f>IF(Detail!H91="","",IF(Detail!Y91="",DATERENOUV,IF(Detail!Y91&gt;Detail!D91,Detail!D91,Detail!Y91)))</f>
        <v/>
      </c>
      <c r="M91" s="829" t="str">
        <f>IF(A91=FALSE,"",IF(NAMES!$D$10=FALSE,IF(B91=B92,IF(N91=N92,0,(DATEDIF(K91,L91,"M")+1)),(DATEDIF(K91,L91,"M")+1)),IF(B91=B92,IF(N91=N92,0,(DATEDIF(I91,J91,"M")+1)),(DATEDIF(I91,J91,"M")+1))))</f>
        <v/>
      </c>
      <c r="N91" s="339" t="str">
        <f t="shared" si="33"/>
        <v/>
      </c>
      <c r="O91" s="340" t="str">
        <f>IF(A91=FALSE,"",IF(NAMES!$D$10=FALSE,IF((DATEDIF(K91,L91,"D")+1)&lt;365,(DATEDIF(K91,L91,"D")+1),365),IF((DATEDIF(I91,J91,"D")+1)&lt;365,(DATEDIF(I91,J91,"D")+1),365)))</f>
        <v/>
      </c>
      <c r="P91" s="340" t="str">
        <f>IF(A91=FALSE,"",IF(NAMES!$D$10=FALSE,IF(L91="",365,DATEDIF(K91,L91,"D")+1),IF(L91="",365,DATEDIF(I91,J91,"D")+1)))</f>
        <v/>
      </c>
      <c r="Q91" s="787" t="str">
        <f>Calcul!X91</f>
        <v/>
      </c>
      <c r="R91" s="787" t="str">
        <f>Calcul!Y91</f>
        <v/>
      </c>
      <c r="S91" s="811" t="str">
        <f>Calcul!AG91</f>
        <v/>
      </c>
      <c r="T91" s="350" t="str">
        <f>IF(A91=FALSE,"",IF(NAMES!$D$10=FALSE,IF(Detail!S91="","",Detail!S91),IF(Crewlist!V91="","",Crewlist!V91)))</f>
        <v/>
      </c>
      <c r="U91" s="242" t="str">
        <f>Calcul!AI91</f>
        <v/>
      </c>
      <c r="V91" s="242" t="str">
        <f>Calcul!AL91</f>
        <v/>
      </c>
      <c r="W91" s="242" t="str">
        <f>Calcul!AM91</f>
        <v/>
      </c>
      <c r="X91" s="335" t="str">
        <f>Calcul!AN91</f>
        <v/>
      </c>
      <c r="Y91" s="242" t="str">
        <f>Calcul!AO91</f>
        <v/>
      </c>
      <c r="Z91" s="242" t="str">
        <f>Calcul!AP91</f>
        <v/>
      </c>
      <c r="AA91" s="335" t="str">
        <f>Calcul!AQ91</f>
        <v/>
      </c>
      <c r="AB91" s="335" t="str">
        <f>IF(C91=FALSE,"",Calcul!BE91+Calcul!BF91)</f>
        <v/>
      </c>
      <c r="AC91" s="335" t="str">
        <f>IF(C91=FALSE,"",(Calcul!BG91+Calcul!BH91)+SUM(Calcul!BI91:BN91))</f>
        <v/>
      </c>
      <c r="AD91" s="335" t="str">
        <f>Calcul!BP91</f>
        <v/>
      </c>
      <c r="AE91" s="1325" t="s">
        <v>2866</v>
      </c>
      <c r="AF91" s="450" t="s">
        <v>2254</v>
      </c>
      <c r="AG91" s="318" t="str">
        <f>IF(A91=FALSE,"",YEAR(Detail!F91)&amp;Detail!AG91&amp;Detail!AD91&amp;"-"&amp;Detail!AE91)</f>
        <v/>
      </c>
      <c r="AH91" s="1134" t="s">
        <v>2224</v>
      </c>
      <c r="AI91" s="1135">
        <v>0</v>
      </c>
      <c r="AJ91" s="828">
        <f t="shared" si="26"/>
        <v>0</v>
      </c>
      <c r="AK91" s="828">
        <f t="shared" si="27"/>
        <v>0</v>
      </c>
      <c r="AL91" s="828">
        <f t="shared" si="28"/>
        <v>0</v>
      </c>
      <c r="AM91" s="1135" t="s">
        <v>2224</v>
      </c>
      <c r="AN91" s="1455">
        <v>15.1752</v>
      </c>
      <c r="AO91" s="436">
        <v>0</v>
      </c>
      <c r="AP91" s="254">
        <v>1</v>
      </c>
      <c r="AQ91" s="254">
        <v>0</v>
      </c>
      <c r="AS91" s="1127"/>
      <c r="AT91" s="239" t="s">
        <v>2140</v>
      </c>
      <c r="AU91" s="1136" t="s">
        <v>2255</v>
      </c>
      <c r="AV91" s="1136" t="str">
        <f>IF(A91=FALSE,"",IF(Detail!AT91="","N/A",YEAR(Detail!F91)&amp;Detail!AW91&amp;Detail!AT91&amp;"-"&amp;Detail!AU91&amp;" (100%/"&amp;Detail!CD91&amp;"/"&amp;Detail!CE91&amp;")"))</f>
        <v/>
      </c>
      <c r="AW91" s="1136" t="s">
        <v>2224</v>
      </c>
      <c r="AX91" s="1320" t="str">
        <f>Calcul!DB91</f>
        <v/>
      </c>
      <c r="AY91" s="1298" t="str">
        <f>IF(A91=FALSE,"",51000+(Detail!AA91*7000))</f>
        <v/>
      </c>
      <c r="AZ91" s="1170">
        <v>50000</v>
      </c>
      <c r="BA91" s="243">
        <v>3</v>
      </c>
      <c r="BB91" s="1135">
        <v>0</v>
      </c>
      <c r="BC91" s="1298" t="str">
        <f>IF(A91=FALSE,"",51000+(Detail!AA91*7000))</f>
        <v/>
      </c>
      <c r="BD91" s="1298">
        <f t="shared" si="34"/>
        <v>50000</v>
      </c>
      <c r="BE91" s="1299">
        <f t="shared" si="35"/>
        <v>3</v>
      </c>
      <c r="BF91" s="1284">
        <f t="shared" si="36"/>
        <v>0</v>
      </c>
      <c r="BG91" s="397" t="str">
        <f t="shared" si="29"/>
        <v/>
      </c>
      <c r="BH91" s="1138">
        <v>50000</v>
      </c>
      <c r="BI91" s="243">
        <v>3</v>
      </c>
      <c r="BJ91" s="254">
        <v>0</v>
      </c>
      <c r="BK91" s="397" t="str">
        <f t="shared" si="30"/>
        <v/>
      </c>
      <c r="BL91" s="1138">
        <v>50000</v>
      </c>
      <c r="BM91" s="243">
        <v>3</v>
      </c>
      <c r="BN91" s="254">
        <v>0</v>
      </c>
      <c r="BO91" s="239">
        <v>7</v>
      </c>
      <c r="BP91" s="1075">
        <v>365</v>
      </c>
      <c r="BQ91" s="244">
        <v>1</v>
      </c>
      <c r="BR91" s="254">
        <v>0</v>
      </c>
      <c r="BS91" s="239">
        <f t="shared" si="31"/>
        <v>7</v>
      </c>
      <c r="BT91" s="241">
        <f t="shared" si="32"/>
        <v>365</v>
      </c>
      <c r="BU91" s="253">
        <v>1</v>
      </c>
      <c r="BV91" s="254">
        <v>0</v>
      </c>
      <c r="BW91" s="254" t="s">
        <v>2224</v>
      </c>
      <c r="BX91" s="257">
        <v>0</v>
      </c>
      <c r="BY91" s="436">
        <v>0</v>
      </c>
      <c r="BZ91" s="254">
        <v>1</v>
      </c>
      <c r="CA91" s="254">
        <v>0</v>
      </c>
      <c r="CB91" s="1296"/>
      <c r="CD91" s="1136" t="str">
        <f>IF(A91=FALSE,"",Calcul!NZ91)</f>
        <v/>
      </c>
      <c r="CE91" s="1136" t="s">
        <v>2224</v>
      </c>
      <c r="CF91" s="1132" t="s">
        <v>2138</v>
      </c>
      <c r="CG91" s="1136" t="s">
        <v>2254</v>
      </c>
      <c r="CH91" s="1135" t="s">
        <v>2224</v>
      </c>
      <c r="CI91" s="257">
        <v>0</v>
      </c>
      <c r="CJ91" s="436">
        <v>0</v>
      </c>
      <c r="CK91" s="1135">
        <v>1</v>
      </c>
      <c r="CL91" s="1135">
        <v>0</v>
      </c>
      <c r="CM91" s="1170">
        <v>100000</v>
      </c>
      <c r="CN91" s="243">
        <v>2</v>
      </c>
      <c r="CO91" s="254">
        <v>0</v>
      </c>
      <c r="CP91" s="1298">
        <f t="shared" si="37"/>
        <v>100000</v>
      </c>
      <c r="CQ91" s="243">
        <v>2</v>
      </c>
      <c r="CR91" s="254">
        <v>0</v>
      </c>
    </row>
    <row r="92" spans="1:96" s="383" customFormat="1" ht="30" customHeight="1" outlineLevel="1">
      <c r="A92" s="396" t="b">
        <f>Calcul!A92</f>
        <v>0</v>
      </c>
      <c r="B92" s="438" t="str">
        <f t="shared" si="25"/>
        <v/>
      </c>
      <c r="C92" s="1132" t="b">
        <v>0</v>
      </c>
      <c r="D92" s="1133" t="s">
        <v>2293</v>
      </c>
      <c r="E92" s="241" t="s">
        <v>2139</v>
      </c>
      <c r="F92" s="338" t="str">
        <f>IF(A92=FALSE,"",IF(NAMES!$D$10=FALSE,IF(Detail!H92="","",Detail!H92),IF(Crewlist!D92="","",Crewlist!D92)))</f>
        <v/>
      </c>
      <c r="G92" s="338" t="str">
        <f>IF(A92=FALSE,"",IF(NAMES!$D$10=FALSE,IF(Detail!P92="","",Detail!P92),IF(Crewlist!E92="","",Crewlist!E92)))</f>
        <v/>
      </c>
      <c r="H92" s="338" t="str">
        <f>IF(A92=FALSE,"",IF(NAMES!$D$10=FALSE,IF(Detail!K92="","",Detail!K92),IF(Crewlist!F92="","",Crewlist!F92)))</f>
        <v/>
      </c>
      <c r="I92" s="1345" t="str">
        <f>IF(Crewlist!T92="","",Crewlist!T92)</f>
        <v/>
      </c>
      <c r="J92" s="1345" t="str">
        <f>IF(Crewlist!D92="","",IF(Crewlist!U92="",Crewlist!Y92,IF(DATERENOUVMOINS730&lt;&gt;Crewlist!U92&lt;&gt;Crewlist!Y92,Crewlist!U92,DATERENOUVMOINS365)))</f>
        <v/>
      </c>
      <c r="K92" s="1346" t="str">
        <f>IF(Detail!X92="","",Detail!X92)</f>
        <v/>
      </c>
      <c r="L92" s="1346" t="str">
        <f>IF(Detail!H92="","",IF(Detail!Y92="",DATERENOUV,IF(Detail!Y92&gt;Detail!D92,Detail!D92,Detail!Y92)))</f>
        <v/>
      </c>
      <c r="M92" s="829" t="str">
        <f>IF(A92=FALSE,"",IF(NAMES!$D$10=FALSE,IF(B92=B93,IF(N92=N93,0,(DATEDIF(K92,L92,"M")+1)),(DATEDIF(K92,L92,"M")+1)),IF(B92=B93,IF(N92=N93,0,(DATEDIF(I92,J92,"M")+1)),(DATEDIF(I92,J92,"M")+1))))</f>
        <v/>
      </c>
      <c r="N92" s="339" t="str">
        <f t="shared" si="33"/>
        <v/>
      </c>
      <c r="O92" s="340" t="str">
        <f>IF(A92=FALSE,"",IF(NAMES!$D$10=FALSE,IF((DATEDIF(K92,L92,"D")+1)&lt;365,(DATEDIF(K92,L92,"D")+1),365),IF((DATEDIF(I92,J92,"D")+1)&lt;365,(DATEDIF(I92,J92,"D")+1),365)))</f>
        <v/>
      </c>
      <c r="P92" s="340" t="str">
        <f>IF(A92=FALSE,"",IF(NAMES!$D$10=FALSE,IF(L92="",365,DATEDIF(K92,L92,"D")+1),IF(L92="",365,DATEDIF(I92,J92,"D")+1)))</f>
        <v/>
      </c>
      <c r="Q92" s="787" t="str">
        <f>Calcul!X92</f>
        <v/>
      </c>
      <c r="R92" s="787" t="str">
        <f>Calcul!Y92</f>
        <v/>
      </c>
      <c r="S92" s="811" t="str">
        <f>Calcul!AG92</f>
        <v/>
      </c>
      <c r="T92" s="350" t="str">
        <f>IF(A92=FALSE,"",IF(NAMES!$D$10=FALSE,IF(Detail!S92="","",Detail!S92),IF(Crewlist!V92="","",Crewlist!V92)))</f>
        <v/>
      </c>
      <c r="U92" s="242" t="str">
        <f>Calcul!AI92</f>
        <v/>
      </c>
      <c r="V92" s="242" t="str">
        <f>Calcul!AL92</f>
        <v/>
      </c>
      <c r="W92" s="242" t="str">
        <f>Calcul!AM92</f>
        <v/>
      </c>
      <c r="X92" s="335" t="str">
        <f>Calcul!AN92</f>
        <v/>
      </c>
      <c r="Y92" s="242" t="str">
        <f>Calcul!AO92</f>
        <v/>
      </c>
      <c r="Z92" s="242" t="str">
        <f>Calcul!AP92</f>
        <v/>
      </c>
      <c r="AA92" s="335" t="str">
        <f>Calcul!AQ92</f>
        <v/>
      </c>
      <c r="AB92" s="335" t="str">
        <f>IF(C92=FALSE,"",Calcul!BE92+Calcul!BF92)</f>
        <v/>
      </c>
      <c r="AC92" s="335" t="str">
        <f>IF(C92=FALSE,"",(Calcul!BG92+Calcul!BH92)+SUM(Calcul!BI92:BN92))</f>
        <v/>
      </c>
      <c r="AD92" s="335" t="str">
        <f>Calcul!BP92</f>
        <v/>
      </c>
      <c r="AE92" s="1325" t="s">
        <v>2866</v>
      </c>
      <c r="AF92" s="450" t="s">
        <v>2254</v>
      </c>
      <c r="AG92" s="318" t="str">
        <f>IF(A92=FALSE,"",YEAR(Detail!F92)&amp;Detail!AG92&amp;Detail!AD92&amp;"-"&amp;Detail!AE92)</f>
        <v/>
      </c>
      <c r="AH92" s="1134" t="s">
        <v>2224</v>
      </c>
      <c r="AI92" s="1135">
        <v>0</v>
      </c>
      <c r="AJ92" s="828">
        <f t="shared" si="26"/>
        <v>0</v>
      </c>
      <c r="AK92" s="828">
        <f t="shared" si="27"/>
        <v>0</v>
      </c>
      <c r="AL92" s="828">
        <f t="shared" si="28"/>
        <v>0</v>
      </c>
      <c r="AM92" s="1135" t="s">
        <v>2224</v>
      </c>
      <c r="AN92" s="1455">
        <v>15.1752</v>
      </c>
      <c r="AO92" s="436">
        <v>0</v>
      </c>
      <c r="AP92" s="254">
        <v>1</v>
      </c>
      <c r="AQ92" s="254">
        <v>0</v>
      </c>
      <c r="AS92" s="1127"/>
      <c r="AT92" s="239" t="s">
        <v>2140</v>
      </c>
      <c r="AU92" s="1136" t="s">
        <v>2255</v>
      </c>
      <c r="AV92" s="1136" t="str">
        <f>IF(A92=FALSE,"",IF(Detail!AT92="","N/A",YEAR(Detail!F92)&amp;Detail!AW92&amp;Detail!AT92&amp;"-"&amp;Detail!AU92&amp;" (100%/"&amp;Detail!CD92&amp;"/"&amp;Detail!CE92&amp;")"))</f>
        <v/>
      </c>
      <c r="AW92" s="1136" t="s">
        <v>2224</v>
      </c>
      <c r="AX92" s="1320" t="str">
        <f>Calcul!DB92</f>
        <v/>
      </c>
      <c r="AY92" s="1298" t="str">
        <f>IF(A92=FALSE,"",51000+(Detail!AA92*7000))</f>
        <v/>
      </c>
      <c r="AZ92" s="1170">
        <v>50000</v>
      </c>
      <c r="BA92" s="243">
        <v>3</v>
      </c>
      <c r="BB92" s="1135">
        <v>0</v>
      </c>
      <c r="BC92" s="1298" t="str">
        <f>IF(A92=FALSE,"",51000+(Detail!AA92*7000))</f>
        <v/>
      </c>
      <c r="BD92" s="1298">
        <f t="shared" si="34"/>
        <v>50000</v>
      </c>
      <c r="BE92" s="1299">
        <f t="shared" si="35"/>
        <v>3</v>
      </c>
      <c r="BF92" s="1284">
        <f t="shared" si="36"/>
        <v>0</v>
      </c>
      <c r="BG92" s="397" t="str">
        <f t="shared" si="29"/>
        <v/>
      </c>
      <c r="BH92" s="1138">
        <v>50000</v>
      </c>
      <c r="BI92" s="243">
        <v>3</v>
      </c>
      <c r="BJ92" s="254">
        <v>0</v>
      </c>
      <c r="BK92" s="397" t="str">
        <f t="shared" si="30"/>
        <v/>
      </c>
      <c r="BL92" s="1138">
        <v>50000</v>
      </c>
      <c r="BM92" s="243">
        <v>3</v>
      </c>
      <c r="BN92" s="254">
        <v>0</v>
      </c>
      <c r="BO92" s="239">
        <v>7</v>
      </c>
      <c r="BP92" s="1075">
        <v>365</v>
      </c>
      <c r="BQ92" s="244">
        <v>1</v>
      </c>
      <c r="BR92" s="254">
        <v>0</v>
      </c>
      <c r="BS92" s="239">
        <f t="shared" si="31"/>
        <v>7</v>
      </c>
      <c r="BT92" s="241">
        <f t="shared" si="32"/>
        <v>365</v>
      </c>
      <c r="BU92" s="253">
        <v>1</v>
      </c>
      <c r="BV92" s="254">
        <v>0</v>
      </c>
      <c r="BW92" s="254" t="s">
        <v>2224</v>
      </c>
      <c r="BX92" s="257">
        <v>0</v>
      </c>
      <c r="BY92" s="436">
        <v>0</v>
      </c>
      <c r="BZ92" s="254">
        <v>1</v>
      </c>
      <c r="CA92" s="254">
        <v>0</v>
      </c>
      <c r="CB92" s="1296"/>
      <c r="CD92" s="1136" t="str">
        <f>IF(A92=FALSE,"",Calcul!NZ92)</f>
        <v/>
      </c>
      <c r="CE92" s="1136" t="s">
        <v>2224</v>
      </c>
      <c r="CF92" s="1132" t="s">
        <v>2138</v>
      </c>
      <c r="CG92" s="1136" t="s">
        <v>2254</v>
      </c>
      <c r="CH92" s="1135" t="s">
        <v>2224</v>
      </c>
      <c r="CI92" s="257">
        <v>0</v>
      </c>
      <c r="CJ92" s="436">
        <v>0</v>
      </c>
      <c r="CK92" s="1135">
        <v>1</v>
      </c>
      <c r="CL92" s="1135">
        <v>0</v>
      </c>
      <c r="CM92" s="1170">
        <v>100000</v>
      </c>
      <c r="CN92" s="243">
        <v>2</v>
      </c>
      <c r="CO92" s="254">
        <v>0</v>
      </c>
      <c r="CP92" s="1298">
        <f t="shared" si="37"/>
        <v>100000</v>
      </c>
      <c r="CQ92" s="243">
        <v>2</v>
      </c>
      <c r="CR92" s="254">
        <v>0</v>
      </c>
    </row>
    <row r="93" spans="1:96" s="383" customFormat="1" ht="30" customHeight="1" outlineLevel="1">
      <c r="A93" s="396" t="b">
        <f>Calcul!A93</f>
        <v>0</v>
      </c>
      <c r="B93" s="438" t="str">
        <f t="shared" si="25"/>
        <v/>
      </c>
      <c r="C93" s="1132" t="b">
        <v>0</v>
      </c>
      <c r="D93" s="1133" t="s">
        <v>2293</v>
      </c>
      <c r="E93" s="241" t="s">
        <v>2139</v>
      </c>
      <c r="F93" s="338" t="str">
        <f>IF(A93=FALSE,"",IF(NAMES!$D$10=FALSE,IF(Detail!H93="","",Detail!H93),IF(Crewlist!D93="","",Crewlist!D93)))</f>
        <v/>
      </c>
      <c r="G93" s="338" t="str">
        <f>IF(A93=FALSE,"",IF(NAMES!$D$10=FALSE,IF(Detail!P93="","",Detail!P93),IF(Crewlist!E93="","",Crewlist!E93)))</f>
        <v/>
      </c>
      <c r="H93" s="338" t="str">
        <f>IF(A93=FALSE,"",IF(NAMES!$D$10=FALSE,IF(Detail!K93="","",Detail!K93),IF(Crewlist!F93="","",Crewlist!F93)))</f>
        <v/>
      </c>
      <c r="I93" s="1345" t="str">
        <f>IF(Crewlist!T93="","",Crewlist!T93)</f>
        <v/>
      </c>
      <c r="J93" s="1345" t="str">
        <f>IF(Crewlist!D93="","",IF(Crewlist!U93="",Crewlist!Y93,IF(DATERENOUVMOINS730&lt;&gt;Crewlist!U93&lt;&gt;Crewlist!Y93,Crewlist!U93,DATERENOUVMOINS365)))</f>
        <v/>
      </c>
      <c r="K93" s="1346" t="str">
        <f>IF(Detail!X93="","",Detail!X93)</f>
        <v/>
      </c>
      <c r="L93" s="1346" t="str">
        <f>IF(Detail!H93="","",IF(Detail!Y93="",DATERENOUV,IF(Detail!Y93&gt;Detail!D93,Detail!D93,Detail!Y93)))</f>
        <v/>
      </c>
      <c r="M93" s="829" t="str">
        <f>IF(A93=FALSE,"",IF(NAMES!$D$10=FALSE,IF(B93=B94,IF(N93=N94,0,(DATEDIF(K93,L93,"M")+1)),(DATEDIF(K93,L93,"M")+1)),IF(B93=B94,IF(N93=N94,0,(DATEDIF(I93,J93,"M")+1)),(DATEDIF(I93,J93,"M")+1))))</f>
        <v/>
      </c>
      <c r="N93" s="339" t="str">
        <f t="shared" si="33"/>
        <v/>
      </c>
      <c r="O93" s="340" t="str">
        <f>IF(A93=FALSE,"",IF(NAMES!$D$10=FALSE,IF((DATEDIF(K93,L93,"D")+1)&lt;365,(DATEDIF(K93,L93,"D")+1),365),IF((DATEDIF(I93,J93,"D")+1)&lt;365,(DATEDIF(I93,J93,"D")+1),365)))</f>
        <v/>
      </c>
      <c r="P93" s="340" t="str">
        <f>IF(A93=FALSE,"",IF(NAMES!$D$10=FALSE,IF(L93="",365,DATEDIF(K93,L93,"D")+1),IF(L93="",365,DATEDIF(I93,J93,"D")+1)))</f>
        <v/>
      </c>
      <c r="Q93" s="787" t="str">
        <f>Calcul!X93</f>
        <v/>
      </c>
      <c r="R93" s="787" t="str">
        <f>Calcul!Y93</f>
        <v/>
      </c>
      <c r="S93" s="811" t="str">
        <f>Calcul!AG93</f>
        <v/>
      </c>
      <c r="T93" s="350" t="str">
        <f>IF(A93=FALSE,"",IF(NAMES!$D$10=FALSE,IF(Detail!S93="","",Detail!S93),IF(Crewlist!V93="","",Crewlist!V93)))</f>
        <v/>
      </c>
      <c r="U93" s="242" t="str">
        <f>Calcul!AI93</f>
        <v/>
      </c>
      <c r="V93" s="242" t="str">
        <f>Calcul!AL93</f>
        <v/>
      </c>
      <c r="W93" s="242" t="str">
        <f>Calcul!AM93</f>
        <v/>
      </c>
      <c r="X93" s="335" t="str">
        <f>Calcul!AN93</f>
        <v/>
      </c>
      <c r="Y93" s="242" t="str">
        <f>Calcul!AO93</f>
        <v/>
      </c>
      <c r="Z93" s="242" t="str">
        <f>Calcul!AP93</f>
        <v/>
      </c>
      <c r="AA93" s="335" t="str">
        <f>Calcul!AQ93</f>
        <v/>
      </c>
      <c r="AB93" s="335" t="str">
        <f>IF(C93=FALSE,"",Calcul!BE93+Calcul!BF93)</f>
        <v/>
      </c>
      <c r="AC93" s="335" t="str">
        <f>IF(C93=FALSE,"",(Calcul!BG93+Calcul!BH93)+SUM(Calcul!BI93:BN93))</f>
        <v/>
      </c>
      <c r="AD93" s="335" t="str">
        <f>Calcul!BP93</f>
        <v/>
      </c>
      <c r="AE93" s="1325" t="s">
        <v>2866</v>
      </c>
      <c r="AF93" s="450" t="s">
        <v>2254</v>
      </c>
      <c r="AG93" s="318" t="str">
        <f>IF(A93=FALSE,"",YEAR(Detail!F93)&amp;Detail!AG93&amp;Detail!AD93&amp;"-"&amp;Detail!AE93)</f>
        <v/>
      </c>
      <c r="AH93" s="1134" t="s">
        <v>2224</v>
      </c>
      <c r="AI93" s="1135">
        <v>0</v>
      </c>
      <c r="AJ93" s="828">
        <f t="shared" si="26"/>
        <v>0</v>
      </c>
      <c r="AK93" s="828">
        <f t="shared" si="27"/>
        <v>0</v>
      </c>
      <c r="AL93" s="828">
        <f t="shared" si="28"/>
        <v>0</v>
      </c>
      <c r="AM93" s="1135" t="s">
        <v>2224</v>
      </c>
      <c r="AN93" s="1455">
        <v>15.1752</v>
      </c>
      <c r="AO93" s="436">
        <v>0</v>
      </c>
      <c r="AP93" s="254">
        <v>1</v>
      </c>
      <c r="AQ93" s="254">
        <v>0</v>
      </c>
      <c r="AS93" s="1127"/>
      <c r="AT93" s="239" t="s">
        <v>2140</v>
      </c>
      <c r="AU93" s="1136" t="s">
        <v>2255</v>
      </c>
      <c r="AV93" s="1136" t="str">
        <f>IF(A93=FALSE,"",IF(Detail!AT93="","N/A",YEAR(Detail!F93)&amp;Detail!AW93&amp;Detail!AT93&amp;"-"&amp;Detail!AU93&amp;" (100%/"&amp;Detail!CD93&amp;"/"&amp;Detail!CE93&amp;")"))</f>
        <v/>
      </c>
      <c r="AW93" s="1136" t="s">
        <v>2224</v>
      </c>
      <c r="AX93" s="1320" t="str">
        <f>Calcul!DB93</f>
        <v/>
      </c>
      <c r="AY93" s="1298" t="str">
        <f>IF(A93=FALSE,"",51000+(Detail!AA93*7000))</f>
        <v/>
      </c>
      <c r="AZ93" s="1170">
        <v>50000</v>
      </c>
      <c r="BA93" s="243">
        <v>3</v>
      </c>
      <c r="BB93" s="1135">
        <v>0</v>
      </c>
      <c r="BC93" s="1298" t="str">
        <f>IF(A93=FALSE,"",51000+(Detail!AA93*7000))</f>
        <v/>
      </c>
      <c r="BD93" s="1298">
        <f t="shared" si="34"/>
        <v>50000</v>
      </c>
      <c r="BE93" s="1299">
        <f t="shared" si="35"/>
        <v>3</v>
      </c>
      <c r="BF93" s="1284">
        <f t="shared" si="36"/>
        <v>0</v>
      </c>
      <c r="BG93" s="397" t="str">
        <f t="shared" si="29"/>
        <v/>
      </c>
      <c r="BH93" s="1138">
        <v>50000</v>
      </c>
      <c r="BI93" s="243">
        <v>3</v>
      </c>
      <c r="BJ93" s="254">
        <v>0</v>
      </c>
      <c r="BK93" s="397" t="str">
        <f t="shared" si="30"/>
        <v/>
      </c>
      <c r="BL93" s="1138">
        <v>50000</v>
      </c>
      <c r="BM93" s="243">
        <v>3</v>
      </c>
      <c r="BN93" s="254">
        <v>0</v>
      </c>
      <c r="BO93" s="239">
        <v>7</v>
      </c>
      <c r="BP93" s="1075">
        <v>365</v>
      </c>
      <c r="BQ93" s="244">
        <v>1</v>
      </c>
      <c r="BR93" s="254">
        <v>0</v>
      </c>
      <c r="BS93" s="239">
        <f t="shared" si="31"/>
        <v>7</v>
      </c>
      <c r="BT93" s="241">
        <f t="shared" si="32"/>
        <v>365</v>
      </c>
      <c r="BU93" s="253">
        <v>1</v>
      </c>
      <c r="BV93" s="254">
        <v>0</v>
      </c>
      <c r="BW93" s="254" t="s">
        <v>2224</v>
      </c>
      <c r="BX93" s="257">
        <v>0</v>
      </c>
      <c r="BY93" s="436">
        <v>0</v>
      </c>
      <c r="BZ93" s="254">
        <v>1</v>
      </c>
      <c r="CA93" s="254">
        <v>0</v>
      </c>
      <c r="CB93" s="1296"/>
      <c r="CD93" s="1136" t="str">
        <f>IF(A93=FALSE,"",Calcul!NZ93)</f>
        <v/>
      </c>
      <c r="CE93" s="1136" t="s">
        <v>2224</v>
      </c>
      <c r="CF93" s="1132" t="s">
        <v>2138</v>
      </c>
      <c r="CG93" s="1136" t="s">
        <v>2254</v>
      </c>
      <c r="CH93" s="1135" t="s">
        <v>2224</v>
      </c>
      <c r="CI93" s="257">
        <v>0</v>
      </c>
      <c r="CJ93" s="436">
        <v>0</v>
      </c>
      <c r="CK93" s="1135">
        <v>1</v>
      </c>
      <c r="CL93" s="1135">
        <v>0</v>
      </c>
      <c r="CM93" s="1170">
        <v>100000</v>
      </c>
      <c r="CN93" s="243">
        <v>2</v>
      </c>
      <c r="CO93" s="254">
        <v>0</v>
      </c>
      <c r="CP93" s="1298">
        <f t="shared" si="37"/>
        <v>100000</v>
      </c>
      <c r="CQ93" s="243">
        <v>2</v>
      </c>
      <c r="CR93" s="254">
        <v>0</v>
      </c>
    </row>
    <row r="94" spans="1:96" s="383" customFormat="1" ht="30" customHeight="1" outlineLevel="1">
      <c r="A94" s="396" t="b">
        <f>Calcul!A94</f>
        <v>0</v>
      </c>
      <c r="B94" s="438" t="str">
        <f t="shared" si="25"/>
        <v/>
      </c>
      <c r="C94" s="1132" t="b">
        <v>0</v>
      </c>
      <c r="D94" s="1133" t="s">
        <v>2293</v>
      </c>
      <c r="E94" s="241" t="s">
        <v>2139</v>
      </c>
      <c r="F94" s="338" t="str">
        <f>IF(A94=FALSE,"",IF(NAMES!$D$10=FALSE,IF(Detail!H94="","",Detail!H94),IF(Crewlist!D94="","",Crewlist!D94)))</f>
        <v/>
      </c>
      <c r="G94" s="338" t="str">
        <f>IF(A94=FALSE,"",IF(NAMES!$D$10=FALSE,IF(Detail!P94="","",Detail!P94),IF(Crewlist!E94="","",Crewlist!E94)))</f>
        <v/>
      </c>
      <c r="H94" s="338" t="str">
        <f>IF(A94=FALSE,"",IF(NAMES!$D$10=FALSE,IF(Detail!K94="","",Detail!K94),IF(Crewlist!F94="","",Crewlist!F94)))</f>
        <v/>
      </c>
      <c r="I94" s="1345" t="str">
        <f>IF(Crewlist!T94="","",Crewlist!T94)</f>
        <v/>
      </c>
      <c r="J94" s="1345" t="str">
        <f>IF(Crewlist!D94="","",IF(Crewlist!U94="",Crewlist!Y94,IF(DATERENOUVMOINS730&lt;&gt;Crewlist!U94&lt;&gt;Crewlist!Y94,Crewlist!U94,DATERENOUVMOINS365)))</f>
        <v/>
      </c>
      <c r="K94" s="1346" t="str">
        <f>IF(Detail!X94="","",Detail!X94)</f>
        <v/>
      </c>
      <c r="L94" s="1346" t="str">
        <f>IF(Detail!H94="","",IF(Detail!Y94="",DATERENOUV,IF(Detail!Y94&gt;Detail!D94,Detail!D94,Detail!Y94)))</f>
        <v/>
      </c>
      <c r="M94" s="829" t="str">
        <f>IF(A94=FALSE,"",IF(NAMES!$D$10=FALSE,IF(B94=B95,IF(N94=N95,0,(DATEDIF(K94,L94,"M")+1)),(DATEDIF(K94,L94,"M")+1)),IF(B94=B95,IF(N94=N95,0,(DATEDIF(I94,J94,"M")+1)),(DATEDIF(I94,J94,"M")+1))))</f>
        <v/>
      </c>
      <c r="N94" s="339" t="str">
        <f t="shared" si="33"/>
        <v/>
      </c>
      <c r="O94" s="340" t="str">
        <f>IF(A94=FALSE,"",IF(NAMES!$D$10=FALSE,IF((DATEDIF(K94,L94,"D")+1)&lt;365,(DATEDIF(K94,L94,"D")+1),365),IF((DATEDIF(I94,J94,"D")+1)&lt;365,(DATEDIF(I94,J94,"D")+1),365)))</f>
        <v/>
      </c>
      <c r="P94" s="340" t="str">
        <f>IF(A94=FALSE,"",IF(NAMES!$D$10=FALSE,IF(L94="",365,DATEDIF(K94,L94,"D")+1),IF(L94="",365,DATEDIF(I94,J94,"D")+1)))</f>
        <v/>
      </c>
      <c r="Q94" s="787" t="str">
        <f>Calcul!X94</f>
        <v/>
      </c>
      <c r="R94" s="787" t="str">
        <f>Calcul!Y94</f>
        <v/>
      </c>
      <c r="S94" s="811" t="str">
        <f>Calcul!AG94</f>
        <v/>
      </c>
      <c r="T94" s="350" t="str">
        <f>IF(A94=FALSE,"",IF(NAMES!$D$10=FALSE,IF(Detail!S94="","",Detail!S94),IF(Crewlist!V94="","",Crewlist!V94)))</f>
        <v/>
      </c>
      <c r="U94" s="242" t="str">
        <f>Calcul!AI94</f>
        <v/>
      </c>
      <c r="V94" s="242" t="str">
        <f>Calcul!AL94</f>
        <v/>
      </c>
      <c r="W94" s="242" t="str">
        <f>Calcul!AM94</f>
        <v/>
      </c>
      <c r="X94" s="335" t="str">
        <f>Calcul!AN94</f>
        <v/>
      </c>
      <c r="Y94" s="242" t="str">
        <f>Calcul!AO94</f>
        <v/>
      </c>
      <c r="Z94" s="242" t="str">
        <f>Calcul!AP94</f>
        <v/>
      </c>
      <c r="AA94" s="335" t="str">
        <f>Calcul!AQ94</f>
        <v/>
      </c>
      <c r="AB94" s="335" t="str">
        <f>IF(C94=FALSE,"",Calcul!BE94+Calcul!BF94)</f>
        <v/>
      </c>
      <c r="AC94" s="335" t="str">
        <f>IF(C94=FALSE,"",(Calcul!BG94+Calcul!BH94)+SUM(Calcul!BI94:BN94))</f>
        <v/>
      </c>
      <c r="AD94" s="335" t="str">
        <f>Calcul!BP94</f>
        <v/>
      </c>
      <c r="AE94" s="1325" t="s">
        <v>2866</v>
      </c>
      <c r="AF94" s="450" t="s">
        <v>2254</v>
      </c>
      <c r="AG94" s="318" t="str">
        <f>IF(A94=FALSE,"",YEAR(Detail!F94)&amp;Detail!AG94&amp;Detail!AD94&amp;"-"&amp;Detail!AE94)</f>
        <v/>
      </c>
      <c r="AH94" s="1134" t="s">
        <v>2224</v>
      </c>
      <c r="AI94" s="1135">
        <v>0</v>
      </c>
      <c r="AJ94" s="828">
        <f t="shared" si="26"/>
        <v>0</v>
      </c>
      <c r="AK94" s="828">
        <f t="shared" si="27"/>
        <v>0</v>
      </c>
      <c r="AL94" s="828">
        <f t="shared" si="28"/>
        <v>0</v>
      </c>
      <c r="AM94" s="1135" t="s">
        <v>2224</v>
      </c>
      <c r="AN94" s="1455">
        <v>15.1752</v>
      </c>
      <c r="AO94" s="436">
        <v>0</v>
      </c>
      <c r="AP94" s="254">
        <v>1</v>
      </c>
      <c r="AQ94" s="254">
        <v>0</v>
      </c>
      <c r="AS94" s="1127"/>
      <c r="AT94" s="239" t="s">
        <v>2140</v>
      </c>
      <c r="AU94" s="1136" t="s">
        <v>2255</v>
      </c>
      <c r="AV94" s="1136" t="str">
        <f>IF(A94=FALSE,"",IF(Detail!AT94="","N/A",YEAR(Detail!F94)&amp;Detail!AW94&amp;Detail!AT94&amp;"-"&amp;Detail!AU94&amp;" (100%/"&amp;Detail!CD94&amp;"/"&amp;Detail!CE94&amp;")"))</f>
        <v/>
      </c>
      <c r="AW94" s="1136" t="s">
        <v>2224</v>
      </c>
      <c r="AX94" s="1320" t="str">
        <f>Calcul!DB94</f>
        <v/>
      </c>
      <c r="AY94" s="1298" t="str">
        <f>IF(A94=FALSE,"",51000+(Detail!AA94*7000))</f>
        <v/>
      </c>
      <c r="AZ94" s="1170">
        <v>50000</v>
      </c>
      <c r="BA94" s="243">
        <v>3</v>
      </c>
      <c r="BB94" s="1135">
        <v>0</v>
      </c>
      <c r="BC94" s="1298" t="str">
        <f>IF(A94=FALSE,"",51000+(Detail!AA94*7000))</f>
        <v/>
      </c>
      <c r="BD94" s="1298">
        <f t="shared" si="34"/>
        <v>50000</v>
      </c>
      <c r="BE94" s="1299">
        <f t="shared" si="35"/>
        <v>3</v>
      </c>
      <c r="BF94" s="1284">
        <f t="shared" si="36"/>
        <v>0</v>
      </c>
      <c r="BG94" s="397" t="str">
        <f t="shared" si="29"/>
        <v/>
      </c>
      <c r="BH94" s="1138">
        <v>50000</v>
      </c>
      <c r="BI94" s="243">
        <v>3</v>
      </c>
      <c r="BJ94" s="254">
        <v>0</v>
      </c>
      <c r="BK94" s="397" t="str">
        <f t="shared" si="30"/>
        <v/>
      </c>
      <c r="BL94" s="1138">
        <v>50000</v>
      </c>
      <c r="BM94" s="243">
        <v>3</v>
      </c>
      <c r="BN94" s="254">
        <v>0</v>
      </c>
      <c r="BO94" s="239">
        <v>7</v>
      </c>
      <c r="BP94" s="1075">
        <v>365</v>
      </c>
      <c r="BQ94" s="244">
        <v>1</v>
      </c>
      <c r="BR94" s="254">
        <v>0</v>
      </c>
      <c r="BS94" s="239">
        <f t="shared" si="31"/>
        <v>7</v>
      </c>
      <c r="BT94" s="241">
        <f t="shared" si="32"/>
        <v>365</v>
      </c>
      <c r="BU94" s="253">
        <v>1</v>
      </c>
      <c r="BV94" s="254">
        <v>0</v>
      </c>
      <c r="BW94" s="254" t="s">
        <v>2224</v>
      </c>
      <c r="BX94" s="257">
        <v>0</v>
      </c>
      <c r="BY94" s="436">
        <v>0</v>
      </c>
      <c r="BZ94" s="254">
        <v>1</v>
      </c>
      <c r="CA94" s="254">
        <v>0</v>
      </c>
      <c r="CB94" s="1296"/>
      <c r="CD94" s="1136" t="str">
        <f>IF(A94=FALSE,"",Calcul!NZ94)</f>
        <v/>
      </c>
      <c r="CE94" s="1136" t="s">
        <v>2224</v>
      </c>
      <c r="CF94" s="1132" t="s">
        <v>2138</v>
      </c>
      <c r="CG94" s="1136" t="s">
        <v>2254</v>
      </c>
      <c r="CH94" s="1135" t="s">
        <v>2224</v>
      </c>
      <c r="CI94" s="257">
        <v>0</v>
      </c>
      <c r="CJ94" s="436">
        <v>0</v>
      </c>
      <c r="CK94" s="1135">
        <v>1</v>
      </c>
      <c r="CL94" s="1135">
        <v>0</v>
      </c>
      <c r="CM94" s="1170">
        <v>100000</v>
      </c>
      <c r="CN94" s="243">
        <v>2</v>
      </c>
      <c r="CO94" s="254">
        <v>0</v>
      </c>
      <c r="CP94" s="1298">
        <f t="shared" si="37"/>
        <v>100000</v>
      </c>
      <c r="CQ94" s="243">
        <v>2</v>
      </c>
      <c r="CR94" s="254">
        <v>0</v>
      </c>
    </row>
    <row r="95" spans="1:96" s="383" customFormat="1" ht="30" customHeight="1" outlineLevel="1">
      <c r="A95" s="396" t="b">
        <f>Calcul!A95</f>
        <v>0</v>
      </c>
      <c r="B95" s="438" t="str">
        <f t="shared" si="25"/>
        <v/>
      </c>
      <c r="C95" s="1132" t="b">
        <v>0</v>
      </c>
      <c r="D95" s="1133" t="s">
        <v>2293</v>
      </c>
      <c r="E95" s="241" t="s">
        <v>2139</v>
      </c>
      <c r="F95" s="338" t="str">
        <f>IF(A95=FALSE,"",IF(NAMES!$D$10=FALSE,IF(Detail!H95="","",Detail!H95),IF(Crewlist!D95="","",Crewlist!D95)))</f>
        <v/>
      </c>
      <c r="G95" s="338" t="str">
        <f>IF(A95=FALSE,"",IF(NAMES!$D$10=FALSE,IF(Detail!P95="","",Detail!P95),IF(Crewlist!E95="","",Crewlist!E95)))</f>
        <v/>
      </c>
      <c r="H95" s="338" t="str">
        <f>IF(A95=FALSE,"",IF(NAMES!$D$10=FALSE,IF(Detail!K95="","",Detail!K95),IF(Crewlist!F95="","",Crewlist!F95)))</f>
        <v/>
      </c>
      <c r="I95" s="1345" t="str">
        <f>IF(Crewlist!T95="","",Crewlist!T95)</f>
        <v/>
      </c>
      <c r="J95" s="1345" t="str">
        <f>IF(Crewlist!D95="","",IF(Crewlist!U95="",Crewlist!Y95,IF(DATERENOUVMOINS730&lt;&gt;Crewlist!U95&lt;&gt;Crewlist!Y95,Crewlist!U95,DATERENOUVMOINS365)))</f>
        <v/>
      </c>
      <c r="K95" s="1346" t="str">
        <f>IF(Detail!X95="","",Detail!X95)</f>
        <v/>
      </c>
      <c r="L95" s="1346" t="str">
        <f>IF(Detail!H95="","",IF(Detail!Y95="",DATERENOUV,IF(Detail!Y95&gt;Detail!D95,Detail!D95,Detail!Y95)))</f>
        <v/>
      </c>
      <c r="M95" s="829" t="str">
        <f>IF(A95=FALSE,"",IF(NAMES!$D$10=FALSE,IF(B95=B96,IF(N95=N96,0,(DATEDIF(K95,L95,"M")+1)),(DATEDIF(K95,L95,"M")+1)),IF(B95=B96,IF(N95=N96,0,(DATEDIF(I95,J95,"M")+1)),(DATEDIF(I95,J95,"M")+1))))</f>
        <v/>
      </c>
      <c r="N95" s="339" t="str">
        <f t="shared" si="33"/>
        <v/>
      </c>
      <c r="O95" s="340" t="str">
        <f>IF(A95=FALSE,"",IF(NAMES!$D$10=FALSE,IF((DATEDIF(K95,L95,"D")+1)&lt;365,(DATEDIF(K95,L95,"D")+1),365),IF((DATEDIF(I95,J95,"D")+1)&lt;365,(DATEDIF(I95,J95,"D")+1),365)))</f>
        <v/>
      </c>
      <c r="P95" s="340" t="str">
        <f>IF(A95=FALSE,"",IF(NAMES!$D$10=FALSE,IF(L95="",365,DATEDIF(K95,L95,"D")+1),IF(L95="",365,DATEDIF(I95,J95,"D")+1)))</f>
        <v/>
      </c>
      <c r="Q95" s="787" t="str">
        <f>Calcul!X95</f>
        <v/>
      </c>
      <c r="R95" s="787" t="str">
        <f>Calcul!Y95</f>
        <v/>
      </c>
      <c r="S95" s="811" t="str">
        <f>Calcul!AG95</f>
        <v/>
      </c>
      <c r="T95" s="350" t="str">
        <f>IF(A95=FALSE,"",IF(NAMES!$D$10=FALSE,IF(Detail!S95="","",Detail!S95),IF(Crewlist!V95="","",Crewlist!V95)))</f>
        <v/>
      </c>
      <c r="U95" s="242" t="str">
        <f>Calcul!AI95</f>
        <v/>
      </c>
      <c r="V95" s="242" t="str">
        <f>Calcul!AL95</f>
        <v/>
      </c>
      <c r="W95" s="242" t="str">
        <f>Calcul!AM95</f>
        <v/>
      </c>
      <c r="X95" s="335" t="str">
        <f>Calcul!AN95</f>
        <v/>
      </c>
      <c r="Y95" s="242" t="str">
        <f>Calcul!AO95</f>
        <v/>
      </c>
      <c r="Z95" s="242" t="str">
        <f>Calcul!AP95</f>
        <v/>
      </c>
      <c r="AA95" s="335" t="str">
        <f>Calcul!AQ95</f>
        <v/>
      </c>
      <c r="AB95" s="335" t="str">
        <f>IF(C95=FALSE,"",Calcul!BE95+Calcul!BF95)</f>
        <v/>
      </c>
      <c r="AC95" s="335" t="str">
        <f>IF(C95=FALSE,"",(Calcul!BG95+Calcul!BH95)+SUM(Calcul!BI95:BN95))</f>
        <v/>
      </c>
      <c r="AD95" s="335" t="str">
        <f>Calcul!BP95</f>
        <v/>
      </c>
      <c r="AE95" s="1325" t="s">
        <v>2866</v>
      </c>
      <c r="AF95" s="450" t="s">
        <v>2254</v>
      </c>
      <c r="AG95" s="318" t="str">
        <f>IF(A95=FALSE,"",YEAR(Detail!F95)&amp;Detail!AG95&amp;Detail!AD95&amp;"-"&amp;Detail!AE95)</f>
        <v/>
      </c>
      <c r="AH95" s="1134" t="s">
        <v>2224</v>
      </c>
      <c r="AI95" s="1135">
        <v>0</v>
      </c>
      <c r="AJ95" s="828">
        <f t="shared" si="26"/>
        <v>0</v>
      </c>
      <c r="AK95" s="828">
        <f t="shared" si="27"/>
        <v>0</v>
      </c>
      <c r="AL95" s="828">
        <f t="shared" si="28"/>
        <v>0</v>
      </c>
      <c r="AM95" s="1135" t="s">
        <v>2224</v>
      </c>
      <c r="AN95" s="1455">
        <v>15.1752</v>
      </c>
      <c r="AO95" s="436">
        <v>0</v>
      </c>
      <c r="AP95" s="254">
        <v>1</v>
      </c>
      <c r="AQ95" s="254">
        <v>0</v>
      </c>
      <c r="AS95" s="1127"/>
      <c r="AT95" s="239" t="s">
        <v>2140</v>
      </c>
      <c r="AU95" s="1136" t="s">
        <v>2255</v>
      </c>
      <c r="AV95" s="1136" t="str">
        <f>IF(A95=FALSE,"",IF(Detail!AT95="","N/A",YEAR(Detail!F95)&amp;Detail!AW95&amp;Detail!AT95&amp;"-"&amp;Detail!AU95&amp;" (100%/"&amp;Detail!CD95&amp;"/"&amp;Detail!CE95&amp;")"))</f>
        <v/>
      </c>
      <c r="AW95" s="1136" t="s">
        <v>2224</v>
      </c>
      <c r="AX95" s="1320" t="str">
        <f>Calcul!DB95</f>
        <v/>
      </c>
      <c r="AY95" s="1298" t="str">
        <f>IF(A95=FALSE,"",51000+(Detail!AA95*7000))</f>
        <v/>
      </c>
      <c r="AZ95" s="1170">
        <v>50000</v>
      </c>
      <c r="BA95" s="243">
        <v>3</v>
      </c>
      <c r="BB95" s="1135">
        <v>0</v>
      </c>
      <c r="BC95" s="1298" t="str">
        <f>IF(A95=FALSE,"",51000+(Detail!AA95*7000))</f>
        <v/>
      </c>
      <c r="BD95" s="1298">
        <f t="shared" si="34"/>
        <v>50000</v>
      </c>
      <c r="BE95" s="1299">
        <f t="shared" si="35"/>
        <v>3</v>
      </c>
      <c r="BF95" s="1284">
        <f t="shared" si="36"/>
        <v>0</v>
      </c>
      <c r="BG95" s="397" t="str">
        <f t="shared" si="29"/>
        <v/>
      </c>
      <c r="BH95" s="1138">
        <v>50000</v>
      </c>
      <c r="BI95" s="243">
        <v>3</v>
      </c>
      <c r="BJ95" s="254">
        <v>0</v>
      </c>
      <c r="BK95" s="397" t="str">
        <f t="shared" si="30"/>
        <v/>
      </c>
      <c r="BL95" s="1138">
        <v>50000</v>
      </c>
      <c r="BM95" s="243">
        <v>3</v>
      </c>
      <c r="BN95" s="254">
        <v>0</v>
      </c>
      <c r="BO95" s="239">
        <v>7</v>
      </c>
      <c r="BP95" s="1075">
        <v>365</v>
      </c>
      <c r="BQ95" s="244">
        <v>1</v>
      </c>
      <c r="BR95" s="254">
        <v>0</v>
      </c>
      <c r="BS95" s="239">
        <f t="shared" si="31"/>
        <v>7</v>
      </c>
      <c r="BT95" s="241">
        <f t="shared" si="32"/>
        <v>365</v>
      </c>
      <c r="BU95" s="253">
        <v>1</v>
      </c>
      <c r="BV95" s="254">
        <v>0</v>
      </c>
      <c r="BW95" s="254" t="s">
        <v>2224</v>
      </c>
      <c r="BX95" s="257">
        <v>0</v>
      </c>
      <c r="BY95" s="436">
        <v>0</v>
      </c>
      <c r="BZ95" s="254">
        <v>1</v>
      </c>
      <c r="CA95" s="254">
        <v>0</v>
      </c>
      <c r="CB95" s="1296"/>
      <c r="CD95" s="1136" t="str">
        <f>IF(A95=FALSE,"",Calcul!NZ95)</f>
        <v/>
      </c>
      <c r="CE95" s="1136" t="s">
        <v>2224</v>
      </c>
      <c r="CF95" s="1132" t="s">
        <v>2138</v>
      </c>
      <c r="CG95" s="1136" t="s">
        <v>2254</v>
      </c>
      <c r="CH95" s="1135" t="s">
        <v>2224</v>
      </c>
      <c r="CI95" s="257">
        <v>0</v>
      </c>
      <c r="CJ95" s="436">
        <v>0</v>
      </c>
      <c r="CK95" s="1135">
        <v>1</v>
      </c>
      <c r="CL95" s="1135">
        <v>0</v>
      </c>
      <c r="CM95" s="1170">
        <v>100000</v>
      </c>
      <c r="CN95" s="243">
        <v>2</v>
      </c>
      <c r="CO95" s="254">
        <v>0</v>
      </c>
      <c r="CP95" s="1298">
        <f t="shared" si="37"/>
        <v>100000</v>
      </c>
      <c r="CQ95" s="243">
        <v>2</v>
      </c>
      <c r="CR95" s="254">
        <v>0</v>
      </c>
    </row>
    <row r="96" spans="1:96" s="383" customFormat="1" ht="30" customHeight="1" outlineLevel="1">
      <c r="A96" s="396" t="b">
        <f>Calcul!A96</f>
        <v>0</v>
      </c>
      <c r="B96" s="438" t="str">
        <f t="shared" si="25"/>
        <v/>
      </c>
      <c r="C96" s="1132" t="b">
        <v>0</v>
      </c>
      <c r="D96" s="1133" t="s">
        <v>2293</v>
      </c>
      <c r="E96" s="241" t="s">
        <v>2139</v>
      </c>
      <c r="F96" s="338" t="str">
        <f>IF(A96=FALSE,"",IF(NAMES!$D$10=FALSE,IF(Detail!H96="","",Detail!H96),IF(Crewlist!D96="","",Crewlist!D96)))</f>
        <v/>
      </c>
      <c r="G96" s="338" t="str">
        <f>IF(A96=FALSE,"",IF(NAMES!$D$10=FALSE,IF(Detail!P96="","",Detail!P96),IF(Crewlist!E96="","",Crewlist!E96)))</f>
        <v/>
      </c>
      <c r="H96" s="338" t="str">
        <f>IF(A96=FALSE,"",IF(NAMES!$D$10=FALSE,IF(Detail!K96="","",Detail!K96),IF(Crewlist!F96="","",Crewlist!F96)))</f>
        <v/>
      </c>
      <c r="I96" s="1345" t="str">
        <f>IF(Crewlist!T96="","",Crewlist!T96)</f>
        <v/>
      </c>
      <c r="J96" s="1345" t="str">
        <f>IF(Crewlist!D96="","",IF(Crewlist!U96="",Crewlist!Y96,IF(DATERENOUVMOINS730&lt;&gt;Crewlist!U96&lt;&gt;Crewlist!Y96,Crewlist!U96,DATERENOUVMOINS365)))</f>
        <v/>
      </c>
      <c r="K96" s="1346" t="str">
        <f>IF(Detail!X96="","",Detail!X96)</f>
        <v/>
      </c>
      <c r="L96" s="1346" t="str">
        <f>IF(Detail!H96="","",IF(Detail!Y96="",DATERENOUV,IF(Detail!Y96&gt;Detail!D96,Detail!D96,Detail!Y96)))</f>
        <v/>
      </c>
      <c r="M96" s="829" t="str">
        <f>IF(A96=FALSE,"",IF(NAMES!$D$10=FALSE,IF(B96=B97,IF(N96=N97,0,(DATEDIF(K96,L96,"M")+1)),(DATEDIF(K96,L96,"M")+1)),IF(B96=B97,IF(N96=N97,0,(DATEDIF(I96,J96,"M")+1)),(DATEDIF(I96,J96,"M")+1))))</f>
        <v/>
      </c>
      <c r="N96" s="339" t="str">
        <f t="shared" si="33"/>
        <v/>
      </c>
      <c r="O96" s="340" t="str">
        <f>IF(A96=FALSE,"",IF(NAMES!$D$10=FALSE,IF((DATEDIF(K96,L96,"D")+1)&lt;365,(DATEDIF(K96,L96,"D")+1),365),IF((DATEDIF(I96,J96,"D")+1)&lt;365,(DATEDIF(I96,J96,"D")+1),365)))</f>
        <v/>
      </c>
      <c r="P96" s="340" t="str">
        <f>IF(A96=FALSE,"",IF(NAMES!$D$10=FALSE,IF(L96="",365,DATEDIF(K96,L96,"D")+1),IF(L96="",365,DATEDIF(I96,J96,"D")+1)))</f>
        <v/>
      </c>
      <c r="Q96" s="787" t="str">
        <f>Calcul!X96</f>
        <v/>
      </c>
      <c r="R96" s="787" t="str">
        <f>Calcul!Y96</f>
        <v/>
      </c>
      <c r="S96" s="811" t="str">
        <f>Calcul!AG96</f>
        <v/>
      </c>
      <c r="T96" s="350" t="str">
        <f>IF(A96=FALSE,"",IF(NAMES!$D$10=FALSE,IF(Detail!S96="","",Detail!S96),IF(Crewlist!V96="","",Crewlist!V96)))</f>
        <v/>
      </c>
      <c r="U96" s="242" t="str">
        <f>Calcul!AI96</f>
        <v/>
      </c>
      <c r="V96" s="242" t="str">
        <f>Calcul!AL96</f>
        <v/>
      </c>
      <c r="W96" s="242" t="str">
        <f>Calcul!AM96</f>
        <v/>
      </c>
      <c r="X96" s="335" t="str">
        <f>Calcul!AN96</f>
        <v/>
      </c>
      <c r="Y96" s="242" t="str">
        <f>Calcul!AO96</f>
        <v/>
      </c>
      <c r="Z96" s="242" t="str">
        <f>Calcul!AP96</f>
        <v/>
      </c>
      <c r="AA96" s="335" t="str">
        <f>Calcul!AQ96</f>
        <v/>
      </c>
      <c r="AB96" s="335" t="str">
        <f>IF(C96=FALSE,"",Calcul!BE96+Calcul!BF96)</f>
        <v/>
      </c>
      <c r="AC96" s="335" t="str">
        <f>IF(C96=FALSE,"",(Calcul!BG96+Calcul!BH96)+SUM(Calcul!BI96:BN96))</f>
        <v/>
      </c>
      <c r="AD96" s="335" t="str">
        <f>Calcul!BP96</f>
        <v/>
      </c>
      <c r="AE96" s="1325" t="s">
        <v>2866</v>
      </c>
      <c r="AF96" s="450" t="s">
        <v>2254</v>
      </c>
      <c r="AG96" s="318" t="str">
        <f>IF(A96=FALSE,"",YEAR(Detail!F96)&amp;Detail!AG96&amp;Detail!AD96&amp;"-"&amp;Detail!AE96)</f>
        <v/>
      </c>
      <c r="AH96" s="1134" t="s">
        <v>2224</v>
      </c>
      <c r="AI96" s="1135">
        <v>0</v>
      </c>
      <c r="AJ96" s="828">
        <f t="shared" si="26"/>
        <v>0</v>
      </c>
      <c r="AK96" s="828">
        <f t="shared" si="27"/>
        <v>0</v>
      </c>
      <c r="AL96" s="828">
        <f t="shared" si="28"/>
        <v>0</v>
      </c>
      <c r="AM96" s="1135" t="s">
        <v>2224</v>
      </c>
      <c r="AN96" s="1455">
        <v>15.1752</v>
      </c>
      <c r="AO96" s="436">
        <v>0</v>
      </c>
      <c r="AP96" s="254">
        <v>1</v>
      </c>
      <c r="AQ96" s="254">
        <v>0</v>
      </c>
      <c r="AS96" s="1127"/>
      <c r="AT96" s="239" t="s">
        <v>2140</v>
      </c>
      <c r="AU96" s="1136" t="s">
        <v>2255</v>
      </c>
      <c r="AV96" s="1136" t="str">
        <f>IF(A96=FALSE,"",IF(Detail!AT96="","N/A",YEAR(Detail!F96)&amp;Detail!AW96&amp;Detail!AT96&amp;"-"&amp;Detail!AU96&amp;" (100%/"&amp;Detail!CD96&amp;"/"&amp;Detail!CE96&amp;")"))</f>
        <v/>
      </c>
      <c r="AW96" s="1136" t="s">
        <v>2224</v>
      </c>
      <c r="AX96" s="1320" t="str">
        <f>Calcul!DB96</f>
        <v/>
      </c>
      <c r="AY96" s="1298" t="str">
        <f>IF(A96=FALSE,"",51000+(Detail!AA96*7000))</f>
        <v/>
      </c>
      <c r="AZ96" s="1170">
        <v>50000</v>
      </c>
      <c r="BA96" s="243">
        <v>3</v>
      </c>
      <c r="BB96" s="1135">
        <v>0</v>
      </c>
      <c r="BC96" s="1298" t="str">
        <f>IF(A96=FALSE,"",51000+(Detail!AA96*7000))</f>
        <v/>
      </c>
      <c r="BD96" s="1298">
        <f t="shared" si="34"/>
        <v>50000</v>
      </c>
      <c r="BE96" s="1299">
        <f t="shared" si="35"/>
        <v>3</v>
      </c>
      <c r="BF96" s="1284">
        <f t="shared" si="36"/>
        <v>0</v>
      </c>
      <c r="BG96" s="397" t="str">
        <f t="shared" si="29"/>
        <v/>
      </c>
      <c r="BH96" s="1138">
        <v>50000</v>
      </c>
      <c r="BI96" s="243">
        <v>3</v>
      </c>
      <c r="BJ96" s="254">
        <v>0</v>
      </c>
      <c r="BK96" s="397" t="str">
        <f t="shared" si="30"/>
        <v/>
      </c>
      <c r="BL96" s="1138">
        <v>50000</v>
      </c>
      <c r="BM96" s="243">
        <v>3</v>
      </c>
      <c r="BN96" s="254">
        <v>0</v>
      </c>
      <c r="BO96" s="239">
        <v>7</v>
      </c>
      <c r="BP96" s="1075">
        <v>365</v>
      </c>
      <c r="BQ96" s="244">
        <v>1</v>
      </c>
      <c r="BR96" s="254">
        <v>0</v>
      </c>
      <c r="BS96" s="239">
        <f t="shared" si="31"/>
        <v>7</v>
      </c>
      <c r="BT96" s="241">
        <f t="shared" si="32"/>
        <v>365</v>
      </c>
      <c r="BU96" s="253">
        <v>1</v>
      </c>
      <c r="BV96" s="254">
        <v>0</v>
      </c>
      <c r="BW96" s="254" t="s">
        <v>2224</v>
      </c>
      <c r="BX96" s="257">
        <v>0</v>
      </c>
      <c r="BY96" s="436">
        <v>0</v>
      </c>
      <c r="BZ96" s="254">
        <v>1</v>
      </c>
      <c r="CA96" s="254">
        <v>0</v>
      </c>
      <c r="CB96" s="1296"/>
      <c r="CD96" s="1136" t="str">
        <f>IF(A96=FALSE,"",Calcul!NZ96)</f>
        <v/>
      </c>
      <c r="CE96" s="1136" t="s">
        <v>2224</v>
      </c>
      <c r="CF96" s="1132" t="s">
        <v>2138</v>
      </c>
      <c r="CG96" s="1136" t="s">
        <v>2254</v>
      </c>
      <c r="CH96" s="1135" t="s">
        <v>2224</v>
      </c>
      <c r="CI96" s="257">
        <v>0</v>
      </c>
      <c r="CJ96" s="436">
        <v>0</v>
      </c>
      <c r="CK96" s="1135">
        <v>1</v>
      </c>
      <c r="CL96" s="1135">
        <v>0</v>
      </c>
      <c r="CM96" s="1170">
        <v>100000</v>
      </c>
      <c r="CN96" s="243">
        <v>2</v>
      </c>
      <c r="CO96" s="254">
        <v>0</v>
      </c>
      <c r="CP96" s="1298">
        <f t="shared" si="37"/>
        <v>100000</v>
      </c>
      <c r="CQ96" s="243">
        <v>2</v>
      </c>
      <c r="CR96" s="254">
        <v>0</v>
      </c>
    </row>
    <row r="97" spans="1:96" s="383" customFormat="1" ht="30" customHeight="1" outlineLevel="1">
      <c r="A97" s="396" t="b">
        <f>Calcul!A97</f>
        <v>0</v>
      </c>
      <c r="B97" s="438" t="str">
        <f t="shared" si="25"/>
        <v/>
      </c>
      <c r="C97" s="1132" t="b">
        <v>0</v>
      </c>
      <c r="D97" s="1133" t="s">
        <v>2293</v>
      </c>
      <c r="E97" s="241" t="s">
        <v>2139</v>
      </c>
      <c r="F97" s="338" t="str">
        <f>IF(A97=FALSE,"",IF(NAMES!$D$10=FALSE,IF(Detail!H97="","",Detail!H97),IF(Crewlist!D97="","",Crewlist!D97)))</f>
        <v/>
      </c>
      <c r="G97" s="338" t="str">
        <f>IF(A97=FALSE,"",IF(NAMES!$D$10=FALSE,IF(Detail!P97="","",Detail!P97),IF(Crewlist!E97="","",Crewlist!E97)))</f>
        <v/>
      </c>
      <c r="H97" s="338" t="str">
        <f>IF(A97=FALSE,"",IF(NAMES!$D$10=FALSE,IF(Detail!K97="","",Detail!K97),IF(Crewlist!F97="","",Crewlist!F97)))</f>
        <v/>
      </c>
      <c r="I97" s="1345" t="str">
        <f>IF(Crewlist!T97="","",Crewlist!T97)</f>
        <v/>
      </c>
      <c r="J97" s="1345" t="str">
        <f>IF(Crewlist!D97="","",IF(Crewlist!U97="",Crewlist!Y97,IF(DATERENOUVMOINS730&lt;&gt;Crewlist!U97&lt;&gt;Crewlist!Y97,Crewlist!U97,DATERENOUVMOINS365)))</f>
        <v/>
      </c>
      <c r="K97" s="1346" t="str">
        <f>IF(Detail!X97="","",Detail!X97)</f>
        <v/>
      </c>
      <c r="L97" s="1346" t="str">
        <f>IF(Detail!H97="","",IF(Detail!Y97="",DATERENOUV,IF(Detail!Y97&gt;Detail!D97,Detail!D97,Detail!Y97)))</f>
        <v/>
      </c>
      <c r="M97" s="829" t="str">
        <f>IF(A97=FALSE,"",IF(NAMES!$D$10=FALSE,IF(B97=B98,IF(N97=N98,0,(DATEDIF(K97,L97,"M")+1)),(DATEDIF(K97,L97,"M")+1)),IF(B97=B98,IF(N97=N98,0,(DATEDIF(I97,J97,"M")+1)),(DATEDIF(I97,J97,"M")+1))))</f>
        <v/>
      </c>
      <c r="N97" s="339" t="str">
        <f t="shared" si="33"/>
        <v/>
      </c>
      <c r="O97" s="340" t="str">
        <f>IF(A97=FALSE,"",IF(NAMES!$D$10=FALSE,IF((DATEDIF(K97,L97,"D")+1)&lt;365,(DATEDIF(K97,L97,"D")+1),365),IF((DATEDIF(I97,J97,"D")+1)&lt;365,(DATEDIF(I97,J97,"D")+1),365)))</f>
        <v/>
      </c>
      <c r="P97" s="340" t="str">
        <f>IF(A97=FALSE,"",IF(NAMES!$D$10=FALSE,IF(L97="",365,DATEDIF(K97,L97,"D")+1),IF(L97="",365,DATEDIF(I97,J97,"D")+1)))</f>
        <v/>
      </c>
      <c r="Q97" s="787" t="str">
        <f>Calcul!X97</f>
        <v/>
      </c>
      <c r="R97" s="787" t="str">
        <f>Calcul!Y97</f>
        <v/>
      </c>
      <c r="S97" s="811" t="str">
        <f>Calcul!AG97</f>
        <v/>
      </c>
      <c r="T97" s="350" t="str">
        <f>IF(A97=FALSE,"",IF(NAMES!$D$10=FALSE,IF(Detail!S97="","",Detail!S97),IF(Crewlist!V97="","",Crewlist!V97)))</f>
        <v/>
      </c>
      <c r="U97" s="242" t="str">
        <f>Calcul!AI97</f>
        <v/>
      </c>
      <c r="V97" s="242" t="str">
        <f>Calcul!AL97</f>
        <v/>
      </c>
      <c r="W97" s="242" t="str">
        <f>Calcul!AM97</f>
        <v/>
      </c>
      <c r="X97" s="335" t="str">
        <f>Calcul!AN97</f>
        <v/>
      </c>
      <c r="Y97" s="242" t="str">
        <f>Calcul!AO97</f>
        <v/>
      </c>
      <c r="Z97" s="242" t="str">
        <f>Calcul!AP97</f>
        <v/>
      </c>
      <c r="AA97" s="335" t="str">
        <f>Calcul!AQ97</f>
        <v/>
      </c>
      <c r="AB97" s="335" t="str">
        <f>IF(C97=FALSE,"",Calcul!BE97+Calcul!BF97)</f>
        <v/>
      </c>
      <c r="AC97" s="335" t="str">
        <f>IF(C97=FALSE,"",(Calcul!BG97+Calcul!BH97)+SUM(Calcul!BI97:BN97))</f>
        <v/>
      </c>
      <c r="AD97" s="335" t="str">
        <f>Calcul!BP97</f>
        <v/>
      </c>
      <c r="AE97" s="1325" t="s">
        <v>2866</v>
      </c>
      <c r="AF97" s="450" t="s">
        <v>2254</v>
      </c>
      <c r="AG97" s="318" t="str">
        <f>IF(A97=FALSE,"",YEAR(Detail!F97)&amp;Detail!AG97&amp;Detail!AD97&amp;"-"&amp;Detail!AE97)</f>
        <v/>
      </c>
      <c r="AH97" s="1134" t="s">
        <v>2224</v>
      </c>
      <c r="AI97" s="1135">
        <v>0</v>
      </c>
      <c r="AJ97" s="828">
        <f t="shared" si="26"/>
        <v>0</v>
      </c>
      <c r="AK97" s="828">
        <f t="shared" si="27"/>
        <v>0</v>
      </c>
      <c r="AL97" s="828">
        <f t="shared" si="28"/>
        <v>0</v>
      </c>
      <c r="AM97" s="1135" t="s">
        <v>2224</v>
      </c>
      <c r="AN97" s="1455">
        <v>15.1752</v>
      </c>
      <c r="AO97" s="436">
        <v>0</v>
      </c>
      <c r="AP97" s="254">
        <v>1</v>
      </c>
      <c r="AQ97" s="254">
        <v>0</v>
      </c>
      <c r="AS97" s="1127"/>
      <c r="AT97" s="239" t="s">
        <v>2140</v>
      </c>
      <c r="AU97" s="1136" t="s">
        <v>2255</v>
      </c>
      <c r="AV97" s="1136" t="str">
        <f>IF(A97=FALSE,"",IF(Detail!AT97="","N/A",YEAR(Detail!F97)&amp;Detail!AW97&amp;Detail!AT97&amp;"-"&amp;Detail!AU97&amp;" (100%/"&amp;Detail!CD97&amp;"/"&amp;Detail!CE97&amp;")"))</f>
        <v/>
      </c>
      <c r="AW97" s="1136" t="s">
        <v>2224</v>
      </c>
      <c r="AX97" s="1320" t="str">
        <f>Calcul!DB97</f>
        <v/>
      </c>
      <c r="AY97" s="1298" t="str">
        <f>IF(A97=FALSE,"",51000+(Detail!AA97*7000))</f>
        <v/>
      </c>
      <c r="AZ97" s="1170">
        <v>50000</v>
      </c>
      <c r="BA97" s="243">
        <v>3</v>
      </c>
      <c r="BB97" s="1135">
        <v>0</v>
      </c>
      <c r="BC97" s="1298" t="str">
        <f>IF(A97=FALSE,"",51000+(Detail!AA97*7000))</f>
        <v/>
      </c>
      <c r="BD97" s="1298">
        <f t="shared" si="34"/>
        <v>50000</v>
      </c>
      <c r="BE97" s="1299">
        <f t="shared" si="35"/>
        <v>3</v>
      </c>
      <c r="BF97" s="1284">
        <f t="shared" si="36"/>
        <v>0</v>
      </c>
      <c r="BG97" s="397" t="str">
        <f t="shared" si="29"/>
        <v/>
      </c>
      <c r="BH97" s="1138">
        <v>50000</v>
      </c>
      <c r="BI97" s="243">
        <v>3</v>
      </c>
      <c r="BJ97" s="254">
        <v>0</v>
      </c>
      <c r="BK97" s="397" t="str">
        <f t="shared" si="30"/>
        <v/>
      </c>
      <c r="BL97" s="1138">
        <v>50000</v>
      </c>
      <c r="BM97" s="243">
        <v>3</v>
      </c>
      <c r="BN97" s="254">
        <v>0</v>
      </c>
      <c r="BO97" s="239">
        <v>7</v>
      </c>
      <c r="BP97" s="1075">
        <v>365</v>
      </c>
      <c r="BQ97" s="244">
        <v>1</v>
      </c>
      <c r="BR97" s="254">
        <v>0</v>
      </c>
      <c r="BS97" s="239">
        <f t="shared" si="31"/>
        <v>7</v>
      </c>
      <c r="BT97" s="241">
        <f t="shared" si="32"/>
        <v>365</v>
      </c>
      <c r="BU97" s="253">
        <v>1</v>
      </c>
      <c r="BV97" s="254">
        <v>0</v>
      </c>
      <c r="BW97" s="254" t="s">
        <v>2224</v>
      </c>
      <c r="BX97" s="257">
        <v>0</v>
      </c>
      <c r="BY97" s="436">
        <v>0</v>
      </c>
      <c r="BZ97" s="254">
        <v>1</v>
      </c>
      <c r="CA97" s="254">
        <v>0</v>
      </c>
      <c r="CB97" s="1296"/>
      <c r="CD97" s="1136" t="str">
        <f>IF(A97=FALSE,"",Calcul!NZ97)</f>
        <v/>
      </c>
      <c r="CE97" s="1136" t="s">
        <v>2224</v>
      </c>
      <c r="CF97" s="1132" t="s">
        <v>2138</v>
      </c>
      <c r="CG97" s="1136" t="s">
        <v>2254</v>
      </c>
      <c r="CH97" s="1135" t="s">
        <v>2224</v>
      </c>
      <c r="CI97" s="257">
        <v>0</v>
      </c>
      <c r="CJ97" s="436">
        <v>0</v>
      </c>
      <c r="CK97" s="1135">
        <v>1</v>
      </c>
      <c r="CL97" s="1135">
        <v>0</v>
      </c>
      <c r="CM97" s="1170">
        <v>100000</v>
      </c>
      <c r="CN97" s="243">
        <v>2</v>
      </c>
      <c r="CO97" s="254">
        <v>0</v>
      </c>
      <c r="CP97" s="1298">
        <f t="shared" si="37"/>
        <v>100000</v>
      </c>
      <c r="CQ97" s="243">
        <v>2</v>
      </c>
      <c r="CR97" s="254">
        <v>0</v>
      </c>
    </row>
    <row r="98" spans="1:96" s="383" customFormat="1" ht="30" customHeight="1" outlineLevel="1">
      <c r="A98" s="396" t="b">
        <f>Calcul!A98</f>
        <v>0</v>
      </c>
      <c r="B98" s="438" t="str">
        <f t="shared" si="25"/>
        <v/>
      </c>
      <c r="C98" s="1132" t="b">
        <v>0</v>
      </c>
      <c r="D98" s="1133" t="s">
        <v>2293</v>
      </c>
      <c r="E98" s="241" t="s">
        <v>2139</v>
      </c>
      <c r="F98" s="338" t="str">
        <f>IF(A98=FALSE,"",IF(NAMES!$D$10=FALSE,IF(Detail!H98="","",Detail!H98),IF(Crewlist!D98="","",Crewlist!D98)))</f>
        <v/>
      </c>
      <c r="G98" s="338" t="str">
        <f>IF(A98=FALSE,"",IF(NAMES!$D$10=FALSE,IF(Detail!P98="","",Detail!P98),IF(Crewlist!E98="","",Crewlist!E98)))</f>
        <v/>
      </c>
      <c r="H98" s="338" t="str">
        <f>IF(A98=FALSE,"",IF(NAMES!$D$10=FALSE,IF(Detail!K98="","",Detail!K98),IF(Crewlist!F98="","",Crewlist!F98)))</f>
        <v/>
      </c>
      <c r="I98" s="1345" t="str">
        <f>IF(Crewlist!T98="","",Crewlist!T98)</f>
        <v/>
      </c>
      <c r="J98" s="1345" t="str">
        <f>IF(Crewlist!D98="","",IF(Crewlist!U98="",Crewlist!Y98,IF(DATERENOUVMOINS730&lt;&gt;Crewlist!U98&lt;&gt;Crewlist!Y98,Crewlist!U98,DATERENOUVMOINS365)))</f>
        <v/>
      </c>
      <c r="K98" s="1346" t="str">
        <f>IF(Detail!X98="","",Detail!X98)</f>
        <v/>
      </c>
      <c r="L98" s="1346" t="str">
        <f>IF(Detail!H98="","",IF(Detail!Y98="",DATERENOUV,IF(Detail!Y98&gt;Detail!D98,Detail!D98,Detail!Y98)))</f>
        <v/>
      </c>
      <c r="M98" s="829" t="str">
        <f>IF(A98=FALSE,"",IF(NAMES!$D$10=FALSE,IF(B98=B99,IF(N98=N99,0,(DATEDIF(K98,L98,"M")+1)),(DATEDIF(K98,L98,"M")+1)),IF(B98=B99,IF(N98=N99,0,(DATEDIF(I98,J98,"M")+1)),(DATEDIF(I98,J98,"M")+1))))</f>
        <v/>
      </c>
      <c r="N98" s="339" t="str">
        <f t="shared" si="33"/>
        <v/>
      </c>
      <c r="O98" s="340" t="str">
        <f>IF(A98=FALSE,"",IF(NAMES!$D$10=FALSE,IF((DATEDIF(K98,L98,"D")+1)&lt;365,(DATEDIF(K98,L98,"D")+1),365),IF((DATEDIF(I98,J98,"D")+1)&lt;365,(DATEDIF(I98,J98,"D")+1),365)))</f>
        <v/>
      </c>
      <c r="P98" s="340" t="str">
        <f>IF(A98=FALSE,"",IF(NAMES!$D$10=FALSE,IF(L98="",365,DATEDIF(K98,L98,"D")+1),IF(L98="",365,DATEDIF(I98,J98,"D")+1)))</f>
        <v/>
      </c>
      <c r="Q98" s="787" t="str">
        <f>Calcul!X98</f>
        <v/>
      </c>
      <c r="R98" s="787" t="str">
        <f>Calcul!Y98</f>
        <v/>
      </c>
      <c r="S98" s="811" t="str">
        <f>Calcul!AG98</f>
        <v/>
      </c>
      <c r="T98" s="350" t="str">
        <f>IF(A98=FALSE,"",IF(NAMES!$D$10=FALSE,IF(Detail!S98="","",Detail!S98),IF(Crewlist!V98="","",Crewlist!V98)))</f>
        <v/>
      </c>
      <c r="U98" s="242" t="str">
        <f>Calcul!AI98</f>
        <v/>
      </c>
      <c r="V98" s="242" t="str">
        <f>Calcul!AL98</f>
        <v/>
      </c>
      <c r="W98" s="242" t="str">
        <f>Calcul!AM98</f>
        <v/>
      </c>
      <c r="X98" s="335" t="str">
        <f>Calcul!AN98</f>
        <v/>
      </c>
      <c r="Y98" s="242" t="str">
        <f>Calcul!AO98</f>
        <v/>
      </c>
      <c r="Z98" s="242" t="str">
        <f>Calcul!AP98</f>
        <v/>
      </c>
      <c r="AA98" s="335" t="str">
        <f>Calcul!AQ98</f>
        <v/>
      </c>
      <c r="AB98" s="335" t="str">
        <f>IF(C98=FALSE,"",Calcul!BE98+Calcul!BF98)</f>
        <v/>
      </c>
      <c r="AC98" s="335" t="str">
        <f>IF(C98=FALSE,"",(Calcul!BG98+Calcul!BH98)+SUM(Calcul!BI98:BN98))</f>
        <v/>
      </c>
      <c r="AD98" s="335" t="str">
        <f>Calcul!BP98</f>
        <v/>
      </c>
      <c r="AE98" s="1325" t="s">
        <v>2866</v>
      </c>
      <c r="AF98" s="450" t="s">
        <v>2254</v>
      </c>
      <c r="AG98" s="318" t="str">
        <f>IF(A98=FALSE,"",YEAR(Detail!F98)&amp;Detail!AG98&amp;Detail!AD98&amp;"-"&amp;Detail!AE98)</f>
        <v/>
      </c>
      <c r="AH98" s="1134" t="s">
        <v>2224</v>
      </c>
      <c r="AI98" s="1135">
        <v>0</v>
      </c>
      <c r="AJ98" s="828">
        <f t="shared" si="26"/>
        <v>0</v>
      </c>
      <c r="AK98" s="828">
        <f t="shared" si="27"/>
        <v>0</v>
      </c>
      <c r="AL98" s="828">
        <f t="shared" si="28"/>
        <v>0</v>
      </c>
      <c r="AM98" s="1135" t="s">
        <v>2224</v>
      </c>
      <c r="AN98" s="1455">
        <v>15.1752</v>
      </c>
      <c r="AO98" s="436">
        <v>0</v>
      </c>
      <c r="AP98" s="254">
        <v>1</v>
      </c>
      <c r="AQ98" s="254">
        <v>0</v>
      </c>
      <c r="AS98" s="1127"/>
      <c r="AT98" s="239" t="s">
        <v>2140</v>
      </c>
      <c r="AU98" s="1136" t="s">
        <v>2255</v>
      </c>
      <c r="AV98" s="1136" t="str">
        <f>IF(A98=FALSE,"",IF(Detail!AT98="","N/A",YEAR(Detail!F98)&amp;Detail!AW98&amp;Detail!AT98&amp;"-"&amp;Detail!AU98&amp;" (100%/"&amp;Detail!CD98&amp;"/"&amp;Detail!CE98&amp;")"))</f>
        <v/>
      </c>
      <c r="AW98" s="1136" t="s">
        <v>2224</v>
      </c>
      <c r="AX98" s="1320" t="str">
        <f>Calcul!DB98</f>
        <v/>
      </c>
      <c r="AY98" s="1298" t="str">
        <f>IF(A98=FALSE,"",51000+(Detail!AA98*7000))</f>
        <v/>
      </c>
      <c r="AZ98" s="1170">
        <v>50000</v>
      </c>
      <c r="BA98" s="243">
        <v>3</v>
      </c>
      <c r="BB98" s="1135">
        <v>0</v>
      </c>
      <c r="BC98" s="1298" t="str">
        <f>IF(A98=FALSE,"",51000+(Detail!AA98*7000))</f>
        <v/>
      </c>
      <c r="BD98" s="1298">
        <f t="shared" si="34"/>
        <v>50000</v>
      </c>
      <c r="BE98" s="1299">
        <f t="shared" si="35"/>
        <v>3</v>
      </c>
      <c r="BF98" s="1284">
        <f t="shared" si="36"/>
        <v>0</v>
      </c>
      <c r="BG98" s="397" t="str">
        <f t="shared" si="29"/>
        <v/>
      </c>
      <c r="BH98" s="1138">
        <v>50000</v>
      </c>
      <c r="BI98" s="243">
        <v>3</v>
      </c>
      <c r="BJ98" s="254">
        <v>0</v>
      </c>
      <c r="BK98" s="397" t="str">
        <f t="shared" si="30"/>
        <v/>
      </c>
      <c r="BL98" s="1138">
        <v>50000</v>
      </c>
      <c r="BM98" s="243">
        <v>3</v>
      </c>
      <c r="BN98" s="254">
        <v>0</v>
      </c>
      <c r="BO98" s="239">
        <v>7</v>
      </c>
      <c r="BP98" s="1075">
        <v>365</v>
      </c>
      <c r="BQ98" s="244">
        <v>1</v>
      </c>
      <c r="BR98" s="254">
        <v>0</v>
      </c>
      <c r="BS98" s="239">
        <f t="shared" si="31"/>
        <v>7</v>
      </c>
      <c r="BT98" s="241">
        <f t="shared" si="32"/>
        <v>365</v>
      </c>
      <c r="BU98" s="253">
        <v>1</v>
      </c>
      <c r="BV98" s="254">
        <v>0</v>
      </c>
      <c r="BW98" s="254" t="s">
        <v>2224</v>
      </c>
      <c r="BX98" s="257">
        <v>0</v>
      </c>
      <c r="BY98" s="436">
        <v>0</v>
      </c>
      <c r="BZ98" s="254">
        <v>1</v>
      </c>
      <c r="CA98" s="254">
        <v>0</v>
      </c>
      <c r="CB98" s="1296"/>
      <c r="CD98" s="1136" t="str">
        <f>IF(A98=FALSE,"",Calcul!NZ98)</f>
        <v/>
      </c>
      <c r="CE98" s="1136" t="s">
        <v>2224</v>
      </c>
      <c r="CF98" s="1132" t="s">
        <v>2138</v>
      </c>
      <c r="CG98" s="1136" t="s">
        <v>2254</v>
      </c>
      <c r="CH98" s="1135" t="s">
        <v>2224</v>
      </c>
      <c r="CI98" s="257">
        <v>0</v>
      </c>
      <c r="CJ98" s="436">
        <v>0</v>
      </c>
      <c r="CK98" s="1135">
        <v>1</v>
      </c>
      <c r="CL98" s="1135">
        <v>0</v>
      </c>
      <c r="CM98" s="1170">
        <v>100000</v>
      </c>
      <c r="CN98" s="243">
        <v>2</v>
      </c>
      <c r="CO98" s="254">
        <v>0</v>
      </c>
      <c r="CP98" s="1298">
        <f t="shared" si="37"/>
        <v>100000</v>
      </c>
      <c r="CQ98" s="243">
        <v>2</v>
      </c>
      <c r="CR98" s="254">
        <v>0</v>
      </c>
    </row>
    <row r="99" spans="1:96" s="383" customFormat="1" ht="30" customHeight="1" outlineLevel="1">
      <c r="A99" s="396" t="b">
        <f>Calcul!A99</f>
        <v>0</v>
      </c>
      <c r="B99" s="438" t="str">
        <f t="shared" si="25"/>
        <v/>
      </c>
      <c r="C99" s="1132" t="b">
        <v>0</v>
      </c>
      <c r="D99" s="1133" t="s">
        <v>2293</v>
      </c>
      <c r="E99" s="241" t="s">
        <v>2139</v>
      </c>
      <c r="F99" s="338" t="str">
        <f>IF(A99=FALSE,"",IF(NAMES!$D$10=FALSE,IF(Detail!H99="","",Detail!H99),IF(Crewlist!D99="","",Crewlist!D99)))</f>
        <v/>
      </c>
      <c r="G99" s="338" t="str">
        <f>IF(A99=FALSE,"",IF(NAMES!$D$10=FALSE,IF(Detail!P99="","",Detail!P99),IF(Crewlist!E99="","",Crewlist!E99)))</f>
        <v/>
      </c>
      <c r="H99" s="338" t="str">
        <f>IF(A99=FALSE,"",IF(NAMES!$D$10=FALSE,IF(Detail!K99="","",Detail!K99),IF(Crewlist!F99="","",Crewlist!F99)))</f>
        <v/>
      </c>
      <c r="I99" s="1345" t="str">
        <f>IF(Crewlist!T99="","",Crewlist!T99)</f>
        <v/>
      </c>
      <c r="J99" s="1345" t="str">
        <f>IF(Crewlist!D99="","",IF(Crewlist!U99="",Crewlist!Y99,IF(DATERENOUVMOINS730&lt;&gt;Crewlist!U99&lt;&gt;Crewlist!Y99,Crewlist!U99,DATERENOUVMOINS365)))</f>
        <v/>
      </c>
      <c r="K99" s="1346" t="str">
        <f>IF(Detail!X99="","",Detail!X99)</f>
        <v/>
      </c>
      <c r="L99" s="1346" t="str">
        <f>IF(Detail!H99="","",IF(Detail!Y99="",DATERENOUV,IF(Detail!Y99&gt;Detail!D99,Detail!D99,Detail!Y99)))</f>
        <v/>
      </c>
      <c r="M99" s="829" t="str">
        <f>IF(A99=FALSE,"",IF(NAMES!$D$10=FALSE,IF(B99=B100,IF(N99=N100,0,(DATEDIF(K99,L99,"M")+1)),(DATEDIF(K99,L99,"M")+1)),IF(B99=B100,IF(N99=N100,0,(DATEDIF(I99,J99,"M")+1)),(DATEDIF(I99,J99,"M")+1))))</f>
        <v/>
      </c>
      <c r="N99" s="339" t="str">
        <f t="shared" si="33"/>
        <v/>
      </c>
      <c r="O99" s="340" t="str">
        <f>IF(A99=FALSE,"",IF(NAMES!$D$10=FALSE,IF((DATEDIF(K99,L99,"D")+1)&lt;365,(DATEDIF(K99,L99,"D")+1),365),IF((DATEDIF(I99,J99,"D")+1)&lt;365,(DATEDIF(I99,J99,"D")+1),365)))</f>
        <v/>
      </c>
      <c r="P99" s="340" t="str">
        <f>IF(A99=FALSE,"",IF(NAMES!$D$10=FALSE,IF(L99="",365,DATEDIF(K99,L99,"D")+1),IF(L99="",365,DATEDIF(I99,J99,"D")+1)))</f>
        <v/>
      </c>
      <c r="Q99" s="787" t="str">
        <f>Calcul!X99</f>
        <v/>
      </c>
      <c r="R99" s="787" t="str">
        <f>Calcul!Y99</f>
        <v/>
      </c>
      <c r="S99" s="811" t="str">
        <f>Calcul!AG99</f>
        <v/>
      </c>
      <c r="T99" s="350" t="str">
        <f>IF(A99=FALSE,"",IF(NAMES!$D$10=FALSE,IF(Detail!S99="","",Detail!S99),IF(Crewlist!V99="","",Crewlist!V99)))</f>
        <v/>
      </c>
      <c r="U99" s="242" t="str">
        <f>Calcul!AI99</f>
        <v/>
      </c>
      <c r="V99" s="242" t="str">
        <f>Calcul!AL99</f>
        <v/>
      </c>
      <c r="W99" s="242" t="str">
        <f>Calcul!AM99</f>
        <v/>
      </c>
      <c r="X99" s="335" t="str">
        <f>Calcul!AN99</f>
        <v/>
      </c>
      <c r="Y99" s="242" t="str">
        <f>Calcul!AO99</f>
        <v/>
      </c>
      <c r="Z99" s="242" t="str">
        <f>Calcul!AP99</f>
        <v/>
      </c>
      <c r="AA99" s="335" t="str">
        <f>Calcul!AQ99</f>
        <v/>
      </c>
      <c r="AB99" s="335" t="str">
        <f>IF(C99=FALSE,"",Calcul!BE99+Calcul!BF99)</f>
        <v/>
      </c>
      <c r="AC99" s="335" t="str">
        <f>IF(C99=FALSE,"",(Calcul!BG99+Calcul!BH99)+SUM(Calcul!BI99:BN99))</f>
        <v/>
      </c>
      <c r="AD99" s="335" t="str">
        <f>Calcul!BP99</f>
        <v/>
      </c>
      <c r="AE99" s="1325" t="s">
        <v>2866</v>
      </c>
      <c r="AF99" s="450" t="s">
        <v>2254</v>
      </c>
      <c r="AG99" s="318" t="str">
        <f>IF(A99=FALSE,"",YEAR(Detail!F99)&amp;Detail!AG99&amp;Detail!AD99&amp;"-"&amp;Detail!AE99)</f>
        <v/>
      </c>
      <c r="AH99" s="1134" t="s">
        <v>2224</v>
      </c>
      <c r="AI99" s="1135">
        <v>0</v>
      </c>
      <c r="AJ99" s="828">
        <f t="shared" si="26"/>
        <v>0</v>
      </c>
      <c r="AK99" s="828">
        <f t="shared" si="27"/>
        <v>0</v>
      </c>
      <c r="AL99" s="828">
        <f t="shared" si="28"/>
        <v>0</v>
      </c>
      <c r="AM99" s="1135" t="s">
        <v>2224</v>
      </c>
      <c r="AN99" s="1455">
        <v>15.1752</v>
      </c>
      <c r="AO99" s="436">
        <v>0</v>
      </c>
      <c r="AP99" s="254">
        <v>1</v>
      </c>
      <c r="AQ99" s="254">
        <v>0</v>
      </c>
      <c r="AS99" s="1127"/>
      <c r="AT99" s="239" t="s">
        <v>2140</v>
      </c>
      <c r="AU99" s="1136" t="s">
        <v>2255</v>
      </c>
      <c r="AV99" s="1136" t="str">
        <f>IF(A99=FALSE,"",IF(Detail!AT99="","N/A",YEAR(Detail!F99)&amp;Detail!AW99&amp;Detail!AT99&amp;"-"&amp;Detail!AU99&amp;" (100%/"&amp;Detail!CD99&amp;"/"&amp;Detail!CE99&amp;")"))</f>
        <v/>
      </c>
      <c r="AW99" s="1136" t="s">
        <v>2224</v>
      </c>
      <c r="AX99" s="1320" t="str">
        <f>Calcul!DB99</f>
        <v/>
      </c>
      <c r="AY99" s="1298" t="str">
        <f>IF(A99=FALSE,"",51000+(Detail!AA99*7000))</f>
        <v/>
      </c>
      <c r="AZ99" s="1170">
        <v>50000</v>
      </c>
      <c r="BA99" s="243">
        <v>3</v>
      </c>
      <c r="BB99" s="1135">
        <v>0</v>
      </c>
      <c r="BC99" s="1298" t="str">
        <f>IF(A99=FALSE,"",51000+(Detail!AA99*7000))</f>
        <v/>
      </c>
      <c r="BD99" s="1298">
        <f t="shared" si="34"/>
        <v>50000</v>
      </c>
      <c r="BE99" s="1299">
        <f t="shared" si="35"/>
        <v>3</v>
      </c>
      <c r="BF99" s="1284">
        <f t="shared" si="36"/>
        <v>0</v>
      </c>
      <c r="BG99" s="397" t="str">
        <f t="shared" si="29"/>
        <v/>
      </c>
      <c r="BH99" s="1138">
        <v>50000</v>
      </c>
      <c r="BI99" s="243">
        <v>3</v>
      </c>
      <c r="BJ99" s="254">
        <v>0</v>
      </c>
      <c r="BK99" s="397" t="str">
        <f t="shared" si="30"/>
        <v/>
      </c>
      <c r="BL99" s="1138">
        <v>50000</v>
      </c>
      <c r="BM99" s="243">
        <v>3</v>
      </c>
      <c r="BN99" s="254">
        <v>0</v>
      </c>
      <c r="BO99" s="239">
        <v>7</v>
      </c>
      <c r="BP99" s="1075">
        <v>365</v>
      </c>
      <c r="BQ99" s="244">
        <v>1</v>
      </c>
      <c r="BR99" s="254">
        <v>0</v>
      </c>
      <c r="BS99" s="239">
        <f t="shared" si="31"/>
        <v>7</v>
      </c>
      <c r="BT99" s="241">
        <f t="shared" si="32"/>
        <v>365</v>
      </c>
      <c r="BU99" s="253">
        <v>1</v>
      </c>
      <c r="BV99" s="254">
        <v>0</v>
      </c>
      <c r="BW99" s="254" t="s">
        <v>2224</v>
      </c>
      <c r="BX99" s="257">
        <v>0</v>
      </c>
      <c r="BY99" s="436">
        <v>0</v>
      </c>
      <c r="BZ99" s="254">
        <v>1</v>
      </c>
      <c r="CA99" s="254">
        <v>0</v>
      </c>
      <c r="CB99" s="1296"/>
      <c r="CD99" s="1136" t="str">
        <f>IF(A99=FALSE,"",Calcul!NZ99)</f>
        <v/>
      </c>
      <c r="CE99" s="1136" t="s">
        <v>2224</v>
      </c>
      <c r="CF99" s="1132" t="s">
        <v>2138</v>
      </c>
      <c r="CG99" s="1136" t="s">
        <v>2254</v>
      </c>
      <c r="CH99" s="1135" t="s">
        <v>2224</v>
      </c>
      <c r="CI99" s="257">
        <v>0</v>
      </c>
      <c r="CJ99" s="436">
        <v>0</v>
      </c>
      <c r="CK99" s="1135">
        <v>1</v>
      </c>
      <c r="CL99" s="1135">
        <v>0</v>
      </c>
      <c r="CM99" s="1170">
        <v>100000</v>
      </c>
      <c r="CN99" s="243">
        <v>2</v>
      </c>
      <c r="CO99" s="254">
        <v>0</v>
      </c>
      <c r="CP99" s="1298">
        <f t="shared" si="37"/>
        <v>100000</v>
      </c>
      <c r="CQ99" s="243">
        <v>2</v>
      </c>
      <c r="CR99" s="254">
        <v>0</v>
      </c>
    </row>
    <row r="100" spans="1:96" s="383" customFormat="1" ht="30" customHeight="1" outlineLevel="1">
      <c r="A100" s="396" t="b">
        <f>Calcul!A100</f>
        <v>0</v>
      </c>
      <c r="B100" s="438" t="str">
        <f t="shared" si="25"/>
        <v/>
      </c>
      <c r="C100" s="1132" t="b">
        <v>0</v>
      </c>
      <c r="D100" s="1133" t="s">
        <v>2293</v>
      </c>
      <c r="E100" s="241" t="s">
        <v>2139</v>
      </c>
      <c r="F100" s="338" t="str">
        <f>IF(A100=FALSE,"",IF(NAMES!$D$10=FALSE,IF(Detail!H100="","",Detail!H100),IF(Crewlist!D100="","",Crewlist!D100)))</f>
        <v/>
      </c>
      <c r="G100" s="338" t="str">
        <f>IF(A100=FALSE,"",IF(NAMES!$D$10=FALSE,IF(Detail!P100="","",Detail!P100),IF(Crewlist!E100="","",Crewlist!E100)))</f>
        <v/>
      </c>
      <c r="H100" s="338" t="str">
        <f>IF(A100=FALSE,"",IF(NAMES!$D$10=FALSE,IF(Detail!K100="","",Detail!K100),IF(Crewlist!F100="","",Crewlist!F100)))</f>
        <v/>
      </c>
      <c r="I100" s="1345" t="str">
        <f>IF(Crewlist!T100="","",Crewlist!T100)</f>
        <v/>
      </c>
      <c r="J100" s="1345" t="str">
        <f>IF(Crewlist!D100="","",IF(Crewlist!U100="",Crewlist!Y100,IF(DATERENOUVMOINS730&lt;&gt;Crewlist!U100&lt;&gt;Crewlist!Y100,Crewlist!U100,DATERENOUVMOINS365)))</f>
        <v/>
      </c>
      <c r="K100" s="1346" t="str">
        <f>IF(Detail!X100="","",Detail!X100)</f>
        <v/>
      </c>
      <c r="L100" s="1346" t="str">
        <f>IF(Detail!H100="","",IF(Detail!Y100="",DATERENOUV,IF(Detail!Y100&gt;Detail!D100,Detail!D100,Detail!Y100)))</f>
        <v/>
      </c>
      <c r="M100" s="829" t="str">
        <f>IF(A100=FALSE,"",IF(NAMES!$D$10=FALSE,IF(B100=B101,IF(N100=N101,0,(DATEDIF(K100,L100,"M")+1)),(DATEDIF(K100,L100,"M")+1)),IF(B100=B101,IF(N100=N101,0,(DATEDIF(I100,J100,"M")+1)),(DATEDIF(I100,J100,"M")+1))))</f>
        <v/>
      </c>
      <c r="N100" s="339" t="str">
        <f t="shared" si="33"/>
        <v/>
      </c>
      <c r="O100" s="340" t="str">
        <f>IF(A100=FALSE,"",IF(NAMES!$D$10=FALSE,IF((DATEDIF(K100,L100,"D")+1)&lt;365,(DATEDIF(K100,L100,"D")+1),365),IF((DATEDIF(I100,J100,"D")+1)&lt;365,(DATEDIF(I100,J100,"D")+1),365)))</f>
        <v/>
      </c>
      <c r="P100" s="340" t="str">
        <f>IF(A100=FALSE,"",IF(NAMES!$D$10=FALSE,IF(L100="",365,DATEDIF(K100,L100,"D")+1),IF(L100="",365,DATEDIF(I100,J100,"D")+1)))</f>
        <v/>
      </c>
      <c r="Q100" s="787" t="str">
        <f>Calcul!X100</f>
        <v/>
      </c>
      <c r="R100" s="787" t="str">
        <f>Calcul!Y100</f>
        <v/>
      </c>
      <c r="S100" s="811" t="str">
        <f>Calcul!AG100</f>
        <v/>
      </c>
      <c r="T100" s="350" t="str">
        <f>IF(A100=FALSE,"",IF(NAMES!$D$10=FALSE,IF(Detail!S100="","",Detail!S100),IF(Crewlist!V100="","",Crewlist!V100)))</f>
        <v/>
      </c>
      <c r="U100" s="242" t="str">
        <f>Calcul!AI100</f>
        <v/>
      </c>
      <c r="V100" s="242" t="str">
        <f>Calcul!AL100</f>
        <v/>
      </c>
      <c r="W100" s="242" t="str">
        <f>Calcul!AM100</f>
        <v/>
      </c>
      <c r="X100" s="335" t="str">
        <f>Calcul!AN100</f>
        <v/>
      </c>
      <c r="Y100" s="242" t="str">
        <f>Calcul!AO100</f>
        <v/>
      </c>
      <c r="Z100" s="242" t="str">
        <f>Calcul!AP100</f>
        <v/>
      </c>
      <c r="AA100" s="335" t="str">
        <f>Calcul!AQ100</f>
        <v/>
      </c>
      <c r="AB100" s="335" t="str">
        <f>IF(C100=FALSE,"",Calcul!BE100+Calcul!BF100)</f>
        <v/>
      </c>
      <c r="AC100" s="335" t="str">
        <f>IF(C100=FALSE,"",(Calcul!BG100+Calcul!BH100)+SUM(Calcul!BI100:BN100))</f>
        <v/>
      </c>
      <c r="AD100" s="335" t="str">
        <f>Calcul!BP100</f>
        <v/>
      </c>
      <c r="AE100" s="1325" t="s">
        <v>2866</v>
      </c>
      <c r="AF100" s="450" t="s">
        <v>2254</v>
      </c>
      <c r="AG100" s="318" t="str">
        <f>IF(A100=FALSE,"",YEAR(Detail!F100)&amp;Detail!AG100&amp;Detail!AD100&amp;"-"&amp;Detail!AE100)</f>
        <v/>
      </c>
      <c r="AH100" s="1134" t="s">
        <v>2224</v>
      </c>
      <c r="AI100" s="1135">
        <v>0</v>
      </c>
      <c r="AJ100" s="828">
        <f t="shared" si="26"/>
        <v>0</v>
      </c>
      <c r="AK100" s="828">
        <f t="shared" si="27"/>
        <v>0</v>
      </c>
      <c r="AL100" s="828">
        <f t="shared" si="28"/>
        <v>0</v>
      </c>
      <c r="AM100" s="1135" t="s">
        <v>2224</v>
      </c>
      <c r="AN100" s="1455">
        <v>15.1752</v>
      </c>
      <c r="AO100" s="436">
        <v>0</v>
      </c>
      <c r="AP100" s="254">
        <v>1</v>
      </c>
      <c r="AQ100" s="254">
        <v>0</v>
      </c>
      <c r="AS100" s="1127"/>
      <c r="AT100" s="239" t="s">
        <v>2140</v>
      </c>
      <c r="AU100" s="1136" t="s">
        <v>2255</v>
      </c>
      <c r="AV100" s="1136" t="str">
        <f>IF(A100=FALSE,"",IF(Detail!AT100="","N/A",YEAR(Detail!F100)&amp;Detail!AW100&amp;Detail!AT100&amp;"-"&amp;Detail!AU100&amp;" (100%/"&amp;Detail!CD100&amp;"/"&amp;Detail!CE100&amp;")"))</f>
        <v/>
      </c>
      <c r="AW100" s="1136" t="s">
        <v>2224</v>
      </c>
      <c r="AX100" s="1320" t="str">
        <f>Calcul!DB100</f>
        <v/>
      </c>
      <c r="AY100" s="1298" t="str">
        <f>IF(A100=FALSE,"",51000+(Detail!AA100*7000))</f>
        <v/>
      </c>
      <c r="AZ100" s="1170">
        <v>50000</v>
      </c>
      <c r="BA100" s="243">
        <v>3</v>
      </c>
      <c r="BB100" s="1135">
        <v>0</v>
      </c>
      <c r="BC100" s="1298" t="str">
        <f>IF(A100=FALSE,"",51000+(Detail!AA100*7000))</f>
        <v/>
      </c>
      <c r="BD100" s="1298">
        <f t="shared" si="34"/>
        <v>50000</v>
      </c>
      <c r="BE100" s="1299">
        <f t="shared" si="35"/>
        <v>3</v>
      </c>
      <c r="BF100" s="1284">
        <f t="shared" si="36"/>
        <v>0</v>
      </c>
      <c r="BG100" s="397" t="str">
        <f t="shared" si="29"/>
        <v/>
      </c>
      <c r="BH100" s="1138">
        <v>50000</v>
      </c>
      <c r="BI100" s="243">
        <v>3</v>
      </c>
      <c r="BJ100" s="254">
        <v>0</v>
      </c>
      <c r="BK100" s="397" t="str">
        <f t="shared" si="30"/>
        <v/>
      </c>
      <c r="BL100" s="1138">
        <v>50000</v>
      </c>
      <c r="BM100" s="243">
        <v>3</v>
      </c>
      <c r="BN100" s="254">
        <v>0</v>
      </c>
      <c r="BO100" s="239">
        <v>7</v>
      </c>
      <c r="BP100" s="1075">
        <v>365</v>
      </c>
      <c r="BQ100" s="244">
        <v>1</v>
      </c>
      <c r="BR100" s="254">
        <v>0</v>
      </c>
      <c r="BS100" s="239">
        <f t="shared" si="31"/>
        <v>7</v>
      </c>
      <c r="BT100" s="241">
        <f t="shared" si="32"/>
        <v>365</v>
      </c>
      <c r="BU100" s="253">
        <v>1</v>
      </c>
      <c r="BV100" s="254">
        <v>0</v>
      </c>
      <c r="BW100" s="254" t="s">
        <v>2224</v>
      </c>
      <c r="BX100" s="257">
        <v>0</v>
      </c>
      <c r="BY100" s="436">
        <v>0</v>
      </c>
      <c r="BZ100" s="254">
        <v>1</v>
      </c>
      <c r="CA100" s="254">
        <v>0</v>
      </c>
      <c r="CB100" s="1296"/>
      <c r="CD100" s="1136" t="str">
        <f>IF(A100=FALSE,"",Calcul!NZ100)</f>
        <v/>
      </c>
      <c r="CE100" s="1136" t="s">
        <v>2224</v>
      </c>
      <c r="CF100" s="1132" t="s">
        <v>2138</v>
      </c>
      <c r="CG100" s="1136" t="s">
        <v>2254</v>
      </c>
      <c r="CH100" s="1135" t="s">
        <v>2224</v>
      </c>
      <c r="CI100" s="257">
        <v>0</v>
      </c>
      <c r="CJ100" s="436">
        <v>0</v>
      </c>
      <c r="CK100" s="1135">
        <v>1</v>
      </c>
      <c r="CL100" s="1135">
        <v>0</v>
      </c>
      <c r="CM100" s="1170">
        <v>100000</v>
      </c>
      <c r="CN100" s="243">
        <v>2</v>
      </c>
      <c r="CO100" s="254">
        <v>0</v>
      </c>
      <c r="CP100" s="1298">
        <f t="shared" si="37"/>
        <v>100000</v>
      </c>
      <c r="CQ100" s="243">
        <v>2</v>
      </c>
      <c r="CR100" s="254">
        <v>0</v>
      </c>
    </row>
    <row r="101" spans="1:96" s="383" customFormat="1" ht="30" customHeight="1" outlineLevel="1">
      <c r="A101" s="396" t="b">
        <f>Calcul!A101</f>
        <v>0</v>
      </c>
      <c r="B101" s="438" t="str">
        <f t="shared" si="25"/>
        <v/>
      </c>
      <c r="C101" s="1132" t="b">
        <v>0</v>
      </c>
      <c r="D101" s="1133" t="s">
        <v>2293</v>
      </c>
      <c r="E101" s="241" t="s">
        <v>2139</v>
      </c>
      <c r="F101" s="338" t="str">
        <f>IF(A101=FALSE,"",IF(NAMES!$D$10=FALSE,IF(Detail!H101="","",Detail!H101),IF(Crewlist!D101="","",Crewlist!D101)))</f>
        <v/>
      </c>
      <c r="G101" s="338" t="str">
        <f>IF(A101=FALSE,"",IF(NAMES!$D$10=FALSE,IF(Detail!P101="","",Detail!P101),IF(Crewlist!E101="","",Crewlist!E101)))</f>
        <v/>
      </c>
      <c r="H101" s="338" t="str">
        <f>IF(A101=FALSE,"",IF(NAMES!$D$10=FALSE,IF(Detail!K101="","",Detail!K101),IF(Crewlist!F101="","",Crewlist!F101)))</f>
        <v/>
      </c>
      <c r="I101" s="1345" t="str">
        <f>IF(Crewlist!T101="","",Crewlist!T101)</f>
        <v/>
      </c>
      <c r="J101" s="1345" t="str">
        <f>IF(Crewlist!D101="","",IF(Crewlist!U101="",Crewlist!Y101,IF(DATERENOUVMOINS730&lt;&gt;Crewlist!U101&lt;&gt;Crewlist!Y101,Crewlist!U101,DATERENOUVMOINS365)))</f>
        <v/>
      </c>
      <c r="K101" s="1346" t="str">
        <f>IF(Detail!X101="","",Detail!X101)</f>
        <v/>
      </c>
      <c r="L101" s="1346" t="str">
        <f>IF(Detail!H101="","",IF(Detail!Y101="",DATERENOUV,IF(Detail!Y101&gt;Detail!D101,Detail!D101,Detail!Y101)))</f>
        <v/>
      </c>
      <c r="M101" s="829" t="str">
        <f>IF(A101=FALSE,"",IF(NAMES!$D$10=FALSE,IF(B101=B102,IF(N101=N102,0,(DATEDIF(K101,L101,"M")+1)),(DATEDIF(K101,L101,"M")+1)),IF(B101=B102,IF(N101=N102,0,(DATEDIF(I101,J101,"M")+1)),(DATEDIF(I101,J101,"M")+1))))</f>
        <v/>
      </c>
      <c r="N101" s="339" t="str">
        <f t="shared" si="33"/>
        <v/>
      </c>
      <c r="O101" s="340" t="str">
        <f>IF(A101=FALSE,"",IF(NAMES!$D$10=FALSE,IF((DATEDIF(K101,L101,"D")+1)&lt;365,(DATEDIF(K101,L101,"D")+1),365),IF((DATEDIF(I101,J101,"D")+1)&lt;365,(DATEDIF(I101,J101,"D")+1),365)))</f>
        <v/>
      </c>
      <c r="P101" s="340" t="str">
        <f>IF(A101=FALSE,"",IF(NAMES!$D$10=FALSE,IF(L101="",365,DATEDIF(K101,L101,"D")+1),IF(L101="",365,DATEDIF(I101,J101,"D")+1)))</f>
        <v/>
      </c>
      <c r="Q101" s="787" t="str">
        <f>Calcul!X101</f>
        <v/>
      </c>
      <c r="R101" s="787" t="str">
        <f>Calcul!Y101</f>
        <v/>
      </c>
      <c r="S101" s="811" t="str">
        <f>Calcul!AG101</f>
        <v/>
      </c>
      <c r="T101" s="350" t="str">
        <f>IF(A101=FALSE,"",IF(NAMES!$D$10=FALSE,IF(Detail!S101="","",Detail!S101),IF(Crewlist!V101="","",Crewlist!V101)))</f>
        <v/>
      </c>
      <c r="U101" s="242" t="str">
        <f>Calcul!AI101</f>
        <v/>
      </c>
      <c r="V101" s="242" t="str">
        <f>Calcul!AL101</f>
        <v/>
      </c>
      <c r="W101" s="242" t="str">
        <f>Calcul!AM101</f>
        <v/>
      </c>
      <c r="X101" s="335" t="str">
        <f>Calcul!AN101</f>
        <v/>
      </c>
      <c r="Y101" s="242" t="str">
        <f>Calcul!AO101</f>
        <v/>
      </c>
      <c r="Z101" s="242" t="str">
        <f>Calcul!AP101</f>
        <v/>
      </c>
      <c r="AA101" s="335" t="str">
        <f>Calcul!AQ101</f>
        <v/>
      </c>
      <c r="AB101" s="335" t="str">
        <f>IF(C101=FALSE,"",Calcul!BE101+Calcul!BF101)</f>
        <v/>
      </c>
      <c r="AC101" s="335" t="str">
        <f>IF(C101=FALSE,"",(Calcul!BG101+Calcul!BH101)+SUM(Calcul!BI101:BN101))</f>
        <v/>
      </c>
      <c r="AD101" s="335" t="str">
        <f>Calcul!BP101</f>
        <v/>
      </c>
      <c r="AE101" s="1325" t="s">
        <v>2866</v>
      </c>
      <c r="AF101" s="450" t="s">
        <v>2254</v>
      </c>
      <c r="AG101" s="318" t="str">
        <f>IF(A101=FALSE,"",YEAR(Detail!F101)&amp;Detail!AG101&amp;Detail!AD101&amp;"-"&amp;Detail!AE101)</f>
        <v/>
      </c>
      <c r="AH101" s="1134" t="s">
        <v>2224</v>
      </c>
      <c r="AI101" s="1135">
        <v>0</v>
      </c>
      <c r="AJ101" s="828">
        <f t="shared" si="26"/>
        <v>0</v>
      </c>
      <c r="AK101" s="828">
        <f t="shared" si="27"/>
        <v>0</v>
      </c>
      <c r="AL101" s="828">
        <f t="shared" si="28"/>
        <v>0</v>
      </c>
      <c r="AM101" s="1135" t="s">
        <v>2224</v>
      </c>
      <c r="AN101" s="1455">
        <v>15.1752</v>
      </c>
      <c r="AO101" s="436">
        <v>0</v>
      </c>
      <c r="AP101" s="254">
        <v>1</v>
      </c>
      <c r="AQ101" s="254">
        <v>0</v>
      </c>
      <c r="AS101" s="1127"/>
      <c r="AT101" s="239" t="s">
        <v>2140</v>
      </c>
      <c r="AU101" s="1136" t="s">
        <v>2255</v>
      </c>
      <c r="AV101" s="1136" t="str">
        <f>IF(A101=FALSE,"",IF(Detail!AT101="","N/A",YEAR(Detail!F101)&amp;Detail!AW101&amp;Detail!AT101&amp;"-"&amp;Detail!AU101&amp;" (100%/"&amp;Detail!CD101&amp;"/"&amp;Detail!CE101&amp;")"))</f>
        <v/>
      </c>
      <c r="AW101" s="1136" t="s">
        <v>2224</v>
      </c>
      <c r="AX101" s="1320" t="str">
        <f>Calcul!DB101</f>
        <v/>
      </c>
      <c r="AY101" s="1298" t="str">
        <f>IF(A101=FALSE,"",51000+(Detail!AA101*7000))</f>
        <v/>
      </c>
      <c r="AZ101" s="1170">
        <v>50000</v>
      </c>
      <c r="BA101" s="243">
        <v>3</v>
      </c>
      <c r="BB101" s="1135">
        <v>0</v>
      </c>
      <c r="BC101" s="1298" t="str">
        <f>IF(A101=FALSE,"",51000+(Detail!AA101*7000))</f>
        <v/>
      </c>
      <c r="BD101" s="1298">
        <f t="shared" si="34"/>
        <v>50000</v>
      </c>
      <c r="BE101" s="1299">
        <f t="shared" si="35"/>
        <v>3</v>
      </c>
      <c r="BF101" s="1284">
        <f t="shared" si="36"/>
        <v>0</v>
      </c>
      <c r="BG101" s="397" t="str">
        <f t="shared" si="29"/>
        <v/>
      </c>
      <c r="BH101" s="1138">
        <v>50000</v>
      </c>
      <c r="BI101" s="243">
        <v>3</v>
      </c>
      <c r="BJ101" s="254">
        <v>0</v>
      </c>
      <c r="BK101" s="397" t="str">
        <f t="shared" si="30"/>
        <v/>
      </c>
      <c r="BL101" s="1138">
        <v>50000</v>
      </c>
      <c r="BM101" s="243">
        <v>3</v>
      </c>
      <c r="BN101" s="254">
        <v>0</v>
      </c>
      <c r="BO101" s="239">
        <v>7</v>
      </c>
      <c r="BP101" s="1075">
        <v>365</v>
      </c>
      <c r="BQ101" s="244">
        <v>1</v>
      </c>
      <c r="BR101" s="254">
        <v>0</v>
      </c>
      <c r="BS101" s="239">
        <f t="shared" si="31"/>
        <v>7</v>
      </c>
      <c r="BT101" s="241">
        <f t="shared" si="32"/>
        <v>365</v>
      </c>
      <c r="BU101" s="253">
        <v>1</v>
      </c>
      <c r="BV101" s="254">
        <v>0</v>
      </c>
      <c r="BW101" s="254" t="s">
        <v>2224</v>
      </c>
      <c r="BX101" s="257">
        <v>0</v>
      </c>
      <c r="BY101" s="436">
        <v>0</v>
      </c>
      <c r="BZ101" s="254">
        <v>1</v>
      </c>
      <c r="CA101" s="254">
        <v>0</v>
      </c>
      <c r="CB101" s="1296"/>
      <c r="CD101" s="1136" t="str">
        <f>IF(A101=FALSE,"",Calcul!NZ101)</f>
        <v/>
      </c>
      <c r="CE101" s="1136" t="s">
        <v>2224</v>
      </c>
      <c r="CF101" s="1132" t="s">
        <v>2138</v>
      </c>
      <c r="CG101" s="1136" t="s">
        <v>2254</v>
      </c>
      <c r="CH101" s="1135" t="s">
        <v>2224</v>
      </c>
      <c r="CI101" s="257">
        <v>0</v>
      </c>
      <c r="CJ101" s="436">
        <v>0</v>
      </c>
      <c r="CK101" s="1135">
        <v>1</v>
      </c>
      <c r="CL101" s="1135">
        <v>0</v>
      </c>
      <c r="CM101" s="1170">
        <v>100000</v>
      </c>
      <c r="CN101" s="243">
        <v>2</v>
      </c>
      <c r="CO101" s="254">
        <v>0</v>
      </c>
      <c r="CP101" s="1298">
        <f t="shared" si="37"/>
        <v>100000</v>
      </c>
      <c r="CQ101" s="243">
        <v>2</v>
      </c>
      <c r="CR101" s="254">
        <v>0</v>
      </c>
    </row>
    <row r="102" spans="1:96" s="383" customFormat="1" ht="30" customHeight="1" outlineLevel="1">
      <c r="A102" s="396" t="b">
        <f>Calcul!A102</f>
        <v>0</v>
      </c>
      <c r="B102" s="438" t="str">
        <f t="shared" si="25"/>
        <v/>
      </c>
      <c r="C102" s="1132" t="b">
        <v>0</v>
      </c>
      <c r="D102" s="1133" t="s">
        <v>2293</v>
      </c>
      <c r="E102" s="241" t="s">
        <v>2139</v>
      </c>
      <c r="F102" s="338" t="str">
        <f>IF(A102=FALSE,"",IF(NAMES!$D$10=FALSE,IF(Detail!H102="","",Detail!H102),IF(Crewlist!D102="","",Crewlist!D102)))</f>
        <v/>
      </c>
      <c r="G102" s="338" t="str">
        <f>IF(A102=FALSE,"",IF(NAMES!$D$10=FALSE,IF(Detail!P102="","",Detail!P102),IF(Crewlist!E102="","",Crewlist!E102)))</f>
        <v/>
      </c>
      <c r="H102" s="338" t="str">
        <f>IF(A102=FALSE,"",IF(NAMES!$D$10=FALSE,IF(Detail!K102="","",Detail!K102),IF(Crewlist!F102="","",Crewlist!F102)))</f>
        <v/>
      </c>
      <c r="I102" s="1345" t="str">
        <f>IF(Crewlist!T102="","",Crewlist!T102)</f>
        <v/>
      </c>
      <c r="J102" s="1345" t="str">
        <f>IF(Crewlist!D102="","",IF(Crewlist!U102="",Crewlist!Y102,IF(DATERENOUVMOINS730&lt;&gt;Crewlist!U102&lt;&gt;Crewlist!Y102,Crewlist!U102,DATERENOUVMOINS365)))</f>
        <v/>
      </c>
      <c r="K102" s="1346" t="str">
        <f>IF(Detail!X102="","",Detail!X102)</f>
        <v/>
      </c>
      <c r="L102" s="1346" t="str">
        <f>IF(Detail!H102="","",IF(Detail!Y102="",DATERENOUV,IF(Detail!Y102&gt;Detail!D102,Detail!D102,Detail!Y102)))</f>
        <v/>
      </c>
      <c r="M102" s="829" t="str">
        <f>IF(A102=FALSE,"",IF(NAMES!$D$10=FALSE,IF(B102=B103,IF(N102=N103,0,(DATEDIF(K102,L102,"M")+1)),(DATEDIF(K102,L102,"M")+1)),IF(B102=B103,IF(N102=N103,0,(DATEDIF(I102,J102,"M")+1)),(DATEDIF(I102,J102,"M")+1))))</f>
        <v/>
      </c>
      <c r="N102" s="339" t="str">
        <f t="shared" si="33"/>
        <v/>
      </c>
      <c r="O102" s="340" t="str">
        <f>IF(A102=FALSE,"",IF(NAMES!$D$10=FALSE,IF((DATEDIF(K102,L102,"D")+1)&lt;365,(DATEDIF(K102,L102,"D")+1),365),IF((DATEDIF(I102,J102,"D")+1)&lt;365,(DATEDIF(I102,J102,"D")+1),365)))</f>
        <v/>
      </c>
      <c r="P102" s="340" t="str">
        <f>IF(A102=FALSE,"",IF(NAMES!$D$10=FALSE,IF(L102="",365,DATEDIF(K102,L102,"D")+1),IF(L102="",365,DATEDIF(I102,J102,"D")+1)))</f>
        <v/>
      </c>
      <c r="Q102" s="787" t="str">
        <f>Calcul!X102</f>
        <v/>
      </c>
      <c r="R102" s="787" t="str">
        <f>Calcul!Y102</f>
        <v/>
      </c>
      <c r="S102" s="811" t="str">
        <f>Calcul!AG102</f>
        <v/>
      </c>
      <c r="T102" s="350" t="str">
        <f>IF(A102=FALSE,"",IF(NAMES!$D$10=FALSE,IF(Detail!S102="","",Detail!S102),IF(Crewlist!V102="","",Crewlist!V102)))</f>
        <v/>
      </c>
      <c r="U102" s="242" t="str">
        <f>Calcul!AI102</f>
        <v/>
      </c>
      <c r="V102" s="242" t="str">
        <f>Calcul!AL102</f>
        <v/>
      </c>
      <c r="W102" s="242" t="str">
        <f>Calcul!AM102</f>
        <v/>
      </c>
      <c r="X102" s="335" t="str">
        <f>Calcul!AN102</f>
        <v/>
      </c>
      <c r="Y102" s="242" t="str">
        <f>Calcul!AO102</f>
        <v/>
      </c>
      <c r="Z102" s="242" t="str">
        <f>Calcul!AP102</f>
        <v/>
      </c>
      <c r="AA102" s="335" t="str">
        <f>Calcul!AQ102</f>
        <v/>
      </c>
      <c r="AB102" s="335" t="str">
        <f>IF(C102=FALSE,"",Calcul!BE102+Calcul!BF102)</f>
        <v/>
      </c>
      <c r="AC102" s="335" t="str">
        <f>IF(C102=FALSE,"",(Calcul!BG102+Calcul!BH102)+SUM(Calcul!BI102:BN102))</f>
        <v/>
      </c>
      <c r="AD102" s="335" t="str">
        <f>Calcul!BP102</f>
        <v/>
      </c>
      <c r="AE102" s="1325" t="s">
        <v>2866</v>
      </c>
      <c r="AF102" s="450" t="s">
        <v>2254</v>
      </c>
      <c r="AG102" s="318" t="str">
        <f>IF(A102=FALSE,"",YEAR(Detail!F102)&amp;Detail!AG102&amp;Detail!AD102&amp;"-"&amp;Detail!AE102)</f>
        <v/>
      </c>
      <c r="AH102" s="1134" t="s">
        <v>2224</v>
      </c>
      <c r="AI102" s="1135">
        <v>0</v>
      </c>
      <c r="AJ102" s="828">
        <f t="shared" si="26"/>
        <v>0</v>
      </c>
      <c r="AK102" s="828">
        <f t="shared" si="27"/>
        <v>0</v>
      </c>
      <c r="AL102" s="828">
        <f t="shared" si="28"/>
        <v>0</v>
      </c>
      <c r="AM102" s="1135" t="s">
        <v>2224</v>
      </c>
      <c r="AN102" s="1455">
        <v>15.1752</v>
      </c>
      <c r="AO102" s="436">
        <v>0</v>
      </c>
      <c r="AP102" s="254">
        <v>1</v>
      </c>
      <c r="AQ102" s="254">
        <v>0</v>
      </c>
      <c r="AS102" s="1127"/>
      <c r="AT102" s="239" t="s">
        <v>2140</v>
      </c>
      <c r="AU102" s="1136" t="s">
        <v>2255</v>
      </c>
      <c r="AV102" s="1136" t="str">
        <f>IF(A102=FALSE,"",IF(Detail!AT102="","N/A",YEAR(Detail!F102)&amp;Detail!AW102&amp;Detail!AT102&amp;"-"&amp;Detail!AU102&amp;" (100%/"&amp;Detail!CD102&amp;"/"&amp;Detail!CE102&amp;")"))</f>
        <v/>
      </c>
      <c r="AW102" s="1136" t="s">
        <v>2224</v>
      </c>
      <c r="AX102" s="1320" t="str">
        <f>Calcul!DB102</f>
        <v/>
      </c>
      <c r="AY102" s="1298" t="str">
        <f>IF(A102=FALSE,"",51000+(Detail!AA102*7000))</f>
        <v/>
      </c>
      <c r="AZ102" s="1170">
        <v>50000</v>
      </c>
      <c r="BA102" s="243">
        <v>3</v>
      </c>
      <c r="BB102" s="1135">
        <v>0</v>
      </c>
      <c r="BC102" s="1298" t="str">
        <f>IF(A102=FALSE,"",51000+(Detail!AA102*7000))</f>
        <v/>
      </c>
      <c r="BD102" s="1298">
        <f t="shared" si="34"/>
        <v>50000</v>
      </c>
      <c r="BE102" s="1299">
        <f t="shared" si="35"/>
        <v>3</v>
      </c>
      <c r="BF102" s="1284">
        <f t="shared" si="36"/>
        <v>0</v>
      </c>
      <c r="BG102" s="397" t="str">
        <f t="shared" si="29"/>
        <v/>
      </c>
      <c r="BH102" s="1138">
        <v>50000</v>
      </c>
      <c r="BI102" s="243">
        <v>3</v>
      </c>
      <c r="BJ102" s="254">
        <v>0</v>
      </c>
      <c r="BK102" s="397" t="str">
        <f t="shared" si="30"/>
        <v/>
      </c>
      <c r="BL102" s="1138">
        <v>50000</v>
      </c>
      <c r="BM102" s="243">
        <v>3</v>
      </c>
      <c r="BN102" s="254">
        <v>0</v>
      </c>
      <c r="BO102" s="239">
        <v>7</v>
      </c>
      <c r="BP102" s="1075">
        <v>365</v>
      </c>
      <c r="BQ102" s="244">
        <v>1</v>
      </c>
      <c r="BR102" s="254">
        <v>0</v>
      </c>
      <c r="BS102" s="239">
        <f t="shared" si="31"/>
        <v>7</v>
      </c>
      <c r="BT102" s="241">
        <f t="shared" si="32"/>
        <v>365</v>
      </c>
      <c r="BU102" s="253">
        <v>1</v>
      </c>
      <c r="BV102" s="254">
        <v>0</v>
      </c>
      <c r="BW102" s="254" t="s">
        <v>2224</v>
      </c>
      <c r="BX102" s="257">
        <v>0</v>
      </c>
      <c r="BY102" s="436">
        <v>0</v>
      </c>
      <c r="BZ102" s="254">
        <v>1</v>
      </c>
      <c r="CA102" s="254">
        <v>0</v>
      </c>
      <c r="CB102" s="1296"/>
      <c r="CD102" s="1136" t="str">
        <f>IF(A102=FALSE,"",Calcul!NZ102)</f>
        <v/>
      </c>
      <c r="CE102" s="1136" t="s">
        <v>2224</v>
      </c>
      <c r="CF102" s="1132" t="s">
        <v>2138</v>
      </c>
      <c r="CG102" s="1136" t="s">
        <v>2254</v>
      </c>
      <c r="CH102" s="1135" t="s">
        <v>2224</v>
      </c>
      <c r="CI102" s="257">
        <v>0</v>
      </c>
      <c r="CJ102" s="436">
        <v>0</v>
      </c>
      <c r="CK102" s="1135">
        <v>1</v>
      </c>
      <c r="CL102" s="1135">
        <v>0</v>
      </c>
      <c r="CM102" s="1170">
        <v>100000</v>
      </c>
      <c r="CN102" s="243">
        <v>2</v>
      </c>
      <c r="CO102" s="254">
        <v>0</v>
      </c>
      <c r="CP102" s="1298">
        <f t="shared" si="37"/>
        <v>100000</v>
      </c>
      <c r="CQ102" s="243">
        <v>2</v>
      </c>
      <c r="CR102" s="254">
        <v>0</v>
      </c>
    </row>
    <row r="103" spans="1:96" s="383" customFormat="1" ht="30" customHeight="1" outlineLevel="1">
      <c r="A103" s="396" t="b">
        <f>Calcul!A103</f>
        <v>0</v>
      </c>
      <c r="B103" s="438" t="str">
        <f t="shared" si="25"/>
        <v/>
      </c>
      <c r="C103" s="1132" t="b">
        <v>0</v>
      </c>
      <c r="D103" s="1133" t="s">
        <v>2293</v>
      </c>
      <c r="E103" s="241" t="s">
        <v>2139</v>
      </c>
      <c r="F103" s="338" t="str">
        <f>IF(A103=FALSE,"",IF(NAMES!$D$10=FALSE,IF(Detail!H103="","",Detail!H103),IF(Crewlist!D103="","",Crewlist!D103)))</f>
        <v/>
      </c>
      <c r="G103" s="338" t="str">
        <f>IF(A103=FALSE,"",IF(NAMES!$D$10=FALSE,IF(Detail!P103="","",Detail!P103),IF(Crewlist!E103="","",Crewlist!E103)))</f>
        <v/>
      </c>
      <c r="H103" s="338" t="str">
        <f>IF(A103=FALSE,"",IF(NAMES!$D$10=FALSE,IF(Detail!K103="","",Detail!K103),IF(Crewlist!F103="","",Crewlist!F103)))</f>
        <v/>
      </c>
      <c r="I103" s="1345" t="str">
        <f>IF(Crewlist!T103="","",Crewlist!T103)</f>
        <v/>
      </c>
      <c r="J103" s="1345" t="str">
        <f>IF(Crewlist!D103="","",IF(Crewlist!U103="",Crewlist!Y103,IF(DATERENOUVMOINS730&lt;&gt;Crewlist!U103&lt;&gt;Crewlist!Y103,Crewlist!U103,DATERENOUVMOINS365)))</f>
        <v/>
      </c>
      <c r="K103" s="1346" t="str">
        <f>IF(Detail!X103="","",Detail!X103)</f>
        <v/>
      </c>
      <c r="L103" s="1346" t="str">
        <f>IF(Detail!H103="","",IF(Detail!Y103="",DATERENOUV,IF(Detail!Y103&gt;Detail!D103,Detail!D103,Detail!Y103)))</f>
        <v/>
      </c>
      <c r="M103" s="829" t="str">
        <f>IF(A103=FALSE,"",IF(NAMES!$D$10=FALSE,IF(B103=B104,IF(N103=N104,0,(DATEDIF(K103,L103,"M")+1)),(DATEDIF(K103,L103,"M")+1)),IF(B103=B104,IF(N103=N104,0,(DATEDIF(I103,J103,"M")+1)),(DATEDIF(I103,J103,"M")+1))))</f>
        <v/>
      </c>
      <c r="N103" s="339" t="str">
        <f t="shared" si="33"/>
        <v/>
      </c>
      <c r="O103" s="340" t="str">
        <f>IF(A103=FALSE,"",IF(NAMES!$D$10=FALSE,IF((DATEDIF(K103,L103,"D")+1)&lt;365,(DATEDIF(K103,L103,"D")+1),365),IF((DATEDIF(I103,J103,"D")+1)&lt;365,(DATEDIF(I103,J103,"D")+1),365)))</f>
        <v/>
      </c>
      <c r="P103" s="340" t="str">
        <f>IF(A103=FALSE,"",IF(NAMES!$D$10=FALSE,IF(L103="",365,DATEDIF(K103,L103,"D")+1),IF(L103="",365,DATEDIF(I103,J103,"D")+1)))</f>
        <v/>
      </c>
      <c r="Q103" s="787" t="str">
        <f>Calcul!X103</f>
        <v/>
      </c>
      <c r="R103" s="787" t="str">
        <f>Calcul!Y103</f>
        <v/>
      </c>
      <c r="S103" s="811" t="str">
        <f>Calcul!AG103</f>
        <v/>
      </c>
      <c r="T103" s="350" t="str">
        <f>IF(A103=FALSE,"",IF(NAMES!$D$10=FALSE,IF(Detail!S103="","",Detail!S103),IF(Crewlist!V103="","",Crewlist!V103)))</f>
        <v/>
      </c>
      <c r="U103" s="242" t="str">
        <f>Calcul!AI103</f>
        <v/>
      </c>
      <c r="V103" s="242" t="str">
        <f>Calcul!AL103</f>
        <v/>
      </c>
      <c r="W103" s="242" t="str">
        <f>Calcul!AM103</f>
        <v/>
      </c>
      <c r="X103" s="335" t="str">
        <f>Calcul!AN103</f>
        <v/>
      </c>
      <c r="Y103" s="242" t="str">
        <f>Calcul!AO103</f>
        <v/>
      </c>
      <c r="Z103" s="242" t="str">
        <f>Calcul!AP103</f>
        <v/>
      </c>
      <c r="AA103" s="335" t="str">
        <f>Calcul!AQ103</f>
        <v/>
      </c>
      <c r="AB103" s="335" t="str">
        <f>IF(C103=FALSE,"",Calcul!BE103+Calcul!BF103)</f>
        <v/>
      </c>
      <c r="AC103" s="335" t="str">
        <f>IF(C103=FALSE,"",(Calcul!BG103+Calcul!BH103)+SUM(Calcul!BI103:BN103))</f>
        <v/>
      </c>
      <c r="AD103" s="335" t="str">
        <f>Calcul!BP103</f>
        <v/>
      </c>
      <c r="AE103" s="1325" t="s">
        <v>2866</v>
      </c>
      <c r="AF103" s="450" t="s">
        <v>2254</v>
      </c>
      <c r="AG103" s="318" t="str">
        <f>IF(A103=FALSE,"",YEAR(Detail!F103)&amp;Detail!AG103&amp;Detail!AD103&amp;"-"&amp;Detail!AE103)</f>
        <v/>
      </c>
      <c r="AH103" s="1134" t="s">
        <v>2224</v>
      </c>
      <c r="AI103" s="1135">
        <v>0</v>
      </c>
      <c r="AJ103" s="828">
        <f t="shared" si="26"/>
        <v>0</v>
      </c>
      <c r="AK103" s="828">
        <f t="shared" si="27"/>
        <v>0</v>
      </c>
      <c r="AL103" s="828">
        <f t="shared" si="28"/>
        <v>0</v>
      </c>
      <c r="AM103" s="1135" t="s">
        <v>2224</v>
      </c>
      <c r="AN103" s="1455">
        <v>15.1752</v>
      </c>
      <c r="AO103" s="436">
        <v>0</v>
      </c>
      <c r="AP103" s="254">
        <v>1</v>
      </c>
      <c r="AQ103" s="254">
        <v>0</v>
      </c>
      <c r="AS103" s="1127"/>
      <c r="AT103" s="239" t="s">
        <v>2140</v>
      </c>
      <c r="AU103" s="1136" t="s">
        <v>2255</v>
      </c>
      <c r="AV103" s="1136" t="str">
        <f>IF(A103=FALSE,"",IF(Detail!AT103="","N/A",YEAR(Detail!F103)&amp;Detail!AW103&amp;Detail!AT103&amp;"-"&amp;Detail!AU103&amp;" (100%/"&amp;Detail!CD103&amp;"/"&amp;Detail!CE103&amp;")"))</f>
        <v/>
      </c>
      <c r="AW103" s="1136" t="s">
        <v>2224</v>
      </c>
      <c r="AX103" s="1320" t="str">
        <f>Calcul!DB103</f>
        <v/>
      </c>
      <c r="AY103" s="1298" t="str">
        <f>IF(A103=FALSE,"",51000+(Detail!AA103*7000))</f>
        <v/>
      </c>
      <c r="AZ103" s="1170">
        <v>50000</v>
      </c>
      <c r="BA103" s="243">
        <v>3</v>
      </c>
      <c r="BB103" s="1135">
        <v>0</v>
      </c>
      <c r="BC103" s="1298" t="str">
        <f>IF(A103=FALSE,"",51000+(Detail!AA103*7000))</f>
        <v/>
      </c>
      <c r="BD103" s="1298">
        <f t="shared" si="34"/>
        <v>50000</v>
      </c>
      <c r="BE103" s="1299">
        <f t="shared" si="35"/>
        <v>3</v>
      </c>
      <c r="BF103" s="1284">
        <f t="shared" si="36"/>
        <v>0</v>
      </c>
      <c r="BG103" s="397" t="str">
        <f t="shared" si="29"/>
        <v/>
      </c>
      <c r="BH103" s="1138">
        <v>50000</v>
      </c>
      <c r="BI103" s="243">
        <v>3</v>
      </c>
      <c r="BJ103" s="254">
        <v>0</v>
      </c>
      <c r="BK103" s="397" t="str">
        <f t="shared" si="30"/>
        <v/>
      </c>
      <c r="BL103" s="1138">
        <v>50000</v>
      </c>
      <c r="BM103" s="243">
        <v>3</v>
      </c>
      <c r="BN103" s="254">
        <v>0</v>
      </c>
      <c r="BO103" s="239">
        <v>7</v>
      </c>
      <c r="BP103" s="1075">
        <v>365</v>
      </c>
      <c r="BQ103" s="244">
        <v>1</v>
      </c>
      <c r="BR103" s="254">
        <v>0</v>
      </c>
      <c r="BS103" s="239">
        <f t="shared" si="31"/>
        <v>7</v>
      </c>
      <c r="BT103" s="241">
        <f t="shared" si="32"/>
        <v>365</v>
      </c>
      <c r="BU103" s="253">
        <v>1</v>
      </c>
      <c r="BV103" s="254">
        <v>0</v>
      </c>
      <c r="BW103" s="254" t="s">
        <v>2224</v>
      </c>
      <c r="BX103" s="257">
        <v>0</v>
      </c>
      <c r="BY103" s="436">
        <v>0</v>
      </c>
      <c r="BZ103" s="254">
        <v>1</v>
      </c>
      <c r="CA103" s="254">
        <v>0</v>
      </c>
      <c r="CB103" s="1296"/>
      <c r="CD103" s="1136" t="str">
        <f>IF(A103=FALSE,"",Calcul!NZ103)</f>
        <v/>
      </c>
      <c r="CE103" s="1136" t="s">
        <v>2224</v>
      </c>
      <c r="CF103" s="1132" t="s">
        <v>2138</v>
      </c>
      <c r="CG103" s="1136" t="s">
        <v>2254</v>
      </c>
      <c r="CH103" s="1135" t="s">
        <v>2224</v>
      </c>
      <c r="CI103" s="257">
        <v>0</v>
      </c>
      <c r="CJ103" s="436">
        <v>0</v>
      </c>
      <c r="CK103" s="1135">
        <v>1</v>
      </c>
      <c r="CL103" s="1135">
        <v>0</v>
      </c>
      <c r="CM103" s="1170">
        <v>100000</v>
      </c>
      <c r="CN103" s="243">
        <v>2</v>
      </c>
      <c r="CO103" s="254">
        <v>0</v>
      </c>
      <c r="CP103" s="1298">
        <f t="shared" si="37"/>
        <v>100000</v>
      </c>
      <c r="CQ103" s="243">
        <v>2</v>
      </c>
      <c r="CR103" s="254">
        <v>0</v>
      </c>
    </row>
    <row r="104" spans="1:96" s="383" customFormat="1" ht="30" customHeight="1" outlineLevel="1">
      <c r="A104" s="396" t="b">
        <f>Calcul!A104</f>
        <v>0</v>
      </c>
      <c r="B104" s="438" t="str">
        <f t="shared" si="25"/>
        <v/>
      </c>
      <c r="C104" s="1132" t="b">
        <v>0</v>
      </c>
      <c r="D104" s="1133" t="s">
        <v>2293</v>
      </c>
      <c r="E104" s="241" t="s">
        <v>2139</v>
      </c>
      <c r="F104" s="338" t="str">
        <f>IF(A104=FALSE,"",IF(NAMES!$D$10=FALSE,IF(Detail!H104="","",Detail!H104),IF(Crewlist!D104="","",Crewlist!D104)))</f>
        <v/>
      </c>
      <c r="G104" s="338" t="str">
        <f>IF(A104=FALSE,"",IF(NAMES!$D$10=FALSE,IF(Detail!P104="","",Detail!P104),IF(Crewlist!E104="","",Crewlist!E104)))</f>
        <v/>
      </c>
      <c r="H104" s="338" t="str">
        <f>IF(A104=FALSE,"",IF(NAMES!$D$10=FALSE,IF(Detail!K104="","",Detail!K104),IF(Crewlist!F104="","",Crewlist!F104)))</f>
        <v/>
      </c>
      <c r="I104" s="1345" t="str">
        <f>IF(Crewlist!T104="","",Crewlist!T104)</f>
        <v/>
      </c>
      <c r="J104" s="1345" t="str">
        <f>IF(Crewlist!D104="","",IF(Crewlist!U104="",Crewlist!Y104,IF(DATERENOUVMOINS730&lt;&gt;Crewlist!U104&lt;&gt;Crewlist!Y104,Crewlist!U104,DATERENOUVMOINS365)))</f>
        <v/>
      </c>
      <c r="K104" s="1346" t="str">
        <f>IF(Detail!X104="","",Detail!X104)</f>
        <v/>
      </c>
      <c r="L104" s="1346" t="str">
        <f>IF(Detail!H104="","",IF(Detail!Y104="",DATERENOUV,IF(Detail!Y104&gt;Detail!D104,Detail!D104,Detail!Y104)))</f>
        <v/>
      </c>
      <c r="M104" s="829" t="str">
        <f>IF(A104=FALSE,"",IF(NAMES!$D$10=FALSE,IF(B104=B105,IF(N104=N105,0,(DATEDIF(K104,L104,"M")+1)),(DATEDIF(K104,L104,"M")+1)),IF(B104=B105,IF(N104=N105,0,(DATEDIF(I104,J104,"M")+1)),(DATEDIF(I104,J104,"M")+1))))</f>
        <v/>
      </c>
      <c r="N104" s="339" t="str">
        <f t="shared" si="33"/>
        <v/>
      </c>
      <c r="O104" s="340" t="str">
        <f>IF(A104=FALSE,"",IF(NAMES!$D$10=FALSE,IF((DATEDIF(K104,L104,"D")+1)&lt;365,(DATEDIF(K104,L104,"D")+1),365),IF((DATEDIF(I104,J104,"D")+1)&lt;365,(DATEDIF(I104,J104,"D")+1),365)))</f>
        <v/>
      </c>
      <c r="P104" s="340" t="str">
        <f>IF(A104=FALSE,"",IF(NAMES!$D$10=FALSE,IF(L104="",365,DATEDIF(K104,L104,"D")+1),IF(L104="",365,DATEDIF(I104,J104,"D")+1)))</f>
        <v/>
      </c>
      <c r="Q104" s="787" t="str">
        <f>Calcul!X104</f>
        <v/>
      </c>
      <c r="R104" s="787" t="str">
        <f>Calcul!Y104</f>
        <v/>
      </c>
      <c r="S104" s="811" t="str">
        <f>Calcul!AG104</f>
        <v/>
      </c>
      <c r="T104" s="350" t="str">
        <f>IF(A104=FALSE,"",IF(NAMES!$D$10=FALSE,IF(Detail!S104="","",Detail!S104),IF(Crewlist!V104="","",Crewlist!V104)))</f>
        <v/>
      </c>
      <c r="U104" s="242" t="str">
        <f>Calcul!AI104</f>
        <v/>
      </c>
      <c r="V104" s="242" t="str">
        <f>Calcul!AL104</f>
        <v/>
      </c>
      <c r="W104" s="242" t="str">
        <f>Calcul!AM104</f>
        <v/>
      </c>
      <c r="X104" s="335" t="str">
        <f>Calcul!AN104</f>
        <v/>
      </c>
      <c r="Y104" s="242" t="str">
        <f>Calcul!AO104</f>
        <v/>
      </c>
      <c r="Z104" s="242" t="str">
        <f>Calcul!AP104</f>
        <v/>
      </c>
      <c r="AA104" s="335" t="str">
        <f>Calcul!AQ104</f>
        <v/>
      </c>
      <c r="AB104" s="335" t="str">
        <f>IF(C104=FALSE,"",Calcul!BE104+Calcul!BF104)</f>
        <v/>
      </c>
      <c r="AC104" s="335" t="str">
        <f>IF(C104=FALSE,"",(Calcul!BG104+Calcul!BH104)+SUM(Calcul!BI104:BN104))</f>
        <v/>
      </c>
      <c r="AD104" s="335" t="str">
        <f>Calcul!BP104</f>
        <v/>
      </c>
      <c r="AE104" s="1325" t="s">
        <v>2866</v>
      </c>
      <c r="AF104" s="450" t="s">
        <v>2254</v>
      </c>
      <c r="AG104" s="318" t="str">
        <f>IF(A104=FALSE,"",YEAR(Detail!F104)&amp;Detail!AG104&amp;Detail!AD104&amp;"-"&amp;Detail!AE104)</f>
        <v/>
      </c>
      <c r="AH104" s="1134" t="s">
        <v>2224</v>
      </c>
      <c r="AI104" s="1135">
        <v>0</v>
      </c>
      <c r="AJ104" s="828">
        <f t="shared" si="26"/>
        <v>0</v>
      </c>
      <c r="AK104" s="828">
        <f t="shared" si="27"/>
        <v>0</v>
      </c>
      <c r="AL104" s="828">
        <f t="shared" si="28"/>
        <v>0</v>
      </c>
      <c r="AM104" s="1135" t="s">
        <v>2224</v>
      </c>
      <c r="AN104" s="1455">
        <v>15.1752</v>
      </c>
      <c r="AO104" s="436">
        <v>0</v>
      </c>
      <c r="AP104" s="254">
        <v>1</v>
      </c>
      <c r="AQ104" s="254">
        <v>0</v>
      </c>
      <c r="AS104" s="1127"/>
      <c r="AT104" s="239" t="s">
        <v>2140</v>
      </c>
      <c r="AU104" s="1136" t="s">
        <v>2255</v>
      </c>
      <c r="AV104" s="1136" t="str">
        <f>IF(A104=FALSE,"",IF(Detail!AT104="","N/A",YEAR(Detail!F104)&amp;Detail!AW104&amp;Detail!AT104&amp;"-"&amp;Detail!AU104&amp;" (100%/"&amp;Detail!CD104&amp;"/"&amp;Detail!CE104&amp;")"))</f>
        <v/>
      </c>
      <c r="AW104" s="1136" t="s">
        <v>2224</v>
      </c>
      <c r="AX104" s="1320" t="str">
        <f>Calcul!DB104</f>
        <v/>
      </c>
      <c r="AY104" s="1298" t="str">
        <f>IF(A104=FALSE,"",51000+(Detail!AA104*7000))</f>
        <v/>
      </c>
      <c r="AZ104" s="1170">
        <v>50000</v>
      </c>
      <c r="BA104" s="243">
        <v>3</v>
      </c>
      <c r="BB104" s="1135">
        <v>0</v>
      </c>
      <c r="BC104" s="1298" t="str">
        <f>IF(A104=FALSE,"",51000+(Detail!AA104*7000))</f>
        <v/>
      </c>
      <c r="BD104" s="1298">
        <f t="shared" si="34"/>
        <v>50000</v>
      </c>
      <c r="BE104" s="1299">
        <f t="shared" si="35"/>
        <v>3</v>
      </c>
      <c r="BF104" s="1284">
        <f t="shared" si="36"/>
        <v>0</v>
      </c>
      <c r="BG104" s="397" t="str">
        <f t="shared" si="29"/>
        <v/>
      </c>
      <c r="BH104" s="1138">
        <v>50000</v>
      </c>
      <c r="BI104" s="243">
        <v>3</v>
      </c>
      <c r="BJ104" s="254">
        <v>0</v>
      </c>
      <c r="BK104" s="397" t="str">
        <f t="shared" si="30"/>
        <v/>
      </c>
      <c r="BL104" s="1138">
        <v>50000</v>
      </c>
      <c r="BM104" s="243">
        <v>3</v>
      </c>
      <c r="BN104" s="254">
        <v>0</v>
      </c>
      <c r="BO104" s="239">
        <v>7</v>
      </c>
      <c r="BP104" s="1075">
        <v>365</v>
      </c>
      <c r="BQ104" s="244">
        <v>1</v>
      </c>
      <c r="BR104" s="254">
        <v>0</v>
      </c>
      <c r="BS104" s="239">
        <f t="shared" si="31"/>
        <v>7</v>
      </c>
      <c r="BT104" s="241">
        <f t="shared" si="32"/>
        <v>365</v>
      </c>
      <c r="BU104" s="253">
        <v>1</v>
      </c>
      <c r="BV104" s="254">
        <v>0</v>
      </c>
      <c r="BW104" s="254" t="s">
        <v>2224</v>
      </c>
      <c r="BX104" s="257">
        <v>0</v>
      </c>
      <c r="BY104" s="436">
        <v>0</v>
      </c>
      <c r="BZ104" s="254">
        <v>1</v>
      </c>
      <c r="CA104" s="254">
        <v>0</v>
      </c>
      <c r="CB104" s="1296"/>
      <c r="CD104" s="1136" t="str">
        <f>IF(A104=FALSE,"",Calcul!NZ104)</f>
        <v/>
      </c>
      <c r="CE104" s="1136" t="s">
        <v>2224</v>
      </c>
      <c r="CF104" s="1132" t="s">
        <v>2138</v>
      </c>
      <c r="CG104" s="1136" t="s">
        <v>2254</v>
      </c>
      <c r="CH104" s="1135" t="s">
        <v>2224</v>
      </c>
      <c r="CI104" s="257">
        <v>0</v>
      </c>
      <c r="CJ104" s="436">
        <v>0</v>
      </c>
      <c r="CK104" s="1135">
        <v>1</v>
      </c>
      <c r="CL104" s="1135">
        <v>0</v>
      </c>
      <c r="CM104" s="1170">
        <v>100000</v>
      </c>
      <c r="CN104" s="243">
        <v>2</v>
      </c>
      <c r="CO104" s="254">
        <v>0</v>
      </c>
      <c r="CP104" s="1298">
        <f t="shared" si="37"/>
        <v>100000</v>
      </c>
      <c r="CQ104" s="243">
        <v>2</v>
      </c>
      <c r="CR104" s="254">
        <v>0</v>
      </c>
    </row>
    <row r="105" spans="1:96" s="383" customFormat="1" ht="30" customHeight="1" outlineLevel="1">
      <c r="A105" s="396" t="b">
        <f>Calcul!A105</f>
        <v>0</v>
      </c>
      <c r="B105" s="438" t="str">
        <f t="shared" si="25"/>
        <v/>
      </c>
      <c r="C105" s="1132" t="b">
        <v>0</v>
      </c>
      <c r="D105" s="827" t="s">
        <v>2293</v>
      </c>
      <c r="E105" s="241" t="s">
        <v>2139</v>
      </c>
      <c r="F105" s="338" t="str">
        <f>IF(A105=FALSE,"",IF(NAMES!$D$10=FALSE,IF(Detail!H105="","",Detail!H105),IF(Crewlist!D105="","",Crewlist!D105)))</f>
        <v/>
      </c>
      <c r="G105" s="338" t="str">
        <f>IF(A105=FALSE,"",IF(NAMES!$D$10=FALSE,IF(Detail!P105="","",Detail!P105),IF(Crewlist!E105="","",Crewlist!E105)))</f>
        <v/>
      </c>
      <c r="H105" s="338" t="str">
        <f>IF(A105=FALSE,"",IF(NAMES!$D$10=FALSE,IF(Detail!K105="","",Detail!K105),IF(Crewlist!F105="","",Crewlist!F105)))</f>
        <v/>
      </c>
      <c r="I105" s="1345" t="str">
        <f>IF(Crewlist!T105="","",Crewlist!T105)</f>
        <v/>
      </c>
      <c r="J105" s="1345" t="str">
        <f>IF(Crewlist!D105="","",IF(Crewlist!U105="",Crewlist!Y105,IF(DATERENOUVMOINS730&lt;&gt;Crewlist!U105&lt;&gt;Crewlist!Y105,Crewlist!U105,DATERENOUVMOINS365)))</f>
        <v/>
      </c>
      <c r="K105" s="1346" t="str">
        <f>IF(Detail!X105="","",Detail!X105)</f>
        <v/>
      </c>
      <c r="L105" s="1346" t="str">
        <f>IF(Detail!H105="","",IF(Detail!Y105="",DATERENOUV,IF(Detail!Y105&gt;Detail!D105,Detail!D105,Detail!Y105)))</f>
        <v/>
      </c>
      <c r="M105" s="829" t="str">
        <f>IF(A105=FALSE,"",IF(NAMES!$D$10=FALSE,IF(B105=B106,IF(N105=N106,0,(DATEDIF(K105,L105,"M")+1)),(DATEDIF(K105,L105,"M")+1)),IF(B105=B106,IF(N105=N106,0,(DATEDIF(I105,J105,"M")+1)),(DATEDIF(I105,J105,"M")+1))))</f>
        <v/>
      </c>
      <c r="N105" s="339" t="str">
        <f t="shared" si="33"/>
        <v/>
      </c>
      <c r="O105" s="340" t="str">
        <f>IF(A105=FALSE,"",IF(NAMES!$D$10=FALSE,IF((DATEDIF(K105,L105,"D")+1)&lt;365,(DATEDIF(K105,L105,"D")+1),365),IF((DATEDIF(I105,J105,"D")+1)&lt;365,(DATEDIF(I105,J105,"D")+1),365)))</f>
        <v/>
      </c>
      <c r="P105" s="340" t="str">
        <f>IF(A105=FALSE,"",IF(NAMES!$D$10=FALSE,IF(L105="",365,DATEDIF(K105,L105,"D")+1),IF(L105="",365,DATEDIF(I105,J105,"D")+1)))</f>
        <v/>
      </c>
      <c r="Q105" s="787" t="str">
        <f>Calcul!X105</f>
        <v/>
      </c>
      <c r="R105" s="787" t="str">
        <f>Calcul!Y105</f>
        <v/>
      </c>
      <c r="S105" s="811" t="str">
        <f>Calcul!AG105</f>
        <v/>
      </c>
      <c r="T105" s="350" t="str">
        <f>IF(A105=FALSE,"",IF(NAMES!$D$10=FALSE,IF(Detail!S105="","",Detail!S105),IF(Crewlist!V105="","",Crewlist!V105)))</f>
        <v/>
      </c>
      <c r="U105" s="242" t="str">
        <f>Calcul!AI105</f>
        <v/>
      </c>
      <c r="V105" s="242" t="str">
        <f>Calcul!AL105</f>
        <v/>
      </c>
      <c r="W105" s="242" t="str">
        <f>Calcul!AM105</f>
        <v/>
      </c>
      <c r="X105" s="335" t="str">
        <f>Calcul!AN105</f>
        <v/>
      </c>
      <c r="Y105" s="242" t="str">
        <f>Calcul!AO105</f>
        <v/>
      </c>
      <c r="Z105" s="242" t="str">
        <f>Calcul!AP105</f>
        <v/>
      </c>
      <c r="AA105" s="335" t="str">
        <f>Calcul!AQ105</f>
        <v/>
      </c>
      <c r="AB105" s="335" t="str">
        <f>IF(C105=FALSE,"",Calcul!BE105+Calcul!BF105)</f>
        <v/>
      </c>
      <c r="AC105" s="335" t="str">
        <f>IF(C105=FALSE,"",(Calcul!BG105+Calcul!BH105)+SUM(Calcul!BI105:BN105))</f>
        <v/>
      </c>
      <c r="AD105" s="335" t="str">
        <f>Calcul!BP105</f>
        <v/>
      </c>
      <c r="AE105" s="1325" t="s">
        <v>2866</v>
      </c>
      <c r="AF105" s="450" t="s">
        <v>2254</v>
      </c>
      <c r="AG105" s="318" t="str">
        <f>IF(A105=FALSE,"",YEAR(Detail!F105)&amp;Detail!AG105&amp;Detail!AD105&amp;"-"&amp;Detail!AE105)</f>
        <v/>
      </c>
      <c r="AH105" s="1134" t="s">
        <v>2224</v>
      </c>
      <c r="AI105" s="1135">
        <v>0</v>
      </c>
      <c r="AJ105" s="828">
        <f t="shared" si="26"/>
        <v>0</v>
      </c>
      <c r="AK105" s="828">
        <f t="shared" si="27"/>
        <v>0</v>
      </c>
      <c r="AL105" s="828">
        <f t="shared" si="28"/>
        <v>0</v>
      </c>
      <c r="AM105" s="1135" t="s">
        <v>2224</v>
      </c>
      <c r="AN105" s="1455">
        <v>15.1752</v>
      </c>
      <c r="AO105" s="436">
        <v>0</v>
      </c>
      <c r="AP105" s="254">
        <v>1</v>
      </c>
      <c r="AQ105" s="254">
        <v>0</v>
      </c>
      <c r="AS105" s="1127"/>
      <c r="AT105" s="239" t="s">
        <v>2140</v>
      </c>
      <c r="AU105" s="1136" t="s">
        <v>2255</v>
      </c>
      <c r="AV105" s="1136" t="str">
        <f>IF(A105=FALSE,"",IF(Detail!AT105="","N/A",YEAR(Detail!F105)&amp;Detail!AW105&amp;Detail!AT105&amp;"-"&amp;Detail!AU105&amp;" (100%/"&amp;Detail!CD105&amp;"/"&amp;Detail!CE105&amp;")"))</f>
        <v/>
      </c>
      <c r="AW105" s="1136" t="s">
        <v>2224</v>
      </c>
      <c r="AX105" s="1320" t="str">
        <f>Calcul!DB105</f>
        <v/>
      </c>
      <c r="AY105" s="1298" t="str">
        <f>IF(A105=FALSE,"",51000+(Detail!AA105*7000))</f>
        <v/>
      </c>
      <c r="AZ105" s="1170">
        <v>50000</v>
      </c>
      <c r="BA105" s="243">
        <v>3</v>
      </c>
      <c r="BB105" s="1135">
        <v>0</v>
      </c>
      <c r="BC105" s="1298" t="str">
        <f>IF(A105=FALSE,"",51000+(Detail!AA105*7000))</f>
        <v/>
      </c>
      <c r="BD105" s="1298">
        <f t="shared" si="34"/>
        <v>50000</v>
      </c>
      <c r="BE105" s="1299">
        <f t="shared" si="35"/>
        <v>3</v>
      </c>
      <c r="BF105" s="1284">
        <f t="shared" si="36"/>
        <v>0</v>
      </c>
      <c r="BG105" s="397" t="str">
        <f t="shared" si="29"/>
        <v/>
      </c>
      <c r="BH105" s="1138">
        <v>50000</v>
      </c>
      <c r="BI105" s="243">
        <v>3</v>
      </c>
      <c r="BJ105" s="254">
        <v>0</v>
      </c>
      <c r="BK105" s="397" t="str">
        <f t="shared" si="30"/>
        <v/>
      </c>
      <c r="BL105" s="1138">
        <v>50000</v>
      </c>
      <c r="BM105" s="243">
        <v>3</v>
      </c>
      <c r="BN105" s="254">
        <v>0</v>
      </c>
      <c r="BO105" s="239">
        <v>7</v>
      </c>
      <c r="BP105" s="1075">
        <v>365</v>
      </c>
      <c r="BQ105" s="244">
        <v>1</v>
      </c>
      <c r="BR105" s="254">
        <v>0</v>
      </c>
      <c r="BS105" s="239">
        <f t="shared" si="31"/>
        <v>7</v>
      </c>
      <c r="BT105" s="241">
        <f t="shared" si="32"/>
        <v>365</v>
      </c>
      <c r="BU105" s="253">
        <v>1</v>
      </c>
      <c r="BV105" s="254">
        <v>0</v>
      </c>
      <c r="BW105" s="254" t="s">
        <v>2224</v>
      </c>
      <c r="BX105" s="257">
        <v>0</v>
      </c>
      <c r="BY105" s="436">
        <v>0</v>
      </c>
      <c r="BZ105" s="254">
        <v>1</v>
      </c>
      <c r="CA105" s="254">
        <v>0</v>
      </c>
      <c r="CB105" s="1296"/>
      <c r="CD105" s="1136" t="str">
        <f>IF(A105=FALSE,"",Calcul!NZ105)</f>
        <v/>
      </c>
      <c r="CE105" s="1136" t="s">
        <v>2224</v>
      </c>
      <c r="CF105" s="1132" t="s">
        <v>2138</v>
      </c>
      <c r="CG105" s="1136" t="s">
        <v>2254</v>
      </c>
      <c r="CH105" s="1135" t="s">
        <v>2224</v>
      </c>
      <c r="CI105" s="257">
        <v>0</v>
      </c>
      <c r="CJ105" s="436">
        <v>0</v>
      </c>
      <c r="CK105" s="1135">
        <v>1</v>
      </c>
      <c r="CL105" s="1135">
        <v>0</v>
      </c>
      <c r="CM105" s="1170">
        <v>100000</v>
      </c>
      <c r="CN105" s="243">
        <v>2</v>
      </c>
      <c r="CO105" s="254">
        <v>0</v>
      </c>
      <c r="CP105" s="1298">
        <f t="shared" si="37"/>
        <v>100000</v>
      </c>
      <c r="CQ105" s="243">
        <v>2</v>
      </c>
      <c r="CR105" s="254">
        <v>0</v>
      </c>
    </row>
    <row r="106" spans="1:96" s="383" customFormat="1" ht="30" customHeight="1" outlineLevel="1">
      <c r="A106" s="396" t="b">
        <f>Calcul!A106</f>
        <v>0</v>
      </c>
      <c r="B106" s="438" t="str">
        <f t="shared" si="25"/>
        <v/>
      </c>
      <c r="C106" s="1132" t="b">
        <v>0</v>
      </c>
      <c r="D106" s="827" t="s">
        <v>2293</v>
      </c>
      <c r="E106" s="241" t="s">
        <v>2139</v>
      </c>
      <c r="F106" s="338" t="str">
        <f>IF(A106=FALSE,"",IF(NAMES!$D$10=FALSE,IF(Detail!H106="","",Detail!H106),IF(Crewlist!D106="","",Crewlist!D106)))</f>
        <v/>
      </c>
      <c r="G106" s="338" t="str">
        <f>IF(A106=FALSE,"",IF(NAMES!$D$10=FALSE,IF(Detail!P106="","",Detail!P106),IF(Crewlist!E106="","",Crewlist!E106)))</f>
        <v/>
      </c>
      <c r="H106" s="338" t="str">
        <f>IF(A106=FALSE,"",IF(NAMES!$D$10=FALSE,IF(Detail!K106="","",Detail!K106),IF(Crewlist!F106="","",Crewlist!F106)))</f>
        <v/>
      </c>
      <c r="I106" s="1345" t="str">
        <f>IF(Crewlist!T106="","",Crewlist!T106)</f>
        <v/>
      </c>
      <c r="J106" s="1345" t="str">
        <f>IF(Crewlist!D106="","",IF(Crewlist!U106="",Crewlist!Y106,IF(DATERENOUVMOINS730&lt;&gt;Crewlist!U106&lt;&gt;Crewlist!Y106,Crewlist!U106,DATERENOUVMOINS365)))</f>
        <v/>
      </c>
      <c r="K106" s="1346" t="str">
        <f>IF(Detail!X106="","",Detail!X106)</f>
        <v/>
      </c>
      <c r="L106" s="1346" t="str">
        <f>IF(Detail!H106="","",IF(Detail!Y106="",DATERENOUV,IF(Detail!Y106&gt;Detail!D106,Detail!D106,Detail!Y106)))</f>
        <v/>
      </c>
      <c r="M106" s="829" t="str">
        <f>IF(A106=FALSE,"",IF(NAMES!$D$10=FALSE,IF(B106=B107,IF(N106=N107,0,(DATEDIF(K106,L106,"M")+1)),(DATEDIF(K106,L106,"M")+1)),IF(B106=B107,IF(N106=N107,0,(DATEDIF(I106,J106,"M")+1)),(DATEDIF(I106,J106,"M")+1))))</f>
        <v/>
      </c>
      <c r="N106" s="339" t="str">
        <f t="shared" si="33"/>
        <v/>
      </c>
      <c r="O106" s="340" t="str">
        <f>IF(A106=FALSE,"",IF(NAMES!$D$10=FALSE,IF((DATEDIF(K106,L106,"D")+1)&lt;365,(DATEDIF(K106,L106,"D")+1),365),IF((DATEDIF(I106,J106,"D")+1)&lt;365,(DATEDIF(I106,J106,"D")+1),365)))</f>
        <v/>
      </c>
      <c r="P106" s="340" t="str">
        <f>IF(A106=FALSE,"",IF(NAMES!$D$10=FALSE,IF(L106="",365,DATEDIF(K106,L106,"D")+1),IF(L106="",365,DATEDIF(I106,J106,"D")+1)))</f>
        <v/>
      </c>
      <c r="Q106" s="787" t="str">
        <f>Calcul!X106</f>
        <v/>
      </c>
      <c r="R106" s="787" t="str">
        <f>Calcul!Y106</f>
        <v/>
      </c>
      <c r="S106" s="811" t="str">
        <f>Calcul!AG106</f>
        <v/>
      </c>
      <c r="T106" s="350" t="str">
        <f>IF(A106=FALSE,"",IF(NAMES!$D$10=FALSE,IF(Detail!S106="","",Detail!S106),IF(Crewlist!V106="","",Crewlist!V106)))</f>
        <v/>
      </c>
      <c r="U106" s="242" t="str">
        <f>Calcul!AI106</f>
        <v/>
      </c>
      <c r="V106" s="242" t="str">
        <f>Calcul!AL106</f>
        <v/>
      </c>
      <c r="W106" s="242" t="str">
        <f>Calcul!AM106</f>
        <v/>
      </c>
      <c r="X106" s="335" t="str">
        <f>Calcul!AN106</f>
        <v/>
      </c>
      <c r="Y106" s="242" t="str">
        <f>Calcul!AO106</f>
        <v/>
      </c>
      <c r="Z106" s="242" t="str">
        <f>Calcul!AP106</f>
        <v/>
      </c>
      <c r="AA106" s="335" t="str">
        <f>Calcul!AQ106</f>
        <v/>
      </c>
      <c r="AB106" s="335" t="str">
        <f>IF(C106=FALSE,"",Calcul!BE106+Calcul!BF106)</f>
        <v/>
      </c>
      <c r="AC106" s="335" t="str">
        <f>IF(C106=FALSE,"",(Calcul!BG106+Calcul!BH106)+SUM(Calcul!BI106:BN106))</f>
        <v/>
      </c>
      <c r="AD106" s="335" t="str">
        <f>Calcul!BP106</f>
        <v/>
      </c>
      <c r="AE106" s="1325" t="s">
        <v>2866</v>
      </c>
      <c r="AF106" s="450" t="s">
        <v>2254</v>
      </c>
      <c r="AG106" s="318" t="str">
        <f>IF(A106=FALSE,"",YEAR(Detail!F106)&amp;Detail!AG106&amp;Detail!AD106&amp;"-"&amp;Detail!AE106)</f>
        <v/>
      </c>
      <c r="AH106" s="1134" t="s">
        <v>2224</v>
      </c>
      <c r="AI106" s="1135">
        <v>0</v>
      </c>
      <c r="AJ106" s="828">
        <f t="shared" si="26"/>
        <v>0</v>
      </c>
      <c r="AK106" s="828">
        <f t="shared" si="27"/>
        <v>0</v>
      </c>
      <c r="AL106" s="828">
        <f t="shared" si="28"/>
        <v>0</v>
      </c>
      <c r="AM106" s="1135" t="s">
        <v>2224</v>
      </c>
      <c r="AN106" s="1455">
        <v>15.1752</v>
      </c>
      <c r="AO106" s="436">
        <v>0</v>
      </c>
      <c r="AP106" s="254">
        <v>1</v>
      </c>
      <c r="AQ106" s="254">
        <v>0</v>
      </c>
      <c r="AS106" s="1127"/>
      <c r="AT106" s="239" t="s">
        <v>2140</v>
      </c>
      <c r="AU106" s="1136" t="s">
        <v>2255</v>
      </c>
      <c r="AV106" s="1136" t="str">
        <f>IF(A106=FALSE,"",IF(Detail!AT106="","N/A",YEAR(Detail!F106)&amp;Detail!AW106&amp;Detail!AT106&amp;"-"&amp;Detail!AU106&amp;" (100%/"&amp;Detail!CD106&amp;"/"&amp;Detail!CE106&amp;")"))</f>
        <v/>
      </c>
      <c r="AW106" s="1136" t="s">
        <v>2224</v>
      </c>
      <c r="AX106" s="1320" t="str">
        <f>Calcul!DB106</f>
        <v/>
      </c>
      <c r="AY106" s="1298" t="str">
        <f>IF(A106=FALSE,"",51000+(Detail!AA106*7000))</f>
        <v/>
      </c>
      <c r="AZ106" s="1170">
        <v>50000</v>
      </c>
      <c r="BA106" s="243">
        <v>3</v>
      </c>
      <c r="BB106" s="1135">
        <v>0</v>
      </c>
      <c r="BC106" s="1298" t="str">
        <f>IF(A106=FALSE,"",51000+(Detail!AA106*7000))</f>
        <v/>
      </c>
      <c r="BD106" s="1298">
        <f t="shared" si="34"/>
        <v>50000</v>
      </c>
      <c r="BE106" s="1299">
        <f t="shared" si="35"/>
        <v>3</v>
      </c>
      <c r="BF106" s="1284">
        <f t="shared" si="36"/>
        <v>0</v>
      </c>
      <c r="BG106" s="397" t="str">
        <f t="shared" si="29"/>
        <v/>
      </c>
      <c r="BH106" s="1138">
        <v>50000</v>
      </c>
      <c r="BI106" s="243">
        <v>3</v>
      </c>
      <c r="BJ106" s="254">
        <v>0</v>
      </c>
      <c r="BK106" s="397" t="str">
        <f t="shared" si="30"/>
        <v/>
      </c>
      <c r="BL106" s="1138">
        <v>50000</v>
      </c>
      <c r="BM106" s="243">
        <v>3</v>
      </c>
      <c r="BN106" s="254">
        <v>0</v>
      </c>
      <c r="BO106" s="239">
        <v>7</v>
      </c>
      <c r="BP106" s="1075">
        <v>365</v>
      </c>
      <c r="BQ106" s="244">
        <v>1</v>
      </c>
      <c r="BR106" s="254">
        <v>0</v>
      </c>
      <c r="BS106" s="239">
        <f t="shared" si="31"/>
        <v>7</v>
      </c>
      <c r="BT106" s="241">
        <f t="shared" si="32"/>
        <v>365</v>
      </c>
      <c r="BU106" s="253">
        <v>1</v>
      </c>
      <c r="BV106" s="254">
        <v>0</v>
      </c>
      <c r="BW106" s="254" t="s">
        <v>2224</v>
      </c>
      <c r="BX106" s="257">
        <v>0</v>
      </c>
      <c r="BY106" s="436">
        <v>0</v>
      </c>
      <c r="BZ106" s="254">
        <v>1</v>
      </c>
      <c r="CA106" s="254">
        <v>0</v>
      </c>
      <c r="CB106" s="1296"/>
      <c r="CD106" s="1136" t="str">
        <f>IF(A106=FALSE,"",Calcul!NZ106)</f>
        <v/>
      </c>
      <c r="CE106" s="1136" t="s">
        <v>2224</v>
      </c>
      <c r="CF106" s="1132" t="s">
        <v>2138</v>
      </c>
      <c r="CG106" s="1136" t="s">
        <v>2254</v>
      </c>
      <c r="CH106" s="1135" t="s">
        <v>2224</v>
      </c>
      <c r="CI106" s="257">
        <v>0</v>
      </c>
      <c r="CJ106" s="436">
        <v>0</v>
      </c>
      <c r="CK106" s="1135">
        <v>1</v>
      </c>
      <c r="CL106" s="1135">
        <v>0</v>
      </c>
      <c r="CM106" s="1170">
        <v>100000</v>
      </c>
      <c r="CN106" s="243">
        <v>2</v>
      </c>
      <c r="CO106" s="254">
        <v>0</v>
      </c>
      <c r="CP106" s="1298">
        <f t="shared" si="37"/>
        <v>100000</v>
      </c>
      <c r="CQ106" s="243">
        <v>2</v>
      </c>
      <c r="CR106" s="254">
        <v>0</v>
      </c>
    </row>
    <row r="107" spans="1:96" s="383" customFormat="1" ht="30" customHeight="1" outlineLevel="1">
      <c r="A107" s="396" t="b">
        <f>Calcul!A107</f>
        <v>0</v>
      </c>
      <c r="B107" s="438" t="str">
        <f t="shared" si="25"/>
        <v/>
      </c>
      <c r="C107" s="1132" t="b">
        <v>0</v>
      </c>
      <c r="D107" s="827" t="s">
        <v>2293</v>
      </c>
      <c r="E107" s="241" t="s">
        <v>2139</v>
      </c>
      <c r="F107" s="338" t="str">
        <f>IF(A107=FALSE,"",IF(NAMES!$D$10=FALSE,IF(Detail!H107="","",Detail!H107),IF(Crewlist!D107="","",Crewlist!D107)))</f>
        <v/>
      </c>
      <c r="G107" s="338" t="str">
        <f>IF(A107=FALSE,"",IF(NAMES!$D$10=FALSE,IF(Detail!P107="","",Detail!P107),IF(Crewlist!E107="","",Crewlist!E107)))</f>
        <v/>
      </c>
      <c r="H107" s="338" t="str">
        <f>IF(A107=FALSE,"",IF(NAMES!$D$10=FALSE,IF(Detail!K107="","",Detail!K107),IF(Crewlist!F107="","",Crewlist!F107)))</f>
        <v/>
      </c>
      <c r="I107" s="1345" t="str">
        <f>IF(Crewlist!T107="","",Crewlist!T107)</f>
        <v/>
      </c>
      <c r="J107" s="1345" t="str">
        <f>IF(Crewlist!D107="","",IF(Crewlist!U107="",Crewlist!Y107,IF(DATERENOUVMOINS730&lt;&gt;Crewlist!U107&lt;&gt;Crewlist!Y107,Crewlist!U107,DATERENOUVMOINS365)))</f>
        <v/>
      </c>
      <c r="K107" s="1346" t="str">
        <f>IF(Detail!X107="","",Detail!X107)</f>
        <v/>
      </c>
      <c r="L107" s="1346" t="str">
        <f>IF(Detail!H107="","",IF(Detail!Y107="",DATERENOUV,IF(Detail!Y107&gt;Detail!D107,Detail!D107,Detail!Y107)))</f>
        <v/>
      </c>
      <c r="M107" s="829" t="str">
        <f>IF(A107=FALSE,"",IF(NAMES!$D$10=FALSE,IF(B107=B108,IF(N107=N108,0,(DATEDIF(K107,L107,"M")+1)),(DATEDIF(K107,L107,"M")+1)),IF(B107=B108,IF(N107=N108,0,(DATEDIF(I107,J107,"M")+1)),(DATEDIF(I107,J107,"M")+1))))</f>
        <v/>
      </c>
      <c r="N107" s="339" t="str">
        <f t="shared" si="33"/>
        <v/>
      </c>
      <c r="O107" s="340" t="str">
        <f>IF(A107=FALSE,"",IF(NAMES!$D$10=FALSE,IF((DATEDIF(K107,L107,"D")+1)&lt;365,(DATEDIF(K107,L107,"D")+1),365),IF((DATEDIF(I107,J107,"D")+1)&lt;365,(DATEDIF(I107,J107,"D")+1),365)))</f>
        <v/>
      </c>
      <c r="P107" s="340" t="str">
        <f>IF(A107=FALSE,"",IF(NAMES!$D$10=FALSE,IF(L107="",365,DATEDIF(K107,L107,"D")+1),IF(L107="",365,DATEDIF(I107,J107,"D")+1)))</f>
        <v/>
      </c>
      <c r="Q107" s="787" t="str">
        <f>Calcul!X107</f>
        <v/>
      </c>
      <c r="R107" s="787" t="str">
        <f>Calcul!Y107</f>
        <v/>
      </c>
      <c r="S107" s="811" t="str">
        <f>Calcul!AG107</f>
        <v/>
      </c>
      <c r="T107" s="350" t="str">
        <f>IF(A107=FALSE,"",IF(NAMES!$D$10=FALSE,IF(Detail!S107="","",Detail!S107),IF(Crewlist!V107="","",Crewlist!V107)))</f>
        <v/>
      </c>
      <c r="U107" s="242" t="str">
        <f>Calcul!AI107</f>
        <v/>
      </c>
      <c r="V107" s="242" t="str">
        <f>Calcul!AL107</f>
        <v/>
      </c>
      <c r="W107" s="242" t="str">
        <f>Calcul!AM107</f>
        <v/>
      </c>
      <c r="X107" s="335" t="str">
        <f>Calcul!AN107</f>
        <v/>
      </c>
      <c r="Y107" s="242" t="str">
        <f>Calcul!AO107</f>
        <v/>
      </c>
      <c r="Z107" s="242" t="str">
        <f>Calcul!AP107</f>
        <v/>
      </c>
      <c r="AA107" s="335" t="str">
        <f>Calcul!AQ107</f>
        <v/>
      </c>
      <c r="AB107" s="335" t="str">
        <f>IF(C107=FALSE,"",Calcul!BE107+Calcul!BF107)</f>
        <v/>
      </c>
      <c r="AC107" s="335" t="str">
        <f>IF(C107=FALSE,"",(Calcul!BG107+Calcul!BH107)+SUM(Calcul!BI107:BN107))</f>
        <v/>
      </c>
      <c r="AD107" s="335" t="str">
        <f>Calcul!BP107</f>
        <v/>
      </c>
      <c r="AE107" s="1325" t="s">
        <v>2866</v>
      </c>
      <c r="AF107" s="450" t="s">
        <v>2254</v>
      </c>
      <c r="AG107" s="318" t="str">
        <f>IF(A107=FALSE,"",YEAR(Detail!F107)&amp;Detail!AG107&amp;Detail!AD107&amp;"-"&amp;Detail!AE107)</f>
        <v/>
      </c>
      <c r="AH107" s="1134" t="s">
        <v>2224</v>
      </c>
      <c r="AI107" s="1135">
        <v>0</v>
      </c>
      <c r="AJ107" s="828">
        <f t="shared" si="26"/>
        <v>0</v>
      </c>
      <c r="AK107" s="828">
        <f t="shared" si="27"/>
        <v>0</v>
      </c>
      <c r="AL107" s="828">
        <f t="shared" si="28"/>
        <v>0</v>
      </c>
      <c r="AM107" s="1135" t="s">
        <v>2224</v>
      </c>
      <c r="AN107" s="1455">
        <v>15.1752</v>
      </c>
      <c r="AO107" s="436">
        <v>0</v>
      </c>
      <c r="AP107" s="254">
        <v>1</v>
      </c>
      <c r="AQ107" s="254">
        <v>0</v>
      </c>
      <c r="AS107" s="1127"/>
      <c r="AT107" s="239" t="s">
        <v>2140</v>
      </c>
      <c r="AU107" s="1136" t="s">
        <v>2255</v>
      </c>
      <c r="AV107" s="1136" t="str">
        <f>IF(A107=FALSE,"",IF(Detail!AT107="","N/A",YEAR(Detail!F107)&amp;Detail!AW107&amp;Detail!AT107&amp;"-"&amp;Detail!AU107&amp;" (100%/"&amp;Detail!CD107&amp;"/"&amp;Detail!CE107&amp;")"))</f>
        <v/>
      </c>
      <c r="AW107" s="1136" t="s">
        <v>2224</v>
      </c>
      <c r="AX107" s="1320" t="str">
        <f>Calcul!DB107</f>
        <v/>
      </c>
      <c r="AY107" s="1298" t="str">
        <f>IF(A107=FALSE,"",51000+(Detail!AA107*7000))</f>
        <v/>
      </c>
      <c r="AZ107" s="1170">
        <v>50000</v>
      </c>
      <c r="BA107" s="243">
        <v>3</v>
      </c>
      <c r="BB107" s="1135">
        <v>0</v>
      </c>
      <c r="BC107" s="1298" t="str">
        <f>IF(A107=FALSE,"",51000+(Detail!AA107*7000))</f>
        <v/>
      </c>
      <c r="BD107" s="1298">
        <f t="shared" si="34"/>
        <v>50000</v>
      </c>
      <c r="BE107" s="1299">
        <f t="shared" si="35"/>
        <v>3</v>
      </c>
      <c r="BF107" s="1284">
        <f t="shared" si="36"/>
        <v>0</v>
      </c>
      <c r="BG107" s="397" t="str">
        <f t="shared" si="29"/>
        <v/>
      </c>
      <c r="BH107" s="1138">
        <v>50000</v>
      </c>
      <c r="BI107" s="243">
        <v>3</v>
      </c>
      <c r="BJ107" s="254">
        <v>0</v>
      </c>
      <c r="BK107" s="397" t="str">
        <f t="shared" si="30"/>
        <v/>
      </c>
      <c r="BL107" s="1138">
        <v>50000</v>
      </c>
      <c r="BM107" s="243">
        <v>3</v>
      </c>
      <c r="BN107" s="254">
        <v>0</v>
      </c>
      <c r="BO107" s="239">
        <v>7</v>
      </c>
      <c r="BP107" s="1075">
        <v>365</v>
      </c>
      <c r="BQ107" s="244">
        <v>1</v>
      </c>
      <c r="BR107" s="254">
        <v>0</v>
      </c>
      <c r="BS107" s="239">
        <f t="shared" si="31"/>
        <v>7</v>
      </c>
      <c r="BT107" s="241">
        <f t="shared" si="32"/>
        <v>365</v>
      </c>
      <c r="BU107" s="253">
        <v>1</v>
      </c>
      <c r="BV107" s="254">
        <v>0</v>
      </c>
      <c r="BW107" s="254" t="s">
        <v>2224</v>
      </c>
      <c r="BX107" s="257">
        <v>0</v>
      </c>
      <c r="BY107" s="436">
        <v>0</v>
      </c>
      <c r="BZ107" s="254">
        <v>1</v>
      </c>
      <c r="CA107" s="254">
        <v>0</v>
      </c>
      <c r="CB107" s="1296"/>
      <c r="CD107" s="1136" t="str">
        <f>IF(A107=FALSE,"",Calcul!NZ107)</f>
        <v/>
      </c>
      <c r="CE107" s="1136" t="s">
        <v>2224</v>
      </c>
      <c r="CF107" s="1132" t="s">
        <v>2138</v>
      </c>
      <c r="CG107" s="1136" t="s">
        <v>2254</v>
      </c>
      <c r="CH107" s="1135" t="s">
        <v>2224</v>
      </c>
      <c r="CI107" s="257">
        <v>0</v>
      </c>
      <c r="CJ107" s="436">
        <v>0</v>
      </c>
      <c r="CK107" s="1135">
        <v>1</v>
      </c>
      <c r="CL107" s="1135">
        <v>0</v>
      </c>
      <c r="CM107" s="1170">
        <v>100000</v>
      </c>
      <c r="CN107" s="243">
        <v>2</v>
      </c>
      <c r="CO107" s="254">
        <v>0</v>
      </c>
      <c r="CP107" s="1298">
        <f t="shared" si="37"/>
        <v>100000</v>
      </c>
      <c r="CQ107" s="243">
        <v>2</v>
      </c>
      <c r="CR107" s="254">
        <v>0</v>
      </c>
    </row>
    <row r="108" spans="1:96" s="383" customFormat="1" ht="30" customHeight="1" outlineLevel="1">
      <c r="A108" s="396" t="b">
        <f>Calcul!A108</f>
        <v>0</v>
      </c>
      <c r="B108" s="438" t="str">
        <f t="shared" si="25"/>
        <v/>
      </c>
      <c r="C108" s="1132" t="b">
        <v>0</v>
      </c>
      <c r="D108" s="827" t="s">
        <v>2293</v>
      </c>
      <c r="E108" s="241" t="s">
        <v>2139</v>
      </c>
      <c r="F108" s="338" t="str">
        <f>IF(A108=FALSE,"",IF(NAMES!$D$10=FALSE,IF(Detail!H108="","",Detail!H108),IF(Crewlist!D108="","",Crewlist!D108)))</f>
        <v/>
      </c>
      <c r="G108" s="338" t="str">
        <f>IF(A108=FALSE,"",IF(NAMES!$D$10=FALSE,IF(Detail!P108="","",Detail!P108),IF(Crewlist!E108="","",Crewlist!E108)))</f>
        <v/>
      </c>
      <c r="H108" s="338" t="str">
        <f>IF(A108=FALSE,"",IF(NAMES!$D$10=FALSE,IF(Detail!K108="","",Detail!K108),IF(Crewlist!F108="","",Crewlist!F108)))</f>
        <v/>
      </c>
      <c r="I108" s="1345" t="str">
        <f>IF(Crewlist!T108="","",Crewlist!T108)</f>
        <v/>
      </c>
      <c r="J108" s="1345" t="str">
        <f>IF(Crewlist!D108="","",IF(Crewlist!U108="",Crewlist!Y108,IF(DATERENOUVMOINS730&lt;&gt;Crewlist!U108&lt;&gt;Crewlist!Y108,Crewlist!U108,DATERENOUVMOINS365)))</f>
        <v/>
      </c>
      <c r="K108" s="1346" t="str">
        <f>IF(Detail!X108="","",Detail!X108)</f>
        <v/>
      </c>
      <c r="L108" s="1346" t="str">
        <f>IF(Detail!H108="","",IF(Detail!Y108="",DATERENOUV,IF(Detail!Y108&gt;Detail!D108,Detail!D108,Detail!Y108)))</f>
        <v/>
      </c>
      <c r="M108" s="829" t="str">
        <f>IF(A108=FALSE,"",IF(NAMES!$D$10=FALSE,IF(B108=B109,IF(N108=N109,0,(DATEDIF(K108,L108,"M")+1)),(DATEDIF(K108,L108,"M")+1)),IF(B108=B109,IF(N108=N109,0,(DATEDIF(I108,J108,"M")+1)),(DATEDIF(I108,J108,"M")+1))))</f>
        <v/>
      </c>
      <c r="N108" s="339" t="str">
        <f t="shared" si="33"/>
        <v/>
      </c>
      <c r="O108" s="340" t="str">
        <f>IF(A108=FALSE,"",IF(NAMES!$D$10=FALSE,IF((DATEDIF(K108,L108,"D")+1)&lt;365,(DATEDIF(K108,L108,"D")+1),365),IF((DATEDIF(I108,J108,"D")+1)&lt;365,(DATEDIF(I108,J108,"D")+1),365)))</f>
        <v/>
      </c>
      <c r="P108" s="340" t="str">
        <f>IF(A108=FALSE,"",IF(NAMES!$D$10=FALSE,IF(L108="",365,DATEDIF(K108,L108,"D")+1),IF(L108="",365,DATEDIF(I108,J108,"D")+1)))</f>
        <v/>
      </c>
      <c r="Q108" s="787" t="str">
        <f>Calcul!X108</f>
        <v/>
      </c>
      <c r="R108" s="787" t="str">
        <f>Calcul!Y108</f>
        <v/>
      </c>
      <c r="S108" s="811" t="str">
        <f>Calcul!AG108</f>
        <v/>
      </c>
      <c r="T108" s="350" t="str">
        <f>IF(A108=FALSE,"",IF(NAMES!$D$10=FALSE,IF(Detail!S108="","",Detail!S108),IF(Crewlist!V108="","",Crewlist!V108)))</f>
        <v/>
      </c>
      <c r="U108" s="242" t="str">
        <f>Calcul!AI108</f>
        <v/>
      </c>
      <c r="V108" s="242" t="str">
        <f>Calcul!AL108</f>
        <v/>
      </c>
      <c r="W108" s="242" t="str">
        <f>Calcul!AM108</f>
        <v/>
      </c>
      <c r="X108" s="335" t="str">
        <f>Calcul!AN108</f>
        <v/>
      </c>
      <c r="Y108" s="242" t="str">
        <f>Calcul!AO108</f>
        <v/>
      </c>
      <c r="Z108" s="242" t="str">
        <f>Calcul!AP108</f>
        <v/>
      </c>
      <c r="AA108" s="335" t="str">
        <f>Calcul!AQ108</f>
        <v/>
      </c>
      <c r="AB108" s="335" t="str">
        <f>IF(C108=FALSE,"",Calcul!BE108+Calcul!BF108)</f>
        <v/>
      </c>
      <c r="AC108" s="335" t="str">
        <f>IF(C108=FALSE,"",(Calcul!BG108+Calcul!BH108)+SUM(Calcul!BI108:BN108))</f>
        <v/>
      </c>
      <c r="AD108" s="335" t="str">
        <f>Calcul!BP108</f>
        <v/>
      </c>
      <c r="AE108" s="1325" t="s">
        <v>2866</v>
      </c>
      <c r="AF108" s="450" t="s">
        <v>2254</v>
      </c>
      <c r="AG108" s="318" t="str">
        <f>IF(A108=FALSE,"",YEAR(Detail!F108)&amp;Detail!AG108&amp;Detail!AD108&amp;"-"&amp;Detail!AE108)</f>
        <v/>
      </c>
      <c r="AH108" s="1134" t="s">
        <v>2224</v>
      </c>
      <c r="AI108" s="1135">
        <v>0</v>
      </c>
      <c r="AJ108" s="828">
        <f t="shared" si="26"/>
        <v>0</v>
      </c>
      <c r="AK108" s="828">
        <f t="shared" si="27"/>
        <v>0</v>
      </c>
      <c r="AL108" s="828">
        <f t="shared" si="28"/>
        <v>0</v>
      </c>
      <c r="AM108" s="1135" t="s">
        <v>2224</v>
      </c>
      <c r="AN108" s="1455">
        <v>15.1752</v>
      </c>
      <c r="AO108" s="436">
        <v>0</v>
      </c>
      <c r="AP108" s="254">
        <v>1</v>
      </c>
      <c r="AQ108" s="254">
        <v>0</v>
      </c>
      <c r="AS108" s="1127"/>
      <c r="AT108" s="826" t="s">
        <v>2140</v>
      </c>
      <c r="AU108" s="1136" t="s">
        <v>2255</v>
      </c>
      <c r="AV108" s="1136" t="str">
        <f>IF(A108=FALSE,"",IF(Detail!AT108="","N/A",YEAR(Detail!F108)&amp;Detail!AW108&amp;Detail!AT108&amp;"-"&amp;Detail!AU108&amp;" (100%/"&amp;Detail!CD108&amp;"/"&amp;Detail!CE108&amp;")"))</f>
        <v/>
      </c>
      <c r="AW108" s="1136" t="s">
        <v>2224</v>
      </c>
      <c r="AX108" s="1320" t="str">
        <f>Calcul!DB108</f>
        <v/>
      </c>
      <c r="AY108" s="1298" t="str">
        <f>IF(A108=FALSE,"",51000+(Detail!AA108*7000))</f>
        <v/>
      </c>
      <c r="AZ108" s="1170">
        <v>50000</v>
      </c>
      <c r="BA108" s="243">
        <v>3</v>
      </c>
      <c r="BB108" s="1135">
        <v>0</v>
      </c>
      <c r="BC108" s="1298" t="str">
        <f>IF(A108=FALSE,"",51000+(Detail!AA108*7000))</f>
        <v/>
      </c>
      <c r="BD108" s="1298">
        <f t="shared" si="34"/>
        <v>50000</v>
      </c>
      <c r="BE108" s="1299">
        <f t="shared" si="35"/>
        <v>3</v>
      </c>
      <c r="BF108" s="1284">
        <f t="shared" si="36"/>
        <v>0</v>
      </c>
      <c r="BG108" s="397" t="str">
        <f t="shared" si="29"/>
        <v/>
      </c>
      <c r="BH108" s="1138">
        <v>50000</v>
      </c>
      <c r="BI108" s="243">
        <v>3</v>
      </c>
      <c r="BJ108" s="254">
        <v>0</v>
      </c>
      <c r="BK108" s="397" t="str">
        <f t="shared" si="30"/>
        <v/>
      </c>
      <c r="BL108" s="1138">
        <v>50000</v>
      </c>
      <c r="BM108" s="243">
        <v>3</v>
      </c>
      <c r="BN108" s="254">
        <v>0</v>
      </c>
      <c r="BO108" s="239">
        <v>7</v>
      </c>
      <c r="BP108" s="1075">
        <v>365</v>
      </c>
      <c r="BQ108" s="244">
        <v>1</v>
      </c>
      <c r="BR108" s="254">
        <v>0</v>
      </c>
      <c r="BS108" s="239">
        <f t="shared" si="31"/>
        <v>7</v>
      </c>
      <c r="BT108" s="241">
        <f t="shared" si="32"/>
        <v>365</v>
      </c>
      <c r="BU108" s="253">
        <v>1</v>
      </c>
      <c r="BV108" s="254">
        <v>0</v>
      </c>
      <c r="BW108" s="254" t="s">
        <v>2224</v>
      </c>
      <c r="BX108" s="257">
        <v>0</v>
      </c>
      <c r="BY108" s="436">
        <v>0</v>
      </c>
      <c r="BZ108" s="254">
        <v>1</v>
      </c>
      <c r="CA108" s="254">
        <v>0</v>
      </c>
      <c r="CB108" s="1296"/>
      <c r="CD108" s="1136" t="str">
        <f>IF(A108=FALSE,"",Calcul!NZ108)</f>
        <v/>
      </c>
      <c r="CE108" s="1136" t="s">
        <v>2224</v>
      </c>
      <c r="CF108" s="1132" t="s">
        <v>2138</v>
      </c>
      <c r="CG108" s="1136" t="s">
        <v>2254</v>
      </c>
      <c r="CH108" s="1135" t="s">
        <v>2224</v>
      </c>
      <c r="CI108" s="257">
        <v>0</v>
      </c>
      <c r="CJ108" s="436">
        <v>0</v>
      </c>
      <c r="CK108" s="1135">
        <v>1</v>
      </c>
      <c r="CL108" s="1135">
        <v>0</v>
      </c>
      <c r="CM108" s="1170">
        <v>100000</v>
      </c>
      <c r="CN108" s="243">
        <v>2</v>
      </c>
      <c r="CO108" s="254">
        <v>0</v>
      </c>
      <c r="CP108" s="1298">
        <f t="shared" si="37"/>
        <v>100000</v>
      </c>
      <c r="CQ108" s="243">
        <v>2</v>
      </c>
      <c r="CR108" s="254">
        <v>0</v>
      </c>
    </row>
    <row r="109" spans="1:96" s="383" customFormat="1" ht="30" customHeight="1" outlineLevel="1">
      <c r="A109" s="396" t="b">
        <f>Calcul!A109</f>
        <v>0</v>
      </c>
      <c r="B109" s="438" t="str">
        <f t="shared" si="25"/>
        <v/>
      </c>
      <c r="C109" s="1132" t="b">
        <v>0</v>
      </c>
      <c r="D109" s="827" t="s">
        <v>2293</v>
      </c>
      <c r="E109" s="241" t="s">
        <v>2139</v>
      </c>
      <c r="F109" s="338" t="str">
        <f>IF(A109=FALSE,"",IF(NAMES!$D$10=FALSE,IF(Detail!H109="","",Detail!H109),IF(Crewlist!D109="","",Crewlist!D109)))</f>
        <v/>
      </c>
      <c r="G109" s="338" t="str">
        <f>IF(A109=FALSE,"",IF(NAMES!$D$10=FALSE,IF(Detail!P109="","",Detail!P109),IF(Crewlist!E109="","",Crewlist!E109)))</f>
        <v/>
      </c>
      <c r="H109" s="338" t="str">
        <f>IF(A109=FALSE,"",IF(NAMES!$D$10=FALSE,IF(Detail!K109="","",Detail!K109),IF(Crewlist!F109="","",Crewlist!F109)))</f>
        <v/>
      </c>
      <c r="I109" s="1345" t="str">
        <f>IF(Crewlist!T109="","",Crewlist!T109)</f>
        <v/>
      </c>
      <c r="J109" s="1345" t="str">
        <f>IF(Crewlist!D109="","",IF(Crewlist!U109="",Crewlist!Y109,IF(DATERENOUVMOINS730&lt;&gt;Crewlist!U109&lt;&gt;Crewlist!Y109,Crewlist!U109,DATERENOUVMOINS365)))</f>
        <v/>
      </c>
      <c r="K109" s="1346" t="str">
        <f>IF(Detail!X109="","",Detail!X109)</f>
        <v/>
      </c>
      <c r="L109" s="1346" t="str">
        <f>IF(Detail!H109="","",IF(Detail!Y109="",DATERENOUV,IF(Detail!Y109&gt;Detail!D109,Detail!D109,Detail!Y109)))</f>
        <v/>
      </c>
      <c r="M109" s="829" t="str">
        <f>IF(A109=FALSE,"",IF(NAMES!$D$10=FALSE,IF(B109=B110,IF(N109=N110,0,(DATEDIF(K109,L109,"M")+1)),(DATEDIF(K109,L109,"M")+1)),IF(B109=B110,IF(N109=N110,0,(DATEDIF(I109,J109,"M")+1)),(DATEDIF(I109,J109,"M")+1))))</f>
        <v/>
      </c>
      <c r="N109" s="339" t="str">
        <f t="shared" si="33"/>
        <v/>
      </c>
      <c r="O109" s="340" t="str">
        <f>IF(A109=FALSE,"",IF(NAMES!$D$10=FALSE,IF((DATEDIF(K109,L109,"D")+1)&lt;365,(DATEDIF(K109,L109,"D")+1),365),IF((DATEDIF(I109,J109,"D")+1)&lt;365,(DATEDIF(I109,J109,"D")+1),365)))</f>
        <v/>
      </c>
      <c r="P109" s="340" t="str">
        <f>IF(A109=FALSE,"",IF(NAMES!$D$10=FALSE,IF(L109="",365,DATEDIF(K109,L109,"D")+1),IF(L109="",365,DATEDIF(I109,J109,"D")+1)))</f>
        <v/>
      </c>
      <c r="Q109" s="787" t="str">
        <f>Calcul!X109</f>
        <v/>
      </c>
      <c r="R109" s="787" t="str">
        <f>Calcul!Y109</f>
        <v/>
      </c>
      <c r="S109" s="811" t="str">
        <f>Calcul!AG109</f>
        <v/>
      </c>
      <c r="T109" s="350" t="str">
        <f>IF(A109=FALSE,"",IF(NAMES!$D$10=FALSE,IF(Detail!S109="","",Detail!S109),IF(Crewlist!V109="","",Crewlist!V109)))</f>
        <v/>
      </c>
      <c r="U109" s="242" t="str">
        <f>Calcul!AI109</f>
        <v/>
      </c>
      <c r="V109" s="242" t="str">
        <f>Calcul!AL109</f>
        <v/>
      </c>
      <c r="W109" s="242" t="str">
        <f>Calcul!AM109</f>
        <v/>
      </c>
      <c r="X109" s="335" t="str">
        <f>Calcul!AN109</f>
        <v/>
      </c>
      <c r="Y109" s="242" t="str">
        <f>Calcul!AO109</f>
        <v/>
      </c>
      <c r="Z109" s="242" t="str">
        <f>Calcul!AP109</f>
        <v/>
      </c>
      <c r="AA109" s="335" t="str">
        <f>Calcul!AQ109</f>
        <v/>
      </c>
      <c r="AB109" s="335" t="str">
        <f>IF(C109=FALSE,"",Calcul!BE109+Calcul!BF109)</f>
        <v/>
      </c>
      <c r="AC109" s="335" t="str">
        <f>IF(C109=FALSE,"",(Calcul!BG109+Calcul!BH109)+SUM(Calcul!BI109:BN109))</f>
        <v/>
      </c>
      <c r="AD109" s="335" t="str">
        <f>Calcul!BP109</f>
        <v/>
      </c>
      <c r="AE109" s="1325" t="s">
        <v>2866</v>
      </c>
      <c r="AF109" s="450" t="s">
        <v>2254</v>
      </c>
      <c r="AG109" s="318" t="str">
        <f>IF(A109=FALSE,"",YEAR(Detail!F109)&amp;Detail!AG109&amp;Detail!AD109&amp;"-"&amp;Detail!AE109)</f>
        <v/>
      </c>
      <c r="AH109" s="1134" t="s">
        <v>2224</v>
      </c>
      <c r="AI109" s="1135">
        <v>0</v>
      </c>
      <c r="AJ109" s="828">
        <f t="shared" si="26"/>
        <v>0</v>
      </c>
      <c r="AK109" s="828">
        <f t="shared" si="27"/>
        <v>0</v>
      </c>
      <c r="AL109" s="828">
        <f t="shared" si="28"/>
        <v>0</v>
      </c>
      <c r="AM109" s="1135" t="s">
        <v>2224</v>
      </c>
      <c r="AN109" s="1455">
        <v>15.1752</v>
      </c>
      <c r="AO109" s="436">
        <v>0</v>
      </c>
      <c r="AP109" s="254">
        <v>1</v>
      </c>
      <c r="AQ109" s="254">
        <v>0</v>
      </c>
      <c r="AS109" s="1127"/>
      <c r="AT109" s="826" t="s">
        <v>2140</v>
      </c>
      <c r="AU109" s="1136" t="s">
        <v>2255</v>
      </c>
      <c r="AV109" s="1136" t="str">
        <f>IF(A109=FALSE,"",IF(Detail!AT109="","N/A",YEAR(Detail!F109)&amp;Detail!AW109&amp;Detail!AT109&amp;"-"&amp;Detail!AU109&amp;" (100%/"&amp;Detail!CD109&amp;"/"&amp;Detail!CE109&amp;")"))</f>
        <v/>
      </c>
      <c r="AW109" s="1136" t="s">
        <v>2224</v>
      </c>
      <c r="AX109" s="1320" t="str">
        <f>Calcul!DB109</f>
        <v/>
      </c>
      <c r="AY109" s="1298" t="str">
        <f>IF(A109=FALSE,"",51000+(Detail!AA109*7000))</f>
        <v/>
      </c>
      <c r="AZ109" s="1170">
        <v>50000</v>
      </c>
      <c r="BA109" s="243">
        <v>3</v>
      </c>
      <c r="BB109" s="1135">
        <v>0</v>
      </c>
      <c r="BC109" s="1298" t="str">
        <f>IF(A109=FALSE,"",51000+(Detail!AA109*7000))</f>
        <v/>
      </c>
      <c r="BD109" s="1298">
        <f t="shared" si="34"/>
        <v>50000</v>
      </c>
      <c r="BE109" s="1299">
        <f t="shared" si="35"/>
        <v>3</v>
      </c>
      <c r="BF109" s="1284">
        <f t="shared" si="36"/>
        <v>0</v>
      </c>
      <c r="BG109" s="397" t="str">
        <f t="shared" si="29"/>
        <v/>
      </c>
      <c r="BH109" s="1138">
        <v>50000</v>
      </c>
      <c r="BI109" s="243">
        <v>3</v>
      </c>
      <c r="BJ109" s="254">
        <v>0</v>
      </c>
      <c r="BK109" s="397" t="str">
        <f t="shared" si="30"/>
        <v/>
      </c>
      <c r="BL109" s="1138">
        <v>50000</v>
      </c>
      <c r="BM109" s="243">
        <v>3</v>
      </c>
      <c r="BN109" s="254">
        <v>0</v>
      </c>
      <c r="BO109" s="239">
        <v>7</v>
      </c>
      <c r="BP109" s="1075">
        <v>365</v>
      </c>
      <c r="BQ109" s="244">
        <v>1</v>
      </c>
      <c r="BR109" s="254">
        <v>0</v>
      </c>
      <c r="BS109" s="239">
        <f t="shared" si="31"/>
        <v>7</v>
      </c>
      <c r="BT109" s="241">
        <f t="shared" si="32"/>
        <v>365</v>
      </c>
      <c r="BU109" s="253">
        <v>1</v>
      </c>
      <c r="BV109" s="254">
        <v>0</v>
      </c>
      <c r="BW109" s="254" t="s">
        <v>2224</v>
      </c>
      <c r="BX109" s="257">
        <v>0</v>
      </c>
      <c r="BY109" s="436">
        <v>0</v>
      </c>
      <c r="BZ109" s="254">
        <v>1</v>
      </c>
      <c r="CA109" s="254">
        <v>0</v>
      </c>
      <c r="CB109" s="1296"/>
      <c r="CD109" s="1136" t="str">
        <f>IF(A109=FALSE,"",Calcul!NZ109)</f>
        <v/>
      </c>
      <c r="CE109" s="1136" t="s">
        <v>2224</v>
      </c>
      <c r="CF109" s="1132" t="s">
        <v>2138</v>
      </c>
      <c r="CG109" s="1136" t="s">
        <v>2254</v>
      </c>
      <c r="CH109" s="1135" t="s">
        <v>2224</v>
      </c>
      <c r="CI109" s="257">
        <v>0</v>
      </c>
      <c r="CJ109" s="436">
        <v>0</v>
      </c>
      <c r="CK109" s="1135">
        <v>1</v>
      </c>
      <c r="CL109" s="1135">
        <v>0</v>
      </c>
      <c r="CM109" s="1170">
        <v>100000</v>
      </c>
      <c r="CN109" s="243">
        <v>2</v>
      </c>
      <c r="CO109" s="254">
        <v>0</v>
      </c>
      <c r="CP109" s="1298">
        <f t="shared" si="37"/>
        <v>100000</v>
      </c>
      <c r="CQ109" s="243">
        <v>2</v>
      </c>
      <c r="CR109" s="254">
        <v>0</v>
      </c>
    </row>
    <row r="110" spans="1:96" s="383" customFormat="1" ht="30" customHeight="1" outlineLevel="1">
      <c r="A110" s="396" t="b">
        <f>Calcul!A110</f>
        <v>0</v>
      </c>
      <c r="B110" s="438" t="str">
        <f t="shared" si="25"/>
        <v/>
      </c>
      <c r="C110" s="1132" t="b">
        <v>0</v>
      </c>
      <c r="D110" s="827" t="s">
        <v>2293</v>
      </c>
      <c r="E110" s="241" t="s">
        <v>2139</v>
      </c>
      <c r="F110" s="338" t="str">
        <f>IF(A110=FALSE,"",IF(NAMES!$D$10=FALSE,IF(Detail!H110="","",Detail!H110),IF(Crewlist!D110="","",Crewlist!D110)))</f>
        <v/>
      </c>
      <c r="G110" s="338" t="str">
        <f>IF(A110=FALSE,"",IF(NAMES!$D$10=FALSE,IF(Detail!P110="","",Detail!P110),IF(Crewlist!E110="","",Crewlist!E110)))</f>
        <v/>
      </c>
      <c r="H110" s="338" t="str">
        <f>IF(A110=FALSE,"",IF(NAMES!$D$10=FALSE,IF(Detail!K110="","",Detail!K110),IF(Crewlist!F110="","",Crewlist!F110)))</f>
        <v/>
      </c>
      <c r="I110" s="1345" t="str">
        <f>IF(Crewlist!T110="","",Crewlist!T110)</f>
        <v/>
      </c>
      <c r="J110" s="1345" t="str">
        <f>IF(Crewlist!D110="","",IF(Crewlist!U110="",Crewlist!Y110,IF(DATERENOUVMOINS730&lt;&gt;Crewlist!U110&lt;&gt;Crewlist!Y110,Crewlist!U110,DATERENOUVMOINS365)))</f>
        <v/>
      </c>
      <c r="K110" s="1346" t="str">
        <f>IF(Detail!X110="","",Detail!X110)</f>
        <v/>
      </c>
      <c r="L110" s="1346" t="str">
        <f>IF(Detail!H110="","",IF(Detail!Y110="",DATERENOUV,IF(Detail!Y110&gt;Detail!D110,Detail!D110,Detail!Y110)))</f>
        <v/>
      </c>
      <c r="M110" s="829" t="str">
        <f>IF(A110=FALSE,"",IF(NAMES!$D$10=FALSE,IF(B110=B111,IF(N110=N111,0,(DATEDIF(K110,L110,"M")+1)),(DATEDIF(K110,L110,"M")+1)),IF(B110=B111,IF(N110=N111,0,(DATEDIF(I110,J110,"M")+1)),(DATEDIF(I110,J110,"M")+1))))</f>
        <v/>
      </c>
      <c r="N110" s="339" t="str">
        <f t="shared" si="33"/>
        <v/>
      </c>
      <c r="O110" s="340" t="str">
        <f>IF(A110=FALSE,"",IF(NAMES!$D$10=FALSE,IF((DATEDIF(K110,L110,"D")+1)&lt;365,(DATEDIF(K110,L110,"D")+1),365),IF((DATEDIF(I110,J110,"D")+1)&lt;365,(DATEDIF(I110,J110,"D")+1),365)))</f>
        <v/>
      </c>
      <c r="P110" s="340" t="str">
        <f>IF(A110=FALSE,"",IF(NAMES!$D$10=FALSE,IF(L110="",365,DATEDIF(K110,L110,"D")+1),IF(L110="",365,DATEDIF(I110,J110,"D")+1)))</f>
        <v/>
      </c>
      <c r="Q110" s="787" t="str">
        <f>Calcul!X110</f>
        <v/>
      </c>
      <c r="R110" s="787" t="str">
        <f>Calcul!Y110</f>
        <v/>
      </c>
      <c r="S110" s="811" t="str">
        <f>Calcul!AG110</f>
        <v/>
      </c>
      <c r="T110" s="350" t="str">
        <f>IF(A110=FALSE,"",IF(NAMES!$D$10=FALSE,IF(Detail!S110="","",Detail!S110),IF(Crewlist!V110="","",Crewlist!V110)))</f>
        <v/>
      </c>
      <c r="U110" s="242" t="str">
        <f>Calcul!AI110</f>
        <v/>
      </c>
      <c r="V110" s="242" t="str">
        <f>Calcul!AL110</f>
        <v/>
      </c>
      <c r="W110" s="242" t="str">
        <f>Calcul!AM110</f>
        <v/>
      </c>
      <c r="X110" s="335" t="str">
        <f>Calcul!AN110</f>
        <v/>
      </c>
      <c r="Y110" s="242" t="str">
        <f>Calcul!AO110</f>
        <v/>
      </c>
      <c r="Z110" s="242" t="str">
        <f>Calcul!AP110</f>
        <v/>
      </c>
      <c r="AA110" s="335" t="str">
        <f>Calcul!AQ110</f>
        <v/>
      </c>
      <c r="AB110" s="335" t="str">
        <f>IF(C110=FALSE,"",Calcul!BE110+Calcul!BF110)</f>
        <v/>
      </c>
      <c r="AC110" s="335" t="str">
        <f>IF(C110=FALSE,"",(Calcul!BG110+Calcul!BH110)+SUM(Calcul!BI110:BN110))</f>
        <v/>
      </c>
      <c r="AD110" s="335" t="str">
        <f>Calcul!BP110</f>
        <v/>
      </c>
      <c r="AE110" s="1325" t="s">
        <v>2866</v>
      </c>
      <c r="AF110" s="450" t="s">
        <v>2254</v>
      </c>
      <c r="AG110" s="318" t="str">
        <f>IF(A110=FALSE,"",YEAR(Detail!F110)&amp;Detail!AG110&amp;Detail!AD110&amp;"-"&amp;Detail!AE110)</f>
        <v/>
      </c>
      <c r="AH110" s="1134" t="s">
        <v>2224</v>
      </c>
      <c r="AI110" s="1135">
        <v>0</v>
      </c>
      <c r="AJ110" s="828">
        <f t="shared" si="26"/>
        <v>0</v>
      </c>
      <c r="AK110" s="828">
        <f t="shared" si="27"/>
        <v>0</v>
      </c>
      <c r="AL110" s="828">
        <f t="shared" si="28"/>
        <v>0</v>
      </c>
      <c r="AM110" s="1135" t="s">
        <v>2224</v>
      </c>
      <c r="AN110" s="1455">
        <v>15.1752</v>
      </c>
      <c r="AO110" s="436">
        <v>0</v>
      </c>
      <c r="AP110" s="254">
        <v>1</v>
      </c>
      <c r="AQ110" s="254">
        <v>0</v>
      </c>
      <c r="AS110" s="1127"/>
      <c r="AT110" s="826" t="s">
        <v>2140</v>
      </c>
      <c r="AU110" s="1136" t="s">
        <v>2255</v>
      </c>
      <c r="AV110" s="1136" t="str">
        <f>IF(A110=FALSE,"",IF(Detail!AT110="","N/A",YEAR(Detail!F110)&amp;Detail!AW110&amp;Detail!AT110&amp;"-"&amp;Detail!AU110&amp;" (100%/"&amp;Detail!CD110&amp;"/"&amp;Detail!CE110&amp;")"))</f>
        <v/>
      </c>
      <c r="AW110" s="1136" t="s">
        <v>2224</v>
      </c>
      <c r="AX110" s="1320" t="str">
        <f>Calcul!DB110</f>
        <v/>
      </c>
      <c r="AY110" s="1298" t="str">
        <f>IF(A110=FALSE,"",51000+(Detail!AA110*7000))</f>
        <v/>
      </c>
      <c r="AZ110" s="1170">
        <v>50000</v>
      </c>
      <c r="BA110" s="243">
        <v>3</v>
      </c>
      <c r="BB110" s="1135">
        <v>0</v>
      </c>
      <c r="BC110" s="1298" t="str">
        <f>IF(A110=FALSE,"",51000+(Detail!AA110*7000))</f>
        <v/>
      </c>
      <c r="BD110" s="1298">
        <f t="shared" si="34"/>
        <v>50000</v>
      </c>
      <c r="BE110" s="1299">
        <f t="shared" si="35"/>
        <v>3</v>
      </c>
      <c r="BF110" s="1284">
        <f t="shared" si="36"/>
        <v>0</v>
      </c>
      <c r="BG110" s="397" t="str">
        <f t="shared" si="29"/>
        <v/>
      </c>
      <c r="BH110" s="1138">
        <v>50000</v>
      </c>
      <c r="BI110" s="243">
        <v>3</v>
      </c>
      <c r="BJ110" s="254">
        <v>0</v>
      </c>
      <c r="BK110" s="397" t="str">
        <f t="shared" si="30"/>
        <v/>
      </c>
      <c r="BL110" s="1138">
        <v>50000</v>
      </c>
      <c r="BM110" s="243">
        <v>3</v>
      </c>
      <c r="BN110" s="254">
        <v>0</v>
      </c>
      <c r="BO110" s="239">
        <v>7</v>
      </c>
      <c r="BP110" s="1075">
        <v>365</v>
      </c>
      <c r="BQ110" s="244">
        <v>1</v>
      </c>
      <c r="BR110" s="254">
        <v>0</v>
      </c>
      <c r="BS110" s="239">
        <f t="shared" si="31"/>
        <v>7</v>
      </c>
      <c r="BT110" s="241">
        <f t="shared" si="32"/>
        <v>365</v>
      </c>
      <c r="BU110" s="253">
        <v>1</v>
      </c>
      <c r="BV110" s="254">
        <v>0</v>
      </c>
      <c r="BW110" s="254" t="s">
        <v>2224</v>
      </c>
      <c r="BX110" s="257">
        <v>0</v>
      </c>
      <c r="BY110" s="436">
        <v>0</v>
      </c>
      <c r="BZ110" s="254">
        <v>1</v>
      </c>
      <c r="CA110" s="254">
        <v>0</v>
      </c>
      <c r="CB110" s="1296"/>
      <c r="CD110" s="1136" t="str">
        <f>IF(A110=FALSE,"",Calcul!NZ110)</f>
        <v/>
      </c>
      <c r="CE110" s="1136" t="s">
        <v>2224</v>
      </c>
      <c r="CF110" s="1132" t="s">
        <v>2138</v>
      </c>
      <c r="CG110" s="1136" t="s">
        <v>2254</v>
      </c>
      <c r="CH110" s="1135" t="s">
        <v>2224</v>
      </c>
      <c r="CI110" s="257">
        <v>0</v>
      </c>
      <c r="CJ110" s="436">
        <v>0</v>
      </c>
      <c r="CK110" s="1135">
        <v>1</v>
      </c>
      <c r="CL110" s="1135">
        <v>0</v>
      </c>
      <c r="CM110" s="1170">
        <v>100000</v>
      </c>
      <c r="CN110" s="243">
        <v>2</v>
      </c>
      <c r="CO110" s="254">
        <v>0</v>
      </c>
      <c r="CP110" s="1298">
        <f t="shared" si="37"/>
        <v>100000</v>
      </c>
      <c r="CQ110" s="243">
        <v>2</v>
      </c>
      <c r="CR110" s="254">
        <v>0</v>
      </c>
    </row>
    <row r="111" spans="1:96" s="383" customFormat="1" ht="30" customHeight="1" outlineLevel="1">
      <c r="A111" s="396" t="b">
        <f>Calcul!A111</f>
        <v>0</v>
      </c>
      <c r="B111" s="438" t="str">
        <f t="shared" ref="B111:B120" si="38">IF(A111=FALSE,"",CONCATENATE(C111,F111,N111,K111))</f>
        <v/>
      </c>
      <c r="C111" s="1132" t="b">
        <v>0</v>
      </c>
      <c r="D111" s="827" t="s">
        <v>2293</v>
      </c>
      <c r="E111" s="241" t="s">
        <v>2139</v>
      </c>
      <c r="F111" s="338" t="str">
        <f>IF(A111=FALSE,"",IF(NAMES!$D$10=FALSE,IF(Detail!H111="","",Detail!H111),IF(Crewlist!D111="","",Crewlist!D111)))</f>
        <v/>
      </c>
      <c r="G111" s="338" t="str">
        <f>IF(A111=FALSE,"",IF(NAMES!$D$10=FALSE,IF(Detail!P111="","",Detail!P111),IF(Crewlist!E111="","",Crewlist!E111)))</f>
        <v/>
      </c>
      <c r="H111" s="338" t="str">
        <f>IF(A111=FALSE,"",IF(NAMES!$D$10=FALSE,IF(Detail!K111="","",Detail!K111),IF(Crewlist!F111="","",Crewlist!F111)))</f>
        <v/>
      </c>
      <c r="I111" s="817" t="str">
        <f>IF(Crewlist!T111="","",Crewlist!T111)</f>
        <v/>
      </c>
      <c r="J111" s="817" t="str">
        <f>IF(Crewlist!D111="","",IF(Crewlist!U111="",Crewlist!Y111,IF(DATERENOUVMOINS730&lt;&gt;Crewlist!U111&lt;&gt;Crewlist!Y111,Crewlist!U111,DATERENOUVMOINS365)))</f>
        <v/>
      </c>
      <c r="K111" s="630" t="str">
        <f>IF(Detail!X111="","",Detail!X111)</f>
        <v/>
      </c>
      <c r="L111" s="630" t="str">
        <f>IF(Detail!H111="","",IF(Detail!Y111="",DATERENOUV,IF(Detail!Y111&gt;Detail!D111,Detail!D111,Detail!Y111)))</f>
        <v/>
      </c>
      <c r="M111" s="829" t="str">
        <f>IF(A111=FALSE,"",IF(NAMES!$D$10=FALSE,IF(B111=B112,IF(N111=N112,0,(DATEDIF(K111,L111,"M")+1)),(DATEDIF(K111,L111,"M")+1)),IF(B111=B112,IF(N111=N112,0,(DATEDIF(I111,J111,"M")+1)),(DATEDIF(I111,J111,"M")+1))))</f>
        <v/>
      </c>
      <c r="N111" s="339" t="str">
        <f t="shared" si="33"/>
        <v/>
      </c>
      <c r="O111" s="340" t="str">
        <f>IF(A111=FALSE,"",IF(NAMES!$D$10=FALSE,IF((DATEDIF(K111,L111,"D")+1)&lt;365,(DATEDIF(K111,L111,"D")+1),365),IF((DATEDIF(I111,J111,"D")+1)&lt;365,(DATEDIF(I111,J111,"D")+1),365)))</f>
        <v/>
      </c>
      <c r="P111" s="340" t="str">
        <f>IF(A111=FALSE,"",IF(NAMES!$D$10=FALSE,IF(L111="",365,DATEDIF(K111,L111,"D")+1),IF(L111="",365,DATEDIF(I111,J111,"D")+1)))</f>
        <v/>
      </c>
      <c r="Q111" s="787" t="str">
        <f>Calcul!X111</f>
        <v/>
      </c>
      <c r="R111" s="787" t="str">
        <f>Calcul!Y111</f>
        <v/>
      </c>
      <c r="S111" s="811" t="str">
        <f>Calcul!AG111</f>
        <v/>
      </c>
      <c r="T111" s="350" t="str">
        <f>IF(A111=FALSE,"",IF(NAMES!$D$10=FALSE,IF(Detail!S111="","",Detail!S111),IF(Crewlist!V111="","",Crewlist!V111)))</f>
        <v/>
      </c>
      <c r="U111" s="242" t="str">
        <f>Calcul!AI111</f>
        <v/>
      </c>
      <c r="V111" s="242" t="str">
        <f>Calcul!AL111</f>
        <v/>
      </c>
      <c r="W111" s="242" t="str">
        <f>Calcul!AM111</f>
        <v/>
      </c>
      <c r="X111" s="335" t="str">
        <f>Calcul!AN111</f>
        <v/>
      </c>
      <c r="Y111" s="242" t="str">
        <f>Calcul!AO111</f>
        <v/>
      </c>
      <c r="Z111" s="242" t="str">
        <f>Calcul!AP111</f>
        <v/>
      </c>
      <c r="AA111" s="335" t="str">
        <f>Calcul!AQ111</f>
        <v/>
      </c>
      <c r="AB111" s="335" t="str">
        <f>IF(C111=FALSE,"",Calcul!BE111+Calcul!BF111)</f>
        <v/>
      </c>
      <c r="AC111" s="335" t="str">
        <f>IF(C111=FALSE,"",(Calcul!BG111+Calcul!BH111)+SUM(Calcul!BI111:BN111))</f>
        <v/>
      </c>
      <c r="AD111" s="335" t="str">
        <f>Calcul!BP111</f>
        <v/>
      </c>
      <c r="AE111" s="1325" t="s">
        <v>2866</v>
      </c>
      <c r="AF111" s="450" t="s">
        <v>2254</v>
      </c>
      <c r="AG111" s="318" t="str">
        <f>IF(A111=FALSE,"",YEAR(Detail!F111)&amp;Detail!AG111&amp;Detail!AD111&amp;"-"&amp;Detail!AE111)</f>
        <v/>
      </c>
      <c r="AH111" s="1134" t="s">
        <v>2224</v>
      </c>
      <c r="AI111" s="1135">
        <v>0</v>
      </c>
      <c r="AJ111" s="828">
        <f t="shared" ref="AJ111:AJ120" si="39">AI111</f>
        <v>0</v>
      </c>
      <c r="AK111" s="828">
        <f t="shared" ref="AK111:AK120" si="40">CR111</f>
        <v>0</v>
      </c>
      <c r="AL111" s="828">
        <f t="shared" ref="AL111:AL120" si="41">AK111</f>
        <v>0</v>
      </c>
      <c r="AM111" s="1135" t="s">
        <v>2224</v>
      </c>
      <c r="AN111" s="1455">
        <v>15.1752</v>
      </c>
      <c r="AO111" s="436">
        <v>0</v>
      </c>
      <c r="AP111" s="254">
        <v>1</v>
      </c>
      <c r="AQ111" s="254">
        <v>0</v>
      </c>
      <c r="AS111" s="1127"/>
      <c r="AT111" s="826" t="s">
        <v>2140</v>
      </c>
      <c r="AU111" s="1136" t="s">
        <v>2255</v>
      </c>
      <c r="AV111" s="1136" t="str">
        <f>IF(A111=FALSE,"",IF(Detail!AT111="","N/A",YEAR(Detail!F111)&amp;Detail!AW111&amp;Detail!AT111&amp;"-"&amp;Detail!AU111&amp;" (100%/"&amp;Detail!CD111&amp;"/"&amp;Detail!CE111&amp;")"))</f>
        <v/>
      </c>
      <c r="AW111" s="1136" t="s">
        <v>2224</v>
      </c>
      <c r="AX111" s="1320" t="str">
        <f>Calcul!DB111</f>
        <v/>
      </c>
      <c r="AY111" s="1298" t="str">
        <f>IF(A111=FALSE,"",51000+(Detail!AA111*7000))</f>
        <v/>
      </c>
      <c r="AZ111" s="1170">
        <v>50000</v>
      </c>
      <c r="BA111" s="243">
        <v>3</v>
      </c>
      <c r="BB111" s="1135">
        <v>0</v>
      </c>
      <c r="BC111" s="1298" t="str">
        <f>IF(A111=FALSE,"",51000+(Detail!AA111*7000))</f>
        <v/>
      </c>
      <c r="BD111" s="1298">
        <f t="shared" si="34"/>
        <v>50000</v>
      </c>
      <c r="BE111" s="1299">
        <f t="shared" si="35"/>
        <v>3</v>
      </c>
      <c r="BF111" s="1284">
        <f t="shared" si="36"/>
        <v>0</v>
      </c>
      <c r="BG111" s="397" t="str">
        <f t="shared" ref="BG111:BG120" si="42">IF(A111=FALSE,"",60000)</f>
        <v/>
      </c>
      <c r="BH111" s="1138">
        <v>50000</v>
      </c>
      <c r="BI111" s="243">
        <v>3</v>
      </c>
      <c r="BJ111" s="254">
        <v>0</v>
      </c>
      <c r="BK111" s="397" t="str">
        <f t="shared" ref="BK111:BK120" si="43">IF(A111=FALSE,"",60000)</f>
        <v/>
      </c>
      <c r="BL111" s="1138">
        <v>50000</v>
      </c>
      <c r="BM111" s="243">
        <v>3</v>
      </c>
      <c r="BN111" s="254">
        <v>0</v>
      </c>
      <c r="BO111" s="239">
        <v>7</v>
      </c>
      <c r="BP111" s="1075">
        <v>365</v>
      </c>
      <c r="BQ111" s="244">
        <v>1</v>
      </c>
      <c r="BR111" s="254">
        <v>0</v>
      </c>
      <c r="BS111" s="239">
        <f t="shared" ref="BS111:BS120" si="44">BO111</f>
        <v>7</v>
      </c>
      <c r="BT111" s="241">
        <f t="shared" ref="BT111:BT120" si="45">BP111</f>
        <v>365</v>
      </c>
      <c r="BU111" s="253">
        <v>1</v>
      </c>
      <c r="BV111" s="254">
        <v>0</v>
      </c>
      <c r="BW111" s="254" t="s">
        <v>2224</v>
      </c>
      <c r="BX111" s="257">
        <v>0</v>
      </c>
      <c r="BY111" s="436">
        <v>0</v>
      </c>
      <c r="BZ111" s="254">
        <v>1</v>
      </c>
      <c r="CA111" s="254">
        <v>0</v>
      </c>
      <c r="CB111" s="1296"/>
      <c r="CD111" s="1136" t="str">
        <f>IF(A111=FALSE,"",Calcul!NZ111)</f>
        <v/>
      </c>
      <c r="CE111" s="1136" t="s">
        <v>2224</v>
      </c>
      <c r="CF111" s="1132" t="s">
        <v>2138</v>
      </c>
      <c r="CG111" s="1136" t="s">
        <v>2254</v>
      </c>
      <c r="CH111" s="1135" t="s">
        <v>2224</v>
      </c>
      <c r="CI111" s="257">
        <v>0</v>
      </c>
      <c r="CJ111" s="436">
        <v>0</v>
      </c>
      <c r="CK111" s="1135">
        <v>1</v>
      </c>
      <c r="CL111" s="1135">
        <v>0</v>
      </c>
      <c r="CM111" s="1170">
        <v>100000</v>
      </c>
      <c r="CN111" s="243">
        <v>2</v>
      </c>
      <c r="CO111" s="254">
        <v>0</v>
      </c>
      <c r="CP111" s="1298">
        <f t="shared" si="37"/>
        <v>100000</v>
      </c>
      <c r="CQ111" s="243">
        <v>2</v>
      </c>
      <c r="CR111" s="254">
        <v>0</v>
      </c>
    </row>
    <row r="112" spans="1:96" s="383" customFormat="1" ht="30" customHeight="1" outlineLevel="1">
      <c r="A112" s="396" t="b">
        <f>Calcul!A112</f>
        <v>0</v>
      </c>
      <c r="B112" s="438" t="str">
        <f t="shared" si="38"/>
        <v/>
      </c>
      <c r="C112" s="1132" t="b">
        <v>0</v>
      </c>
      <c r="D112" s="827" t="s">
        <v>2293</v>
      </c>
      <c r="E112" s="245"/>
      <c r="F112" s="338" t="str">
        <f>IF(A112=FALSE,"",IF(NAMES!$D$10=FALSE,IF(Detail!H112="","",Detail!H112),IF(Crewlist!D112="","",Crewlist!D112)))</f>
        <v/>
      </c>
      <c r="G112" s="338" t="str">
        <f>IF(A112=FALSE,"",IF(NAMES!$D$10=FALSE,IF(Detail!P112="","",Detail!P112),IF(Crewlist!E112="","",Crewlist!E112)))</f>
        <v/>
      </c>
      <c r="H112" s="338" t="str">
        <f>IF(A112=FALSE,"",IF(NAMES!$D$10=FALSE,IF(Detail!K112="","",Detail!K112),IF(Crewlist!F112="","",Crewlist!F112)))</f>
        <v/>
      </c>
      <c r="I112" s="817" t="str">
        <f>IF(Crewlist!T112="","",Crewlist!T112)</f>
        <v/>
      </c>
      <c r="J112" s="817" t="str">
        <f>IF(Crewlist!D112="","",IF(Crewlist!U112="",Crewlist!Y112,IF(DATERENOUVMOINS730&lt;&gt;Crewlist!U112&lt;&gt;Crewlist!Y112,Crewlist!U112,DATERENOUVMOINS365)))</f>
        <v/>
      </c>
      <c r="K112" s="630" t="str">
        <f>IF(Detail!X112="","",Detail!X112)</f>
        <v/>
      </c>
      <c r="L112" s="630" t="str">
        <f>IF(Detail!H112="","",IF(Detail!Y112="",DATERENOUV,IF(Detail!Y112&gt;Detail!D112,Detail!D112,Detail!Y112)))</f>
        <v/>
      </c>
      <c r="M112" s="829" t="str">
        <f>IF(A112=FALSE,"",IF(NAMES!$D$10=FALSE,IF(B112=B113,IF(N112=N113,0,(DATEDIF(K112,L112,"M")+1)),(DATEDIF(K112,L112,"M")+1)),IF(B112=B113,IF(N112=N113,0,(DATEDIF(I112,J112,"M")+1)),(DATEDIF(I112,J112,"M")+1))))</f>
        <v/>
      </c>
      <c r="N112" s="339" t="str">
        <f t="shared" si="33"/>
        <v/>
      </c>
      <c r="O112" s="340" t="str">
        <f>IF(A112=FALSE,"",IF(NAMES!$D$10=FALSE,IF((DATEDIF(K112,L112,"D")+1)&lt;365,(DATEDIF(K112,L112,"D")+1),365),IF((DATEDIF(I112,J112,"D")+1)&lt;365,(DATEDIF(I112,J112,"D")+1),365)))</f>
        <v/>
      </c>
      <c r="P112" s="340" t="str">
        <f>IF(A112=FALSE,"",IF(NAMES!$D$10=FALSE,IF(L112="",365,DATEDIF(K112,L112,"D")+1),IF(L112="",365,DATEDIF(I112,J112,"D")+1)))</f>
        <v/>
      </c>
      <c r="Q112" s="787" t="str">
        <f>Calcul!X112</f>
        <v/>
      </c>
      <c r="R112" s="787" t="str">
        <f>Calcul!Y112</f>
        <v/>
      </c>
      <c r="S112" s="811" t="str">
        <f>Calcul!AG112</f>
        <v/>
      </c>
      <c r="T112" s="350" t="str">
        <f>IF(A112=FALSE,"",IF(NAMES!$D$10=FALSE,IF(Detail!S112="","",Detail!S112),IF(Crewlist!V112="","",Crewlist!V112)))</f>
        <v/>
      </c>
      <c r="U112" s="242" t="str">
        <f>Calcul!AI112</f>
        <v/>
      </c>
      <c r="V112" s="242" t="str">
        <f>Calcul!AL112</f>
        <v/>
      </c>
      <c r="W112" s="242" t="str">
        <f>Calcul!AM112</f>
        <v/>
      </c>
      <c r="X112" s="335" t="str">
        <f>Calcul!AN112</f>
        <v/>
      </c>
      <c r="Y112" s="242" t="str">
        <f>Calcul!AO112</f>
        <v/>
      </c>
      <c r="Z112" s="242" t="str">
        <f>Calcul!AP112</f>
        <v/>
      </c>
      <c r="AA112" s="335" t="str">
        <f>Calcul!AQ112</f>
        <v/>
      </c>
      <c r="AB112" s="335" t="str">
        <f>IF(C112=FALSE,"",Calcul!BE112+Calcul!BF112)</f>
        <v/>
      </c>
      <c r="AC112" s="335" t="str">
        <f>IF(C112=FALSE,"",(Calcul!BG112+Calcul!BH112)+SUM(Calcul!BI112:BN112))</f>
        <v/>
      </c>
      <c r="AD112" s="335" t="str">
        <f>Calcul!BP112</f>
        <v/>
      </c>
      <c r="AE112" s="1325" t="s">
        <v>2866</v>
      </c>
      <c r="AF112" s="450" t="s">
        <v>2254</v>
      </c>
      <c r="AG112" s="318" t="str">
        <f>IF(A112=FALSE,"",YEAR(Detail!F112)&amp;Detail!AG112&amp;Detail!AD112&amp;"-"&amp;Detail!AE112)</f>
        <v/>
      </c>
      <c r="AH112" s="1134" t="s">
        <v>2224</v>
      </c>
      <c r="AI112" s="1135">
        <v>0</v>
      </c>
      <c r="AJ112" s="828">
        <f t="shared" si="39"/>
        <v>0</v>
      </c>
      <c r="AK112" s="828">
        <f t="shared" si="40"/>
        <v>0</v>
      </c>
      <c r="AL112" s="828">
        <f t="shared" si="41"/>
        <v>0</v>
      </c>
      <c r="AM112" s="1135" t="s">
        <v>2224</v>
      </c>
      <c r="AN112" s="1455">
        <v>15.1752</v>
      </c>
      <c r="AO112" s="436">
        <v>0</v>
      </c>
      <c r="AP112" s="254">
        <v>1</v>
      </c>
      <c r="AQ112" s="254">
        <v>0</v>
      </c>
      <c r="AS112" s="1127"/>
      <c r="AT112" s="826" t="s">
        <v>2140</v>
      </c>
      <c r="AU112" s="1136" t="s">
        <v>2255</v>
      </c>
      <c r="AV112" s="1136" t="str">
        <f>IF(A112=FALSE,"",IF(Detail!AT112="","N/A",YEAR(Detail!F112)&amp;Detail!AW112&amp;Detail!AT112&amp;"-"&amp;Detail!AU112&amp;" (100%/"&amp;Detail!CD112&amp;"/"&amp;Detail!CE112&amp;")"))</f>
        <v/>
      </c>
      <c r="AW112" s="1136" t="s">
        <v>2224</v>
      </c>
      <c r="AX112" s="1320" t="str">
        <f>Calcul!DB112</f>
        <v/>
      </c>
      <c r="AY112" s="1298" t="str">
        <f>IF(A112=FALSE,"",51000+(Detail!AA112*7000))</f>
        <v/>
      </c>
      <c r="AZ112" s="1170">
        <v>50000</v>
      </c>
      <c r="BA112" s="243">
        <v>3</v>
      </c>
      <c r="BB112" s="1135">
        <v>0</v>
      </c>
      <c r="BC112" s="1298" t="str">
        <f>IF(A112=FALSE,"",51000+(Detail!AA112*7000))</f>
        <v/>
      </c>
      <c r="BD112" s="1298">
        <f t="shared" si="34"/>
        <v>50000</v>
      </c>
      <c r="BE112" s="1299">
        <f t="shared" si="35"/>
        <v>3</v>
      </c>
      <c r="BF112" s="1284">
        <f t="shared" si="36"/>
        <v>0</v>
      </c>
      <c r="BG112" s="397" t="str">
        <f t="shared" si="42"/>
        <v/>
      </c>
      <c r="BH112" s="1138">
        <v>50000</v>
      </c>
      <c r="BI112" s="243">
        <v>3</v>
      </c>
      <c r="BJ112" s="254">
        <v>0</v>
      </c>
      <c r="BK112" s="397" t="str">
        <f t="shared" si="43"/>
        <v/>
      </c>
      <c r="BL112" s="1138">
        <v>50000</v>
      </c>
      <c r="BM112" s="243">
        <v>3</v>
      </c>
      <c r="BN112" s="254">
        <v>0</v>
      </c>
      <c r="BO112" s="239">
        <v>7</v>
      </c>
      <c r="BP112" s="1075">
        <v>365</v>
      </c>
      <c r="BQ112" s="244">
        <v>1</v>
      </c>
      <c r="BR112" s="254">
        <v>0</v>
      </c>
      <c r="BS112" s="239">
        <f t="shared" si="44"/>
        <v>7</v>
      </c>
      <c r="BT112" s="241">
        <f t="shared" si="45"/>
        <v>365</v>
      </c>
      <c r="BU112" s="253">
        <v>1</v>
      </c>
      <c r="BV112" s="254">
        <v>0</v>
      </c>
      <c r="BW112" s="254" t="s">
        <v>2224</v>
      </c>
      <c r="BX112" s="257">
        <v>0</v>
      </c>
      <c r="BY112" s="436">
        <v>0</v>
      </c>
      <c r="BZ112" s="254">
        <v>1</v>
      </c>
      <c r="CA112" s="254">
        <v>0</v>
      </c>
      <c r="CB112" s="1296"/>
      <c r="CD112" s="1136" t="str">
        <f>IF(A112=FALSE,"",Calcul!NZ112)</f>
        <v/>
      </c>
      <c r="CE112" s="1136" t="s">
        <v>2224</v>
      </c>
      <c r="CF112" s="1132" t="s">
        <v>2138</v>
      </c>
      <c r="CG112" s="1136" t="s">
        <v>2254</v>
      </c>
      <c r="CH112" s="1135" t="s">
        <v>2224</v>
      </c>
      <c r="CI112" s="257">
        <v>0</v>
      </c>
      <c r="CJ112" s="436">
        <v>0</v>
      </c>
      <c r="CK112" s="1135">
        <v>1</v>
      </c>
      <c r="CL112" s="1135">
        <v>0</v>
      </c>
      <c r="CM112" s="1170">
        <v>100000</v>
      </c>
      <c r="CN112" s="243">
        <v>2</v>
      </c>
      <c r="CO112" s="254">
        <v>0</v>
      </c>
      <c r="CP112" s="1298">
        <f t="shared" si="37"/>
        <v>100000</v>
      </c>
      <c r="CQ112" s="243">
        <v>2</v>
      </c>
      <c r="CR112" s="254">
        <v>0</v>
      </c>
    </row>
    <row r="113" spans="1:96" s="383" customFormat="1" ht="30" customHeight="1" outlineLevel="1">
      <c r="A113" s="396" t="b">
        <f>Calcul!A113</f>
        <v>0</v>
      </c>
      <c r="B113" s="438" t="str">
        <f t="shared" si="38"/>
        <v/>
      </c>
      <c r="C113" s="1132" t="b">
        <v>0</v>
      </c>
      <c r="D113" s="827" t="s">
        <v>2293</v>
      </c>
      <c r="E113" s="245"/>
      <c r="F113" s="338" t="str">
        <f>IF(A113=FALSE,"",IF(NAMES!$D$10=FALSE,IF(Detail!H113="","",Detail!H113),IF(Crewlist!D113="","",Crewlist!D113)))</f>
        <v/>
      </c>
      <c r="G113" s="338" t="str">
        <f>IF(A113=FALSE,"",IF(NAMES!$D$10=FALSE,IF(Detail!P113="","",Detail!P113),IF(Crewlist!E113="","",Crewlist!E113)))</f>
        <v/>
      </c>
      <c r="H113" s="338" t="str">
        <f>IF(A113=FALSE,"",IF(NAMES!$D$10=FALSE,IF(Detail!K113="","",Detail!K113),IF(Crewlist!F113="","",Crewlist!F113)))</f>
        <v/>
      </c>
      <c r="I113" s="817" t="str">
        <f>IF(Crewlist!T113="","",Crewlist!T113)</f>
        <v/>
      </c>
      <c r="J113" s="817" t="str">
        <f>IF(Crewlist!D113="","",IF(Crewlist!U113="",Crewlist!Y113,IF(DATERENOUVMOINS730&lt;&gt;Crewlist!U113&lt;&gt;Crewlist!Y113,Crewlist!U113,DATERENOUVMOINS365)))</f>
        <v/>
      </c>
      <c r="K113" s="630" t="str">
        <f>IF(Detail!X113="","",Detail!X113)</f>
        <v/>
      </c>
      <c r="L113" s="630" t="str">
        <f>IF(Detail!H113="","",IF(Detail!Y113="",DATERENOUV,IF(Detail!Y113&gt;Detail!D113,Detail!D113,Detail!Y113)))</f>
        <v/>
      </c>
      <c r="M113" s="829" t="str">
        <f>IF(A113=FALSE,"",IF(NAMES!$D$10=FALSE,IF(B113=B114,IF(N113=N114,0,(DATEDIF(K113,L113,"M")+1)),(DATEDIF(K113,L113,"M")+1)),IF(B113=B114,IF(N113=N114,0,(DATEDIF(I113,J113,"M")+1)),(DATEDIF(I113,J113,"M")+1))))</f>
        <v/>
      </c>
      <c r="N113" s="339" t="str">
        <f t="shared" si="33"/>
        <v/>
      </c>
      <c r="O113" s="340" t="str">
        <f>IF(A113=FALSE,"",IF(NAMES!$D$10=FALSE,IF((DATEDIF(K113,L113,"D")+1)&lt;365,(DATEDIF(K113,L113,"D")+1),365),IF((DATEDIF(I113,J113,"D")+1)&lt;365,(DATEDIF(I113,J113,"D")+1),365)))</f>
        <v/>
      </c>
      <c r="P113" s="340" t="str">
        <f>IF(A113=FALSE,"",IF(NAMES!$D$10=FALSE,IF(L113="",365,DATEDIF(K113,L113,"D")+1),IF(L113="",365,DATEDIF(I113,J113,"D")+1)))</f>
        <v/>
      </c>
      <c r="Q113" s="787" t="str">
        <f>Calcul!X113</f>
        <v/>
      </c>
      <c r="R113" s="787" t="str">
        <f>Calcul!Y113</f>
        <v/>
      </c>
      <c r="S113" s="811" t="str">
        <f>Calcul!AG113</f>
        <v/>
      </c>
      <c r="T113" s="350" t="str">
        <f>IF(A113=FALSE,"",IF(NAMES!$D$10=FALSE,IF(Detail!S113="","",Detail!S113),IF(Crewlist!V113="","",Crewlist!V113)))</f>
        <v/>
      </c>
      <c r="U113" s="242" t="str">
        <f>Calcul!AI113</f>
        <v/>
      </c>
      <c r="V113" s="242" t="str">
        <f>Calcul!AL113</f>
        <v/>
      </c>
      <c r="W113" s="242" t="str">
        <f>Calcul!AM113</f>
        <v/>
      </c>
      <c r="X113" s="335" t="str">
        <f>Calcul!AN113</f>
        <v/>
      </c>
      <c r="Y113" s="242" t="str">
        <f>Calcul!AO113</f>
        <v/>
      </c>
      <c r="Z113" s="242" t="str">
        <f>Calcul!AP113</f>
        <v/>
      </c>
      <c r="AA113" s="335" t="str">
        <f>Calcul!AQ113</f>
        <v/>
      </c>
      <c r="AB113" s="335" t="str">
        <f>IF(C113=FALSE,"",Calcul!BE113+Calcul!BF113)</f>
        <v/>
      </c>
      <c r="AC113" s="335" t="str">
        <f>IF(C113=FALSE,"",(Calcul!BG113+Calcul!BH113)+SUM(Calcul!BI113:BN113))</f>
        <v/>
      </c>
      <c r="AD113" s="335" t="str">
        <f>Calcul!BP113</f>
        <v/>
      </c>
      <c r="AE113" s="1325" t="s">
        <v>2866</v>
      </c>
      <c r="AF113" s="450" t="s">
        <v>2254</v>
      </c>
      <c r="AG113" s="318" t="str">
        <f>IF(A113=FALSE,"",YEAR(Detail!F113)&amp;Detail!AG113&amp;Detail!AD113&amp;"-"&amp;Detail!AE113)</f>
        <v/>
      </c>
      <c r="AH113" s="1134" t="s">
        <v>2224</v>
      </c>
      <c r="AI113" s="1135">
        <v>0</v>
      </c>
      <c r="AJ113" s="828">
        <f t="shared" si="39"/>
        <v>0</v>
      </c>
      <c r="AK113" s="828">
        <f t="shared" si="40"/>
        <v>0</v>
      </c>
      <c r="AL113" s="828">
        <f t="shared" si="41"/>
        <v>0</v>
      </c>
      <c r="AM113" s="1135" t="s">
        <v>2224</v>
      </c>
      <c r="AN113" s="1455">
        <v>15.1752</v>
      </c>
      <c r="AO113" s="436">
        <v>0</v>
      </c>
      <c r="AP113" s="254">
        <v>1</v>
      </c>
      <c r="AQ113" s="254">
        <v>0</v>
      </c>
      <c r="AS113" s="1127"/>
      <c r="AT113" s="826" t="s">
        <v>2140</v>
      </c>
      <c r="AU113" s="1136" t="s">
        <v>2255</v>
      </c>
      <c r="AV113" s="1136" t="str">
        <f>IF(A113=FALSE,"",IF(Detail!AT113="","N/A",YEAR(Detail!F113)&amp;Detail!AW113&amp;Detail!AT113&amp;"-"&amp;Detail!AU113&amp;" (100%/"&amp;Detail!CD113&amp;"/"&amp;Detail!CE113&amp;")"))</f>
        <v/>
      </c>
      <c r="AW113" s="1136" t="s">
        <v>2224</v>
      </c>
      <c r="AX113" s="1320" t="str">
        <f>Calcul!DB113</f>
        <v/>
      </c>
      <c r="AY113" s="1298" t="str">
        <f>IF(A113=FALSE,"",51000+(Detail!AA113*7000))</f>
        <v/>
      </c>
      <c r="AZ113" s="1170">
        <v>50000</v>
      </c>
      <c r="BA113" s="243">
        <v>3</v>
      </c>
      <c r="BB113" s="1135">
        <v>0</v>
      </c>
      <c r="BC113" s="1298" t="str">
        <f>IF(A113=FALSE,"",51000+(Detail!AA113*7000))</f>
        <v/>
      </c>
      <c r="BD113" s="1298">
        <f t="shared" si="34"/>
        <v>50000</v>
      </c>
      <c r="BE113" s="1299">
        <f t="shared" si="35"/>
        <v>3</v>
      </c>
      <c r="BF113" s="1284">
        <f t="shared" si="36"/>
        <v>0</v>
      </c>
      <c r="BG113" s="397" t="str">
        <f t="shared" si="42"/>
        <v/>
      </c>
      <c r="BH113" s="1138">
        <v>50000</v>
      </c>
      <c r="BI113" s="243">
        <v>3</v>
      </c>
      <c r="BJ113" s="254">
        <v>0</v>
      </c>
      <c r="BK113" s="397" t="str">
        <f t="shared" si="43"/>
        <v/>
      </c>
      <c r="BL113" s="1138">
        <v>50000</v>
      </c>
      <c r="BM113" s="243">
        <v>3</v>
      </c>
      <c r="BN113" s="254">
        <v>0</v>
      </c>
      <c r="BO113" s="239">
        <v>7</v>
      </c>
      <c r="BP113" s="1075">
        <v>365</v>
      </c>
      <c r="BQ113" s="244">
        <v>1</v>
      </c>
      <c r="BR113" s="254">
        <v>0</v>
      </c>
      <c r="BS113" s="239">
        <f t="shared" si="44"/>
        <v>7</v>
      </c>
      <c r="BT113" s="241">
        <f t="shared" si="45"/>
        <v>365</v>
      </c>
      <c r="BU113" s="253">
        <v>1</v>
      </c>
      <c r="BV113" s="254">
        <v>0</v>
      </c>
      <c r="BW113" s="254" t="s">
        <v>2224</v>
      </c>
      <c r="BX113" s="257">
        <v>0</v>
      </c>
      <c r="BY113" s="436">
        <v>0</v>
      </c>
      <c r="BZ113" s="254">
        <v>1</v>
      </c>
      <c r="CA113" s="254">
        <v>0</v>
      </c>
      <c r="CB113" s="1296"/>
      <c r="CD113" s="1136" t="str">
        <f>IF(A113=FALSE,"",Calcul!NZ113)</f>
        <v/>
      </c>
      <c r="CE113" s="1136" t="s">
        <v>2224</v>
      </c>
      <c r="CF113" s="1132" t="s">
        <v>2138</v>
      </c>
      <c r="CG113" s="1136" t="s">
        <v>2254</v>
      </c>
      <c r="CH113" s="1135" t="s">
        <v>2224</v>
      </c>
      <c r="CI113" s="257">
        <v>0</v>
      </c>
      <c r="CJ113" s="436">
        <v>0</v>
      </c>
      <c r="CK113" s="1135">
        <v>1</v>
      </c>
      <c r="CL113" s="1135">
        <v>0</v>
      </c>
      <c r="CM113" s="1170">
        <v>100000</v>
      </c>
      <c r="CN113" s="243">
        <v>2</v>
      </c>
      <c r="CO113" s="254">
        <v>0</v>
      </c>
      <c r="CP113" s="1298">
        <f t="shared" si="37"/>
        <v>100000</v>
      </c>
      <c r="CQ113" s="243">
        <v>2</v>
      </c>
      <c r="CR113" s="254">
        <v>0</v>
      </c>
    </row>
    <row r="114" spans="1:96" s="383" customFormat="1" ht="30" customHeight="1" outlineLevel="1">
      <c r="A114" s="396" t="b">
        <f>Calcul!A114</f>
        <v>0</v>
      </c>
      <c r="B114" s="438" t="str">
        <f t="shared" si="38"/>
        <v/>
      </c>
      <c r="C114" s="1132" t="b">
        <v>0</v>
      </c>
      <c r="D114" s="827" t="s">
        <v>2293</v>
      </c>
      <c r="E114" s="245"/>
      <c r="F114" s="338" t="str">
        <f>IF(A114=FALSE,"",IF(NAMES!$D$10=FALSE,IF(Detail!H114="","",Detail!H114),IF(Crewlist!D114="","",Crewlist!D114)))</f>
        <v/>
      </c>
      <c r="G114" s="338" t="str">
        <f>IF(A114=FALSE,"",IF(NAMES!$D$10=FALSE,IF(Detail!P114="","",Detail!P114),IF(Crewlist!E114="","",Crewlist!E114)))</f>
        <v/>
      </c>
      <c r="H114" s="338" t="str">
        <f>IF(A114=FALSE,"",IF(NAMES!$D$10=FALSE,IF(Detail!K114="","",Detail!K114),IF(Crewlist!F114="","",Crewlist!F114)))</f>
        <v/>
      </c>
      <c r="I114" s="817" t="str">
        <f>IF(Crewlist!T114="","",Crewlist!T114)</f>
        <v/>
      </c>
      <c r="J114" s="817" t="str">
        <f>IF(Crewlist!D114="","",IF(Crewlist!U114="",Crewlist!Y114,IF(DATERENOUVMOINS730&lt;&gt;Crewlist!U114&lt;&gt;Crewlist!Y114,Crewlist!U114,DATERENOUVMOINS365)))</f>
        <v/>
      </c>
      <c r="K114" s="630" t="str">
        <f>IF(Detail!X114="","",Detail!X114)</f>
        <v/>
      </c>
      <c r="L114" s="630" t="str">
        <f>IF(Detail!H114="","",IF(Detail!Y114="",DATERENOUV,IF(Detail!Y114&gt;Detail!D114,Detail!D114,Detail!Y114)))</f>
        <v/>
      </c>
      <c r="M114" s="829" t="str">
        <f>IF(A114=FALSE,"",IF(NAMES!$D$10=FALSE,IF(B114=B115,IF(N114=N115,0,(DATEDIF(K114,L114,"M")+1)),(DATEDIF(K114,L114,"M")+1)),IF(B114=B115,IF(N114=N115,0,(DATEDIF(I114,J114,"M")+1)),(DATEDIF(I114,J114,"M")+1))))</f>
        <v/>
      </c>
      <c r="N114" s="339" t="str">
        <f t="shared" si="33"/>
        <v/>
      </c>
      <c r="O114" s="340" t="str">
        <f>IF(A114=FALSE,"",IF(NAMES!$D$10=FALSE,IF((DATEDIF(K114,L114,"D")+1)&lt;365,(DATEDIF(K114,L114,"D")+1),365),IF((DATEDIF(I114,J114,"D")+1)&lt;365,(DATEDIF(I114,J114,"D")+1),365)))</f>
        <v/>
      </c>
      <c r="P114" s="340" t="str">
        <f>IF(A114=FALSE,"",IF(NAMES!$D$10=FALSE,IF(L114="",365,DATEDIF(K114,L114,"D")+1),IF(L114="",365,DATEDIF(I114,J114,"D")+1)))</f>
        <v/>
      </c>
      <c r="Q114" s="787" t="str">
        <f>Calcul!X114</f>
        <v/>
      </c>
      <c r="R114" s="787" t="str">
        <f>Calcul!Y114</f>
        <v/>
      </c>
      <c r="S114" s="811" t="str">
        <f>Calcul!AG114</f>
        <v/>
      </c>
      <c r="T114" s="350" t="str">
        <f>IF(A114=FALSE,"",IF(NAMES!$D$10=FALSE,IF(Detail!S114="","",Detail!S114),IF(Crewlist!V114="","",Crewlist!V114)))</f>
        <v/>
      </c>
      <c r="U114" s="242" t="str">
        <f>Calcul!AI114</f>
        <v/>
      </c>
      <c r="V114" s="242" t="str">
        <f>Calcul!AL114</f>
        <v/>
      </c>
      <c r="W114" s="242" t="str">
        <f>Calcul!AM114</f>
        <v/>
      </c>
      <c r="X114" s="335" t="str">
        <f>Calcul!AN114</f>
        <v/>
      </c>
      <c r="Y114" s="242" t="str">
        <f>Calcul!AO114</f>
        <v/>
      </c>
      <c r="Z114" s="242" t="str">
        <f>Calcul!AP114</f>
        <v/>
      </c>
      <c r="AA114" s="335" t="str">
        <f>Calcul!AQ114</f>
        <v/>
      </c>
      <c r="AB114" s="335" t="str">
        <f>IF(C114=FALSE,"",Calcul!BE114+Calcul!BF114)</f>
        <v/>
      </c>
      <c r="AC114" s="335" t="str">
        <f>IF(C114=FALSE,"",(Calcul!BG114+Calcul!BH114)+SUM(Calcul!BI114:BN114))</f>
        <v/>
      </c>
      <c r="AD114" s="335" t="str">
        <f>Calcul!BP114</f>
        <v/>
      </c>
      <c r="AE114" s="1325" t="s">
        <v>2866</v>
      </c>
      <c r="AF114" s="450" t="s">
        <v>2254</v>
      </c>
      <c r="AG114" s="318" t="str">
        <f>IF(A114=FALSE,"",YEAR(Detail!F114)&amp;Detail!AG114&amp;Detail!AD114&amp;"-"&amp;Detail!AE114)</f>
        <v/>
      </c>
      <c r="AH114" s="1134" t="s">
        <v>2224</v>
      </c>
      <c r="AI114" s="1135">
        <v>0</v>
      </c>
      <c r="AJ114" s="828">
        <f t="shared" si="39"/>
        <v>0</v>
      </c>
      <c r="AK114" s="828">
        <f t="shared" si="40"/>
        <v>0</v>
      </c>
      <c r="AL114" s="828">
        <f t="shared" si="41"/>
        <v>0</v>
      </c>
      <c r="AM114" s="1135" t="s">
        <v>2224</v>
      </c>
      <c r="AN114" s="1455">
        <v>15.1752</v>
      </c>
      <c r="AO114" s="436">
        <v>0</v>
      </c>
      <c r="AP114" s="254">
        <v>1</v>
      </c>
      <c r="AQ114" s="254">
        <v>0</v>
      </c>
      <c r="AS114" s="1127"/>
      <c r="AT114" s="239" t="s">
        <v>2140</v>
      </c>
      <c r="AU114" s="1136" t="s">
        <v>2255</v>
      </c>
      <c r="AV114" s="1136" t="str">
        <f>IF(A114=FALSE,"",IF(Detail!AT114="","N/A",YEAR(Detail!F114)&amp;Detail!AW114&amp;Detail!AT114&amp;"-"&amp;Detail!AU114&amp;" (100%/"&amp;Detail!CD114&amp;"/"&amp;Detail!CE114&amp;")"))</f>
        <v/>
      </c>
      <c r="AW114" s="1136" t="s">
        <v>2224</v>
      </c>
      <c r="AX114" s="1320" t="str">
        <f>Calcul!DB114</f>
        <v/>
      </c>
      <c r="AY114" s="1298" t="str">
        <f>IF(A114=FALSE,"",51000+(Detail!AA114*7000))</f>
        <v/>
      </c>
      <c r="AZ114" s="1170">
        <v>50000</v>
      </c>
      <c r="BA114" s="243">
        <v>3</v>
      </c>
      <c r="BB114" s="1135">
        <v>0</v>
      </c>
      <c r="BC114" s="1298" t="str">
        <f>IF(A114=FALSE,"",51000+(Detail!AA114*7000))</f>
        <v/>
      </c>
      <c r="BD114" s="1298">
        <f t="shared" si="34"/>
        <v>50000</v>
      </c>
      <c r="BE114" s="1299">
        <f t="shared" si="35"/>
        <v>3</v>
      </c>
      <c r="BF114" s="1284">
        <f t="shared" si="36"/>
        <v>0</v>
      </c>
      <c r="BG114" s="397" t="str">
        <f t="shared" si="42"/>
        <v/>
      </c>
      <c r="BH114" s="1138">
        <v>50000</v>
      </c>
      <c r="BI114" s="243">
        <v>3</v>
      </c>
      <c r="BJ114" s="254">
        <v>0</v>
      </c>
      <c r="BK114" s="397" t="str">
        <f t="shared" si="43"/>
        <v/>
      </c>
      <c r="BL114" s="1138">
        <v>50000</v>
      </c>
      <c r="BM114" s="243">
        <v>3</v>
      </c>
      <c r="BN114" s="254">
        <v>0</v>
      </c>
      <c r="BO114" s="239">
        <v>7</v>
      </c>
      <c r="BP114" s="1075">
        <v>365</v>
      </c>
      <c r="BQ114" s="244">
        <v>1</v>
      </c>
      <c r="BR114" s="254">
        <v>0</v>
      </c>
      <c r="BS114" s="239">
        <f t="shared" si="44"/>
        <v>7</v>
      </c>
      <c r="BT114" s="241">
        <f t="shared" si="45"/>
        <v>365</v>
      </c>
      <c r="BU114" s="253">
        <v>1</v>
      </c>
      <c r="BV114" s="254">
        <v>0</v>
      </c>
      <c r="BW114" s="254" t="s">
        <v>2224</v>
      </c>
      <c r="BX114" s="257">
        <v>0</v>
      </c>
      <c r="BY114" s="436">
        <v>0</v>
      </c>
      <c r="BZ114" s="254">
        <v>1</v>
      </c>
      <c r="CA114" s="254">
        <v>0</v>
      </c>
      <c r="CB114" s="1296"/>
      <c r="CD114" s="1136" t="str">
        <f>IF(A114=FALSE,"",Calcul!NZ114)</f>
        <v/>
      </c>
      <c r="CE114" s="1136" t="s">
        <v>2224</v>
      </c>
      <c r="CF114" s="1132" t="s">
        <v>2138</v>
      </c>
      <c r="CG114" s="1136" t="s">
        <v>2254</v>
      </c>
      <c r="CH114" s="1135" t="s">
        <v>2224</v>
      </c>
      <c r="CI114" s="257">
        <v>0</v>
      </c>
      <c r="CJ114" s="436">
        <v>0</v>
      </c>
      <c r="CK114" s="1135">
        <v>1</v>
      </c>
      <c r="CL114" s="1135">
        <v>0</v>
      </c>
      <c r="CM114" s="1170">
        <v>100000</v>
      </c>
      <c r="CN114" s="243">
        <v>2</v>
      </c>
      <c r="CO114" s="254">
        <v>0</v>
      </c>
      <c r="CP114" s="1298">
        <f t="shared" si="37"/>
        <v>100000</v>
      </c>
      <c r="CQ114" s="243">
        <v>2</v>
      </c>
      <c r="CR114" s="254">
        <v>0</v>
      </c>
    </row>
    <row r="115" spans="1:96" s="383" customFormat="1" ht="30" customHeight="1" outlineLevel="1">
      <c r="A115" s="396" t="b">
        <f>Calcul!A115</f>
        <v>0</v>
      </c>
      <c r="B115" s="438" t="str">
        <f t="shared" si="38"/>
        <v/>
      </c>
      <c r="C115" s="1132" t="b">
        <v>0</v>
      </c>
      <c r="D115" s="827" t="s">
        <v>2293</v>
      </c>
      <c r="E115" s="245"/>
      <c r="F115" s="338" t="str">
        <f>IF(A115=FALSE,"",IF(NAMES!$D$10=FALSE,IF(Detail!H115="","",Detail!H115),IF(Crewlist!D115="","",Crewlist!D115)))</f>
        <v/>
      </c>
      <c r="G115" s="338" t="str">
        <f>IF(A115=FALSE,"",IF(NAMES!$D$10=FALSE,IF(Detail!P115="","",Detail!P115),IF(Crewlist!E115="","",Crewlist!E115)))</f>
        <v/>
      </c>
      <c r="H115" s="338" t="str">
        <f>IF(A115=FALSE,"",IF(NAMES!$D$10=FALSE,IF(Detail!K115="","",Detail!K115),IF(Crewlist!F115="","",Crewlist!F115)))</f>
        <v/>
      </c>
      <c r="I115" s="817" t="str">
        <f>IF(Crewlist!T115="","",Crewlist!T115)</f>
        <v/>
      </c>
      <c r="J115" s="817" t="str">
        <f>IF(Crewlist!D115="","",IF(Crewlist!U115="",Crewlist!Y115,IF(DATERENOUVMOINS730&lt;&gt;Crewlist!U115&lt;&gt;Crewlist!Y115,Crewlist!U115,DATERENOUVMOINS365)))</f>
        <v/>
      </c>
      <c r="K115" s="630" t="str">
        <f>IF(Detail!X115="","",Detail!X115)</f>
        <v/>
      </c>
      <c r="L115" s="630" t="str">
        <f>IF(Detail!H115="","",IF(Detail!Y115="",DATERENOUV,IF(Detail!Y115&gt;Detail!D115,Detail!D115,Detail!Y115)))</f>
        <v/>
      </c>
      <c r="M115" s="829" t="str">
        <f>IF(A115=FALSE,"",IF(NAMES!$D$10=FALSE,IF(B115=B116,IF(N115=N116,0,(DATEDIF(K115,L115,"M")+1)),(DATEDIF(K115,L115,"M")+1)),IF(B115=B116,IF(N115=N116,0,(DATEDIF(I115,J115,"M")+1)),(DATEDIF(I115,J115,"M")+1))))</f>
        <v/>
      </c>
      <c r="N115" s="339" t="str">
        <f t="shared" si="33"/>
        <v/>
      </c>
      <c r="O115" s="340" t="str">
        <f>IF(A115=FALSE,"",IF(NAMES!$D$10=FALSE,IF((DATEDIF(K115,L115,"D")+1)&lt;365,(DATEDIF(K115,L115,"D")+1),365),IF((DATEDIF(I115,J115,"D")+1)&lt;365,(DATEDIF(I115,J115,"D")+1),365)))</f>
        <v/>
      </c>
      <c r="P115" s="340" t="str">
        <f>IF(A115=FALSE,"",IF(NAMES!$D$10=FALSE,IF(L115="",365,DATEDIF(K115,L115,"D")+1),IF(L115="",365,DATEDIF(I115,J115,"D")+1)))</f>
        <v/>
      </c>
      <c r="Q115" s="787" t="str">
        <f>Calcul!X115</f>
        <v/>
      </c>
      <c r="R115" s="787" t="str">
        <f>Calcul!Y115</f>
        <v/>
      </c>
      <c r="S115" s="811" t="str">
        <f>Calcul!AG115</f>
        <v/>
      </c>
      <c r="T115" s="350" t="str">
        <f>IF(A115=FALSE,"",IF(NAMES!$D$10=FALSE,IF(Detail!S115="","",Detail!S115),IF(Crewlist!V115="","",Crewlist!V115)))</f>
        <v/>
      </c>
      <c r="U115" s="242" t="str">
        <f>Calcul!AI115</f>
        <v/>
      </c>
      <c r="V115" s="242" t="str">
        <f>Calcul!AL115</f>
        <v/>
      </c>
      <c r="W115" s="242" t="str">
        <f>Calcul!AM115</f>
        <v/>
      </c>
      <c r="X115" s="335" t="str">
        <f>Calcul!AN115</f>
        <v/>
      </c>
      <c r="Y115" s="242" t="str">
        <f>Calcul!AO115</f>
        <v/>
      </c>
      <c r="Z115" s="242" t="str">
        <f>Calcul!AP115</f>
        <v/>
      </c>
      <c r="AA115" s="335" t="str">
        <f>Calcul!AQ115</f>
        <v/>
      </c>
      <c r="AB115" s="335" t="str">
        <f>IF(C115=FALSE,"",Calcul!BE115+Calcul!BF115)</f>
        <v/>
      </c>
      <c r="AC115" s="335" t="str">
        <f>IF(C115=FALSE,"",(Calcul!BG115+Calcul!BH115)+SUM(Calcul!BI115:BN115))</f>
        <v/>
      </c>
      <c r="AD115" s="335" t="str">
        <f>Calcul!BP115</f>
        <v/>
      </c>
      <c r="AE115" s="1325" t="s">
        <v>2866</v>
      </c>
      <c r="AF115" s="450" t="s">
        <v>2254</v>
      </c>
      <c r="AG115" s="318" t="str">
        <f>IF(A115=FALSE,"",YEAR(Detail!F115)&amp;Detail!AG115&amp;Detail!AD115&amp;"-"&amp;Detail!AE115)</f>
        <v/>
      </c>
      <c r="AH115" s="1134" t="s">
        <v>2224</v>
      </c>
      <c r="AI115" s="1135">
        <v>0</v>
      </c>
      <c r="AJ115" s="828">
        <f t="shared" si="39"/>
        <v>0</v>
      </c>
      <c r="AK115" s="828">
        <f t="shared" si="40"/>
        <v>0</v>
      </c>
      <c r="AL115" s="828">
        <f t="shared" si="41"/>
        <v>0</v>
      </c>
      <c r="AM115" s="1135" t="s">
        <v>2224</v>
      </c>
      <c r="AN115" s="1455">
        <v>15.1752</v>
      </c>
      <c r="AO115" s="436">
        <v>0</v>
      </c>
      <c r="AP115" s="254">
        <v>1</v>
      </c>
      <c r="AQ115" s="254">
        <v>0</v>
      </c>
      <c r="AS115" s="1127"/>
      <c r="AT115" s="239" t="s">
        <v>2140</v>
      </c>
      <c r="AU115" s="1136" t="s">
        <v>2255</v>
      </c>
      <c r="AV115" s="1136" t="str">
        <f>IF(A115=FALSE,"",IF(Detail!AT115="","N/A",YEAR(Detail!F115)&amp;Detail!AW115&amp;Detail!AT115&amp;"-"&amp;Detail!AU115&amp;" (100%/"&amp;Detail!CD115&amp;"/"&amp;Detail!CE115&amp;")"))</f>
        <v/>
      </c>
      <c r="AW115" s="1136" t="s">
        <v>2224</v>
      </c>
      <c r="AX115" s="1320" t="str">
        <f>Calcul!DB115</f>
        <v/>
      </c>
      <c r="AY115" s="1298" t="str">
        <f>IF(A115=FALSE,"",51000+(Detail!AA115*7000))</f>
        <v/>
      </c>
      <c r="AZ115" s="1170">
        <v>50000</v>
      </c>
      <c r="BA115" s="243">
        <v>3</v>
      </c>
      <c r="BB115" s="1135">
        <v>0</v>
      </c>
      <c r="BC115" s="1298" t="str">
        <f>IF(A115=FALSE,"",51000+(Detail!AA115*7000))</f>
        <v/>
      </c>
      <c r="BD115" s="1298">
        <f t="shared" si="34"/>
        <v>50000</v>
      </c>
      <c r="BE115" s="1299">
        <f t="shared" si="35"/>
        <v>3</v>
      </c>
      <c r="BF115" s="1284">
        <f t="shared" si="36"/>
        <v>0</v>
      </c>
      <c r="BG115" s="397" t="str">
        <f t="shared" si="42"/>
        <v/>
      </c>
      <c r="BH115" s="1138">
        <v>50000</v>
      </c>
      <c r="BI115" s="243">
        <v>3</v>
      </c>
      <c r="BJ115" s="254">
        <v>0</v>
      </c>
      <c r="BK115" s="397" t="str">
        <f t="shared" si="43"/>
        <v/>
      </c>
      <c r="BL115" s="1138">
        <v>50000</v>
      </c>
      <c r="BM115" s="243">
        <v>3</v>
      </c>
      <c r="BN115" s="254">
        <v>0</v>
      </c>
      <c r="BO115" s="239">
        <v>7</v>
      </c>
      <c r="BP115" s="1075">
        <v>365</v>
      </c>
      <c r="BQ115" s="244">
        <v>1</v>
      </c>
      <c r="BR115" s="254">
        <v>0</v>
      </c>
      <c r="BS115" s="239">
        <f t="shared" si="44"/>
        <v>7</v>
      </c>
      <c r="BT115" s="241">
        <f t="shared" si="45"/>
        <v>365</v>
      </c>
      <c r="BU115" s="253">
        <v>1</v>
      </c>
      <c r="BV115" s="254">
        <v>0</v>
      </c>
      <c r="BW115" s="254" t="s">
        <v>2224</v>
      </c>
      <c r="BX115" s="257">
        <v>0</v>
      </c>
      <c r="BY115" s="436">
        <v>0</v>
      </c>
      <c r="BZ115" s="254">
        <v>1</v>
      </c>
      <c r="CA115" s="254">
        <v>0</v>
      </c>
      <c r="CB115" s="1296"/>
      <c r="CD115" s="1136" t="str">
        <f>IF(A115=FALSE,"",Calcul!NZ115)</f>
        <v/>
      </c>
      <c r="CE115" s="1136" t="s">
        <v>2224</v>
      </c>
      <c r="CF115" s="1132" t="s">
        <v>2138</v>
      </c>
      <c r="CG115" s="1136" t="s">
        <v>2254</v>
      </c>
      <c r="CH115" s="1135" t="s">
        <v>2224</v>
      </c>
      <c r="CI115" s="257">
        <v>0</v>
      </c>
      <c r="CJ115" s="436">
        <v>0</v>
      </c>
      <c r="CK115" s="1135">
        <v>1</v>
      </c>
      <c r="CL115" s="1135">
        <v>0</v>
      </c>
      <c r="CM115" s="1170">
        <v>100000</v>
      </c>
      <c r="CN115" s="243">
        <v>2</v>
      </c>
      <c r="CO115" s="254">
        <v>0</v>
      </c>
      <c r="CP115" s="1298">
        <f t="shared" si="37"/>
        <v>100000</v>
      </c>
      <c r="CQ115" s="243">
        <v>2</v>
      </c>
      <c r="CR115" s="254">
        <v>0</v>
      </c>
    </row>
    <row r="116" spans="1:96" s="383" customFormat="1" ht="30" customHeight="1" outlineLevel="1">
      <c r="A116" s="396" t="b">
        <f>Calcul!A116</f>
        <v>0</v>
      </c>
      <c r="B116" s="438" t="str">
        <f t="shared" si="38"/>
        <v/>
      </c>
      <c r="C116" s="1132" t="b">
        <v>0</v>
      </c>
      <c r="D116" s="827" t="s">
        <v>2293</v>
      </c>
      <c r="E116" s="245"/>
      <c r="F116" s="338" t="str">
        <f>IF(A116=FALSE,"",IF(NAMES!$D$10=FALSE,IF(Detail!H116="","",Detail!H116),IF(Crewlist!D116="","",Crewlist!D116)))</f>
        <v/>
      </c>
      <c r="G116" s="338" t="str">
        <f>IF(A116=FALSE,"",IF(NAMES!$D$10=FALSE,IF(Detail!P116="","",Detail!P116),IF(Crewlist!E116="","",Crewlist!E116)))</f>
        <v/>
      </c>
      <c r="H116" s="338" t="str">
        <f>IF(A116=FALSE,"",IF(NAMES!$D$10=FALSE,IF(Detail!K116="","",Detail!K116),IF(Crewlist!F116="","",Crewlist!F116)))</f>
        <v/>
      </c>
      <c r="I116" s="817" t="str">
        <f>IF(Crewlist!T116="","",Crewlist!T116)</f>
        <v/>
      </c>
      <c r="J116" s="817" t="str">
        <f>IF(Crewlist!D116="","",IF(Crewlist!U116="",Crewlist!Y116,IF(DATERENOUVMOINS730&lt;&gt;Crewlist!U116&lt;&gt;Crewlist!Y116,Crewlist!U116,DATERENOUVMOINS365)))</f>
        <v/>
      </c>
      <c r="K116" s="630" t="str">
        <f>IF(Detail!X116="","",Detail!X116)</f>
        <v/>
      </c>
      <c r="L116" s="630" t="str">
        <f>IF(Detail!H116="","",IF(Detail!Y116="",DATERENOUV,IF(Detail!Y116&gt;Detail!D116,Detail!D116,Detail!Y116)))</f>
        <v/>
      </c>
      <c r="M116" s="829" t="str">
        <f>IF(A116=FALSE,"",IF(NAMES!$D$10=FALSE,IF(B116=B117,IF(N116=N117,0,(DATEDIF(K116,L116,"M")+1)),(DATEDIF(K116,L116,"M")+1)),IF(B116=B117,IF(N116=N117,0,(DATEDIF(I116,J116,"M")+1)),(DATEDIF(I116,J116,"M")+1))))</f>
        <v/>
      </c>
      <c r="N116" s="339" t="str">
        <f t="shared" si="33"/>
        <v/>
      </c>
      <c r="O116" s="340" t="str">
        <f>IF(A116=FALSE,"",IF(NAMES!$D$10=FALSE,IF((DATEDIF(K116,L116,"D")+1)&lt;365,(DATEDIF(K116,L116,"D")+1),365),IF((DATEDIF(I116,J116,"D")+1)&lt;365,(DATEDIF(I116,J116,"D")+1),365)))</f>
        <v/>
      </c>
      <c r="P116" s="340" t="str">
        <f>IF(A116=FALSE,"",IF(NAMES!$D$10=FALSE,IF(L116="",365,DATEDIF(K116,L116,"D")+1),IF(L116="",365,DATEDIF(I116,J116,"D")+1)))</f>
        <v/>
      </c>
      <c r="Q116" s="787" t="str">
        <f>Calcul!X116</f>
        <v/>
      </c>
      <c r="R116" s="787" t="str">
        <f>Calcul!Y116</f>
        <v/>
      </c>
      <c r="S116" s="811" t="str">
        <f>Calcul!AG116</f>
        <v/>
      </c>
      <c r="T116" s="350" t="str">
        <f>IF(A116=FALSE,"",IF(NAMES!$D$10=FALSE,IF(Detail!S116="","",Detail!S116),IF(Crewlist!V116="","",Crewlist!V116)))</f>
        <v/>
      </c>
      <c r="U116" s="242" t="str">
        <f>Calcul!AI116</f>
        <v/>
      </c>
      <c r="V116" s="242" t="str">
        <f>Calcul!AL116</f>
        <v/>
      </c>
      <c r="W116" s="242" t="str">
        <f>Calcul!AM116</f>
        <v/>
      </c>
      <c r="X116" s="335" t="str">
        <f>Calcul!AN116</f>
        <v/>
      </c>
      <c r="Y116" s="242" t="str">
        <f>Calcul!AO116</f>
        <v/>
      </c>
      <c r="Z116" s="242" t="str">
        <f>Calcul!AP116</f>
        <v/>
      </c>
      <c r="AA116" s="335" t="str">
        <f>Calcul!AQ116</f>
        <v/>
      </c>
      <c r="AB116" s="335" t="str">
        <f>IF(C116=FALSE,"",Calcul!BE116+Calcul!BF116)</f>
        <v/>
      </c>
      <c r="AC116" s="335" t="str">
        <f>IF(C116=FALSE,"",(Calcul!BG116+Calcul!BH116)+SUM(Calcul!BI116:BN116))</f>
        <v/>
      </c>
      <c r="AD116" s="335" t="str">
        <f>Calcul!BP116</f>
        <v/>
      </c>
      <c r="AE116" s="1325" t="s">
        <v>2866</v>
      </c>
      <c r="AF116" s="450" t="s">
        <v>2254</v>
      </c>
      <c r="AG116" s="318" t="str">
        <f>IF(A116=FALSE,"",YEAR(Detail!F116)&amp;Detail!AG116&amp;Detail!AD116&amp;"-"&amp;Detail!AE116)</f>
        <v/>
      </c>
      <c r="AH116" s="1134" t="s">
        <v>2224</v>
      </c>
      <c r="AI116" s="1135">
        <v>0</v>
      </c>
      <c r="AJ116" s="828">
        <f t="shared" si="39"/>
        <v>0</v>
      </c>
      <c r="AK116" s="828">
        <f t="shared" si="40"/>
        <v>0</v>
      </c>
      <c r="AL116" s="828">
        <f t="shared" si="41"/>
        <v>0</v>
      </c>
      <c r="AM116" s="1135" t="s">
        <v>2224</v>
      </c>
      <c r="AN116" s="1455">
        <v>15.1752</v>
      </c>
      <c r="AO116" s="436">
        <v>0</v>
      </c>
      <c r="AP116" s="254">
        <v>1</v>
      </c>
      <c r="AQ116" s="254">
        <v>0</v>
      </c>
      <c r="AS116" s="1127"/>
      <c r="AT116" s="239" t="s">
        <v>2140</v>
      </c>
      <c r="AU116" s="1136" t="s">
        <v>2255</v>
      </c>
      <c r="AV116" s="1136" t="str">
        <f>IF(A116=FALSE,"",IF(Detail!AT116="","N/A",YEAR(Detail!F116)&amp;Detail!AW116&amp;Detail!AT116&amp;"-"&amp;Detail!AU116&amp;" (100%/"&amp;Detail!CD116&amp;"/"&amp;Detail!CE116&amp;")"))</f>
        <v/>
      </c>
      <c r="AW116" s="1136" t="s">
        <v>2224</v>
      </c>
      <c r="AX116" s="1320" t="str">
        <f>Calcul!DB116</f>
        <v/>
      </c>
      <c r="AY116" s="1298" t="str">
        <f>IF(A116=FALSE,"",51000+(Detail!AA116*7000))</f>
        <v/>
      </c>
      <c r="AZ116" s="1170">
        <v>50000</v>
      </c>
      <c r="BA116" s="243">
        <v>3</v>
      </c>
      <c r="BB116" s="1135">
        <v>0</v>
      </c>
      <c r="BC116" s="1298" t="str">
        <f>IF(A116=FALSE,"",51000+(Detail!AA116*7000))</f>
        <v/>
      </c>
      <c r="BD116" s="1298">
        <f t="shared" si="34"/>
        <v>50000</v>
      </c>
      <c r="BE116" s="1299">
        <f t="shared" si="35"/>
        <v>3</v>
      </c>
      <c r="BF116" s="1284">
        <f t="shared" si="36"/>
        <v>0</v>
      </c>
      <c r="BG116" s="397" t="str">
        <f t="shared" si="42"/>
        <v/>
      </c>
      <c r="BH116" s="1138">
        <v>50000</v>
      </c>
      <c r="BI116" s="243">
        <v>3</v>
      </c>
      <c r="BJ116" s="254">
        <v>0</v>
      </c>
      <c r="BK116" s="397" t="str">
        <f t="shared" si="43"/>
        <v/>
      </c>
      <c r="BL116" s="1138">
        <v>50000</v>
      </c>
      <c r="BM116" s="243">
        <v>3</v>
      </c>
      <c r="BN116" s="254">
        <v>0</v>
      </c>
      <c r="BO116" s="239">
        <v>7</v>
      </c>
      <c r="BP116" s="1075">
        <v>365</v>
      </c>
      <c r="BQ116" s="244">
        <v>1</v>
      </c>
      <c r="BR116" s="254">
        <v>0</v>
      </c>
      <c r="BS116" s="239">
        <f t="shared" si="44"/>
        <v>7</v>
      </c>
      <c r="BT116" s="241">
        <f t="shared" si="45"/>
        <v>365</v>
      </c>
      <c r="BU116" s="253">
        <v>1</v>
      </c>
      <c r="BV116" s="254">
        <v>0</v>
      </c>
      <c r="BW116" s="254" t="s">
        <v>2224</v>
      </c>
      <c r="BX116" s="257">
        <v>0</v>
      </c>
      <c r="BY116" s="436">
        <v>0</v>
      </c>
      <c r="BZ116" s="254">
        <v>1</v>
      </c>
      <c r="CA116" s="254">
        <v>0</v>
      </c>
      <c r="CB116" s="1296"/>
      <c r="CD116" s="1136" t="str">
        <f>IF(A116=FALSE,"",Calcul!NZ116)</f>
        <v/>
      </c>
      <c r="CE116" s="1136" t="s">
        <v>2224</v>
      </c>
      <c r="CF116" s="1132" t="s">
        <v>2138</v>
      </c>
      <c r="CG116" s="1136" t="s">
        <v>2254</v>
      </c>
      <c r="CH116" s="1135" t="s">
        <v>2224</v>
      </c>
      <c r="CI116" s="257">
        <v>0</v>
      </c>
      <c r="CJ116" s="436">
        <v>0</v>
      </c>
      <c r="CK116" s="1135">
        <v>1</v>
      </c>
      <c r="CL116" s="1135">
        <v>0</v>
      </c>
      <c r="CM116" s="1170">
        <v>100000</v>
      </c>
      <c r="CN116" s="243">
        <v>2</v>
      </c>
      <c r="CO116" s="254">
        <v>0</v>
      </c>
      <c r="CP116" s="1298">
        <f t="shared" si="37"/>
        <v>100000</v>
      </c>
      <c r="CQ116" s="243">
        <v>2</v>
      </c>
      <c r="CR116" s="254">
        <v>0</v>
      </c>
    </row>
    <row r="117" spans="1:96" s="383" customFormat="1" ht="30" customHeight="1" outlineLevel="1">
      <c r="A117" s="396" t="b">
        <f>Calcul!A117</f>
        <v>0</v>
      </c>
      <c r="B117" s="438" t="str">
        <f t="shared" si="38"/>
        <v/>
      </c>
      <c r="C117" s="239" t="b">
        <v>0</v>
      </c>
      <c r="D117" s="827" t="s">
        <v>2293</v>
      </c>
      <c r="E117" s="245"/>
      <c r="F117" s="338" t="str">
        <f>IF(A117=FALSE,"",IF(NAMES!$D$10=FALSE,IF(Detail!H117="","",Detail!H117),IF(Crewlist!D117="","",Crewlist!D117)))</f>
        <v/>
      </c>
      <c r="G117" s="338" t="str">
        <f>IF(A117=FALSE,"",IF(NAMES!$D$10=FALSE,IF(Detail!P117="","",Detail!P117),IF(Crewlist!E117="","",Crewlist!E117)))</f>
        <v/>
      </c>
      <c r="H117" s="338" t="str">
        <f>IF(A117=FALSE,"",IF(NAMES!$D$10=FALSE,IF(Detail!K117="","",Detail!K117),IF(Crewlist!F117="","",Crewlist!F117)))</f>
        <v/>
      </c>
      <c r="I117" s="817" t="str">
        <f>IF(Crewlist!T117="","",Crewlist!T117)</f>
        <v/>
      </c>
      <c r="J117" s="817" t="str">
        <f>IF(Crewlist!D117="","",IF(Crewlist!U117="",Crewlist!Y117,IF(DATERENOUVMOINS730&lt;&gt;Crewlist!U117&lt;&gt;Crewlist!Y117,Crewlist!U117,DATERENOUVMOINS365)))</f>
        <v/>
      </c>
      <c r="K117" s="630" t="str">
        <f>IF(Detail!X117="","",Detail!X117)</f>
        <v/>
      </c>
      <c r="L117" s="630" t="str">
        <f>IF(Detail!H117="","",IF(Detail!Y117="",DATERENOUV,IF(Detail!Y117&gt;Detail!D117,Detail!D117,Detail!Y117)))</f>
        <v/>
      </c>
      <c r="M117" s="829" t="str">
        <f>IF(A117=FALSE,"",IF(NAMES!$D$10=FALSE,IF(B117=B118,IF(N117=N118,0,(DATEDIF(K117,L117,"M")+1)),(DATEDIF(K117,L117,"M")+1)),IF(B117=B118,IF(N117=N118,0,(DATEDIF(I117,J117,"M")+1)),(DATEDIF(I117,J117,"M")+1))))</f>
        <v/>
      </c>
      <c r="N117" s="339" t="str">
        <f t="shared" si="33"/>
        <v/>
      </c>
      <c r="O117" s="340" t="str">
        <f>IF(A117=FALSE,"",IF(NAMES!$D$10=FALSE,IF((DATEDIF(K117,L117,"D")+1)&lt;365,(DATEDIF(K117,L117,"D")+1),365),IF((DATEDIF(I117,J117,"D")+1)&lt;365,(DATEDIF(I117,J117,"D")+1),365)))</f>
        <v/>
      </c>
      <c r="P117" s="340" t="str">
        <f>IF(A117=FALSE,"",IF(NAMES!$D$10=FALSE,IF(L117="",365,DATEDIF(K117,L117,"D")+1),IF(L117="",365,DATEDIF(I117,J117,"D")+1)))</f>
        <v/>
      </c>
      <c r="Q117" s="787" t="str">
        <f>Calcul!X117</f>
        <v/>
      </c>
      <c r="R117" s="787" t="str">
        <f>Calcul!Y117</f>
        <v/>
      </c>
      <c r="S117" s="811" t="str">
        <f>Calcul!AG117</f>
        <v/>
      </c>
      <c r="T117" s="350" t="str">
        <f>IF(A117=FALSE,"",IF(NAMES!$D$10=FALSE,IF(Detail!S117="","",Detail!S117),IF(Crewlist!V117="","",Crewlist!V117)))</f>
        <v/>
      </c>
      <c r="U117" s="242" t="str">
        <f>Calcul!AI117</f>
        <v/>
      </c>
      <c r="V117" s="242" t="str">
        <f>Calcul!AL117</f>
        <v/>
      </c>
      <c r="W117" s="242" t="str">
        <f>Calcul!AM117</f>
        <v/>
      </c>
      <c r="X117" s="335" t="str">
        <f>Calcul!AN117</f>
        <v/>
      </c>
      <c r="Y117" s="242" t="str">
        <f>Calcul!AO117</f>
        <v/>
      </c>
      <c r="Z117" s="242" t="str">
        <f>Calcul!AP117</f>
        <v/>
      </c>
      <c r="AA117" s="335" t="str">
        <f>Calcul!AQ117</f>
        <v/>
      </c>
      <c r="AB117" s="335" t="str">
        <f>IF(C117=FALSE,"",Calcul!BE117+Calcul!BF117)</f>
        <v/>
      </c>
      <c r="AC117" s="335" t="str">
        <f>IF(C117=FALSE,"",(Calcul!BG117+Calcul!BH117)+SUM(Calcul!BI117:BN117))</f>
        <v/>
      </c>
      <c r="AD117" s="335" t="str">
        <f>Calcul!BP117</f>
        <v/>
      </c>
      <c r="AE117" s="1325" t="s">
        <v>2866</v>
      </c>
      <c r="AF117" s="450" t="s">
        <v>2254</v>
      </c>
      <c r="AG117" s="318" t="str">
        <f>IF(A117=FALSE,"",YEAR(Detail!F117)&amp;Detail!AG117&amp;Detail!AD117&amp;"-"&amp;Detail!AE117)</f>
        <v/>
      </c>
      <c r="AH117" s="1134" t="s">
        <v>2224</v>
      </c>
      <c r="AI117" s="1135">
        <v>0</v>
      </c>
      <c r="AJ117" s="828">
        <f t="shared" si="39"/>
        <v>0</v>
      </c>
      <c r="AK117" s="828">
        <f t="shared" si="40"/>
        <v>0</v>
      </c>
      <c r="AL117" s="828">
        <f t="shared" si="41"/>
        <v>0</v>
      </c>
      <c r="AM117" s="1135" t="s">
        <v>2224</v>
      </c>
      <c r="AN117" s="1455">
        <v>15.1752</v>
      </c>
      <c r="AO117" s="436">
        <v>0</v>
      </c>
      <c r="AP117" s="254">
        <v>1</v>
      </c>
      <c r="AQ117" s="254">
        <v>0</v>
      </c>
      <c r="AS117" s="1127"/>
      <c r="AT117" s="239" t="s">
        <v>2140</v>
      </c>
      <c r="AU117" s="1136" t="s">
        <v>2255</v>
      </c>
      <c r="AV117" s="1136" t="str">
        <f>IF(A117=FALSE,"",IF(Detail!AT117="","N/A",YEAR(Detail!F117)&amp;Detail!AW117&amp;Detail!AT117&amp;"-"&amp;Detail!AU117&amp;" (100%/"&amp;Detail!CD117&amp;"/"&amp;Detail!CE117&amp;")"))</f>
        <v/>
      </c>
      <c r="AW117" s="1136" t="s">
        <v>2224</v>
      </c>
      <c r="AX117" s="1320" t="str">
        <f>Calcul!DB117</f>
        <v/>
      </c>
      <c r="AY117" s="1298" t="str">
        <f>IF(A117=FALSE,"",51000+(Detail!AA117*7000))</f>
        <v/>
      </c>
      <c r="AZ117" s="1170">
        <v>50000</v>
      </c>
      <c r="BA117" s="243">
        <v>3</v>
      </c>
      <c r="BB117" s="1135">
        <v>0</v>
      </c>
      <c r="BC117" s="1298" t="str">
        <f>IF(A117=FALSE,"",51000+(Detail!AA117*7000))</f>
        <v/>
      </c>
      <c r="BD117" s="1298">
        <f t="shared" si="34"/>
        <v>50000</v>
      </c>
      <c r="BE117" s="1299">
        <f t="shared" si="35"/>
        <v>3</v>
      </c>
      <c r="BF117" s="1284">
        <f t="shared" si="36"/>
        <v>0</v>
      </c>
      <c r="BG117" s="397" t="str">
        <f t="shared" si="42"/>
        <v/>
      </c>
      <c r="BH117" s="1138">
        <v>50000</v>
      </c>
      <c r="BI117" s="243">
        <v>3</v>
      </c>
      <c r="BJ117" s="254">
        <v>0</v>
      </c>
      <c r="BK117" s="397" t="str">
        <f t="shared" si="43"/>
        <v/>
      </c>
      <c r="BL117" s="1138">
        <v>50000</v>
      </c>
      <c r="BM117" s="243">
        <v>3</v>
      </c>
      <c r="BN117" s="254">
        <v>0</v>
      </c>
      <c r="BO117" s="239">
        <v>7</v>
      </c>
      <c r="BP117" s="1075">
        <v>365</v>
      </c>
      <c r="BQ117" s="244">
        <v>1</v>
      </c>
      <c r="BR117" s="254">
        <v>0</v>
      </c>
      <c r="BS117" s="239">
        <f t="shared" si="44"/>
        <v>7</v>
      </c>
      <c r="BT117" s="241">
        <f t="shared" si="45"/>
        <v>365</v>
      </c>
      <c r="BU117" s="253">
        <v>1</v>
      </c>
      <c r="BV117" s="254">
        <v>0</v>
      </c>
      <c r="BW117" s="254" t="s">
        <v>2224</v>
      </c>
      <c r="BX117" s="257">
        <v>0</v>
      </c>
      <c r="BY117" s="436">
        <v>0</v>
      </c>
      <c r="BZ117" s="254">
        <v>1</v>
      </c>
      <c r="CA117" s="254">
        <v>0</v>
      </c>
      <c r="CB117" s="1296"/>
      <c r="CD117" s="1136" t="str">
        <f>IF(A117=FALSE,"",Calcul!NZ117)</f>
        <v/>
      </c>
      <c r="CE117" s="1136" t="s">
        <v>2224</v>
      </c>
      <c r="CF117" s="1132" t="s">
        <v>2138</v>
      </c>
      <c r="CG117" s="1136" t="s">
        <v>2254</v>
      </c>
      <c r="CH117" s="1135" t="s">
        <v>2224</v>
      </c>
      <c r="CI117" s="257">
        <v>0</v>
      </c>
      <c r="CJ117" s="436">
        <v>0</v>
      </c>
      <c r="CK117" s="1135">
        <v>1</v>
      </c>
      <c r="CL117" s="1135">
        <v>0</v>
      </c>
      <c r="CM117" s="1170">
        <v>100000</v>
      </c>
      <c r="CN117" s="243">
        <v>2</v>
      </c>
      <c r="CO117" s="254">
        <v>0</v>
      </c>
      <c r="CP117" s="1298">
        <f t="shared" si="37"/>
        <v>100000</v>
      </c>
      <c r="CQ117" s="243">
        <v>2</v>
      </c>
      <c r="CR117" s="254">
        <v>0</v>
      </c>
    </row>
    <row r="118" spans="1:96" s="383" customFormat="1" ht="30" customHeight="1" outlineLevel="1">
      <c r="A118" s="396" t="b">
        <f>Calcul!A118</f>
        <v>0</v>
      </c>
      <c r="B118" s="438" t="str">
        <f t="shared" si="38"/>
        <v/>
      </c>
      <c r="C118" s="239" t="b">
        <v>0</v>
      </c>
      <c r="D118" s="240" t="s">
        <v>2293</v>
      </c>
      <c r="E118" s="245"/>
      <c r="F118" s="338" t="str">
        <f>IF(A118=FALSE,"",IF(NAMES!$D$10=FALSE,IF(Detail!H118="","",Detail!H118),IF(Crewlist!D118="","",Crewlist!D118)))</f>
        <v/>
      </c>
      <c r="G118" s="338" t="str">
        <f>IF(A118=FALSE,"",IF(NAMES!$D$10=FALSE,IF(Detail!P118="","",Detail!P118),IF(Crewlist!E118="","",Crewlist!E118)))</f>
        <v/>
      </c>
      <c r="H118" s="338" t="str">
        <f>IF(A118=FALSE,"",IF(NAMES!$D$10=FALSE,IF(Detail!K118="","",Detail!K118),IF(Crewlist!F118="","",Crewlist!F118)))</f>
        <v/>
      </c>
      <c r="I118" s="817" t="str">
        <f>IF(Crewlist!T118="","",Crewlist!T118)</f>
        <v/>
      </c>
      <c r="J118" s="817" t="str">
        <f>IF(Crewlist!D118="","",IF(Crewlist!U118="",Crewlist!Y118,IF(DATERENOUVMOINS730&lt;&gt;Crewlist!U118&lt;&gt;Crewlist!Y118,Crewlist!U118,DATERENOUVMOINS365)))</f>
        <v/>
      </c>
      <c r="K118" s="630" t="str">
        <f>IF(Detail!X118="","",Detail!X118)</f>
        <v/>
      </c>
      <c r="L118" s="630" t="str">
        <f>IF(Detail!H118="","",IF(Detail!Y118="",DATERENOUV,IF(Detail!Y118&gt;Detail!D118,Detail!D118,Detail!Y118)))</f>
        <v/>
      </c>
      <c r="M118" s="829" t="str">
        <f>IF(A118=FALSE,"",IF(NAMES!$D$10=FALSE,IF(B118=B119,IF(N118=N119,0,(DATEDIF(K118,L118,"M")+1)),(DATEDIF(K118,L118,"M")+1)),IF(B118=B119,IF(N118=N119,0,(DATEDIF(I118,J118,"M")+1)),(DATEDIF(I118,J118,"M")+1))))</f>
        <v/>
      </c>
      <c r="N118" s="339" t="str">
        <f t="shared" si="33"/>
        <v/>
      </c>
      <c r="O118" s="340" t="str">
        <f>IF(A118=FALSE,"",IF(NAMES!$D$10=FALSE,IF((DATEDIF(K118,L118,"D")+1)&lt;365,(DATEDIF(K118,L118,"D")+1),365),IF((DATEDIF(I118,J118,"D")+1)&lt;365,(DATEDIF(I118,J118,"D")+1),365)))</f>
        <v/>
      </c>
      <c r="P118" s="340" t="str">
        <f>IF(A118=FALSE,"",IF(NAMES!$D$10=FALSE,IF(L118="",365,DATEDIF(K118,L118,"D")+1),IF(L118="",365,DATEDIF(I118,J118,"D")+1)))</f>
        <v/>
      </c>
      <c r="Q118" s="787" t="str">
        <f>Calcul!X118</f>
        <v/>
      </c>
      <c r="R118" s="787" t="str">
        <f>Calcul!Y118</f>
        <v/>
      </c>
      <c r="S118" s="811" t="str">
        <f>Calcul!AG118</f>
        <v/>
      </c>
      <c r="T118" s="350" t="str">
        <f>IF(A118=FALSE,"",IF(NAMES!$D$10=FALSE,IF(Detail!S118="","",Detail!S118),IF(Crewlist!V118="","",Crewlist!V118)))</f>
        <v/>
      </c>
      <c r="U118" s="242" t="str">
        <f>Calcul!AI118</f>
        <v/>
      </c>
      <c r="V118" s="242" t="str">
        <f>Calcul!AL118</f>
        <v/>
      </c>
      <c r="W118" s="242" t="str">
        <f>Calcul!AM118</f>
        <v/>
      </c>
      <c r="X118" s="335" t="str">
        <f>Calcul!AN118</f>
        <v/>
      </c>
      <c r="Y118" s="242" t="str">
        <f>Calcul!AO118</f>
        <v/>
      </c>
      <c r="Z118" s="242" t="str">
        <f>Calcul!AP118</f>
        <v/>
      </c>
      <c r="AA118" s="335" t="str">
        <f>Calcul!AQ118</f>
        <v/>
      </c>
      <c r="AB118" s="335" t="str">
        <f>IF(C118=FALSE,"",Calcul!BE118+Calcul!BF118)</f>
        <v/>
      </c>
      <c r="AC118" s="335" t="str">
        <f>IF(C118=FALSE,"",(Calcul!BG118+Calcul!BH118)+SUM(Calcul!BI118:BN118))</f>
        <v/>
      </c>
      <c r="AD118" s="335" t="str">
        <f>Calcul!BP118</f>
        <v/>
      </c>
      <c r="AE118" s="1325" t="s">
        <v>2866</v>
      </c>
      <c r="AF118" s="450" t="s">
        <v>2254</v>
      </c>
      <c r="AG118" s="318" t="str">
        <f>IF(A118=FALSE,"",YEAR(Detail!F118)&amp;Detail!AG118&amp;Detail!AD118&amp;"-"&amp;Detail!AE118)</f>
        <v/>
      </c>
      <c r="AH118" s="1134" t="s">
        <v>2224</v>
      </c>
      <c r="AI118" s="1135">
        <v>0</v>
      </c>
      <c r="AJ118" s="828">
        <f t="shared" si="39"/>
        <v>0</v>
      </c>
      <c r="AK118" s="828">
        <f t="shared" si="40"/>
        <v>0</v>
      </c>
      <c r="AL118" s="828">
        <f t="shared" si="41"/>
        <v>0</v>
      </c>
      <c r="AM118" s="1135" t="s">
        <v>2224</v>
      </c>
      <c r="AN118" s="1455">
        <v>15.1752</v>
      </c>
      <c r="AO118" s="436">
        <v>0</v>
      </c>
      <c r="AP118" s="254">
        <v>1</v>
      </c>
      <c r="AQ118" s="254">
        <v>0</v>
      </c>
      <c r="AS118" s="1127"/>
      <c r="AT118" s="239" t="s">
        <v>2140</v>
      </c>
      <c r="AU118" s="1136" t="s">
        <v>2255</v>
      </c>
      <c r="AV118" s="1136" t="str">
        <f>IF(A118=FALSE,"",IF(Detail!AT118="","N/A",YEAR(Detail!F118)&amp;Detail!AW118&amp;Detail!AT118&amp;"-"&amp;Detail!AU118&amp;" (100%/"&amp;Detail!CD118&amp;"/"&amp;Detail!CE118&amp;")"))</f>
        <v/>
      </c>
      <c r="AW118" s="1136" t="s">
        <v>2224</v>
      </c>
      <c r="AX118" s="1320" t="str">
        <f>Calcul!DB118</f>
        <v/>
      </c>
      <c r="AY118" s="1298" t="str">
        <f>IF(A118=FALSE,"",51000+(Detail!AA118*7000))</f>
        <v/>
      </c>
      <c r="AZ118" s="1170">
        <v>50000</v>
      </c>
      <c r="BA118" s="243">
        <v>3</v>
      </c>
      <c r="BB118" s="1135">
        <v>0</v>
      </c>
      <c r="BC118" s="1298" t="str">
        <f>IF(A118=FALSE,"",51000+(Detail!AA118*7000))</f>
        <v/>
      </c>
      <c r="BD118" s="1298">
        <f t="shared" si="34"/>
        <v>50000</v>
      </c>
      <c r="BE118" s="1299">
        <f t="shared" si="35"/>
        <v>3</v>
      </c>
      <c r="BF118" s="1284">
        <f t="shared" si="36"/>
        <v>0</v>
      </c>
      <c r="BG118" s="397" t="str">
        <f t="shared" si="42"/>
        <v/>
      </c>
      <c r="BH118" s="1138">
        <v>50000</v>
      </c>
      <c r="BI118" s="243">
        <v>3</v>
      </c>
      <c r="BJ118" s="254">
        <v>0</v>
      </c>
      <c r="BK118" s="397" t="str">
        <f t="shared" si="43"/>
        <v/>
      </c>
      <c r="BL118" s="1138">
        <v>50000</v>
      </c>
      <c r="BM118" s="243">
        <v>3</v>
      </c>
      <c r="BN118" s="254">
        <v>0</v>
      </c>
      <c r="BO118" s="239">
        <v>7</v>
      </c>
      <c r="BP118" s="1075">
        <v>365</v>
      </c>
      <c r="BQ118" s="244">
        <v>1</v>
      </c>
      <c r="BR118" s="254">
        <v>0</v>
      </c>
      <c r="BS118" s="239">
        <f t="shared" si="44"/>
        <v>7</v>
      </c>
      <c r="BT118" s="241">
        <f t="shared" si="45"/>
        <v>365</v>
      </c>
      <c r="BU118" s="253">
        <v>1</v>
      </c>
      <c r="BV118" s="254">
        <v>0</v>
      </c>
      <c r="BW118" s="254" t="s">
        <v>2224</v>
      </c>
      <c r="BX118" s="257">
        <v>0</v>
      </c>
      <c r="BY118" s="436">
        <v>0</v>
      </c>
      <c r="BZ118" s="254">
        <v>1</v>
      </c>
      <c r="CA118" s="254">
        <v>0</v>
      </c>
      <c r="CB118" s="1296"/>
      <c r="CD118" s="1136" t="str">
        <f>IF(A118=FALSE,"",Calcul!NZ118)</f>
        <v/>
      </c>
      <c r="CE118" s="1136" t="s">
        <v>2224</v>
      </c>
      <c r="CF118" s="1132" t="s">
        <v>2138</v>
      </c>
      <c r="CG118" s="1136" t="s">
        <v>2254</v>
      </c>
      <c r="CH118" s="1135" t="s">
        <v>2224</v>
      </c>
      <c r="CI118" s="257">
        <v>0</v>
      </c>
      <c r="CJ118" s="436">
        <v>0</v>
      </c>
      <c r="CK118" s="1135">
        <v>1</v>
      </c>
      <c r="CL118" s="1135">
        <v>0</v>
      </c>
      <c r="CM118" s="1170">
        <v>100000</v>
      </c>
      <c r="CN118" s="243">
        <v>2</v>
      </c>
      <c r="CO118" s="254">
        <v>0</v>
      </c>
      <c r="CP118" s="1298">
        <f t="shared" si="37"/>
        <v>100000</v>
      </c>
      <c r="CQ118" s="243">
        <v>2</v>
      </c>
      <c r="CR118" s="254">
        <v>0</v>
      </c>
    </row>
    <row r="119" spans="1:96" s="383" customFormat="1" ht="30" customHeight="1" outlineLevel="1">
      <c r="A119" s="396" t="b">
        <f>Calcul!A119</f>
        <v>0</v>
      </c>
      <c r="B119" s="438" t="str">
        <f t="shared" si="38"/>
        <v/>
      </c>
      <c r="C119" s="239" t="b">
        <v>0</v>
      </c>
      <c r="D119" s="240" t="s">
        <v>2293</v>
      </c>
      <c r="E119" s="245"/>
      <c r="F119" s="338" t="str">
        <f>IF(A119=FALSE,"",IF(NAMES!$D$10=FALSE,IF(Detail!H119="","",Detail!H119),IF(Crewlist!D119="","",Crewlist!D119)))</f>
        <v/>
      </c>
      <c r="G119" s="338" t="str">
        <f>IF(A119=FALSE,"",IF(NAMES!$D$10=FALSE,IF(Detail!P119="","",Detail!P119),IF(Crewlist!E119="","",Crewlist!E119)))</f>
        <v/>
      </c>
      <c r="H119" s="338" t="str">
        <f>IF(A119=FALSE,"",IF(NAMES!$D$10=FALSE,IF(Detail!K119="","",Detail!K119),IF(Crewlist!F119="","",Crewlist!F119)))</f>
        <v/>
      </c>
      <c r="I119" s="817" t="str">
        <f>IF(Crewlist!T119="","",Crewlist!T119)</f>
        <v/>
      </c>
      <c r="J119" s="817" t="str">
        <f>IF(Crewlist!D119="","",IF(Crewlist!U119="",Crewlist!Y119,IF(DATERENOUVMOINS730&lt;&gt;Crewlist!U119&lt;&gt;Crewlist!Y119,Crewlist!U119,DATERENOUVMOINS365)))</f>
        <v/>
      </c>
      <c r="K119" s="630" t="str">
        <f>IF(Detail!X119="","",Detail!X119)</f>
        <v/>
      </c>
      <c r="L119" s="630" t="str">
        <f>IF(Detail!H119="","",IF(Detail!Y119="",DATERENOUV,IF(Detail!Y119&gt;Detail!D119,Detail!D119,Detail!Y119)))</f>
        <v/>
      </c>
      <c r="M119" s="829" t="str">
        <f>IF(A119=FALSE,"",IF(NAMES!$D$10=FALSE,IF(B119=B120,IF(N119=N120,0,(DATEDIF(K119,L119,"M")+1)),(DATEDIF(K119,L119,"M")+1)),IF(B119=B120,IF(N119=N120,0,(DATEDIF(I119,J119,"M")+1)),(DATEDIF(I119,J119,"M")+1))))</f>
        <v/>
      </c>
      <c r="N119" s="339" t="str">
        <f t="shared" si="33"/>
        <v/>
      </c>
      <c r="O119" s="340" t="str">
        <f>IF(A119=FALSE,"",IF(NAMES!$D$10=FALSE,IF((DATEDIF(K119,L119,"D")+1)&lt;365,(DATEDIF(K119,L119,"D")+1),365),IF((DATEDIF(I119,J119,"D")+1)&lt;365,(DATEDIF(I119,J119,"D")+1),365)))</f>
        <v/>
      </c>
      <c r="P119" s="340" t="str">
        <f>IF(A119=FALSE,"",IF(NAMES!$D$10=FALSE,IF(L119="",365,DATEDIF(K119,L119,"D")+1),IF(L119="",365,DATEDIF(I119,J119,"D")+1)))</f>
        <v/>
      </c>
      <c r="Q119" s="787" t="str">
        <f>Calcul!X119</f>
        <v/>
      </c>
      <c r="R119" s="787" t="str">
        <f>Calcul!Y119</f>
        <v/>
      </c>
      <c r="S119" s="811" t="str">
        <f>Calcul!AG119</f>
        <v/>
      </c>
      <c r="T119" s="350" t="str">
        <f>IF(A119=FALSE,"",IF(NAMES!$D$10=FALSE,IF(Detail!S119="","",Detail!S119),IF(Crewlist!V119="","",Crewlist!V119)))</f>
        <v/>
      </c>
      <c r="U119" s="242" t="str">
        <f>Calcul!AI119</f>
        <v/>
      </c>
      <c r="V119" s="242" t="str">
        <f>Calcul!AL119</f>
        <v/>
      </c>
      <c r="W119" s="242" t="str">
        <f>Calcul!AM119</f>
        <v/>
      </c>
      <c r="X119" s="335" t="str">
        <f>Calcul!AN119</f>
        <v/>
      </c>
      <c r="Y119" s="242" t="str">
        <f>Calcul!AO119</f>
        <v/>
      </c>
      <c r="Z119" s="242" t="str">
        <f>Calcul!AP119</f>
        <v/>
      </c>
      <c r="AA119" s="335" t="str">
        <f>Calcul!AQ119</f>
        <v/>
      </c>
      <c r="AB119" s="335" t="str">
        <f>IF(C119=FALSE,"",Calcul!BE119+Calcul!BF119)</f>
        <v/>
      </c>
      <c r="AC119" s="335" t="str">
        <f>IF(C119=FALSE,"",(Calcul!BG119+Calcul!BH119)+SUM(Calcul!BI119:BN119))</f>
        <v/>
      </c>
      <c r="AD119" s="335" t="str">
        <f>Calcul!BP119</f>
        <v/>
      </c>
      <c r="AE119" s="1325" t="s">
        <v>2866</v>
      </c>
      <c r="AF119" s="450" t="s">
        <v>2254</v>
      </c>
      <c r="AG119" s="318" t="str">
        <f>IF(A119=FALSE,"",YEAR(Detail!F119)&amp;Detail!AG119&amp;Detail!AD119&amp;"-"&amp;Detail!AE119)</f>
        <v/>
      </c>
      <c r="AH119" s="1134" t="s">
        <v>2224</v>
      </c>
      <c r="AI119" s="1135">
        <v>0</v>
      </c>
      <c r="AJ119" s="828">
        <f t="shared" si="39"/>
        <v>0</v>
      </c>
      <c r="AK119" s="828">
        <f t="shared" si="40"/>
        <v>0</v>
      </c>
      <c r="AL119" s="828">
        <f t="shared" si="41"/>
        <v>0</v>
      </c>
      <c r="AM119" s="1135" t="s">
        <v>2224</v>
      </c>
      <c r="AN119" s="1394">
        <v>24</v>
      </c>
      <c r="AO119" s="436">
        <v>0</v>
      </c>
      <c r="AP119" s="254">
        <v>1</v>
      </c>
      <c r="AQ119" s="254">
        <v>0</v>
      </c>
      <c r="AS119" s="1127"/>
      <c r="AT119" s="239" t="s">
        <v>2140</v>
      </c>
      <c r="AU119" s="1136" t="s">
        <v>2255</v>
      </c>
      <c r="AV119" s="1136" t="str">
        <f>IF(A119=FALSE,"",IF(Detail!AT119="","N/A",YEAR(Detail!F119)&amp;Detail!AW119&amp;Detail!AT119&amp;"-"&amp;Detail!AU119&amp;" (100%/"&amp;Detail!CD119&amp;"/"&amp;Detail!CE119&amp;")"))</f>
        <v/>
      </c>
      <c r="AW119" s="1136" t="s">
        <v>2224</v>
      </c>
      <c r="AX119" s="1320" t="str">
        <f>Calcul!DB119</f>
        <v/>
      </c>
      <c r="AY119" s="1298" t="str">
        <f>IF(A119=FALSE,"",51000+(Detail!AA119*7000))</f>
        <v/>
      </c>
      <c r="AZ119" s="1170">
        <v>50000</v>
      </c>
      <c r="BA119" s="243">
        <v>3</v>
      </c>
      <c r="BB119" s="1135">
        <v>0</v>
      </c>
      <c r="BC119" s="1298" t="str">
        <f>IF(A119=FALSE,"",51000+(Detail!AA119*7000))</f>
        <v/>
      </c>
      <c r="BD119" s="1298">
        <f t="shared" si="34"/>
        <v>50000</v>
      </c>
      <c r="BE119" s="1299">
        <f t="shared" si="35"/>
        <v>3</v>
      </c>
      <c r="BF119" s="1284">
        <f t="shared" si="36"/>
        <v>0</v>
      </c>
      <c r="BG119" s="397" t="str">
        <f t="shared" si="42"/>
        <v/>
      </c>
      <c r="BH119" s="1138">
        <v>50000</v>
      </c>
      <c r="BI119" s="243">
        <v>3</v>
      </c>
      <c r="BJ119" s="254">
        <v>0</v>
      </c>
      <c r="BK119" s="397" t="str">
        <f t="shared" si="43"/>
        <v/>
      </c>
      <c r="BL119" s="1138">
        <v>50000</v>
      </c>
      <c r="BM119" s="243">
        <v>3</v>
      </c>
      <c r="BN119" s="254">
        <v>0</v>
      </c>
      <c r="BO119" s="239">
        <v>7</v>
      </c>
      <c r="BP119" s="1075">
        <v>365</v>
      </c>
      <c r="BQ119" s="244">
        <v>1</v>
      </c>
      <c r="BR119" s="254">
        <v>0</v>
      </c>
      <c r="BS119" s="239">
        <f t="shared" si="44"/>
        <v>7</v>
      </c>
      <c r="BT119" s="241">
        <f t="shared" si="45"/>
        <v>365</v>
      </c>
      <c r="BU119" s="253">
        <v>1</v>
      </c>
      <c r="BV119" s="254">
        <v>0</v>
      </c>
      <c r="BW119" s="254" t="s">
        <v>2224</v>
      </c>
      <c r="BX119" s="257">
        <v>0</v>
      </c>
      <c r="BY119" s="436">
        <v>0</v>
      </c>
      <c r="BZ119" s="254">
        <v>1</v>
      </c>
      <c r="CA119" s="254">
        <v>0</v>
      </c>
      <c r="CB119" s="1296"/>
      <c r="CD119" s="1136" t="str">
        <f>IF(A119=FALSE,"",Calcul!NZ119)</f>
        <v/>
      </c>
      <c r="CE119" s="1136" t="s">
        <v>2224</v>
      </c>
      <c r="CF119" s="1132" t="s">
        <v>2138</v>
      </c>
      <c r="CG119" s="1136" t="s">
        <v>2254</v>
      </c>
      <c r="CH119" s="1135" t="s">
        <v>2224</v>
      </c>
      <c r="CI119" s="257">
        <v>0</v>
      </c>
      <c r="CJ119" s="436">
        <v>0</v>
      </c>
      <c r="CK119" s="1135">
        <v>1</v>
      </c>
      <c r="CL119" s="1135">
        <v>0</v>
      </c>
      <c r="CM119" s="1170">
        <v>100000</v>
      </c>
      <c r="CN119" s="243">
        <v>2</v>
      </c>
      <c r="CO119" s="254">
        <v>0</v>
      </c>
      <c r="CP119" s="1298">
        <f t="shared" si="37"/>
        <v>100000</v>
      </c>
      <c r="CQ119" s="243">
        <v>2</v>
      </c>
      <c r="CR119" s="254">
        <v>0</v>
      </c>
    </row>
    <row r="120" spans="1:96" s="383" customFormat="1" ht="30" customHeight="1" outlineLevel="1">
      <c r="A120" s="396" t="b">
        <f>Calcul!A120</f>
        <v>0</v>
      </c>
      <c r="B120" s="438" t="str">
        <f t="shared" si="38"/>
        <v/>
      </c>
      <c r="C120" s="239" t="b">
        <v>0</v>
      </c>
      <c r="D120" s="240" t="s">
        <v>2293</v>
      </c>
      <c r="E120" s="245"/>
      <c r="F120" s="338" t="str">
        <f>IF(A120=FALSE,"",IF(NAMES!$D$10=FALSE,IF(Detail!H120="","",Detail!H120),IF(Crewlist!D120="","",Crewlist!D120)))</f>
        <v/>
      </c>
      <c r="G120" s="338" t="str">
        <f>IF(A120=FALSE,"",IF(NAMES!$D$10=FALSE,IF(Detail!P120="","",Detail!P120),IF(Crewlist!E120="","",Crewlist!E120)))</f>
        <v/>
      </c>
      <c r="H120" s="338" t="str">
        <f>IF(A120=FALSE,"",IF(NAMES!$D$10=FALSE,IF(Detail!K120="","",Detail!K120),IF(Crewlist!F120="","",Crewlist!F120)))</f>
        <v/>
      </c>
      <c r="I120" s="817" t="str">
        <f>IF(Crewlist!T120="","",Crewlist!T120)</f>
        <v/>
      </c>
      <c r="J120" s="817" t="str">
        <f>IF(Crewlist!D120="","",IF(Crewlist!U120="",Crewlist!Y120,IF(DATERENOUVMOINS730&lt;&gt;Crewlist!U120&lt;&gt;Crewlist!Y120,Crewlist!U120,DATERENOUVMOINS365)))</f>
        <v/>
      </c>
      <c r="K120" s="630" t="str">
        <f>IF(Detail!X120="","",Detail!X120)</f>
        <v/>
      </c>
      <c r="L120" s="630" t="str">
        <f>IF(Detail!H120="","",IF(Detail!Y120="",DATERENOUV,IF(Detail!Y120&gt;Detail!D120,Detail!D120,Detail!Y120)))</f>
        <v/>
      </c>
      <c r="M120" s="829" t="str">
        <f>IF(A120=FALSE,"",IF(NAMES!$D$10=FALSE,IF(B120=B121,IF(N120=N121,0,(DATEDIF(K120,L120,"M")+1)),(DATEDIF(K120,L120,"M")+1)),IF(B120=B121,IF(N120=N121,0,(DATEDIF(I120,J120,"M")+1)),(DATEDIF(I120,J120,"M")+1))))</f>
        <v/>
      </c>
      <c r="N120" s="339" t="str">
        <f t="shared" si="33"/>
        <v/>
      </c>
      <c r="O120" s="340" t="str">
        <f>IF(A120=FALSE,"",IF(NAMES!$D$10=FALSE,IF((DATEDIF(K120,L120,"D")+1)&lt;365,(DATEDIF(K120,L120,"D")+1),365),IF((DATEDIF(I120,J120,"D")+1)&lt;365,(DATEDIF(I120,J120,"D")+1),365)))</f>
        <v/>
      </c>
      <c r="P120" s="340" t="str">
        <f>IF(A120=FALSE,"",IF(NAMES!$D$10=FALSE,IF(L120="",365,DATEDIF(K120,L120,"D")+1),IF(L120="",365,DATEDIF(I120,J120,"D")+1)))</f>
        <v/>
      </c>
      <c r="Q120" s="787" t="str">
        <f>Calcul!X120</f>
        <v/>
      </c>
      <c r="R120" s="787" t="str">
        <f>Calcul!Y120</f>
        <v/>
      </c>
      <c r="S120" s="811" t="str">
        <f>Calcul!AG120</f>
        <v/>
      </c>
      <c r="T120" s="350" t="str">
        <f>IF(A120=FALSE,"",IF(NAMES!$D$10=FALSE,IF(Detail!S120="","",Detail!S120),IF(Crewlist!V120="","",Crewlist!V120)))</f>
        <v/>
      </c>
      <c r="U120" s="242" t="str">
        <f>Calcul!AI120</f>
        <v/>
      </c>
      <c r="V120" s="242" t="str">
        <f>Calcul!AL120</f>
        <v/>
      </c>
      <c r="W120" s="242" t="str">
        <f>Calcul!AM120</f>
        <v/>
      </c>
      <c r="X120" s="335" t="str">
        <f>Calcul!AN120</f>
        <v/>
      </c>
      <c r="Y120" s="242" t="str">
        <f>Calcul!AO120</f>
        <v/>
      </c>
      <c r="Z120" s="242" t="str">
        <f>Calcul!AP120</f>
        <v/>
      </c>
      <c r="AA120" s="335" t="str">
        <f>Calcul!AQ120</f>
        <v/>
      </c>
      <c r="AB120" s="335" t="str">
        <f>IF(C120=FALSE,"",Calcul!BE120+Calcul!BF120)</f>
        <v/>
      </c>
      <c r="AC120" s="335" t="str">
        <f>IF(C120=FALSE,"",(Calcul!BG120+Calcul!BH120)+SUM(Calcul!BI120:BN120))</f>
        <v/>
      </c>
      <c r="AD120" s="335" t="str">
        <f>Calcul!BP120</f>
        <v/>
      </c>
      <c r="AE120" s="1325" t="s">
        <v>2866</v>
      </c>
      <c r="AF120" s="450" t="s">
        <v>2254</v>
      </c>
      <c r="AG120" s="318" t="str">
        <f>IF(A120=FALSE,"",YEAR(Detail!F120)&amp;Detail!AG120&amp;Detail!AD120&amp;"-"&amp;Detail!AE120)</f>
        <v/>
      </c>
      <c r="AH120" s="1134" t="s">
        <v>2224</v>
      </c>
      <c r="AI120" s="1135">
        <v>0</v>
      </c>
      <c r="AJ120" s="828">
        <f t="shared" si="39"/>
        <v>0</v>
      </c>
      <c r="AK120" s="828">
        <f t="shared" si="40"/>
        <v>0</v>
      </c>
      <c r="AL120" s="828">
        <f t="shared" si="41"/>
        <v>0</v>
      </c>
      <c r="AM120" s="1135" t="s">
        <v>2224</v>
      </c>
      <c r="AN120" s="1394">
        <v>24</v>
      </c>
      <c r="AO120" s="436">
        <v>0</v>
      </c>
      <c r="AP120" s="254">
        <v>1</v>
      </c>
      <c r="AQ120" s="254">
        <v>0</v>
      </c>
      <c r="AS120" s="1127"/>
      <c r="AT120" s="239" t="s">
        <v>2140</v>
      </c>
      <c r="AU120" s="1136" t="s">
        <v>2255</v>
      </c>
      <c r="AV120" s="1136" t="str">
        <f>IF(A120=FALSE,"",IF(Detail!AT120="","N/A",YEAR(Detail!F120)&amp;Detail!AW120&amp;Detail!AT120&amp;"-"&amp;Detail!AU120&amp;" (100%/"&amp;Detail!CD120&amp;"/"&amp;Detail!CE120&amp;")"))</f>
        <v/>
      </c>
      <c r="AW120" s="1136" t="s">
        <v>2224</v>
      </c>
      <c r="AX120" s="1320" t="str">
        <f>Calcul!DB120</f>
        <v/>
      </c>
      <c r="AY120" s="1298" t="str">
        <f>IF(A120=FALSE,"",51000+(Detail!AA120*7000))</f>
        <v/>
      </c>
      <c r="AZ120" s="1170">
        <v>50000</v>
      </c>
      <c r="BA120" s="243">
        <v>3</v>
      </c>
      <c r="BB120" s="1135">
        <v>0</v>
      </c>
      <c r="BC120" s="1298" t="str">
        <f>IF(A120=FALSE,"",51000+(Detail!AA120*7000))</f>
        <v/>
      </c>
      <c r="BD120" s="1298">
        <f t="shared" si="34"/>
        <v>50000</v>
      </c>
      <c r="BE120" s="1299">
        <f t="shared" si="35"/>
        <v>3</v>
      </c>
      <c r="BF120" s="1284">
        <f t="shared" si="36"/>
        <v>0</v>
      </c>
      <c r="BG120" s="397" t="str">
        <f t="shared" si="42"/>
        <v/>
      </c>
      <c r="BH120" s="1138">
        <v>50000</v>
      </c>
      <c r="BI120" s="243">
        <v>3</v>
      </c>
      <c r="BJ120" s="254">
        <v>0</v>
      </c>
      <c r="BK120" s="397" t="str">
        <f t="shared" si="43"/>
        <v/>
      </c>
      <c r="BL120" s="1138">
        <v>50000</v>
      </c>
      <c r="BM120" s="243">
        <v>3</v>
      </c>
      <c r="BN120" s="254">
        <v>0</v>
      </c>
      <c r="BO120" s="239">
        <v>7</v>
      </c>
      <c r="BP120" s="1075">
        <v>365</v>
      </c>
      <c r="BQ120" s="244">
        <v>1</v>
      </c>
      <c r="BR120" s="254">
        <v>0</v>
      </c>
      <c r="BS120" s="239">
        <f t="shared" si="44"/>
        <v>7</v>
      </c>
      <c r="BT120" s="241">
        <f t="shared" si="45"/>
        <v>365</v>
      </c>
      <c r="BU120" s="253">
        <v>1</v>
      </c>
      <c r="BV120" s="254">
        <v>0</v>
      </c>
      <c r="BW120" s="254" t="s">
        <v>2224</v>
      </c>
      <c r="BX120" s="257">
        <v>0</v>
      </c>
      <c r="BY120" s="436">
        <v>0</v>
      </c>
      <c r="BZ120" s="254">
        <v>1</v>
      </c>
      <c r="CA120" s="254">
        <v>0</v>
      </c>
      <c r="CB120" s="1296"/>
      <c r="CD120" s="1136" t="str">
        <f>IF(A120=FALSE,"",Calcul!NZ120)</f>
        <v/>
      </c>
      <c r="CE120" s="1136" t="s">
        <v>2224</v>
      </c>
      <c r="CF120" s="1132" t="s">
        <v>2138</v>
      </c>
      <c r="CG120" s="1136" t="s">
        <v>2254</v>
      </c>
      <c r="CH120" s="1135" t="s">
        <v>2224</v>
      </c>
      <c r="CI120" s="257">
        <v>0</v>
      </c>
      <c r="CJ120" s="436">
        <v>0</v>
      </c>
      <c r="CK120" s="1135">
        <v>1</v>
      </c>
      <c r="CL120" s="1135">
        <v>0</v>
      </c>
      <c r="CM120" s="1170">
        <v>100000</v>
      </c>
      <c r="CN120" s="243">
        <v>2</v>
      </c>
      <c r="CO120" s="254">
        <v>0</v>
      </c>
      <c r="CP120" s="1298">
        <f t="shared" si="37"/>
        <v>100000</v>
      </c>
      <c r="CQ120" s="243">
        <v>2</v>
      </c>
      <c r="CR120" s="254">
        <v>0</v>
      </c>
    </row>
    <row r="121" spans="1:96" ht="30" customHeight="1"/>
  </sheetData>
  <autoFilter ref="A14:CR120">
    <filterColumn colId="8" showButton="0"/>
    <filterColumn colId="10" showButton="0"/>
  </autoFilter>
  <mergeCells count="124">
    <mergeCell ref="AX1:AX3"/>
    <mergeCell ref="AG2:AH2"/>
    <mergeCell ref="AG1:AH1"/>
    <mergeCell ref="AV1:AW1"/>
    <mergeCell ref="AV2:AW2"/>
    <mergeCell ref="AT10:AU10"/>
    <mergeCell ref="AY2:BA2"/>
    <mergeCell ref="BC2:BE2"/>
    <mergeCell ref="BG2:BI2"/>
    <mergeCell ref="AY1:BB1"/>
    <mergeCell ref="BC1:BF1"/>
    <mergeCell ref="BG1:BJ1"/>
    <mergeCell ref="BS2:BU2"/>
    <mergeCell ref="BS3:BT3"/>
    <mergeCell ref="BV3:BV4"/>
    <mergeCell ref="BS4:BT4"/>
    <mergeCell ref="CM13:CO13"/>
    <mergeCell ref="CP13:CR13"/>
    <mergeCell ref="AT13:AW13"/>
    <mergeCell ref="AY4:AZ4"/>
    <mergeCell ref="BB3:BB4"/>
    <mergeCell ref="BF3:BF4"/>
    <mergeCell ref="BJ3:BJ4"/>
    <mergeCell ref="BN3:BN4"/>
    <mergeCell ref="BO3:BP3"/>
    <mergeCell ref="BK6:BL6"/>
    <mergeCell ref="BG4:BH4"/>
    <mergeCell ref="BG3:BH3"/>
    <mergeCell ref="BK3:BL3"/>
    <mergeCell ref="BK4:BL4"/>
    <mergeCell ref="BK7:BL7"/>
    <mergeCell ref="BG5:BH5"/>
    <mergeCell ref="BS5:BT5"/>
    <mergeCell ref="BK5:BL5"/>
    <mergeCell ref="BS7:BT7"/>
    <mergeCell ref="BO7:BP7"/>
    <mergeCell ref="BS1:BV1"/>
    <mergeCell ref="BO6:BP6"/>
    <mergeCell ref="BR3:BR4"/>
    <mergeCell ref="BO4:BP4"/>
    <mergeCell ref="BO2:BQ2"/>
    <mergeCell ref="BK2:BM2"/>
    <mergeCell ref="BW1:CA1"/>
    <mergeCell ref="F2:H2"/>
    <mergeCell ref="AA5:AB5"/>
    <mergeCell ref="U1:W1"/>
    <mergeCell ref="U2:W2"/>
    <mergeCell ref="AA1:AB1"/>
    <mergeCell ref="AA2:AB2"/>
    <mergeCell ref="AA3:AB3"/>
    <mergeCell ref="BO5:BP5"/>
    <mergeCell ref="AY3:AZ3"/>
    <mergeCell ref="BC3:BD3"/>
    <mergeCell ref="AA4:AB4"/>
    <mergeCell ref="AM2:AO2"/>
    <mergeCell ref="AP2:AQ2"/>
    <mergeCell ref="BO1:BR1"/>
    <mergeCell ref="BW2:BY2"/>
    <mergeCell ref="BZ2:CA2"/>
    <mergeCell ref="U3:W3"/>
    <mergeCell ref="I14:J14"/>
    <mergeCell ref="G9:G10"/>
    <mergeCell ref="AM13:AO13"/>
    <mergeCell ref="AP13:AQ13"/>
    <mergeCell ref="BK13:BN13"/>
    <mergeCell ref="AY13:BB13"/>
    <mergeCell ref="BC6:BD6"/>
    <mergeCell ref="U4:W4"/>
    <mergeCell ref="BC5:BD5"/>
    <mergeCell ref="N9:N10"/>
    <mergeCell ref="M9:M10"/>
    <mergeCell ref="I9:I10"/>
    <mergeCell ref="J9:J10"/>
    <mergeCell ref="O9:O10"/>
    <mergeCell ref="K9:K10"/>
    <mergeCell ref="L9:L10"/>
    <mergeCell ref="AA6:AB6"/>
    <mergeCell ref="U5:W5"/>
    <mergeCell ref="U6:W6"/>
    <mergeCell ref="X9:X10"/>
    <mergeCell ref="BC4:BD4"/>
    <mergeCell ref="AY5:AZ5"/>
    <mergeCell ref="F1:H1"/>
    <mergeCell ref="CD1:CE2"/>
    <mergeCell ref="CD13:CE13"/>
    <mergeCell ref="B9:B10"/>
    <mergeCell ref="F13:H13"/>
    <mergeCell ref="F12:H12"/>
    <mergeCell ref="F11:H11"/>
    <mergeCell ref="AG13:AH13"/>
    <mergeCell ref="H9:H10"/>
    <mergeCell ref="T9:T10"/>
    <mergeCell ref="Z9:AA10"/>
    <mergeCell ref="W9:W10"/>
    <mergeCell ref="Y9:Y10"/>
    <mergeCell ref="AB9:AB10"/>
    <mergeCell ref="Q9:Q10"/>
    <mergeCell ref="B13:B14"/>
    <mergeCell ref="S9:S10"/>
    <mergeCell ref="P9:P10"/>
    <mergeCell ref="R9:R10"/>
    <mergeCell ref="BK1:BN1"/>
    <mergeCell ref="K14:L14"/>
    <mergeCell ref="F9:F10"/>
    <mergeCell ref="AD9:AD10"/>
    <mergeCell ref="U9:U10"/>
    <mergeCell ref="CH13:CJ13"/>
    <mergeCell ref="CK13:CL13"/>
    <mergeCell ref="BC13:BF13"/>
    <mergeCell ref="AC9:AC10"/>
    <mergeCell ref="AB12:AC12"/>
    <mergeCell ref="BG6:BH6"/>
    <mergeCell ref="AY6:AZ6"/>
    <mergeCell ref="AY7:AZ7"/>
    <mergeCell ref="BC7:BD7"/>
    <mergeCell ref="BG7:BH7"/>
    <mergeCell ref="BG13:BJ13"/>
    <mergeCell ref="BO13:BR13"/>
    <mergeCell ref="BS13:BV13"/>
    <mergeCell ref="BW13:BY13"/>
    <mergeCell ref="BZ13:CA13"/>
    <mergeCell ref="U8:AD8"/>
    <mergeCell ref="BS6:BT6"/>
    <mergeCell ref="V9:V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defaultSize="0" autoFill="0" autoLine="0" autoPict="0">
                <anchor moveWithCells="1">
                  <from>
                    <xdr:col>5</xdr:col>
                    <xdr:colOff>95250</xdr:colOff>
                    <xdr:row>2</xdr:row>
                    <xdr:rowOff>66675</xdr:rowOff>
                  </from>
                  <to>
                    <xdr:col>8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" name="Check Box 49">
              <controlPr defaultSize="0" autoFill="0" autoLine="0" autoPict="0">
                <anchor moveWithCells="1">
                  <from>
                    <xdr:col>5</xdr:col>
                    <xdr:colOff>57150</xdr:colOff>
                    <xdr:row>4</xdr:row>
                    <xdr:rowOff>180975</xdr:rowOff>
                  </from>
                  <to>
                    <xdr:col>8</xdr:col>
                    <xdr:colOff>152400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" name="Drop Down 50">
              <controlPr defaultSize="0" autoLine="0" autoPict="0">
                <anchor moveWithCells="1">
                  <from>
                    <xdr:col>5</xdr:col>
                    <xdr:colOff>57150</xdr:colOff>
                    <xdr:row>3</xdr:row>
                    <xdr:rowOff>19050</xdr:rowOff>
                  </from>
                  <to>
                    <xdr:col>7</xdr:col>
                    <xdr:colOff>666750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7" name="Check Box 55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7</xdr:col>
                    <xdr:colOff>561975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LIST!$H$1:$H$3</xm:f>
          </x14:formula1>
          <xm:sqref>AF15:AF120 AU2 AU15:AU120 CG15:CG120 AF2</xm:sqref>
        </x14:dataValidation>
        <x14:dataValidation type="list" allowBlank="1" showInputMessage="1" showErrorMessage="1">
          <x14:formula1>
            <xm:f>LIST!$I$1:$I$5</xm:f>
          </x14:formula1>
          <xm:sqref>BW4 BW15:BW120 AM4:AM5 CH15:CH120 AM15:AM120</xm:sqref>
        </x14:dataValidation>
        <x14:dataValidation type="list" allowBlank="1" showInputMessage="1" showErrorMessage="1">
          <x14:formula1>
            <xm:f>LIST!$B$1:$B$15</xm:f>
          </x14:formula1>
          <xm:sqref>F2</xm:sqref>
        </x14:dataValidation>
        <x14:dataValidation type="list" allowBlank="1" showInputMessage="1" showErrorMessage="1">
          <x14:formula1>
            <xm:f>LIST!$E$1:$E$5</xm:f>
          </x14:formula1>
          <xm:sqref>AT15:AT120 CF15:CF120 AT2</xm:sqref>
        </x14:dataValidation>
        <x14:dataValidation type="list" allowBlank="1" showInputMessage="1" showErrorMessage="1">
          <x14:formula1>
            <xm:f>LIST!$F$1:$F$7</xm:f>
          </x14:formula1>
          <xm:sqref>D59:D120</xm:sqref>
        </x14:dataValidation>
        <x14:dataValidation type="list" allowBlank="1" showInputMessage="1" showErrorMessage="1">
          <x14:formula1>
            <xm:f>Rates!$D$5:$D$182</xm:f>
          </x14:formula1>
          <xm:sqref>AH15:AH120</xm:sqref>
        </x14:dataValidation>
        <x14:dataValidation type="list" allowBlank="1" showInputMessage="1" showErrorMessage="1">
          <x14:formula1>
            <xm:f>Rates!$D$185:$D$268</xm:f>
          </x14:formula1>
          <xm:sqref>CE15:CE120</xm:sqref>
        </x14:dataValidation>
        <x14:dataValidation type="list" allowBlank="1" showInputMessage="1" showErrorMessage="1">
          <x14:formula1>
            <xm:f>Rates!$D$185:$D$278</xm:f>
          </x14:formula1>
          <xm:sqref>AW15:AW120</xm:sqref>
        </x14:dataValidation>
        <x14:dataValidation type="list" allowBlank="1" showInputMessage="1" showErrorMessage="1">
          <x14:formula1>
            <xm:f>LIST!$F$1:$F$10</xm:f>
          </x14:formula1>
          <xm:sqref>D15:D58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7" tint="0.59999389629810485"/>
    <outlinePr summaryBelow="0"/>
  </sheetPr>
  <dimension ref="A1:PN186"/>
  <sheetViews>
    <sheetView zoomScaleNormal="100" workbookViewId="0">
      <pane xSplit="15" ySplit="14" topLeftCell="CG30" activePane="bottomRight" state="frozen"/>
      <selection activeCell="I1" sqref="I1"/>
      <selection pane="topRight" activeCell="P1" sqref="P1"/>
      <selection pane="bottomLeft" activeCell="I15" sqref="I15"/>
      <selection pane="bottomRight" activeCell="CT40" sqref="CT40"/>
    </sheetView>
  </sheetViews>
  <sheetFormatPr baseColWidth="10" defaultColWidth="11.42578125" defaultRowHeight="15"/>
  <cols>
    <col min="1" max="1" width="14.42578125" style="375" hidden="1" customWidth="1"/>
    <col min="2" max="2" width="11.42578125" style="375" hidden="1" customWidth="1"/>
    <col min="3" max="3" width="11.7109375" hidden="1" customWidth="1"/>
    <col min="4" max="4" width="10.140625" style="375" hidden="1" customWidth="1"/>
    <col min="5" max="5" width="13.7109375" style="375" hidden="1" customWidth="1"/>
    <col min="6" max="6" width="8.5703125" style="271" hidden="1" customWidth="1"/>
    <col min="7" max="7" width="13.28515625" style="375" hidden="1" customWidth="1"/>
    <col min="8" max="8" width="17.5703125" style="271" hidden="1" customWidth="1"/>
    <col min="9" max="9" width="8" style="287" customWidth="1"/>
    <col min="10" max="10" width="14.140625" customWidth="1"/>
    <col min="11" max="11" width="22.42578125" customWidth="1"/>
    <col min="12" max="12" width="6.140625" customWidth="1"/>
    <col min="13" max="13" width="7.5703125" customWidth="1"/>
    <col min="14" max="14" width="11" customWidth="1"/>
    <col min="15" max="15" width="11.85546875" customWidth="1"/>
    <col min="16" max="16" width="11.85546875" style="778" customWidth="1"/>
    <col min="17" max="17" width="10.140625" customWidth="1"/>
    <col min="18" max="18" width="10.28515625" customWidth="1"/>
    <col min="19" max="20" width="11.85546875" style="778" customWidth="1"/>
    <col min="21" max="21" width="9" style="778" customWidth="1"/>
    <col min="22" max="22" width="9.7109375" style="778" customWidth="1"/>
    <col min="23" max="23" width="11.85546875" style="778" customWidth="1"/>
    <col min="24" max="24" width="11" customWidth="1"/>
    <col min="25" max="25" width="11.42578125" customWidth="1"/>
    <col min="26" max="27" width="11.42578125" style="749" customWidth="1"/>
    <col min="28" max="32" width="11.42578125" style="778" customWidth="1"/>
    <col min="33" max="33" width="11.42578125" customWidth="1"/>
    <col min="34" max="34" width="10.140625" style="778" customWidth="1"/>
    <col min="35" max="35" width="11.28515625" style="287" customWidth="1"/>
    <col min="36" max="37" width="8.85546875" style="1105" customWidth="1"/>
    <col min="38" max="38" width="9.28515625" style="269" customWidth="1"/>
    <col min="39" max="39" width="8.42578125" style="288" customWidth="1"/>
    <col min="40" max="40" width="8.42578125" style="1107" customWidth="1"/>
    <col min="41" max="41" width="10.140625" style="288" customWidth="1"/>
    <col min="42" max="42" width="6.28515625" style="288" customWidth="1"/>
    <col min="43" max="43" width="8" style="288" customWidth="1"/>
    <col min="44" max="54" width="8" style="383" customWidth="1"/>
    <col min="55" max="55" width="10" style="288" customWidth="1"/>
    <col min="56" max="58" width="10.140625" style="288" customWidth="1"/>
    <col min="59" max="60" width="10.140625" style="582" customWidth="1"/>
    <col min="61" max="66" width="10.140625" style="288" customWidth="1"/>
    <col min="67" max="67" width="8.140625" style="288" customWidth="1"/>
    <col min="68" max="68" width="10.140625" style="288" customWidth="1"/>
    <col min="69" max="69" width="8" style="288" customWidth="1"/>
    <col min="70" max="71" width="7.28515625" style="288" customWidth="1"/>
    <col min="72" max="72" width="7.42578125" style="288" customWidth="1"/>
    <col min="73" max="73" width="8.85546875" style="288" customWidth="1"/>
    <col min="74" max="76" width="10.140625" style="288" customWidth="1"/>
    <col min="77" max="77" width="8.85546875" style="382" customWidth="1"/>
    <col min="78" max="78" width="8.85546875" style="1109" customWidth="1"/>
    <col min="79" max="79" width="34.5703125" style="1109" customWidth="1"/>
    <col min="80" max="80" width="12.7109375" style="1109" customWidth="1"/>
    <col min="81" max="81" width="11.28515625" style="1109" customWidth="1"/>
    <col min="82" max="82" width="10.140625" style="1109" customWidth="1"/>
    <col min="83" max="83" width="8.85546875" style="1109" customWidth="1"/>
    <col min="84" max="84" width="10.140625" style="1109" customWidth="1"/>
    <col min="85" max="87" width="9.5703125" style="1109" customWidth="1"/>
    <col min="88" max="88" width="10.42578125" style="287" customWidth="1"/>
    <col min="89" max="89" width="9.28515625" style="375" customWidth="1"/>
    <col min="90" max="90" width="9" style="1150" customWidth="1"/>
    <col min="91" max="92" width="8.28515625" style="1150" customWidth="1"/>
    <col min="93" max="93" width="8.85546875" style="1150" customWidth="1"/>
    <col min="94" max="94" width="8.85546875" style="287" customWidth="1"/>
    <col min="95" max="95" width="19" style="447" customWidth="1"/>
    <col min="96" max="96" width="10.42578125" style="375" customWidth="1"/>
    <col min="97" max="97" width="10.42578125" style="447" customWidth="1"/>
    <col min="98" max="98" width="8.85546875" style="287" customWidth="1"/>
    <col min="99" max="100" width="10.28515625" style="375" customWidth="1"/>
    <col min="101" max="101" width="11.42578125" customWidth="1"/>
    <col min="102" max="104" width="11.42578125" style="1150" customWidth="1"/>
    <col min="105" max="105" width="44.5703125" style="375" customWidth="1"/>
    <col min="106" max="106" width="10.5703125" style="1150" customWidth="1"/>
    <col min="107" max="107" width="12" style="1150" customWidth="1"/>
    <col min="108" max="108" width="10.28515625" style="1150" customWidth="1"/>
    <col min="109" max="109" width="8.5703125" style="1150" customWidth="1"/>
    <col min="110" max="110" width="10.5703125" style="1150" customWidth="1"/>
    <col min="111" max="111" width="10.85546875" style="1150" customWidth="1"/>
    <col min="112" max="112" width="10.28515625" style="1150" customWidth="1"/>
    <col min="113" max="113" width="9.85546875" style="1150" customWidth="1"/>
    <col min="114" max="119" width="10" style="155" customWidth="1"/>
    <col min="120" max="120" width="9.5703125" style="287" customWidth="1"/>
    <col min="121" max="121" width="17.7109375" style="155" customWidth="1"/>
    <col min="122" max="126" width="10" style="155" customWidth="1"/>
    <col min="127" max="127" width="11.42578125" customWidth="1"/>
    <col min="128" max="130" width="11.42578125" style="1150" customWidth="1"/>
    <col min="131" max="131" width="11.140625" style="375" customWidth="1"/>
    <col min="132" max="132" width="40.7109375" style="1150" customWidth="1"/>
    <col min="133" max="133" width="50" style="287" customWidth="1"/>
    <col min="134" max="134" width="15.85546875" style="271" customWidth="1"/>
    <col min="135" max="135" width="15.28515625" style="287" customWidth="1"/>
    <col min="136" max="136" width="9.7109375" style="375" customWidth="1"/>
    <col min="137" max="137" width="9.85546875" style="375" customWidth="1"/>
    <col min="138" max="138" width="10" style="375" customWidth="1"/>
    <col min="139" max="140" width="10" style="1105" customWidth="1"/>
    <col min="141" max="141" width="10.7109375" style="287" customWidth="1"/>
    <col min="142" max="142" width="10.7109375" style="1105" customWidth="1"/>
    <col min="143" max="143" width="10.7109375" style="375" customWidth="1"/>
    <col min="144" max="144" width="8" style="375" customWidth="1"/>
    <col min="145" max="145" width="10" style="375" customWidth="1"/>
    <col min="146" max="146" width="10" style="1105" customWidth="1"/>
    <col min="147" max="147" width="10.42578125" style="271" customWidth="1"/>
    <col min="148" max="148" width="11.42578125" customWidth="1"/>
    <col min="149" max="149" width="11.42578125" style="375" customWidth="1"/>
    <col min="150" max="152" width="10.42578125" style="382" customWidth="1"/>
    <col min="153" max="156" width="10.42578125" style="1109" customWidth="1"/>
    <col min="157" max="157" width="11.140625" style="375" customWidth="1"/>
    <col min="158" max="158" width="46.7109375" style="1150" customWidth="1"/>
    <col min="159" max="159" width="51.85546875" style="375" customWidth="1"/>
    <col min="160" max="160" width="15.85546875" style="375" customWidth="1"/>
    <col min="161" max="161" width="15.28515625" style="375" customWidth="1"/>
    <col min="162" max="162" width="9.7109375" style="375" customWidth="1"/>
    <col min="163" max="163" width="9.85546875" style="375" customWidth="1"/>
    <col min="164" max="164" width="10" style="375" customWidth="1"/>
    <col min="165" max="166" width="10" style="1150" customWidth="1"/>
    <col min="167" max="167" width="10.7109375" style="375" customWidth="1"/>
    <col min="168" max="168" width="10.7109375" style="1150" customWidth="1"/>
    <col min="169" max="169" width="10.7109375" style="375" customWidth="1"/>
    <col min="170" max="170" width="8" style="375" customWidth="1"/>
    <col min="171" max="171" width="10" style="375" customWidth="1"/>
    <col min="172" max="172" width="10" style="1150" customWidth="1"/>
    <col min="173" max="173" width="10.42578125" style="375" customWidth="1"/>
    <col min="174" max="174" width="10.42578125" style="382" customWidth="1"/>
    <col min="175" max="175" width="10" style="382" customWidth="1"/>
    <col min="176" max="182" width="10" style="1109" customWidth="1"/>
    <col min="183" max="183" width="11.140625" style="1150" customWidth="1"/>
    <col min="184" max="184" width="40.7109375" style="1150" customWidth="1"/>
    <col min="185" max="185" width="50" style="1150" customWidth="1"/>
    <col min="186" max="186" width="15.85546875" style="1150" customWidth="1"/>
    <col min="187" max="187" width="15.28515625" style="1150" customWidth="1"/>
    <col min="188" max="188" width="9.7109375" style="1150" customWidth="1"/>
    <col min="189" max="189" width="9.85546875" style="1150" customWidth="1"/>
    <col min="190" max="192" width="10" style="1150" customWidth="1"/>
    <col min="193" max="195" width="10.7109375" style="1150" customWidth="1"/>
    <col min="196" max="196" width="10.5703125" style="1150" customWidth="1"/>
    <col min="197" max="197" width="13.140625" style="1150" customWidth="1"/>
    <col min="198" max="198" width="11.42578125" style="1150" customWidth="1"/>
    <col min="199" max="199" width="12.28515625" style="1150" customWidth="1"/>
    <col min="200" max="200" width="11.42578125" style="1150" customWidth="1"/>
    <col min="201" max="201" width="9.85546875" style="382" customWidth="1"/>
    <col min="202" max="208" width="9.85546875" style="1109" customWidth="1"/>
    <col min="209" max="209" width="11.140625" style="1150" customWidth="1"/>
    <col min="210" max="210" width="38" style="1150" customWidth="1"/>
    <col min="211" max="211" width="46.42578125" style="1150" customWidth="1"/>
    <col min="212" max="212" width="13.7109375" style="1150" customWidth="1"/>
    <col min="213" max="213" width="14" style="1150" customWidth="1"/>
    <col min="214" max="214" width="9.7109375" style="1150" customWidth="1"/>
    <col min="215" max="215" width="9.85546875" style="1150" customWidth="1"/>
    <col min="216" max="218" width="10" style="1150" customWidth="1"/>
    <col min="219" max="221" width="10.7109375" style="1150" customWidth="1"/>
    <col min="222" max="222" width="10.5703125" style="1150" customWidth="1"/>
    <col min="223" max="223" width="13.140625" style="1150" customWidth="1"/>
    <col min="224" max="224" width="11.42578125" style="1150" customWidth="1"/>
    <col min="225" max="225" width="12.28515625" style="1150" customWidth="1"/>
    <col min="226" max="226" width="11.42578125" style="1150" customWidth="1"/>
    <col min="227" max="233" width="9.85546875" style="1109" customWidth="1"/>
    <col min="234" max="234" width="9.5703125" style="1150" customWidth="1"/>
    <col min="235" max="235" width="11.140625" style="375" customWidth="1"/>
    <col min="236" max="236" width="50.28515625" style="1150" customWidth="1"/>
    <col min="237" max="237" width="51.28515625" customWidth="1"/>
    <col min="238" max="238" width="22.28515625" style="155" customWidth="1"/>
    <col min="239" max="239" width="16.7109375" style="155" customWidth="1"/>
    <col min="240" max="240" width="9.85546875" style="155" customWidth="1"/>
    <col min="241" max="241" width="9.85546875" style="383" customWidth="1"/>
    <col min="242" max="242" width="10.7109375" style="155" customWidth="1"/>
    <col min="243" max="246" width="9.5703125" style="155" customWidth="1"/>
    <col min="247" max="247" width="10" style="155" customWidth="1"/>
    <col min="248" max="248" width="11.28515625" style="383" customWidth="1"/>
    <col min="249" max="249" width="11.42578125" style="383" customWidth="1"/>
    <col min="250" max="259" width="11.42578125" style="1127" customWidth="1"/>
    <col min="260" max="260" width="11.42578125" customWidth="1"/>
    <col min="261" max="261" width="11.140625" style="375" customWidth="1"/>
    <col min="262" max="262" width="46.5703125" style="1150" customWidth="1"/>
    <col min="263" max="263" width="42.140625" style="375" customWidth="1"/>
    <col min="264" max="264" width="22.28515625" style="155" customWidth="1"/>
    <col min="265" max="265" width="16.7109375" style="155" customWidth="1"/>
    <col min="266" max="266" width="8.42578125" style="155" customWidth="1"/>
    <col min="267" max="267" width="9.85546875" style="383" customWidth="1"/>
    <col min="268" max="268" width="10.7109375" style="155" customWidth="1"/>
    <col min="269" max="272" width="9.5703125" style="155" customWidth="1"/>
    <col min="273" max="273" width="10" style="155" customWidth="1"/>
    <col min="274" max="276" width="11.42578125" customWidth="1"/>
    <col min="277" max="277" width="11.42578125" style="447" customWidth="1"/>
    <col min="278" max="282" width="11.42578125" style="1150" customWidth="1"/>
    <col min="283" max="283" width="11.42578125" style="447" customWidth="1"/>
    <col min="284" max="285" width="11.42578125" style="1150" customWidth="1"/>
    <col min="286" max="286" width="11.42578125" customWidth="1"/>
    <col min="287" max="287" width="11.140625" style="375" customWidth="1"/>
    <col min="288" max="288" width="54" style="1150" customWidth="1"/>
    <col min="289" max="289" width="58.5703125" style="375" customWidth="1"/>
    <col min="290" max="290" width="22.28515625" style="155" customWidth="1"/>
    <col min="291" max="291" width="16.7109375" style="155" customWidth="1"/>
    <col min="292" max="292" width="8.42578125" style="155" customWidth="1"/>
    <col min="293" max="293" width="9.85546875" style="383" customWidth="1"/>
    <col min="294" max="294" width="10.7109375" style="155" customWidth="1"/>
    <col min="295" max="298" width="9.5703125" style="155" customWidth="1"/>
    <col min="299" max="299" width="10" style="155" customWidth="1"/>
    <col min="300" max="303" width="11.42578125" customWidth="1"/>
    <col min="304" max="311" width="11.42578125" style="1150" customWidth="1"/>
    <col min="312" max="312" width="11.42578125" customWidth="1"/>
    <col min="313" max="313" width="11.140625" style="375" customWidth="1"/>
    <col min="314" max="314" width="58.5703125" style="1150" customWidth="1"/>
    <col min="315" max="315" width="60" style="375" customWidth="1"/>
    <col min="316" max="316" width="22.28515625" style="155" customWidth="1"/>
    <col min="317" max="317" width="16.7109375" style="155" customWidth="1"/>
    <col min="318" max="318" width="8.42578125" style="155" customWidth="1"/>
    <col min="319" max="319" width="9.85546875" style="383" customWidth="1"/>
    <col min="320" max="320" width="10.7109375" style="155" customWidth="1"/>
    <col min="321" max="324" width="9.5703125" style="155" customWidth="1"/>
    <col min="325" max="325" width="10" style="155" customWidth="1"/>
    <col min="326" max="329" width="11.42578125" customWidth="1"/>
    <col min="330" max="337" width="11.42578125" style="1150" customWidth="1"/>
    <col min="338" max="338" width="11.42578125" customWidth="1"/>
    <col min="339" max="339" width="11.140625" style="375" customWidth="1"/>
    <col min="340" max="340" width="58.7109375" style="1150" customWidth="1"/>
    <col min="341" max="341" width="59.5703125" style="375" customWidth="1"/>
    <col min="342" max="342" width="22.28515625" style="155" customWidth="1"/>
    <col min="343" max="343" width="16.7109375" style="155" customWidth="1"/>
    <col min="344" max="344" width="8.42578125" style="155" customWidth="1"/>
    <col min="345" max="345" width="9.85546875" style="383" customWidth="1"/>
    <col min="346" max="346" width="10.7109375" style="155" customWidth="1"/>
    <col min="347" max="350" width="9.5703125" style="155" customWidth="1"/>
    <col min="351" max="351" width="10" style="155" customWidth="1"/>
    <col min="352" max="354" width="11.42578125" customWidth="1"/>
    <col min="355" max="362" width="11.42578125" style="1150" customWidth="1"/>
    <col min="363" max="364" width="11.42578125" customWidth="1"/>
    <col min="365" max="365" width="11.140625" style="375" customWidth="1"/>
    <col min="366" max="366" width="54" style="1150" customWidth="1"/>
    <col min="367" max="367" width="61.28515625" style="375" customWidth="1"/>
    <col min="368" max="368" width="22.28515625" style="155" customWidth="1"/>
    <col min="369" max="369" width="16.7109375" style="155" customWidth="1"/>
    <col min="370" max="370" width="8.42578125" style="155" customWidth="1"/>
    <col min="371" max="371" width="9.85546875" style="383" customWidth="1"/>
    <col min="372" max="372" width="10.7109375" style="155" customWidth="1"/>
    <col min="373" max="376" width="9.5703125" style="155" customWidth="1"/>
    <col min="377" max="377" width="10" style="155" customWidth="1"/>
    <col min="378" max="381" width="11.42578125" customWidth="1"/>
    <col min="382" max="389" width="11.42578125" style="1150" customWidth="1"/>
    <col min="390" max="390" width="46.85546875" customWidth="1"/>
    <col min="391" max="391" width="11.140625" style="580" customWidth="1"/>
    <col min="392" max="392" width="48.7109375" style="1150" customWidth="1"/>
    <col min="393" max="393" width="59.140625" style="580" customWidth="1"/>
    <col min="394" max="394" width="22.28515625" style="155" customWidth="1"/>
    <col min="395" max="395" width="16.7109375" style="155" customWidth="1"/>
    <col min="396" max="396" width="8.42578125" style="155" customWidth="1"/>
    <col min="397" max="397" width="9.85546875" style="582" customWidth="1"/>
    <col min="398" max="398" width="10.7109375" style="155" customWidth="1"/>
    <col min="399" max="402" width="9.5703125" style="155" customWidth="1"/>
    <col min="403" max="403" width="10" style="155" customWidth="1"/>
    <col min="404" max="404" width="11.28515625" style="582" customWidth="1"/>
    <col min="405" max="413" width="11.42578125" customWidth="1"/>
    <col min="417" max="417" width="11.140625" style="1150" customWidth="1"/>
    <col min="418" max="418" width="59.28515625" style="1150" customWidth="1"/>
    <col min="419" max="419" width="59.140625" style="1150" customWidth="1"/>
    <col min="420" max="420" width="22.28515625" style="155" customWidth="1"/>
    <col min="421" max="421" width="16.7109375" style="155" customWidth="1"/>
    <col min="422" max="422" width="8.42578125" style="155" customWidth="1"/>
    <col min="423" max="423" width="9.85546875" style="1127" customWidth="1"/>
    <col min="424" max="424" width="10.7109375" style="155" customWidth="1"/>
    <col min="425" max="428" width="9.5703125" style="155" customWidth="1"/>
    <col min="429" max="429" width="10" style="155" customWidth="1"/>
    <col min="430" max="430" width="11.28515625" style="1127" customWidth="1"/>
  </cols>
  <sheetData>
    <row r="1" spans="1:430" ht="27" customHeight="1">
      <c r="I1" s="1668" t="s">
        <v>2274</v>
      </c>
      <c r="J1" s="1668"/>
      <c r="L1" s="778"/>
      <c r="X1" s="778"/>
      <c r="BD1" s="290"/>
      <c r="BE1" s="290"/>
      <c r="BF1" s="290"/>
      <c r="BG1" s="584"/>
      <c r="BH1" s="584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/>
      <c r="BU1" s="290"/>
      <c r="BV1" s="290"/>
      <c r="BW1" s="290"/>
      <c r="BX1" s="290"/>
      <c r="BY1" s="402"/>
      <c r="BZ1" s="402"/>
      <c r="CA1" s="402"/>
      <c r="CB1" s="402"/>
      <c r="CC1" s="402"/>
      <c r="CD1" s="402"/>
      <c r="CE1" s="402"/>
      <c r="CF1" s="402"/>
      <c r="CG1" s="402"/>
      <c r="CH1" s="402"/>
      <c r="CI1" s="402"/>
      <c r="CJ1" s="288"/>
      <c r="CK1" s="383"/>
      <c r="CL1" s="1127"/>
      <c r="CM1" s="1127"/>
      <c r="CN1" s="1127"/>
      <c r="CO1" s="1127"/>
      <c r="CQ1" s="383"/>
      <c r="CR1" s="383"/>
      <c r="CS1" s="383"/>
      <c r="CT1" s="288"/>
      <c r="CU1" s="383"/>
      <c r="CV1" s="383"/>
      <c r="DJ1" s="383"/>
      <c r="DK1" s="383"/>
      <c r="DL1" s="1127"/>
      <c r="DM1" s="1127"/>
      <c r="DN1" s="1127"/>
      <c r="DO1" s="1127"/>
      <c r="DP1" s="320"/>
      <c r="DQ1" s="383"/>
      <c r="DR1" s="383"/>
      <c r="DS1" s="383"/>
      <c r="DT1" s="383"/>
      <c r="DU1" s="383"/>
      <c r="DV1" s="383"/>
      <c r="EA1" s="281" t="s">
        <v>133</v>
      </c>
      <c r="EB1" s="445"/>
      <c r="EC1" s="1736" t="s">
        <v>2167</v>
      </c>
      <c r="ED1" s="269"/>
      <c r="EE1" s="288"/>
      <c r="EF1" s="383"/>
      <c r="EG1" s="383"/>
      <c r="EH1" s="383"/>
      <c r="EI1" s="1107"/>
      <c r="EJ1" s="1107"/>
      <c r="EK1" s="288"/>
      <c r="EL1" s="1107"/>
      <c r="EM1" s="383"/>
      <c r="EN1" s="383"/>
      <c r="EO1" s="383"/>
      <c r="EP1" s="1107"/>
      <c r="EQ1" s="269"/>
      <c r="FA1" s="281" t="s">
        <v>133</v>
      </c>
      <c r="FB1" s="445"/>
      <c r="FC1" s="1736" t="s">
        <v>2166</v>
      </c>
      <c r="FD1" s="383"/>
      <c r="FE1" s="383"/>
      <c r="FF1" s="383"/>
      <c r="FG1" s="383"/>
      <c r="FH1" s="383"/>
      <c r="FI1" s="1127"/>
      <c r="FJ1" s="1127"/>
      <c r="FK1" s="383"/>
      <c r="FL1" s="1127"/>
      <c r="FM1" s="383"/>
      <c r="FN1" s="383"/>
      <c r="FO1" s="383"/>
      <c r="FP1" s="1127"/>
      <c r="FQ1" s="383"/>
      <c r="GA1" s="281" t="s">
        <v>133</v>
      </c>
      <c r="GB1" s="445"/>
      <c r="GC1" s="1736" t="s">
        <v>2630</v>
      </c>
      <c r="GD1" s="1127"/>
      <c r="GE1" s="1127"/>
      <c r="GF1" s="1127"/>
      <c r="GG1" s="1127"/>
      <c r="GH1" s="1127"/>
      <c r="GI1" s="1127"/>
      <c r="GJ1" s="1127"/>
      <c r="GK1" s="1127"/>
      <c r="GL1" s="1127"/>
      <c r="GM1" s="1127"/>
      <c r="GN1" s="1127"/>
      <c r="GO1" s="1127"/>
      <c r="GP1" s="1127"/>
      <c r="GQ1" s="1127"/>
      <c r="HA1" s="281" t="s">
        <v>133</v>
      </c>
      <c r="HB1" s="445"/>
      <c r="HC1" s="1736" t="s">
        <v>2631</v>
      </c>
      <c r="HD1" s="1127"/>
      <c r="HE1" s="1127"/>
      <c r="HF1" s="1127"/>
      <c r="HG1" s="1127"/>
      <c r="HH1" s="1127"/>
      <c r="HI1" s="1127"/>
      <c r="HJ1" s="1127"/>
      <c r="HK1" s="1127"/>
      <c r="HL1" s="1127"/>
      <c r="HM1" s="1127"/>
      <c r="HN1" s="1127"/>
      <c r="HO1" s="1127"/>
      <c r="HP1" s="1127"/>
      <c r="HQ1" s="1127"/>
      <c r="HZ1" s="1254"/>
      <c r="IA1" s="281" t="s">
        <v>133</v>
      </c>
      <c r="IB1" s="445"/>
      <c r="IC1" s="1736" t="s">
        <v>2157</v>
      </c>
      <c r="ID1" s="383"/>
      <c r="IE1" s="383"/>
      <c r="IF1" s="383"/>
      <c r="IH1" s="303"/>
      <c r="II1" s="383"/>
      <c r="IJ1" s="383"/>
      <c r="IK1" s="383"/>
      <c r="IL1" s="383"/>
      <c r="IM1" s="383"/>
      <c r="JA1" s="281" t="s">
        <v>133</v>
      </c>
      <c r="JB1" s="445"/>
      <c r="JC1" s="1736" t="s">
        <v>2143</v>
      </c>
      <c r="JD1" s="383"/>
      <c r="JE1" s="383"/>
      <c r="JF1" s="383"/>
      <c r="JH1" s="303"/>
      <c r="JI1" s="383"/>
      <c r="JJ1" s="383"/>
      <c r="JK1" s="383"/>
      <c r="JL1" s="383"/>
      <c r="JM1" s="383"/>
      <c r="KA1" s="281" t="s">
        <v>133</v>
      </c>
      <c r="KB1" s="445"/>
      <c r="KC1" s="1736" t="s">
        <v>2286</v>
      </c>
      <c r="KD1" s="383"/>
      <c r="KE1" s="383"/>
      <c r="KF1" s="383"/>
      <c r="KH1" s="303"/>
      <c r="KI1" s="383"/>
      <c r="KJ1" s="383"/>
      <c r="KK1" s="383"/>
      <c r="KL1" s="383"/>
      <c r="KM1" s="383"/>
      <c r="LA1" s="281" t="s">
        <v>133</v>
      </c>
      <c r="LB1" s="445"/>
      <c r="LC1" s="1736" t="s">
        <v>2145</v>
      </c>
      <c r="LD1" s="383"/>
      <c r="LE1" s="383"/>
      <c r="LF1" s="383"/>
      <c r="LH1" s="303"/>
      <c r="LI1" s="383"/>
      <c r="LJ1" s="383"/>
      <c r="LK1" s="383"/>
      <c r="LL1" s="383"/>
      <c r="LM1" s="383"/>
      <c r="MA1" s="281" t="s">
        <v>133</v>
      </c>
      <c r="MB1" s="445"/>
      <c r="MC1" s="1736" t="s">
        <v>2146</v>
      </c>
      <c r="MD1" s="383"/>
      <c r="ME1" s="383"/>
      <c r="MF1" s="383"/>
      <c r="MH1" s="303"/>
      <c r="MI1" s="383"/>
      <c r="MJ1" s="383"/>
      <c r="MK1" s="383"/>
      <c r="ML1" s="383"/>
      <c r="MM1" s="383"/>
      <c r="NA1" s="281" t="s">
        <v>133</v>
      </c>
      <c r="NB1" s="445"/>
      <c r="NC1" s="1736" t="s">
        <v>2147</v>
      </c>
      <c r="ND1" s="383"/>
      <c r="NE1" s="383"/>
      <c r="NF1" s="383"/>
      <c r="NH1" s="303"/>
      <c r="NI1" s="383"/>
      <c r="NJ1" s="383"/>
      <c r="NK1" s="383"/>
      <c r="NL1" s="383"/>
      <c r="NM1" s="383"/>
      <c r="OA1" s="281" t="s">
        <v>133</v>
      </c>
      <c r="OB1" s="445"/>
      <c r="OC1" s="1736" t="s">
        <v>2846</v>
      </c>
      <c r="OD1" s="582"/>
      <c r="OE1" s="582"/>
      <c r="OF1" s="582"/>
      <c r="OH1" s="303"/>
      <c r="OI1" s="582"/>
      <c r="OJ1" s="582"/>
      <c r="OK1" s="582"/>
      <c r="OL1" s="582"/>
      <c r="OM1" s="582"/>
      <c r="PA1" s="281" t="s">
        <v>133</v>
      </c>
      <c r="PB1" s="445"/>
      <c r="PC1" s="1736" t="s">
        <v>2857</v>
      </c>
      <c r="PD1" s="1127"/>
      <c r="PE1" s="1127"/>
      <c r="PF1" s="1127"/>
      <c r="PH1" s="303"/>
      <c r="PI1" s="1127"/>
      <c r="PJ1" s="1127"/>
      <c r="PK1" s="1127"/>
      <c r="PL1" s="1127"/>
      <c r="PM1" s="1127"/>
    </row>
    <row r="2" spans="1:430" ht="27.75" customHeight="1">
      <c r="I2" s="1784" t="s">
        <v>2275</v>
      </c>
      <c r="J2" s="1784"/>
      <c r="K2" s="287"/>
      <c r="L2" s="331"/>
      <c r="M2" s="287"/>
      <c r="N2" s="331" t="s">
        <v>2216</v>
      </c>
      <c r="O2" s="287"/>
      <c r="Q2" s="287"/>
      <c r="R2" s="287"/>
      <c r="X2" s="331"/>
      <c r="Y2" s="287"/>
      <c r="AG2" s="287"/>
      <c r="AI2" s="1723" t="s">
        <v>2159</v>
      </c>
      <c r="AJ2" s="1724"/>
      <c r="AK2" s="1724"/>
      <c r="AL2" s="1724"/>
      <c r="AM2" s="1724"/>
      <c r="AN2" s="1724"/>
      <c r="AO2" s="1724"/>
      <c r="AP2" s="1724"/>
      <c r="AQ2" s="1724"/>
      <c r="AR2" s="1724"/>
      <c r="AS2" s="1724"/>
      <c r="AT2" s="1724"/>
      <c r="AU2" s="1724"/>
      <c r="AV2" s="1724"/>
      <c r="AW2" s="1724"/>
      <c r="AX2" s="1724"/>
      <c r="AY2" s="1724"/>
      <c r="AZ2" s="1724"/>
      <c r="BA2" s="1724"/>
      <c r="BB2" s="1802"/>
      <c r="BC2" s="1799" t="s">
        <v>2848</v>
      </c>
      <c r="BD2" s="1800"/>
      <c r="BE2" s="1800"/>
      <c r="BF2" s="1800"/>
      <c r="BG2" s="1800"/>
      <c r="BH2" s="1800"/>
      <c r="BI2" s="1800"/>
      <c r="BJ2" s="1800"/>
      <c r="BK2" s="1800"/>
      <c r="BL2" s="1800"/>
      <c r="BM2" s="1800"/>
      <c r="BN2" s="1801"/>
      <c r="BO2" s="1799" t="s">
        <v>2848</v>
      </c>
      <c r="BP2" s="1800"/>
      <c r="BQ2" s="1800"/>
      <c r="BR2" s="1800"/>
      <c r="BS2" s="1800"/>
      <c r="BT2" s="1800"/>
      <c r="BU2" s="1800"/>
      <c r="BV2" s="1800"/>
      <c r="BW2" s="1800"/>
      <c r="BX2" s="1801"/>
      <c r="BY2" s="402"/>
      <c r="BZ2" s="402"/>
      <c r="CA2" s="1803" t="s">
        <v>2849</v>
      </c>
      <c r="CB2" s="1804"/>
      <c r="CC2" s="1804"/>
      <c r="CD2" s="1804"/>
      <c r="CE2" s="1804"/>
      <c r="CF2" s="1804"/>
      <c r="CG2" s="1804"/>
      <c r="CH2" s="1804"/>
      <c r="CI2" s="1804"/>
      <c r="CJ2" s="1804"/>
      <c r="CK2" s="1804"/>
      <c r="CL2" s="1804"/>
      <c r="CM2" s="1804"/>
      <c r="CN2" s="1804"/>
      <c r="CO2" s="1804"/>
      <c r="CP2" s="1804"/>
      <c r="CQ2" s="1804"/>
      <c r="CR2" s="1804"/>
      <c r="CS2" s="1804"/>
      <c r="CT2" s="1804"/>
      <c r="CU2" s="1804"/>
      <c r="CV2" s="1805"/>
      <c r="DA2" s="1668"/>
      <c r="DB2" s="1668"/>
      <c r="DC2" s="1668"/>
      <c r="DD2" s="1668"/>
      <c r="DE2" s="1668"/>
      <c r="DF2" s="1668"/>
      <c r="DG2" s="1668"/>
      <c r="DH2" s="1668"/>
      <c r="DI2" s="1668"/>
      <c r="DJ2" s="1668"/>
      <c r="DK2" s="1668"/>
      <c r="DL2" s="1668"/>
      <c r="DM2" s="1668"/>
      <c r="DN2" s="1668"/>
      <c r="DO2" s="1668"/>
      <c r="DP2" s="1668"/>
      <c r="DQ2" s="1668"/>
      <c r="DR2" s="1668"/>
      <c r="DS2" s="1668"/>
      <c r="DT2" s="1668"/>
      <c r="DU2" s="1668"/>
      <c r="DV2" s="1668"/>
      <c r="EA2" s="407">
        <v>2.4190000000000001E-3</v>
      </c>
      <c r="EB2" s="1231"/>
      <c r="EC2" s="1737"/>
      <c r="ED2" s="269"/>
      <c r="EJ2" s="1107"/>
      <c r="EK2" s="288"/>
      <c r="EL2" s="1107"/>
      <c r="EM2" s="383"/>
      <c r="EN2" s="383"/>
      <c r="EO2" s="383"/>
      <c r="EP2" s="1107"/>
      <c r="EQ2" s="269"/>
      <c r="FA2" s="407">
        <v>2.4190000000000001E-3</v>
      </c>
      <c r="FB2" s="1231"/>
      <c r="FC2" s="1737"/>
      <c r="FD2" s="383"/>
      <c r="FE2" s="383"/>
      <c r="FF2" s="383"/>
      <c r="FG2" s="383"/>
      <c r="FH2" s="383"/>
      <c r="FI2" s="1127"/>
      <c r="FJ2" s="1127"/>
      <c r="FK2" s="383"/>
      <c r="FL2" s="1127"/>
      <c r="FM2" s="383"/>
      <c r="FN2" s="383"/>
      <c r="FO2" s="383"/>
      <c r="FP2" s="1127"/>
      <c r="FQ2" s="383"/>
      <c r="GA2" s="407"/>
      <c r="GB2" s="1231"/>
      <c r="GC2" s="1737"/>
      <c r="GD2" s="1127"/>
      <c r="GJ2" s="1127"/>
      <c r="GK2" s="1127"/>
      <c r="GL2" s="1127"/>
      <c r="GM2" s="1127"/>
      <c r="GN2" s="1127"/>
      <c r="GO2" s="1127"/>
      <c r="GP2" s="1127"/>
      <c r="GQ2" s="1127"/>
      <c r="GS2" s="417"/>
      <c r="GT2" s="417"/>
      <c r="GU2" s="417"/>
      <c r="GV2" s="417"/>
      <c r="GW2" s="417"/>
      <c r="GX2" s="417"/>
      <c r="GY2" s="417"/>
      <c r="GZ2" s="417"/>
      <c r="HA2" s="407"/>
      <c r="HB2" s="1231"/>
      <c r="HC2" s="1737"/>
      <c r="HD2" s="1127"/>
      <c r="HJ2" s="1127"/>
      <c r="HK2" s="1127"/>
      <c r="HL2" s="1127"/>
      <c r="HM2" s="1127"/>
      <c r="HN2" s="1127"/>
      <c r="HO2" s="1127"/>
      <c r="HP2" s="1127"/>
      <c r="HQ2" s="1127"/>
      <c r="HS2" s="417"/>
      <c r="HT2" s="417"/>
      <c r="HU2" s="417"/>
      <c r="HV2" s="417"/>
      <c r="HW2" s="417"/>
      <c r="HX2" s="417"/>
      <c r="HY2" s="417"/>
      <c r="HZ2" s="1254"/>
      <c r="IA2" s="407">
        <v>8.0800000000000002E-4</v>
      </c>
      <c r="IB2" s="1231"/>
      <c r="IC2" s="1737"/>
      <c r="ID2" s="383"/>
      <c r="IE2" s="383"/>
      <c r="IF2" s="383"/>
      <c r="IH2" s="303"/>
      <c r="II2" s="383"/>
      <c r="IJ2" s="383"/>
      <c r="IK2" s="383"/>
      <c r="IL2" s="383"/>
      <c r="IM2" s="383"/>
      <c r="JA2" s="407">
        <v>1.9919999999999998E-3</v>
      </c>
      <c r="JB2" s="1231"/>
      <c r="JC2" s="1737"/>
      <c r="JD2" s="383"/>
      <c r="JE2" s="383"/>
      <c r="JF2" s="383"/>
      <c r="JH2" s="303"/>
      <c r="JI2" s="383"/>
      <c r="JJ2" s="383"/>
      <c r="JK2" s="383"/>
      <c r="JL2" s="383"/>
      <c r="JM2" s="383"/>
      <c r="KA2" s="407">
        <v>9.7499999999999996E-4</v>
      </c>
      <c r="KB2" s="1231"/>
      <c r="KC2" s="1737"/>
      <c r="KD2" s="383"/>
      <c r="KE2" s="383"/>
      <c r="KF2" s="383"/>
      <c r="KH2" s="303"/>
      <c r="KI2" s="383"/>
      <c r="KJ2" s="383"/>
      <c r="KK2" s="383"/>
      <c r="KL2" s="383"/>
      <c r="KM2" s="383"/>
      <c r="LA2" s="407">
        <v>1.3929999999999999E-3</v>
      </c>
      <c r="LB2" s="1231"/>
      <c r="LC2" s="1737"/>
      <c r="LD2" s="383"/>
      <c r="LE2" s="383"/>
      <c r="LF2" s="383"/>
      <c r="LH2" s="303"/>
      <c r="LI2" s="383"/>
      <c r="LJ2" s="383"/>
      <c r="LK2" s="383"/>
      <c r="LL2" s="383"/>
      <c r="LM2" s="383"/>
      <c r="MA2" s="407">
        <v>2.4190000000000001E-3</v>
      </c>
      <c r="MB2" s="1231"/>
      <c r="MC2" s="1737"/>
      <c r="MD2" s="383"/>
      <c r="ME2" s="383"/>
      <c r="MF2" s="383"/>
      <c r="MH2" s="303"/>
      <c r="MI2" s="383"/>
      <c r="MJ2" s="383"/>
      <c r="MK2" s="383"/>
      <c r="ML2" s="383"/>
      <c r="MM2" s="383"/>
      <c r="NA2" s="407">
        <v>2.4190000000000001E-3</v>
      </c>
      <c r="NB2" s="1231"/>
      <c r="NC2" s="1737"/>
      <c r="ND2" s="383"/>
      <c r="NE2" s="383"/>
      <c r="NF2" s="383"/>
      <c r="NH2" s="303"/>
      <c r="NI2" s="383"/>
      <c r="NJ2" s="383"/>
      <c r="NK2" s="383"/>
      <c r="NL2" s="383"/>
      <c r="NM2" s="383"/>
      <c r="OA2" s="407"/>
      <c r="OB2" s="1231"/>
      <c r="OC2" s="1737"/>
      <c r="OD2" s="582"/>
      <c r="OE2" s="582"/>
      <c r="OF2" s="582"/>
      <c r="OH2" s="303"/>
      <c r="OI2" s="582"/>
      <c r="OJ2" s="582"/>
      <c r="OK2" s="582"/>
      <c r="OL2" s="582"/>
      <c r="OM2" s="582"/>
      <c r="PA2" s="407"/>
      <c r="PB2" s="1231"/>
      <c r="PC2" s="1737"/>
      <c r="PD2" s="1127"/>
      <c r="PE2" s="1127"/>
      <c r="PF2" s="1127"/>
      <c r="PH2" s="303"/>
      <c r="PI2" s="1127"/>
      <c r="PJ2" s="1127"/>
      <c r="PK2" s="1127"/>
      <c r="PL2" s="1127"/>
      <c r="PM2" s="1127"/>
    </row>
    <row r="3" spans="1:430" ht="27.75" customHeight="1">
      <c r="J3" s="287"/>
      <c r="K3" s="287"/>
      <c r="L3" s="287"/>
      <c r="M3" s="331" t="s">
        <v>2215</v>
      </c>
      <c r="N3" s="287"/>
      <c r="O3" s="287"/>
      <c r="Q3" s="287"/>
      <c r="R3" s="287"/>
      <c r="X3" s="287"/>
      <c r="Y3" s="287"/>
      <c r="AG3" s="287"/>
      <c r="BD3" s="290"/>
      <c r="BE3" s="290"/>
      <c r="BF3" s="290"/>
      <c r="BG3" s="584"/>
      <c r="BH3" s="584"/>
      <c r="BI3" s="290"/>
      <c r="BJ3" s="290"/>
      <c r="BK3" s="290"/>
      <c r="BL3" s="290"/>
      <c r="BM3" s="290"/>
      <c r="BN3" s="290"/>
      <c r="BO3" s="290"/>
      <c r="BP3" s="290"/>
      <c r="BQ3" s="290"/>
      <c r="BR3" s="290"/>
      <c r="BS3" s="290"/>
      <c r="BT3" s="290"/>
      <c r="BU3" s="290"/>
      <c r="BV3" s="290"/>
      <c r="BW3" s="290"/>
      <c r="BX3" s="290"/>
      <c r="BY3" s="402"/>
      <c r="BZ3" s="402"/>
      <c r="CA3" s="402"/>
      <c r="CB3" s="402"/>
      <c r="CC3" s="402"/>
      <c r="CD3" s="402"/>
      <c r="CE3" s="402"/>
      <c r="CF3" s="402"/>
      <c r="CG3" s="402"/>
      <c r="CH3" s="402"/>
      <c r="CI3" s="402"/>
      <c r="CJ3" s="288"/>
      <c r="CK3" s="383"/>
      <c r="CL3" s="1127"/>
      <c r="CM3" s="1127"/>
      <c r="CN3" s="1127"/>
      <c r="CO3" s="1127"/>
      <c r="CP3" s="321"/>
      <c r="CQ3" s="383"/>
      <c r="CR3" s="383"/>
      <c r="CS3" s="383"/>
      <c r="CT3" s="288"/>
      <c r="CU3" s="383"/>
      <c r="CV3" s="383"/>
      <c r="DJ3" s="383"/>
      <c r="DK3" s="383"/>
      <c r="DL3" s="1127"/>
      <c r="DM3" s="1127"/>
      <c r="DN3" s="1127"/>
      <c r="DO3" s="1127"/>
      <c r="DP3" s="401"/>
      <c r="DQ3" s="383"/>
      <c r="DR3" s="383"/>
      <c r="DS3" s="383"/>
      <c r="DT3" s="383"/>
      <c r="DU3" s="383"/>
      <c r="DV3" s="383"/>
      <c r="EC3" s="423" t="s">
        <v>2272</v>
      </c>
      <c r="ED3" s="269"/>
      <c r="EJ3" s="1107"/>
      <c r="EK3" s="288"/>
      <c r="EL3" s="1107"/>
      <c r="EM3" s="383"/>
      <c r="EN3" s="383"/>
      <c r="EO3" s="383"/>
      <c r="EP3" s="1107"/>
      <c r="EQ3" s="269"/>
      <c r="FC3" s="423" t="s">
        <v>2272</v>
      </c>
      <c r="FD3" s="383"/>
      <c r="FE3" s="383"/>
      <c r="FF3" s="383"/>
      <c r="FG3" s="383"/>
      <c r="FH3" s="383"/>
      <c r="FI3" s="1127"/>
      <c r="FJ3" s="1127"/>
      <c r="FK3" s="383"/>
      <c r="FL3" s="1127"/>
      <c r="FM3" s="383"/>
      <c r="FN3" s="383"/>
      <c r="FO3" s="383"/>
      <c r="FP3" s="1127"/>
      <c r="FQ3" s="383"/>
      <c r="GC3" s="423" t="s">
        <v>2272</v>
      </c>
      <c r="GD3" s="1127"/>
      <c r="GJ3" s="1127"/>
      <c r="GK3" s="1127"/>
      <c r="GL3" s="1127"/>
      <c r="GM3" s="1127"/>
      <c r="GN3" s="1127"/>
      <c r="GO3" s="1127"/>
      <c r="GP3" s="1127"/>
      <c r="GQ3" s="1127"/>
      <c r="GS3" s="417"/>
      <c r="GT3" s="417"/>
      <c r="GU3" s="417"/>
      <c r="GV3" s="417"/>
      <c r="GW3" s="417"/>
      <c r="GX3" s="417"/>
      <c r="GY3" s="417"/>
      <c r="GZ3" s="417"/>
      <c r="HC3" s="423" t="s">
        <v>2272</v>
      </c>
      <c r="HD3" s="1127"/>
      <c r="HJ3" s="1127"/>
      <c r="HK3" s="1127"/>
      <c r="HL3" s="1127"/>
      <c r="HM3" s="1127"/>
      <c r="HN3" s="1127"/>
      <c r="HO3" s="1127"/>
      <c r="HP3" s="1127"/>
      <c r="HQ3" s="1127"/>
      <c r="HS3" s="417"/>
      <c r="HT3" s="417"/>
      <c r="HU3" s="417"/>
      <c r="HV3" s="417"/>
      <c r="HW3" s="417"/>
      <c r="HX3" s="417"/>
      <c r="HY3" s="417"/>
      <c r="HZ3" s="1254"/>
      <c r="IC3" s="410" t="s">
        <v>2265</v>
      </c>
      <c r="ID3" s="383"/>
      <c r="IE3" s="383"/>
      <c r="IF3" s="383"/>
      <c r="IH3" s="303"/>
      <c r="II3" s="383"/>
      <c r="IJ3" s="383"/>
      <c r="IK3" s="383"/>
      <c r="IL3" s="383"/>
      <c r="IM3" s="383"/>
      <c r="JC3" s="410" t="s">
        <v>2265</v>
      </c>
      <c r="JD3" s="383"/>
      <c r="JE3" s="383"/>
      <c r="JF3" s="383"/>
      <c r="JH3" s="303"/>
      <c r="JI3" s="383"/>
      <c r="JJ3" s="383"/>
      <c r="JK3" s="383"/>
      <c r="JL3" s="383"/>
      <c r="JM3" s="383"/>
      <c r="KC3" s="410" t="s">
        <v>2265</v>
      </c>
      <c r="KD3" s="383"/>
      <c r="KE3" s="383"/>
      <c r="KF3" s="383"/>
      <c r="KH3" s="303"/>
      <c r="KI3" s="383"/>
      <c r="KJ3" s="383"/>
      <c r="KK3" s="383"/>
      <c r="KL3" s="383"/>
      <c r="KM3" s="383"/>
      <c r="LC3" s="410" t="s">
        <v>2265</v>
      </c>
      <c r="LD3" s="383"/>
      <c r="LE3" s="383"/>
      <c r="LF3" s="383"/>
      <c r="LH3" s="303"/>
      <c r="LI3" s="383"/>
      <c r="LJ3" s="383"/>
      <c r="LK3" s="383"/>
      <c r="LL3" s="383"/>
      <c r="LM3" s="383"/>
      <c r="MC3" s="410" t="s">
        <v>2265</v>
      </c>
      <c r="MD3" s="383"/>
      <c r="ME3" s="383"/>
      <c r="MF3" s="383"/>
      <c r="MH3" s="303"/>
      <c r="MI3" s="383"/>
      <c r="MJ3" s="383"/>
      <c r="MK3" s="383"/>
      <c r="ML3" s="383"/>
      <c r="MM3" s="383"/>
      <c r="NC3" s="410" t="s">
        <v>2265</v>
      </c>
      <c r="ND3" s="383"/>
      <c r="NE3" s="383"/>
      <c r="NF3" s="383"/>
      <c r="NH3" s="303"/>
      <c r="NI3" s="383"/>
      <c r="NJ3" s="383"/>
      <c r="NK3" s="383"/>
      <c r="NL3" s="383"/>
      <c r="NM3" s="383"/>
      <c r="OC3" s="410" t="s">
        <v>2265</v>
      </c>
      <c r="OD3" s="582"/>
      <c r="OE3" s="582"/>
      <c r="OF3" s="582"/>
      <c r="OH3" s="303"/>
      <c r="OI3" s="582"/>
      <c r="OJ3" s="582"/>
      <c r="OK3" s="582"/>
      <c r="OL3" s="582"/>
      <c r="OM3" s="582"/>
      <c r="PC3" s="410" t="s">
        <v>2265</v>
      </c>
      <c r="PD3" s="1127"/>
      <c r="PE3" s="1127"/>
      <c r="PF3" s="1127"/>
      <c r="PH3" s="303"/>
      <c r="PI3" s="1127"/>
      <c r="PJ3" s="1127"/>
      <c r="PK3" s="1127"/>
      <c r="PL3" s="1127"/>
      <c r="PM3" s="1127"/>
    </row>
    <row r="4" spans="1:430" ht="28.5" customHeight="1">
      <c r="J4" s="287"/>
      <c r="K4" s="287"/>
      <c r="L4" s="287"/>
      <c r="M4" s="331"/>
      <c r="N4" s="287"/>
      <c r="O4" s="287"/>
      <c r="Q4" s="287"/>
      <c r="R4" s="287"/>
      <c r="X4" s="287"/>
      <c r="Y4" s="287"/>
      <c r="AG4" s="287"/>
      <c r="AI4" s="778"/>
      <c r="AL4" s="582"/>
      <c r="AM4" s="582"/>
      <c r="AO4" s="772"/>
      <c r="AP4" s="227"/>
      <c r="AQ4" s="227"/>
      <c r="AR4" s="227"/>
      <c r="AS4" s="227"/>
      <c r="AT4" s="227"/>
      <c r="AU4" s="296"/>
      <c r="AV4" s="227"/>
      <c r="AW4" s="227"/>
      <c r="AX4" s="227"/>
      <c r="AY4" s="227"/>
      <c r="AZ4" s="227"/>
      <c r="BA4" s="227"/>
      <c r="BB4" s="227"/>
      <c r="BC4" s="227"/>
      <c r="BD4" s="227"/>
      <c r="BE4" s="428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402"/>
      <c r="BZ4" s="402"/>
      <c r="CA4" s="402"/>
      <c r="CB4" s="402"/>
      <c r="CC4" s="402"/>
      <c r="CD4" s="402"/>
      <c r="CE4" s="402"/>
      <c r="CF4" s="402"/>
      <c r="CG4" s="402"/>
      <c r="CH4" s="402"/>
      <c r="CI4" s="402"/>
      <c r="CJ4" s="288"/>
      <c r="CK4" s="383"/>
      <c r="CL4" s="1127"/>
      <c r="CM4" s="1127"/>
      <c r="CN4" s="1127"/>
      <c r="CO4" s="1127"/>
      <c r="CP4" s="321"/>
      <c r="CQ4" s="383"/>
      <c r="CR4" s="383"/>
      <c r="CS4" s="383"/>
      <c r="CT4" s="288"/>
      <c r="CU4" s="383"/>
      <c r="CV4" s="383"/>
      <c r="DJ4" s="383"/>
      <c r="DK4" s="383"/>
      <c r="DL4" s="1127"/>
      <c r="DM4" s="1127"/>
      <c r="DN4" s="1127"/>
      <c r="DO4" s="1127"/>
      <c r="DP4" s="401"/>
      <c r="DQ4" s="383"/>
      <c r="DR4" s="383"/>
      <c r="DS4" s="383"/>
      <c r="DT4" s="383"/>
      <c r="DU4" s="383"/>
      <c r="DV4" s="383"/>
      <c r="EC4" s="408"/>
      <c r="ED4" s="269"/>
      <c r="EE4" s="288"/>
      <c r="EF4" s="1740" t="s">
        <v>2141</v>
      </c>
      <c r="EG4" s="1740"/>
      <c r="EH4" s="287"/>
      <c r="EI4" s="247">
        <v>543.5</v>
      </c>
      <c r="EJ4" s="238">
        <v>1054.96</v>
      </c>
      <c r="EK4" s="288"/>
      <c r="EL4" s="1107"/>
      <c r="EM4" s="383"/>
      <c r="EN4" s="383"/>
      <c r="EO4" s="383"/>
      <c r="EP4" s="1107"/>
      <c r="EQ4" s="269"/>
      <c r="FC4" s="408"/>
      <c r="FD4" s="383"/>
      <c r="FE4" s="383"/>
      <c r="FF4" s="383"/>
      <c r="FG4" s="383"/>
      <c r="FH4" s="383"/>
      <c r="FI4" s="1127"/>
      <c r="FJ4" s="1127"/>
      <c r="FK4" s="383"/>
      <c r="FL4" s="1127"/>
      <c r="FM4" s="383"/>
      <c r="FN4" s="383"/>
      <c r="FO4" s="383"/>
      <c r="FP4" s="1127"/>
      <c r="FQ4" s="383"/>
      <c r="GC4" s="408"/>
      <c r="GD4" s="1127"/>
      <c r="GE4" s="1127"/>
      <c r="GJ4" s="1127"/>
      <c r="GK4" s="1127"/>
      <c r="GL4" s="1127"/>
      <c r="GM4" s="1127"/>
      <c r="GN4" s="1127"/>
      <c r="GO4" s="1127"/>
      <c r="GP4" s="1127"/>
      <c r="GQ4" s="1127"/>
      <c r="GS4" s="417"/>
      <c r="GT4" s="417"/>
      <c r="GU4" s="417"/>
      <c r="GV4" s="417"/>
      <c r="GW4" s="417"/>
      <c r="GX4" s="417"/>
      <c r="GY4" s="417"/>
      <c r="GZ4" s="417"/>
      <c r="HC4" s="408"/>
      <c r="HD4" s="1127"/>
      <c r="HE4" s="1127"/>
      <c r="HJ4" s="1127"/>
      <c r="HK4" s="1127"/>
      <c r="HL4" s="1127"/>
      <c r="HM4" s="1127"/>
      <c r="HN4" s="1127"/>
      <c r="HO4" s="1127"/>
      <c r="HP4" s="1127"/>
      <c r="HQ4" s="1127"/>
      <c r="HS4" s="417"/>
      <c r="HT4" s="417"/>
      <c r="HU4" s="417"/>
      <c r="HV4" s="417"/>
      <c r="HW4" s="417"/>
      <c r="HX4" s="417"/>
      <c r="HY4" s="417"/>
      <c r="HZ4" s="1254"/>
      <c r="IC4" s="408" t="str">
        <f>IC15</f>
        <v/>
      </c>
      <c r="ID4" s="383"/>
      <c r="IE4" s="383"/>
      <c r="IF4" s="383"/>
      <c r="IH4" s="303"/>
      <c r="II4" s="383"/>
      <c r="IJ4" s="383"/>
      <c r="IK4" s="383"/>
      <c r="IL4" s="620" t="e">
        <f>IL16+OL16</f>
        <v>#VALUE!</v>
      </c>
      <c r="IM4" s="383"/>
      <c r="JC4" s="408" t="e">
        <f>Cotations!#REF!</f>
        <v>#REF!</v>
      </c>
      <c r="JD4" s="383"/>
      <c r="JE4" s="383"/>
      <c r="JF4" s="383"/>
      <c r="JH4" s="303"/>
      <c r="JI4" s="383"/>
      <c r="JJ4" s="383"/>
      <c r="JK4" s="383"/>
      <c r="JL4" s="383"/>
      <c r="JM4" s="383"/>
      <c r="KC4" s="408">
        <f>Cotations!DL9</f>
        <v>0</v>
      </c>
      <c r="KD4" s="383"/>
      <c r="KE4" s="383"/>
      <c r="KF4" s="383"/>
      <c r="KH4" s="303"/>
      <c r="KI4" s="383"/>
      <c r="KJ4" s="383"/>
      <c r="KK4" s="383"/>
      <c r="KL4" s="383"/>
      <c r="KM4" s="383"/>
      <c r="LC4" s="408">
        <f>Cotations!FL9</f>
        <v>0</v>
      </c>
      <c r="LD4" s="383"/>
      <c r="LE4" s="383"/>
      <c r="LF4" s="383"/>
      <c r="LH4" s="303"/>
      <c r="LI4" s="383"/>
      <c r="LJ4" s="383"/>
      <c r="LK4" s="383"/>
      <c r="LL4" s="383"/>
      <c r="LM4" s="383"/>
      <c r="MC4" s="408">
        <f>Cotations!HL9</f>
        <v>0</v>
      </c>
      <c r="MD4" s="383"/>
      <c r="ME4" s="383"/>
      <c r="MF4" s="383"/>
      <c r="MH4" s="303"/>
      <c r="MI4" s="383"/>
      <c r="MJ4" s="383"/>
      <c r="MK4" s="383"/>
      <c r="ML4" s="383"/>
      <c r="MM4" s="383"/>
      <c r="NC4" s="408">
        <f>Cotations!JL9</f>
        <v>0</v>
      </c>
      <c r="ND4" s="383"/>
      <c r="NE4" s="383"/>
      <c r="NF4" s="383"/>
      <c r="NH4" s="303"/>
      <c r="NI4" s="383"/>
      <c r="NJ4" s="383"/>
      <c r="NK4" s="383"/>
      <c r="NL4" s="383"/>
      <c r="NM4" s="383"/>
      <c r="OC4" s="408"/>
      <c r="OD4" s="582"/>
      <c r="OE4" s="582"/>
      <c r="OF4" s="582"/>
      <c r="OH4" s="303"/>
      <c r="OI4" s="582"/>
      <c r="OJ4" s="582"/>
      <c r="OK4" s="582"/>
      <c r="OL4" s="582"/>
      <c r="OM4" s="582"/>
      <c r="PC4" s="408"/>
      <c r="PD4" s="1127"/>
      <c r="PE4" s="1127"/>
      <c r="PF4" s="1127"/>
      <c r="PH4" s="303"/>
      <c r="PI4" s="1127"/>
      <c r="PJ4" s="1127"/>
      <c r="PK4" s="1127"/>
      <c r="PL4" s="1127"/>
      <c r="PM4" s="1127"/>
    </row>
    <row r="5" spans="1:430" ht="25.5" customHeight="1">
      <c r="J5" s="287"/>
      <c r="K5" s="287"/>
      <c r="L5" s="287"/>
      <c r="M5" s="287"/>
      <c r="N5" s="287"/>
      <c r="O5" s="287"/>
      <c r="Q5" s="287"/>
      <c r="R5" s="287"/>
      <c r="X5" s="287"/>
      <c r="Y5" s="287"/>
      <c r="AA5" s="786"/>
      <c r="AB5" s="786"/>
      <c r="AC5" s="786"/>
      <c r="AD5" s="786"/>
      <c r="AE5" s="786"/>
      <c r="AF5" s="786"/>
      <c r="AG5" s="287"/>
      <c r="AL5" s="280"/>
      <c r="AM5" s="296"/>
      <c r="AN5" s="296"/>
      <c r="AO5" s="296"/>
      <c r="AP5" s="285"/>
      <c r="AQ5" s="296"/>
      <c r="AR5" s="296"/>
      <c r="AS5" s="296"/>
      <c r="AT5" s="296"/>
      <c r="AU5" s="296"/>
      <c r="AV5" s="296"/>
      <c r="AW5" s="296"/>
      <c r="AX5" s="296"/>
      <c r="AY5" s="296"/>
      <c r="AZ5" s="296"/>
      <c r="BA5" s="296"/>
      <c r="BB5" s="296"/>
      <c r="BC5" s="296"/>
      <c r="BD5" s="296"/>
      <c r="BE5" s="296"/>
      <c r="BF5" s="296"/>
      <c r="BG5" s="296"/>
      <c r="BH5" s="296"/>
      <c r="BI5" s="296"/>
      <c r="BJ5" s="296"/>
      <c r="BK5" s="296"/>
      <c r="BL5" s="296"/>
      <c r="BM5" s="296"/>
      <c r="BN5" s="296"/>
      <c r="BO5" s="296"/>
      <c r="BP5" s="296"/>
      <c r="BQ5" s="296"/>
      <c r="BR5" s="296"/>
      <c r="BS5" s="296"/>
      <c r="BT5" s="296"/>
      <c r="BU5" s="296"/>
      <c r="BV5" s="296"/>
      <c r="BW5" s="296"/>
      <c r="BX5" s="296"/>
      <c r="BY5" s="317"/>
      <c r="BZ5" s="317"/>
      <c r="CA5" s="317"/>
      <c r="CB5" s="317"/>
      <c r="CC5" s="317"/>
      <c r="CD5" s="317"/>
      <c r="CE5" s="317"/>
      <c r="CF5" s="317"/>
      <c r="CG5" s="317"/>
      <c r="CH5" s="317"/>
      <c r="CI5" s="317"/>
      <c r="CJ5" s="288"/>
      <c r="CK5" s="383"/>
      <c r="CL5" s="1127"/>
      <c r="CM5" s="1127"/>
      <c r="CN5" s="1127"/>
      <c r="CO5" s="1127"/>
      <c r="CQ5" s="383"/>
      <c r="CR5" s="383"/>
      <c r="CS5" s="383"/>
      <c r="CT5" s="288"/>
      <c r="CU5" s="383"/>
      <c r="CV5" s="383"/>
      <c r="DB5" s="418"/>
      <c r="DC5" s="418"/>
      <c r="DD5" s="418"/>
      <c r="DE5" s="418"/>
      <c r="DF5" s="418"/>
      <c r="DG5" s="418"/>
      <c r="DH5" s="418"/>
      <c r="DI5" s="418"/>
      <c r="DJ5" s="418"/>
      <c r="DK5" s="418"/>
      <c r="DL5" s="418"/>
      <c r="DM5" s="418"/>
      <c r="DN5" s="418"/>
      <c r="DO5" s="418"/>
      <c r="DP5" s="401"/>
      <c r="DQ5" s="383"/>
      <c r="DR5" s="383"/>
      <c r="DS5" s="383"/>
      <c r="DT5" s="383"/>
      <c r="DU5" s="383"/>
      <c r="DV5" s="383"/>
      <c r="EA5" s="296"/>
      <c r="EB5" s="296"/>
      <c r="ED5" s="269"/>
      <c r="EE5" s="288"/>
      <c r="EF5" s="1740" t="s">
        <v>2206</v>
      </c>
      <c r="EG5" s="1740"/>
      <c r="EH5" s="287"/>
      <c r="EI5" s="246">
        <v>1502.05</v>
      </c>
      <c r="EJ5" s="287"/>
      <c r="EK5" s="288"/>
      <c r="EL5" s="1107"/>
      <c r="EM5" s="383"/>
      <c r="EN5" s="383"/>
      <c r="EO5" s="383"/>
      <c r="EP5" s="1107"/>
      <c r="EQ5" s="269"/>
      <c r="FA5" s="296"/>
      <c r="FB5" s="296"/>
      <c r="FD5" s="383"/>
      <c r="FE5" s="383"/>
      <c r="FF5" s="383"/>
      <c r="FG5" s="383"/>
      <c r="FH5" s="383"/>
      <c r="FI5" s="1127"/>
      <c r="FJ5" s="1127"/>
      <c r="FK5" s="383"/>
      <c r="FL5" s="1127"/>
      <c r="FM5" s="383"/>
      <c r="FN5" s="383"/>
      <c r="FO5" s="383"/>
      <c r="FP5" s="1127"/>
      <c r="FQ5" s="383"/>
      <c r="GA5" s="296"/>
      <c r="GB5" s="296"/>
      <c r="GD5" s="1127"/>
      <c r="GE5" s="1127"/>
      <c r="GJ5" s="1127"/>
      <c r="GK5" s="1127"/>
      <c r="GL5" s="1127"/>
      <c r="GM5" s="1127"/>
      <c r="GN5" s="1127"/>
      <c r="GO5" s="1127"/>
      <c r="GP5" s="1127"/>
      <c r="GQ5" s="1127"/>
      <c r="HA5" s="296"/>
      <c r="HB5" s="296"/>
      <c r="HD5" s="1127"/>
      <c r="HE5" s="1127"/>
      <c r="HJ5" s="1127"/>
      <c r="HK5" s="1127"/>
      <c r="HL5" s="1127"/>
      <c r="HM5" s="1127"/>
      <c r="HN5" s="1127"/>
      <c r="HO5" s="1127"/>
      <c r="HP5" s="1127"/>
      <c r="HQ5" s="1127"/>
      <c r="HZ5" s="1254"/>
      <c r="IA5" s="296"/>
      <c r="IB5" s="296"/>
      <c r="IC5" s="401"/>
      <c r="ID5" s="383"/>
      <c r="IE5" s="383"/>
      <c r="IF5" s="383"/>
      <c r="IH5" s="303"/>
      <c r="II5" s="383"/>
      <c r="IJ5" s="383"/>
      <c r="IK5" s="383"/>
      <c r="IL5" s="383"/>
      <c r="IM5" s="383"/>
      <c r="JA5" s="296"/>
      <c r="JB5" s="296"/>
      <c r="JC5" s="425"/>
      <c r="JD5" s="383"/>
      <c r="JE5" s="383"/>
      <c r="JF5" s="383"/>
      <c r="JH5" s="303"/>
      <c r="JI5" s="383"/>
      <c r="JJ5" s="383"/>
      <c r="JK5" s="383"/>
      <c r="JL5" s="383"/>
      <c r="JM5" s="383"/>
      <c r="KA5" s="296"/>
      <c r="KB5" s="296"/>
      <c r="KC5" s="425"/>
      <c r="KD5" s="383"/>
      <c r="KE5" s="383"/>
      <c r="KF5" s="383"/>
      <c r="KH5" s="303"/>
      <c r="KI5" s="383"/>
      <c r="KJ5" s="383"/>
      <c r="KK5" s="383"/>
      <c r="KL5" s="383"/>
      <c r="KM5" s="383"/>
      <c r="LA5" s="296"/>
      <c r="LB5" s="296"/>
      <c r="LC5" s="425"/>
      <c r="LD5" s="383"/>
      <c r="LE5" s="383"/>
      <c r="LF5" s="383"/>
      <c r="LH5" s="303"/>
      <c r="LI5" s="383"/>
      <c r="LJ5" s="383"/>
      <c r="LK5" s="383"/>
      <c r="LL5" s="383"/>
      <c r="LM5" s="383"/>
      <c r="MA5" s="296"/>
      <c r="MB5" s="296"/>
      <c r="MC5" s="426" t="s">
        <v>2837</v>
      </c>
      <c r="MD5" s="383"/>
      <c r="ME5" s="383"/>
      <c r="MF5" s="383"/>
      <c r="MH5" s="303"/>
      <c r="MI5" s="383"/>
      <c r="MJ5" s="383"/>
      <c r="MK5" s="383"/>
      <c r="ML5" s="383"/>
      <c r="MM5" s="383"/>
      <c r="NA5" s="296"/>
      <c r="NB5" s="296"/>
      <c r="NC5" s="426"/>
      <c r="ND5" s="383"/>
      <c r="NE5" s="383"/>
      <c r="NF5" s="383"/>
      <c r="NH5" s="303"/>
      <c r="NI5" s="383"/>
      <c r="NJ5" s="383"/>
      <c r="NK5" s="383"/>
      <c r="NL5" s="383"/>
      <c r="NM5" s="383"/>
      <c r="OA5" s="296"/>
      <c r="OB5" s="296"/>
      <c r="OC5" s="613"/>
      <c r="OD5" s="582"/>
      <c r="OE5" s="582"/>
      <c r="OF5" s="582"/>
      <c r="OH5" s="303"/>
      <c r="OI5" s="582"/>
      <c r="OJ5" s="582"/>
      <c r="OK5" s="582"/>
      <c r="OL5" s="582"/>
      <c r="OM5" s="582"/>
      <c r="PA5" s="296"/>
      <c r="PB5" s="296"/>
      <c r="PC5" s="1274"/>
      <c r="PD5" s="1127"/>
      <c r="PE5" s="1127"/>
      <c r="PF5" s="1127"/>
      <c r="PH5" s="303"/>
      <c r="PI5" s="1127"/>
      <c r="PJ5" s="1127"/>
      <c r="PK5" s="1127"/>
      <c r="PL5" s="1127"/>
      <c r="PM5" s="1127"/>
    </row>
    <row r="6" spans="1:430" ht="25.5" customHeight="1" thickBot="1">
      <c r="J6" s="287"/>
      <c r="K6" s="287"/>
      <c r="L6" s="287"/>
      <c r="M6" s="287"/>
      <c r="N6" s="287"/>
      <c r="O6" s="287"/>
      <c r="Q6" s="287"/>
      <c r="R6" s="287"/>
      <c r="X6" s="287"/>
      <c r="Y6" s="287"/>
      <c r="AG6" s="287"/>
      <c r="AL6" s="280"/>
      <c r="AM6" s="296"/>
      <c r="AN6" s="296"/>
      <c r="AO6" s="296"/>
      <c r="AP6" s="285"/>
      <c r="AQ6" s="296"/>
      <c r="AR6" s="296"/>
      <c r="AS6" s="296"/>
      <c r="AT6" s="296"/>
      <c r="BC6" s="296"/>
      <c r="BO6" s="296"/>
      <c r="BY6" s="413"/>
      <c r="BZ6" s="413"/>
      <c r="CA6" s="413"/>
      <c r="CB6" s="413"/>
      <c r="CC6" s="413"/>
      <c r="CD6" s="413"/>
      <c r="CE6" s="413"/>
      <c r="CF6" s="413"/>
      <c r="CG6" s="413"/>
      <c r="CH6" s="413"/>
      <c r="CI6" s="413"/>
      <c r="CJ6" s="288"/>
      <c r="CK6" s="383"/>
      <c r="CL6" s="1127"/>
      <c r="CM6" s="1127"/>
      <c r="CN6" s="1127"/>
      <c r="CO6" s="1127"/>
      <c r="CQ6" s="383"/>
      <c r="CR6" s="383"/>
      <c r="CS6" s="383"/>
      <c r="CT6" s="288"/>
      <c r="CU6" s="383"/>
      <c r="CV6" s="383"/>
      <c r="DB6" s="418"/>
      <c r="DC6" s="418"/>
      <c r="DD6" s="418"/>
      <c r="DE6" s="418"/>
      <c r="DF6" s="418"/>
      <c r="DG6" s="418"/>
      <c r="DH6" s="418"/>
      <c r="DI6" s="418"/>
      <c r="DJ6" s="418"/>
      <c r="DK6" s="418"/>
      <c r="DL6" s="418"/>
      <c r="DM6" s="418"/>
      <c r="DN6" s="418"/>
      <c r="DO6" s="418"/>
      <c r="DP6" s="401"/>
      <c r="DQ6" s="383"/>
      <c r="DR6" s="383"/>
      <c r="DS6" s="383"/>
      <c r="DT6" s="383"/>
      <c r="DU6" s="383"/>
      <c r="DV6" s="383"/>
      <c r="EA6" s="296"/>
      <c r="EB6" s="296"/>
      <c r="ED6" s="269"/>
      <c r="EE6" s="288"/>
      <c r="EF6" s="383"/>
      <c r="EG6" s="383"/>
      <c r="EH6" s="383"/>
      <c r="EI6" s="1107"/>
      <c r="EJ6" s="1107"/>
      <c r="EK6" s="288"/>
      <c r="EL6" s="1107"/>
      <c r="EM6" s="383"/>
      <c r="EN6" s="383"/>
      <c r="EO6" s="383"/>
      <c r="EP6" s="1107"/>
      <c r="EQ6" s="269"/>
      <c r="FA6" s="296"/>
      <c r="FB6" s="296"/>
      <c r="FD6" s="383"/>
      <c r="FE6" s="383"/>
      <c r="FF6" s="383"/>
      <c r="FG6" s="383"/>
      <c r="FH6" s="383"/>
      <c r="FI6" s="1127"/>
      <c r="FJ6" s="1127"/>
      <c r="FK6" s="383"/>
      <c r="FL6" s="1127"/>
      <c r="FM6" s="383"/>
      <c r="FN6" s="383"/>
      <c r="FO6" s="383"/>
      <c r="FP6" s="1127"/>
      <c r="FQ6" s="383"/>
      <c r="GA6" s="296"/>
      <c r="GB6" s="296"/>
      <c r="GD6" s="1127"/>
      <c r="GE6" s="1127"/>
      <c r="GF6" s="1127"/>
      <c r="GG6" s="1127"/>
      <c r="GH6" s="1127"/>
      <c r="GI6" s="1127"/>
      <c r="GJ6" s="1127"/>
      <c r="GK6" s="1127"/>
      <c r="GL6" s="1127"/>
      <c r="GM6" s="1127"/>
      <c r="GN6" s="1127"/>
      <c r="GO6" s="1127"/>
      <c r="GP6" s="1127"/>
      <c r="GQ6" s="1127"/>
      <c r="HA6" s="296"/>
      <c r="HB6" s="296"/>
      <c r="HD6" s="1127"/>
      <c r="HE6" s="1127"/>
      <c r="HF6" s="1127"/>
      <c r="HG6" s="1127"/>
      <c r="HH6" s="1127"/>
      <c r="HI6" s="1127"/>
      <c r="HJ6" s="1127"/>
      <c r="HK6" s="1127"/>
      <c r="HL6" s="1127"/>
      <c r="HM6" s="1127"/>
      <c r="HN6" s="1127"/>
      <c r="HO6" s="1127"/>
      <c r="HP6" s="1127"/>
      <c r="HQ6" s="1127"/>
      <c r="HZ6" s="1254"/>
      <c r="IA6" s="296"/>
      <c r="IB6" s="296"/>
      <c r="IC6" s="263"/>
      <c r="ID6" s="383"/>
      <c r="IE6" s="383"/>
      <c r="IF6" s="383"/>
      <c r="IH6" s="303"/>
      <c r="II6" s="383"/>
      <c r="IJ6" s="383"/>
      <c r="IK6" s="383"/>
      <c r="IL6" s="383"/>
      <c r="IM6" s="383"/>
      <c r="JA6" s="296"/>
      <c r="JB6" s="296"/>
      <c r="JC6" s="296"/>
      <c r="JD6" s="383"/>
      <c r="JE6" s="383"/>
      <c r="JF6" s="383"/>
      <c r="JH6" s="303"/>
      <c r="JI6" s="383"/>
      <c r="JJ6" s="383"/>
      <c r="JK6" s="383"/>
      <c r="JL6" s="383"/>
      <c r="JM6" s="383"/>
      <c r="KA6" s="296"/>
      <c r="KB6" s="296"/>
      <c r="KC6" s="296"/>
      <c r="KD6" s="383"/>
      <c r="KE6" s="383"/>
      <c r="KF6" s="383"/>
      <c r="KH6" s="303"/>
      <c r="KI6" s="383"/>
      <c r="KJ6" s="383"/>
      <c r="KK6" s="383"/>
      <c r="KL6" s="383"/>
      <c r="KM6" s="383"/>
      <c r="LA6" s="296"/>
      <c r="LB6" s="296"/>
      <c r="LC6" s="296"/>
      <c r="LD6" s="383"/>
      <c r="LE6" s="383"/>
      <c r="LF6" s="383"/>
      <c r="LH6" s="303"/>
      <c r="LI6" s="383"/>
      <c r="LJ6" s="383"/>
      <c r="LK6" s="383"/>
      <c r="LL6" s="383"/>
      <c r="LM6" s="383"/>
      <c r="MA6" s="296"/>
      <c r="MB6" s="296"/>
      <c r="MC6" s="296"/>
      <c r="MD6" s="383"/>
      <c r="ME6" s="383"/>
      <c r="MF6" s="383"/>
      <c r="MH6" s="303"/>
      <c r="MI6" s="383"/>
      <c r="MJ6" s="383"/>
      <c r="MK6" s="383"/>
      <c r="ML6" s="383"/>
      <c r="MM6" s="383"/>
      <c r="NA6" s="296"/>
      <c r="NB6" s="296"/>
      <c r="NC6" s="296"/>
      <c r="ND6" s="383"/>
      <c r="NE6" s="383"/>
      <c r="NF6" s="383"/>
      <c r="NH6" s="303"/>
      <c r="NI6" s="383"/>
      <c r="NJ6" s="383"/>
      <c r="NK6" s="383"/>
      <c r="NL6" s="383"/>
      <c r="NM6" s="383"/>
      <c r="OA6" s="296"/>
      <c r="OB6" s="296"/>
      <c r="OC6" s="296"/>
      <c r="OD6" s="582"/>
      <c r="OE6" s="582"/>
      <c r="OF6" s="582"/>
      <c r="OH6" s="303"/>
      <c r="OI6" s="582"/>
      <c r="OJ6" s="582"/>
      <c r="OK6" s="582"/>
      <c r="OL6" s="582"/>
      <c r="OM6" s="582"/>
      <c r="PA6" s="296"/>
      <c r="PB6" s="296"/>
      <c r="PC6" s="296"/>
      <c r="PD6" s="1127"/>
      <c r="PE6" s="1127"/>
      <c r="PF6" s="1127"/>
      <c r="PH6" s="303"/>
      <c r="PI6" s="1127"/>
      <c r="PJ6" s="1127"/>
      <c r="PK6" s="1127"/>
      <c r="PL6" s="1127"/>
      <c r="PM6" s="1127"/>
    </row>
    <row r="7" spans="1:430" ht="15.75" customHeight="1" thickBot="1">
      <c r="I7" s="1792" t="s">
        <v>2273</v>
      </c>
      <c r="J7" s="1793"/>
      <c r="K7" s="1793"/>
      <c r="L7" s="1785" t="s">
        <v>2617</v>
      </c>
      <c r="M7" s="1768"/>
      <c r="N7" s="1768"/>
      <c r="O7" s="1768"/>
      <c r="P7" s="1785" t="s">
        <v>2617</v>
      </c>
      <c r="Q7" s="1768"/>
      <c r="R7" s="1768"/>
      <c r="S7" s="1768"/>
      <c r="T7" s="1768" t="s">
        <v>2609</v>
      </c>
      <c r="U7" s="1768"/>
      <c r="V7" s="1768"/>
      <c r="W7" s="1768"/>
      <c r="X7" s="1768"/>
      <c r="Y7" s="1768"/>
      <c r="Z7" s="1768"/>
      <c r="AA7" s="1768"/>
      <c r="AB7" s="1768"/>
      <c r="AC7" s="1768"/>
      <c r="AD7" s="1768"/>
      <c r="AE7" s="1768"/>
      <c r="AF7" s="1768"/>
      <c r="AG7" s="1768"/>
      <c r="AH7" s="1769"/>
      <c r="AI7" s="1786" t="s">
        <v>2159</v>
      </c>
      <c r="AJ7" s="1786"/>
      <c r="AK7" s="1786"/>
      <c r="AL7" s="1786"/>
      <c r="AM7" s="1786"/>
      <c r="AN7" s="1786"/>
      <c r="AO7" s="1786"/>
      <c r="AP7" s="1786"/>
      <c r="AQ7" s="1786"/>
      <c r="AR7" s="1786"/>
      <c r="AS7" s="1787"/>
      <c r="AT7" s="1787"/>
      <c r="AU7" s="1787"/>
      <c r="AV7" s="1787"/>
      <c r="AW7" s="1787"/>
      <c r="AX7" s="1787"/>
      <c r="AY7" s="1787"/>
      <c r="AZ7" s="1787"/>
      <c r="BA7" s="1787"/>
      <c r="BB7" s="1787"/>
      <c r="BC7" s="1762" t="s">
        <v>4</v>
      </c>
      <c r="BD7" s="1762"/>
      <c r="BE7" s="1762"/>
      <c r="BF7" s="1762"/>
      <c r="BG7" s="1762"/>
      <c r="BH7" s="1762"/>
      <c r="BI7" s="1762"/>
      <c r="BJ7" s="1762"/>
      <c r="BK7" s="1762"/>
      <c r="BL7" s="1762"/>
      <c r="BM7" s="1762"/>
      <c r="BN7" s="1762"/>
      <c r="BO7" s="1763" t="s">
        <v>7</v>
      </c>
      <c r="BP7" s="1763"/>
      <c r="BQ7" s="1763"/>
      <c r="BR7" s="1763"/>
      <c r="BS7" s="1763"/>
      <c r="BT7" s="1763"/>
      <c r="BU7" s="1763"/>
      <c r="BV7" s="1763"/>
      <c r="BW7" s="1763"/>
      <c r="BX7" s="1763"/>
      <c r="BY7" s="403"/>
      <c r="BZ7" s="1260"/>
      <c r="CA7" s="403"/>
      <c r="CB7" s="1758" t="s">
        <v>2844</v>
      </c>
      <c r="CC7" s="1758"/>
      <c r="CD7" s="1758"/>
      <c r="CE7" s="1758"/>
      <c r="CF7" s="1758"/>
      <c r="CG7" s="1758"/>
      <c r="CH7" s="1758"/>
      <c r="CI7" s="1758" t="s">
        <v>2844</v>
      </c>
      <c r="CJ7" s="1758"/>
      <c r="CK7" s="1758"/>
      <c r="CL7" s="1758"/>
      <c r="CM7" s="1758"/>
      <c r="CN7" s="1758"/>
      <c r="CO7" s="1758"/>
      <c r="CP7" s="1758" t="s">
        <v>2844</v>
      </c>
      <c r="CQ7" s="1758"/>
      <c r="CR7" s="1758"/>
      <c r="CS7" s="1758"/>
      <c r="CT7" s="1758"/>
      <c r="CU7" s="1758"/>
      <c r="CV7" s="1758"/>
      <c r="DB7" s="1758" t="s">
        <v>2838</v>
      </c>
      <c r="DC7" s="1758"/>
      <c r="DD7" s="1758"/>
      <c r="DE7" s="1758"/>
      <c r="DF7" s="1758"/>
      <c r="DG7" s="1758"/>
      <c r="DH7" s="1758"/>
      <c r="DI7" s="1758" t="s">
        <v>2838</v>
      </c>
      <c r="DJ7" s="1758"/>
      <c r="DK7" s="1758"/>
      <c r="DL7" s="1758"/>
      <c r="DM7" s="1758"/>
      <c r="DN7" s="1758"/>
      <c r="DO7" s="1758"/>
      <c r="DP7" s="1758" t="s">
        <v>2838</v>
      </c>
      <c r="DQ7" s="1758"/>
      <c r="DR7" s="1758"/>
      <c r="DS7" s="1758"/>
      <c r="DT7" s="1758"/>
      <c r="DU7" s="1758"/>
      <c r="DV7" s="1758"/>
      <c r="EA7" s="1738" t="s">
        <v>2273</v>
      </c>
      <c r="EB7" s="1739"/>
      <c r="EC7" s="1740"/>
      <c r="ED7" s="1740"/>
      <c r="EE7" s="1741"/>
      <c r="EF7" s="1743" t="s">
        <v>2197</v>
      </c>
      <c r="EG7" s="1744"/>
      <c r="EH7" s="1744"/>
      <c r="EI7" s="1744"/>
      <c r="EJ7" s="1744"/>
      <c r="EK7" s="1744"/>
      <c r="EL7" s="1745"/>
      <c r="EM7" s="1746" t="s">
        <v>2270</v>
      </c>
      <c r="EN7" s="1746"/>
      <c r="EO7" s="1746"/>
      <c r="EP7" s="1747"/>
      <c r="EQ7" s="1746"/>
      <c r="ER7" s="1256"/>
      <c r="ET7" s="328"/>
      <c r="EU7" s="328"/>
      <c r="EV7" s="328"/>
      <c r="EW7" s="328"/>
      <c r="EX7" s="328"/>
      <c r="EY7" s="328"/>
      <c r="EZ7" s="328"/>
      <c r="FA7" s="1738" t="s">
        <v>2273</v>
      </c>
      <c r="FB7" s="1739"/>
      <c r="FC7" s="1740"/>
      <c r="FD7" s="1740"/>
      <c r="FE7" s="1741"/>
      <c r="FF7" s="1753" t="s">
        <v>2197</v>
      </c>
      <c r="FG7" s="1754"/>
      <c r="FH7" s="1754"/>
      <c r="FI7" s="1744"/>
      <c r="FJ7" s="1744"/>
      <c r="FK7" s="1755"/>
      <c r="FL7" s="1260"/>
      <c r="FM7" s="1777" t="s">
        <v>2270</v>
      </c>
      <c r="FN7" s="1778"/>
      <c r="FO7" s="1778"/>
      <c r="FP7" s="1778"/>
      <c r="FQ7" s="1778"/>
      <c r="FR7" s="1778"/>
      <c r="FS7" s="328"/>
      <c r="FT7" s="328"/>
      <c r="FU7" s="328"/>
      <c r="FV7" s="328"/>
      <c r="FW7" s="328"/>
      <c r="FX7" s="328"/>
      <c r="FY7" s="328"/>
      <c r="FZ7" s="328"/>
      <c r="GA7" s="1738" t="s">
        <v>2273</v>
      </c>
      <c r="GB7" s="1739"/>
      <c r="GC7" s="1740"/>
      <c r="GD7" s="1740"/>
      <c r="GE7" s="1741"/>
      <c r="GF7" s="1743" t="s">
        <v>2197</v>
      </c>
      <c r="GG7" s="1744"/>
      <c r="GH7" s="1744"/>
      <c r="GI7" s="1744"/>
      <c r="GJ7" s="1744"/>
      <c r="GK7" s="1744"/>
      <c r="GL7" s="1745"/>
      <c r="GM7" s="1746" t="s">
        <v>2270</v>
      </c>
      <c r="GN7" s="1746"/>
      <c r="GO7" s="1746"/>
      <c r="GP7" s="1747"/>
      <c r="GQ7" s="1746"/>
      <c r="GR7" s="1256"/>
      <c r="GS7" s="328"/>
      <c r="GT7" s="328"/>
      <c r="GU7" s="328"/>
      <c r="GV7" s="328"/>
      <c r="GW7" s="328"/>
      <c r="GX7" s="328"/>
      <c r="GY7" s="328"/>
      <c r="GZ7" s="328"/>
      <c r="HA7" s="1738" t="s">
        <v>2273</v>
      </c>
      <c r="HB7" s="1739"/>
      <c r="HC7" s="1740"/>
      <c r="HD7" s="1740"/>
      <c r="HE7" s="1741"/>
      <c r="HF7" s="1743" t="s">
        <v>2197</v>
      </c>
      <c r="HG7" s="1744"/>
      <c r="HH7" s="1744"/>
      <c r="HI7" s="1744"/>
      <c r="HJ7" s="1744"/>
      <c r="HK7" s="1744"/>
      <c r="HL7" s="1745"/>
      <c r="HM7" s="1746" t="s">
        <v>2270</v>
      </c>
      <c r="HN7" s="1746"/>
      <c r="HO7" s="1746"/>
      <c r="HP7" s="1747"/>
      <c r="HQ7" s="1746"/>
      <c r="HR7" s="1256"/>
      <c r="HS7" s="328"/>
      <c r="HT7" s="328"/>
      <c r="HU7" s="328"/>
      <c r="HV7" s="328"/>
      <c r="HW7" s="328"/>
      <c r="HX7" s="328"/>
      <c r="HY7" s="328"/>
      <c r="HZ7" s="1254"/>
      <c r="IA7" s="1738" t="s">
        <v>2273</v>
      </c>
      <c r="IB7" s="1739"/>
      <c r="IC7" s="1740"/>
      <c r="ID7" s="1740"/>
      <c r="IE7" s="1741"/>
      <c r="IF7" s="1753" t="s">
        <v>2197</v>
      </c>
      <c r="IG7" s="1754"/>
      <c r="IH7" s="1754"/>
      <c r="II7" s="1755"/>
      <c r="IJ7" s="1746" t="s">
        <v>2270</v>
      </c>
      <c r="IK7" s="1746"/>
      <c r="IL7" s="1746"/>
      <c r="IM7" s="1746"/>
      <c r="JA7" s="1738" t="s">
        <v>2273</v>
      </c>
      <c r="JB7" s="1739"/>
      <c r="JC7" s="1740"/>
      <c r="JD7" s="1740"/>
      <c r="JE7" s="1741"/>
      <c r="JF7" s="1753" t="s">
        <v>2197</v>
      </c>
      <c r="JG7" s="1754"/>
      <c r="JH7" s="1754"/>
      <c r="JI7" s="1755"/>
      <c r="JJ7" s="1746" t="s">
        <v>2270</v>
      </c>
      <c r="JK7" s="1746"/>
      <c r="JL7" s="1746"/>
      <c r="JM7" s="1746"/>
      <c r="KA7" s="1738" t="s">
        <v>2273</v>
      </c>
      <c r="KB7" s="1739"/>
      <c r="KC7" s="1740"/>
      <c r="KD7" s="1740"/>
      <c r="KE7" s="1741"/>
      <c r="KF7" s="1753" t="s">
        <v>2197</v>
      </c>
      <c r="KG7" s="1754"/>
      <c r="KH7" s="1754"/>
      <c r="KI7" s="1755"/>
      <c r="KJ7" s="1746" t="s">
        <v>2270</v>
      </c>
      <c r="KK7" s="1746"/>
      <c r="KL7" s="1746"/>
      <c r="KM7" s="1746"/>
      <c r="LA7" s="1738" t="s">
        <v>2273</v>
      </c>
      <c r="LB7" s="1739"/>
      <c r="LC7" s="1740"/>
      <c r="LD7" s="1740"/>
      <c r="LE7" s="1741"/>
      <c r="LF7" s="1753" t="s">
        <v>2197</v>
      </c>
      <c r="LG7" s="1754"/>
      <c r="LH7" s="1754"/>
      <c r="LI7" s="1755"/>
      <c r="LJ7" s="1746" t="s">
        <v>2270</v>
      </c>
      <c r="LK7" s="1746"/>
      <c r="LL7" s="1746"/>
      <c r="LM7" s="1746"/>
      <c r="MA7" s="1738" t="s">
        <v>2273</v>
      </c>
      <c r="MB7" s="1739"/>
      <c r="MC7" s="1740"/>
      <c r="MD7" s="1740"/>
      <c r="ME7" s="1741"/>
      <c r="MF7" s="1753" t="s">
        <v>2197</v>
      </c>
      <c r="MG7" s="1754"/>
      <c r="MH7" s="1754"/>
      <c r="MI7" s="1755"/>
      <c r="MJ7" s="1746" t="s">
        <v>2270</v>
      </c>
      <c r="MK7" s="1746"/>
      <c r="ML7" s="1746"/>
      <c r="MM7" s="1746"/>
      <c r="NA7" s="1738" t="s">
        <v>2273</v>
      </c>
      <c r="NB7" s="1739"/>
      <c r="NC7" s="1740"/>
      <c r="ND7" s="1740"/>
      <c r="NE7" s="1741"/>
      <c r="NF7" s="1753" t="s">
        <v>2197</v>
      </c>
      <c r="NG7" s="1754"/>
      <c r="NH7" s="1754"/>
      <c r="NI7" s="1755"/>
      <c r="NJ7" s="1746" t="s">
        <v>2270</v>
      </c>
      <c r="NK7" s="1746"/>
      <c r="NL7" s="1746"/>
      <c r="NM7" s="1746"/>
      <c r="OA7" s="1738" t="s">
        <v>2273</v>
      </c>
      <c r="OB7" s="1739"/>
      <c r="OC7" s="1740"/>
      <c r="OD7" s="1740"/>
      <c r="OE7" s="1741"/>
      <c r="OF7" s="1750" t="s">
        <v>2856</v>
      </c>
      <c r="OG7" s="1751"/>
      <c r="OH7" s="1751"/>
      <c r="OI7" s="1751"/>
      <c r="OJ7" s="1751"/>
      <c r="OK7" s="1751"/>
      <c r="OL7" s="1751"/>
      <c r="OM7" s="1752"/>
      <c r="PA7" s="1738" t="s">
        <v>2273</v>
      </c>
      <c r="PB7" s="1739"/>
      <c r="PC7" s="1740"/>
      <c r="PD7" s="1740"/>
      <c r="PE7" s="1741"/>
      <c r="PF7" s="1750" t="s">
        <v>2860</v>
      </c>
      <c r="PG7" s="1751"/>
      <c r="PH7" s="1751"/>
      <c r="PI7" s="1751"/>
      <c r="PJ7" s="1751"/>
      <c r="PK7" s="1751"/>
      <c r="PL7" s="1751"/>
      <c r="PM7" s="1752"/>
    </row>
    <row r="8" spans="1:430" ht="25.5" customHeight="1">
      <c r="I8" s="1790" t="s">
        <v>1981</v>
      </c>
      <c r="J8" s="1790" t="s">
        <v>1982</v>
      </c>
      <c r="K8" s="1790" t="s">
        <v>1983</v>
      </c>
      <c r="L8" s="1795" t="s">
        <v>2122</v>
      </c>
      <c r="M8" s="1796"/>
      <c r="N8" s="1760" t="s">
        <v>1994</v>
      </c>
      <c r="O8" s="1760" t="s">
        <v>1995</v>
      </c>
      <c r="P8" s="1794" t="s">
        <v>2618</v>
      </c>
      <c r="Q8" s="1760" t="s">
        <v>1999</v>
      </c>
      <c r="R8" s="1760" t="s">
        <v>2294</v>
      </c>
      <c r="S8" s="1794" t="s">
        <v>2612</v>
      </c>
      <c r="T8" s="1704" t="s">
        <v>2613</v>
      </c>
      <c r="U8" s="1704" t="s">
        <v>2614</v>
      </c>
      <c r="V8" s="1704" t="s">
        <v>2615</v>
      </c>
      <c r="W8" s="1704" t="s">
        <v>2614</v>
      </c>
      <c r="X8" s="1704" t="s">
        <v>1991</v>
      </c>
      <c r="Y8" s="1704" t="s">
        <v>2550</v>
      </c>
      <c r="Z8" s="1704" t="s">
        <v>2551</v>
      </c>
      <c r="AA8" s="1704" t="s">
        <v>2603</v>
      </c>
      <c r="AB8" s="1704" t="s">
        <v>2564</v>
      </c>
      <c r="AC8" s="1704" t="s">
        <v>2560</v>
      </c>
      <c r="AD8" s="1704" t="s">
        <v>2561</v>
      </c>
      <c r="AE8" s="1704" t="s">
        <v>2562</v>
      </c>
      <c r="AF8" s="1704" t="s">
        <v>2563</v>
      </c>
      <c r="AG8" s="1704" t="s">
        <v>2133</v>
      </c>
      <c r="AH8" s="1704" t="s">
        <v>2616</v>
      </c>
      <c r="AI8" s="328"/>
      <c r="AJ8" s="1742" t="s">
        <v>2781</v>
      </c>
      <c r="AK8" s="1742"/>
      <c r="AL8" s="283"/>
      <c r="AM8" s="283"/>
      <c r="AN8" s="283"/>
      <c r="AO8" s="283"/>
      <c r="AP8" s="283"/>
      <c r="AQ8" s="283"/>
      <c r="AR8" s="283"/>
      <c r="AS8" s="1764" t="s">
        <v>2620</v>
      </c>
      <c r="AT8" s="1764"/>
      <c r="AU8" s="1788">
        <f>AU9*1.04</f>
        <v>4380.1649999999991</v>
      </c>
      <c r="AV8" s="1789"/>
      <c r="AW8" s="1788">
        <f>AW9*1.04</f>
        <v>5856.4034956636742</v>
      </c>
      <c r="AX8" s="1788"/>
      <c r="AY8" s="1788"/>
      <c r="AZ8" s="1788"/>
      <c r="BA8" s="1788">
        <f>BA9*1.04</f>
        <v>8678.1187385923477</v>
      </c>
      <c r="BB8" s="1789"/>
      <c r="BC8" s="283"/>
      <c r="BD8" s="785">
        <f>BD9*1.04</f>
        <v>4380.1649999999991</v>
      </c>
      <c r="BE8" s="1788">
        <f>BE9*1.04</f>
        <v>4380.1649999999991</v>
      </c>
      <c r="BF8" s="1789"/>
      <c r="BG8" s="1788">
        <f>BG9*1.04</f>
        <v>0</v>
      </c>
      <c r="BH8" s="1789"/>
      <c r="BI8" s="1770">
        <f>BI9*1.04</f>
        <v>0</v>
      </c>
      <c r="BJ8" s="1771"/>
      <c r="BK8" s="1771"/>
      <c r="BL8" s="1772"/>
      <c r="BM8" s="1788">
        <f>BM9*1.04</f>
        <v>0</v>
      </c>
      <c r="BN8" s="1789"/>
      <c r="BO8" s="283"/>
      <c r="BP8" s="785">
        <f>BP9*1.04</f>
        <v>14534.522234256025</v>
      </c>
      <c r="BQ8" s="1788">
        <f>BQ9*1.04</f>
        <v>0</v>
      </c>
      <c r="BR8" s="1789"/>
      <c r="BS8" s="1770">
        <f>BS9*1.04</f>
        <v>5856.4034956636742</v>
      </c>
      <c r="BT8" s="1771"/>
      <c r="BU8" s="1771"/>
      <c r="BV8" s="1772"/>
      <c r="BW8" s="1788">
        <f>BW9*1.04</f>
        <v>8678.1187385923477</v>
      </c>
      <c r="BX8" s="1789"/>
      <c r="BY8" s="403"/>
      <c r="BZ8" s="1260"/>
      <c r="CA8" s="403"/>
      <c r="CB8" s="1757" t="s">
        <v>2847</v>
      </c>
      <c r="CC8" s="1757"/>
      <c r="CD8" s="1757"/>
      <c r="CE8" s="1757"/>
      <c r="CF8" s="1757"/>
      <c r="CG8" s="1757"/>
      <c r="CH8" s="1757"/>
      <c r="CI8" s="1743" t="s">
        <v>2839</v>
      </c>
      <c r="CJ8" s="1744"/>
      <c r="CK8" s="1744"/>
      <c r="CL8" s="1744"/>
      <c r="CM8" s="1744"/>
      <c r="CN8" s="1744"/>
      <c r="CO8" s="1744"/>
      <c r="CP8" s="1744" t="s">
        <v>2149</v>
      </c>
      <c r="CQ8" s="1744"/>
      <c r="CR8" s="1744"/>
      <c r="CS8" s="1744"/>
      <c r="CT8" s="1745"/>
      <c r="CU8" s="1743" t="s">
        <v>2271</v>
      </c>
      <c r="CV8" s="1745"/>
      <c r="DB8" s="1757" t="s">
        <v>2847</v>
      </c>
      <c r="DC8" s="1757"/>
      <c r="DD8" s="1757"/>
      <c r="DE8" s="1757"/>
      <c r="DF8" s="1757"/>
      <c r="DG8" s="1757"/>
      <c r="DH8" s="1757"/>
      <c r="DI8" s="1757" t="s">
        <v>2839</v>
      </c>
      <c r="DJ8" s="1757"/>
      <c r="DK8" s="1757"/>
      <c r="DL8" s="1757"/>
      <c r="DM8" s="1757"/>
      <c r="DN8" s="1757"/>
      <c r="DO8" s="1757"/>
      <c r="DP8" s="1743" t="s">
        <v>2149</v>
      </c>
      <c r="DQ8" s="1744"/>
      <c r="DR8" s="1744"/>
      <c r="DS8" s="1744"/>
      <c r="DT8" s="1745"/>
      <c r="DU8" s="1743" t="s">
        <v>2271</v>
      </c>
      <c r="DV8" s="1745"/>
      <c r="EA8" s="1748" t="s">
        <v>2272</v>
      </c>
      <c r="EB8" s="1749"/>
      <c r="EC8" s="1748"/>
      <c r="ED8" s="1748"/>
      <c r="EE8" s="1748"/>
      <c r="EF8" s="1750" t="s">
        <v>2272</v>
      </c>
      <c r="EG8" s="1751"/>
      <c r="EH8" s="1751"/>
      <c r="EI8" s="1751"/>
      <c r="EJ8" s="1751"/>
      <c r="EK8" s="1751"/>
      <c r="EL8" s="1752"/>
      <c r="EM8" s="1750" t="s">
        <v>2272</v>
      </c>
      <c r="EN8" s="1751"/>
      <c r="EO8" s="1751"/>
      <c r="EP8" s="1751"/>
      <c r="EQ8" s="1751"/>
      <c r="ET8" s="418"/>
      <c r="EU8" s="418"/>
      <c r="EV8" s="418"/>
      <c r="EW8" s="418"/>
      <c r="EX8" s="418"/>
      <c r="EY8" s="418"/>
      <c r="EZ8" s="418"/>
      <c r="FA8" s="1748" t="s">
        <v>2272</v>
      </c>
      <c r="FB8" s="1749"/>
      <c r="FC8" s="1748"/>
      <c r="FD8" s="1748"/>
      <c r="FE8" s="1748"/>
      <c r="FF8" s="1756" t="s">
        <v>2272</v>
      </c>
      <c r="FG8" s="1756"/>
      <c r="FH8" s="1756"/>
      <c r="FI8" s="1758"/>
      <c r="FJ8" s="1758"/>
      <c r="FK8" s="1756"/>
      <c r="FL8" s="1259"/>
      <c r="FM8" s="1775" t="s">
        <v>2272</v>
      </c>
      <c r="FN8" s="1776"/>
      <c r="FO8" s="1776"/>
      <c r="FP8" s="1776"/>
      <c r="FQ8" s="1776"/>
      <c r="FR8" s="1776"/>
      <c r="FS8" s="418"/>
      <c r="FT8" s="418"/>
      <c r="FU8" s="418"/>
      <c r="FV8" s="418"/>
      <c r="FW8" s="418"/>
      <c r="FX8" s="418"/>
      <c r="FY8" s="418"/>
      <c r="FZ8" s="418"/>
      <c r="GA8" s="1748" t="s">
        <v>2272</v>
      </c>
      <c r="GB8" s="1749"/>
      <c r="GC8" s="1748"/>
      <c r="GD8" s="1748"/>
      <c r="GE8" s="1748"/>
      <c r="GF8" s="1750" t="s">
        <v>2272</v>
      </c>
      <c r="GG8" s="1751"/>
      <c r="GH8" s="1751"/>
      <c r="GI8" s="1751"/>
      <c r="GJ8" s="1751"/>
      <c r="GK8" s="1751"/>
      <c r="GL8" s="1752"/>
      <c r="GM8" s="1750" t="s">
        <v>2272</v>
      </c>
      <c r="GN8" s="1751"/>
      <c r="GO8" s="1751"/>
      <c r="GP8" s="1751"/>
      <c r="GQ8" s="1751"/>
      <c r="GS8" s="418"/>
      <c r="GT8" s="418"/>
      <c r="GU8" s="418"/>
      <c r="GV8" s="418"/>
      <c r="GW8" s="418"/>
      <c r="GX8" s="418"/>
      <c r="GY8" s="418"/>
      <c r="GZ8" s="418"/>
      <c r="HA8" s="1748" t="s">
        <v>2272</v>
      </c>
      <c r="HB8" s="1749"/>
      <c r="HC8" s="1748"/>
      <c r="HD8" s="1748"/>
      <c r="HE8" s="1748"/>
      <c r="HF8" s="1750" t="s">
        <v>2272</v>
      </c>
      <c r="HG8" s="1751"/>
      <c r="HH8" s="1751"/>
      <c r="HI8" s="1751"/>
      <c r="HJ8" s="1751"/>
      <c r="HK8" s="1751"/>
      <c r="HL8" s="1752"/>
      <c r="HM8" s="1750" t="s">
        <v>2272</v>
      </c>
      <c r="HN8" s="1751"/>
      <c r="HO8" s="1751"/>
      <c r="HP8" s="1751"/>
      <c r="HQ8" s="1751"/>
      <c r="HS8" s="418"/>
      <c r="HT8" s="418"/>
      <c r="HU8" s="418"/>
      <c r="HV8" s="418"/>
      <c r="HW8" s="418"/>
      <c r="HX8" s="418"/>
      <c r="HY8" s="418"/>
      <c r="HZ8" s="1254"/>
      <c r="IA8" s="1748" t="s">
        <v>2272</v>
      </c>
      <c r="IB8" s="1749"/>
      <c r="IC8" s="1748"/>
      <c r="ID8" s="1748"/>
      <c r="IE8" s="1748"/>
      <c r="IF8" s="1756" t="s">
        <v>2272</v>
      </c>
      <c r="IG8" s="1756"/>
      <c r="IH8" s="1756"/>
      <c r="II8" s="1756"/>
      <c r="IJ8" s="1750" t="s">
        <v>2272</v>
      </c>
      <c r="IK8" s="1751"/>
      <c r="IL8" s="1751"/>
      <c r="IM8" s="1752"/>
      <c r="JA8" s="1748" t="s">
        <v>2272</v>
      </c>
      <c r="JB8" s="1749"/>
      <c r="JC8" s="1748"/>
      <c r="JD8" s="1748"/>
      <c r="JE8" s="1748"/>
      <c r="JF8" s="1756" t="s">
        <v>2272</v>
      </c>
      <c r="JG8" s="1756"/>
      <c r="JH8" s="1756"/>
      <c r="JI8" s="1756"/>
      <c r="JJ8" s="1750" t="s">
        <v>2272</v>
      </c>
      <c r="JK8" s="1751"/>
      <c r="JL8" s="1751"/>
      <c r="JM8" s="1752"/>
      <c r="KA8" s="1748" t="s">
        <v>2272</v>
      </c>
      <c r="KB8" s="1749"/>
      <c r="KC8" s="1748"/>
      <c r="KD8" s="1748"/>
      <c r="KE8" s="1748"/>
      <c r="KF8" s="1756" t="s">
        <v>2272</v>
      </c>
      <c r="KG8" s="1756"/>
      <c r="KH8" s="1756"/>
      <c r="KI8" s="1756"/>
      <c r="KJ8" s="1750" t="s">
        <v>2272</v>
      </c>
      <c r="KK8" s="1751"/>
      <c r="KL8" s="1751"/>
      <c r="KM8" s="1752"/>
      <c r="LA8" s="1748" t="s">
        <v>2272</v>
      </c>
      <c r="LB8" s="1749"/>
      <c r="LC8" s="1748"/>
      <c r="LD8" s="1748"/>
      <c r="LE8" s="1748"/>
      <c r="LF8" s="1756" t="s">
        <v>2272</v>
      </c>
      <c r="LG8" s="1756"/>
      <c r="LH8" s="1756"/>
      <c r="LI8" s="1756"/>
      <c r="LJ8" s="1750" t="s">
        <v>2272</v>
      </c>
      <c r="LK8" s="1751"/>
      <c r="LL8" s="1751"/>
      <c r="LM8" s="1752"/>
      <c r="MA8" s="1748" t="s">
        <v>2272</v>
      </c>
      <c r="MB8" s="1749"/>
      <c r="MC8" s="1748"/>
      <c r="MD8" s="1748"/>
      <c r="ME8" s="1748"/>
      <c r="MF8" s="1756" t="s">
        <v>2272</v>
      </c>
      <c r="MG8" s="1756"/>
      <c r="MH8" s="1756"/>
      <c r="MI8" s="1756"/>
      <c r="MJ8" s="1750" t="s">
        <v>2272</v>
      </c>
      <c r="MK8" s="1751"/>
      <c r="ML8" s="1751"/>
      <c r="MM8" s="1751"/>
      <c r="NA8" s="1748" t="s">
        <v>2272</v>
      </c>
      <c r="NB8" s="1749"/>
      <c r="NC8" s="1748"/>
      <c r="ND8" s="1748"/>
      <c r="NE8" s="1748"/>
      <c r="NF8" s="1756" t="s">
        <v>2272</v>
      </c>
      <c r="NG8" s="1756"/>
      <c r="NH8" s="1756"/>
      <c r="NI8" s="1756"/>
      <c r="NJ8" s="1750" t="s">
        <v>2272</v>
      </c>
      <c r="NK8" s="1751"/>
      <c r="NL8" s="1751"/>
      <c r="NM8" s="1752"/>
      <c r="OA8" s="1748" t="s">
        <v>2272</v>
      </c>
      <c r="OB8" s="1749"/>
      <c r="OC8" s="1748"/>
      <c r="OD8" s="1748"/>
      <c r="OE8" s="1748"/>
      <c r="OF8" s="1753" t="s">
        <v>2197</v>
      </c>
      <c r="OG8" s="1754"/>
      <c r="OH8" s="1754"/>
      <c r="OI8" s="1755"/>
      <c r="OJ8" s="1746" t="s">
        <v>2270</v>
      </c>
      <c r="OK8" s="1746"/>
      <c r="OL8" s="1746"/>
      <c r="OM8" s="1746"/>
      <c r="PA8" s="1748" t="s">
        <v>2272</v>
      </c>
      <c r="PB8" s="1749"/>
      <c r="PC8" s="1748"/>
      <c r="PD8" s="1748"/>
      <c r="PE8" s="1748"/>
      <c r="PF8" s="1753" t="s">
        <v>2197</v>
      </c>
      <c r="PG8" s="1754"/>
      <c r="PH8" s="1754"/>
      <c r="PI8" s="1755"/>
      <c r="PJ8" s="1746" t="s">
        <v>2270</v>
      </c>
      <c r="PK8" s="1746"/>
      <c r="PL8" s="1746"/>
      <c r="PM8" s="1746"/>
    </row>
    <row r="9" spans="1:430" ht="40.5" customHeight="1">
      <c r="I9" s="1791"/>
      <c r="J9" s="1791"/>
      <c r="K9" s="1791"/>
      <c r="L9" s="799" t="s">
        <v>2124</v>
      </c>
      <c r="M9" s="799" t="s">
        <v>2125</v>
      </c>
      <c r="N9" s="1761"/>
      <c r="O9" s="1761"/>
      <c r="P9" s="1760"/>
      <c r="Q9" s="1761"/>
      <c r="R9" s="1761"/>
      <c r="S9" s="1760"/>
      <c r="T9" s="1680"/>
      <c r="U9" s="1680"/>
      <c r="V9" s="1680"/>
      <c r="W9" s="1680"/>
      <c r="X9" s="1680"/>
      <c r="Y9" s="1680"/>
      <c r="Z9" s="1680"/>
      <c r="AA9" s="1680"/>
      <c r="AB9" s="1680"/>
      <c r="AC9" s="1680"/>
      <c r="AD9" s="1680"/>
      <c r="AE9" s="1680"/>
      <c r="AF9" s="1680"/>
      <c r="AG9" s="1680"/>
      <c r="AH9" s="1680"/>
      <c r="AI9" s="328"/>
      <c r="AJ9" s="328"/>
      <c r="AK9" s="328"/>
      <c r="AL9" s="289"/>
      <c r="AM9" s="289"/>
      <c r="AN9" s="1106"/>
      <c r="AO9" s="287"/>
      <c r="AP9"/>
      <c r="AQ9" s="287"/>
      <c r="AR9" s="375"/>
      <c r="AS9" s="1764" t="s">
        <v>2619</v>
      </c>
      <c r="AT9" s="1764"/>
      <c r="AU9" s="1788">
        <f>AU10+AV10</f>
        <v>4211.6971153846143</v>
      </c>
      <c r="AV9" s="1789"/>
      <c r="AW9" s="1788">
        <f>SUM(AW10:AZ10)</f>
        <v>5631.1572073689176</v>
      </c>
      <c r="AX9" s="1788"/>
      <c r="AY9" s="1788"/>
      <c r="AZ9" s="1788"/>
      <c r="BA9" s="1788">
        <f>BA10+BB10</f>
        <v>8344.3449409541809</v>
      </c>
      <c r="BB9" s="1789"/>
      <c r="BC9" s="754"/>
      <c r="BD9" s="785">
        <f>BE9+BI9+BM9</f>
        <v>4211.6971153846143</v>
      </c>
      <c r="BE9" s="1788">
        <f>BE10+BF10</f>
        <v>4211.6971153846143</v>
      </c>
      <c r="BF9" s="1789"/>
      <c r="BG9" s="1788">
        <f>BG10+BH10</f>
        <v>0</v>
      </c>
      <c r="BH9" s="1789"/>
      <c r="BI9" s="1770">
        <f>SUM(BI10:BL10)</f>
        <v>0</v>
      </c>
      <c r="BJ9" s="1771"/>
      <c r="BK9" s="1771"/>
      <c r="BL9" s="1772"/>
      <c r="BM9" s="1788">
        <f>BM10+BN10</f>
        <v>0</v>
      </c>
      <c r="BN9" s="1789"/>
      <c r="BO9" s="448"/>
      <c r="BP9" s="785">
        <f>BQ9+BS9+BW9</f>
        <v>13975.502148323099</v>
      </c>
      <c r="BQ9" s="1788">
        <f>BQ10+BR10</f>
        <v>0</v>
      </c>
      <c r="BR9" s="1789"/>
      <c r="BS9" s="1770">
        <f>SUM(BS10:BV10)</f>
        <v>5631.1572073689176</v>
      </c>
      <c r="BT9" s="1771"/>
      <c r="BU9" s="1771"/>
      <c r="BV9" s="1772"/>
      <c r="BW9" s="1788">
        <f>BW10+BX10</f>
        <v>8344.3449409541809</v>
      </c>
      <c r="BX9" s="1789"/>
      <c r="BY9" s="414"/>
      <c r="BZ9" s="414"/>
      <c r="CA9" s="1230" t="s">
        <v>2842</v>
      </c>
      <c r="CB9" s="1232" t="s">
        <v>2843</v>
      </c>
      <c r="CC9" s="404" t="s">
        <v>2000</v>
      </c>
      <c r="CD9" s="404" t="s">
        <v>2207</v>
      </c>
      <c r="CE9" s="1261" t="s">
        <v>2763</v>
      </c>
      <c r="CF9" s="1261" t="s">
        <v>2634</v>
      </c>
      <c r="CG9" s="1261" t="s">
        <v>2840</v>
      </c>
      <c r="CH9" s="1261" t="s">
        <v>2841</v>
      </c>
      <c r="CI9" s="1232" t="s">
        <v>2845</v>
      </c>
      <c r="CJ9" s="404" t="s">
        <v>2000</v>
      </c>
      <c r="CK9" s="404" t="s">
        <v>2207</v>
      </c>
      <c r="CL9" s="1261" t="s">
        <v>2763</v>
      </c>
      <c r="CM9" s="1261" t="s">
        <v>2634</v>
      </c>
      <c r="CN9" s="1261" t="s">
        <v>2840</v>
      </c>
      <c r="CO9" s="1261" t="s">
        <v>2841</v>
      </c>
      <c r="CP9" s="411" t="s">
        <v>33</v>
      </c>
      <c r="CQ9" s="1765" t="s">
        <v>2268</v>
      </c>
      <c r="CR9" s="1766"/>
      <c r="CS9" s="1767"/>
      <c r="CT9" s="404" t="s">
        <v>2269</v>
      </c>
      <c r="CU9" s="404" t="s">
        <v>2246</v>
      </c>
      <c r="CV9" s="404" t="s">
        <v>2247</v>
      </c>
      <c r="DA9" s="1181" t="s">
        <v>2825</v>
      </c>
      <c r="DB9" s="1232" t="s">
        <v>2843</v>
      </c>
      <c r="DC9" s="404" t="s">
        <v>2716</v>
      </c>
      <c r="DD9" s="404" t="s">
        <v>2717</v>
      </c>
      <c r="DE9" s="1101" t="s">
        <v>2721</v>
      </c>
      <c r="DF9" s="1101" t="s">
        <v>2722</v>
      </c>
      <c r="DG9" s="1101" t="s">
        <v>2723</v>
      </c>
      <c r="DH9" s="1261" t="s">
        <v>2724</v>
      </c>
      <c r="DI9" s="1232" t="s">
        <v>2845</v>
      </c>
      <c r="DJ9" s="404" t="s">
        <v>2716</v>
      </c>
      <c r="DK9" s="404" t="s">
        <v>2717</v>
      </c>
      <c r="DL9" s="1101" t="s">
        <v>2721</v>
      </c>
      <c r="DM9" s="1101" t="s">
        <v>2722</v>
      </c>
      <c r="DN9" s="1101" t="s">
        <v>2723</v>
      </c>
      <c r="DO9" s="1261" t="s">
        <v>2724</v>
      </c>
      <c r="DP9" s="411" t="s">
        <v>33</v>
      </c>
      <c r="DQ9" s="1765" t="s">
        <v>2268</v>
      </c>
      <c r="DR9" s="1766"/>
      <c r="DS9" s="1767"/>
      <c r="DT9" s="404" t="s">
        <v>2269</v>
      </c>
      <c r="DU9" s="404" t="s">
        <v>2246</v>
      </c>
      <c r="DV9" s="404" t="s">
        <v>2247</v>
      </c>
      <c r="EA9" s="398" t="s">
        <v>2261</v>
      </c>
      <c r="EB9" s="1232" t="s">
        <v>2817</v>
      </c>
      <c r="EC9" s="406" t="s">
        <v>2264</v>
      </c>
      <c r="ED9" s="398" t="s">
        <v>2158</v>
      </c>
      <c r="EE9" s="404" t="s">
        <v>2263</v>
      </c>
      <c r="EF9" s="398" t="s">
        <v>2154</v>
      </c>
      <c r="EG9" s="404" t="s">
        <v>2262</v>
      </c>
      <c r="EH9" s="404" t="s">
        <v>2259</v>
      </c>
      <c r="EI9" s="1101" t="s">
        <v>2780</v>
      </c>
      <c r="EJ9" s="1101" t="s">
        <v>2776</v>
      </c>
      <c r="EK9" s="404" t="s">
        <v>2260</v>
      </c>
      <c r="EL9" s="1101" t="s">
        <v>2777</v>
      </c>
      <c r="EM9" s="404" t="s">
        <v>2266</v>
      </c>
      <c r="EN9" s="404" t="s">
        <v>2267</v>
      </c>
      <c r="EO9" s="404" t="s">
        <v>2260</v>
      </c>
      <c r="EP9" s="1101" t="s">
        <v>2778</v>
      </c>
      <c r="EQ9" s="404" t="s">
        <v>2779</v>
      </c>
      <c r="ER9" s="411" t="s">
        <v>2321</v>
      </c>
      <c r="ET9" s="414"/>
      <c r="EU9" s="414"/>
      <c r="EV9" s="414"/>
      <c r="EW9" s="414"/>
      <c r="EX9" s="414"/>
      <c r="EY9" s="414"/>
      <c r="EZ9" s="414"/>
      <c r="FA9" s="1257" t="s">
        <v>2261</v>
      </c>
      <c r="FB9" s="1232" t="s">
        <v>2817</v>
      </c>
      <c r="FC9" s="406" t="s">
        <v>2264</v>
      </c>
      <c r="FD9" s="1257" t="s">
        <v>2158</v>
      </c>
      <c r="FE9" s="404" t="s">
        <v>2263</v>
      </c>
      <c r="FF9" s="1257" t="s">
        <v>2154</v>
      </c>
      <c r="FG9" s="404" t="s">
        <v>2262</v>
      </c>
      <c r="FH9" s="404" t="s">
        <v>2259</v>
      </c>
      <c r="FI9" s="1101" t="s">
        <v>2780</v>
      </c>
      <c r="FJ9" s="1101" t="s">
        <v>2776</v>
      </c>
      <c r="FK9" s="404" t="s">
        <v>2260</v>
      </c>
      <c r="FL9" s="1101" t="s">
        <v>2777</v>
      </c>
      <c r="FM9" s="404" t="s">
        <v>2266</v>
      </c>
      <c r="FN9" s="404" t="s">
        <v>2267</v>
      </c>
      <c r="FO9" s="404" t="s">
        <v>2260</v>
      </c>
      <c r="FP9" s="1101" t="s">
        <v>2778</v>
      </c>
      <c r="FQ9" s="404" t="s">
        <v>2779</v>
      </c>
      <c r="FR9" s="1258" t="s">
        <v>2321</v>
      </c>
      <c r="FS9" s="414"/>
      <c r="FT9" s="414"/>
      <c r="FU9" s="414"/>
      <c r="FV9" s="414"/>
      <c r="FW9" s="414"/>
      <c r="FX9" s="414"/>
      <c r="FY9" s="414"/>
      <c r="FZ9" s="414"/>
      <c r="GA9" s="1257" t="s">
        <v>2261</v>
      </c>
      <c r="GB9" s="1232" t="s">
        <v>2817</v>
      </c>
      <c r="GC9" s="406" t="s">
        <v>2264</v>
      </c>
      <c r="GD9" s="1257" t="s">
        <v>2158</v>
      </c>
      <c r="GE9" s="404" t="s">
        <v>2263</v>
      </c>
      <c r="GF9" s="1257" t="s">
        <v>2154</v>
      </c>
      <c r="GG9" s="404" t="s">
        <v>2262</v>
      </c>
      <c r="GH9" s="404" t="s">
        <v>2259</v>
      </c>
      <c r="GI9" s="1101" t="s">
        <v>2780</v>
      </c>
      <c r="GJ9" s="1101" t="s">
        <v>2776</v>
      </c>
      <c r="GK9" s="404" t="s">
        <v>2260</v>
      </c>
      <c r="GL9" s="1101" t="s">
        <v>2777</v>
      </c>
      <c r="GM9" s="404" t="s">
        <v>2266</v>
      </c>
      <c r="GN9" s="404" t="s">
        <v>2267</v>
      </c>
      <c r="GO9" s="404" t="s">
        <v>2260</v>
      </c>
      <c r="GP9" s="1101" t="s">
        <v>2778</v>
      </c>
      <c r="GQ9" s="404" t="s">
        <v>2779</v>
      </c>
      <c r="GR9" s="1258" t="s">
        <v>2321</v>
      </c>
      <c r="GS9" s="414"/>
      <c r="GT9" s="414"/>
      <c r="GU9" s="414"/>
      <c r="GV9" s="414"/>
      <c r="GW9" s="414"/>
      <c r="GX9" s="414"/>
      <c r="GY9" s="414"/>
      <c r="GZ9" s="414"/>
      <c r="HA9" s="1257" t="s">
        <v>2261</v>
      </c>
      <c r="HB9" s="1232" t="s">
        <v>2817</v>
      </c>
      <c r="HC9" s="406" t="s">
        <v>2264</v>
      </c>
      <c r="HD9" s="1257" t="s">
        <v>2158</v>
      </c>
      <c r="HE9" s="404" t="s">
        <v>2263</v>
      </c>
      <c r="HF9" s="1257" t="s">
        <v>2154</v>
      </c>
      <c r="HG9" s="404" t="s">
        <v>2262</v>
      </c>
      <c r="HH9" s="404" t="s">
        <v>2259</v>
      </c>
      <c r="HI9" s="1101" t="s">
        <v>2780</v>
      </c>
      <c r="HJ9" s="1101" t="s">
        <v>2776</v>
      </c>
      <c r="HK9" s="404" t="s">
        <v>2260</v>
      </c>
      <c r="HL9" s="1101" t="s">
        <v>2777</v>
      </c>
      <c r="HM9" s="404" t="s">
        <v>2266</v>
      </c>
      <c r="HN9" s="404" t="s">
        <v>2267</v>
      </c>
      <c r="HO9" s="404" t="s">
        <v>2260</v>
      </c>
      <c r="HP9" s="1101" t="s">
        <v>2778</v>
      </c>
      <c r="HQ9" s="404" t="s">
        <v>2779</v>
      </c>
      <c r="HR9" s="1258" t="s">
        <v>2321</v>
      </c>
      <c r="HS9" s="414"/>
      <c r="HT9" s="414"/>
      <c r="HU9" s="414"/>
      <c r="HV9" s="414"/>
      <c r="HW9" s="414"/>
      <c r="HX9" s="414"/>
      <c r="HY9" s="414"/>
      <c r="HZ9" s="1254"/>
      <c r="IA9" s="398" t="s">
        <v>2261</v>
      </c>
      <c r="IB9" s="1232" t="s">
        <v>2854</v>
      </c>
      <c r="IC9" s="406" t="s">
        <v>2264</v>
      </c>
      <c r="ID9" s="398" t="s">
        <v>2158</v>
      </c>
      <c r="IE9" s="404" t="s">
        <v>2263</v>
      </c>
      <c r="IF9" s="398" t="s">
        <v>2154</v>
      </c>
      <c r="IG9" s="404" t="s">
        <v>2262</v>
      </c>
      <c r="IH9" s="404" t="s">
        <v>2259</v>
      </c>
      <c r="II9" s="404" t="s">
        <v>2260</v>
      </c>
      <c r="IJ9" s="404" t="s">
        <v>2266</v>
      </c>
      <c r="IK9" s="404" t="s">
        <v>2267</v>
      </c>
      <c r="IL9" s="404" t="s">
        <v>2260</v>
      </c>
      <c r="IM9" s="404" t="s">
        <v>57</v>
      </c>
      <c r="IN9" s="411" t="s">
        <v>2321</v>
      </c>
      <c r="JA9" s="398" t="s">
        <v>2261</v>
      </c>
      <c r="JB9" s="1232"/>
      <c r="JC9" s="406" t="s">
        <v>2264</v>
      </c>
      <c r="JD9" s="398" t="s">
        <v>2158</v>
      </c>
      <c r="JE9" s="404" t="s">
        <v>2263</v>
      </c>
      <c r="JF9" s="398" t="s">
        <v>2154</v>
      </c>
      <c r="JG9" s="404" t="s">
        <v>2262</v>
      </c>
      <c r="JH9" s="404" t="s">
        <v>2259</v>
      </c>
      <c r="JI9" s="404" t="s">
        <v>2260</v>
      </c>
      <c r="JJ9" s="404" t="s">
        <v>2266</v>
      </c>
      <c r="JK9" s="404" t="s">
        <v>2267</v>
      </c>
      <c r="JL9" s="404" t="s">
        <v>2260</v>
      </c>
      <c r="JM9" s="404" t="s">
        <v>57</v>
      </c>
      <c r="JN9" s="411" t="s">
        <v>2321</v>
      </c>
      <c r="KA9" s="398" t="s">
        <v>2261</v>
      </c>
      <c r="KB9" s="1232"/>
      <c r="KC9" s="406" t="s">
        <v>2264</v>
      </c>
      <c r="KD9" s="398" t="s">
        <v>2158</v>
      </c>
      <c r="KE9" s="404" t="s">
        <v>2263</v>
      </c>
      <c r="KF9" s="398" t="s">
        <v>2154</v>
      </c>
      <c r="KG9" s="404" t="s">
        <v>2262</v>
      </c>
      <c r="KH9" s="404" t="s">
        <v>2259</v>
      </c>
      <c r="KI9" s="404" t="s">
        <v>2260</v>
      </c>
      <c r="KJ9" s="404" t="s">
        <v>2266</v>
      </c>
      <c r="KK9" s="404" t="s">
        <v>2267</v>
      </c>
      <c r="KL9" s="404" t="s">
        <v>2260</v>
      </c>
      <c r="KM9" s="404" t="s">
        <v>57</v>
      </c>
      <c r="KN9" s="411" t="s">
        <v>2321</v>
      </c>
      <c r="LA9" s="398" t="s">
        <v>2261</v>
      </c>
      <c r="LB9" s="1232"/>
      <c r="LC9" s="406" t="s">
        <v>2264</v>
      </c>
      <c r="LD9" s="398" t="s">
        <v>2158</v>
      </c>
      <c r="LE9" s="404" t="s">
        <v>2263</v>
      </c>
      <c r="LF9" s="398" t="s">
        <v>2154</v>
      </c>
      <c r="LG9" s="404" t="s">
        <v>2262</v>
      </c>
      <c r="LH9" s="404" t="s">
        <v>2259</v>
      </c>
      <c r="LI9" s="404" t="s">
        <v>2260</v>
      </c>
      <c r="LJ9" s="404" t="s">
        <v>2266</v>
      </c>
      <c r="LK9" s="404" t="s">
        <v>2267</v>
      </c>
      <c r="LL9" s="404" t="s">
        <v>2260</v>
      </c>
      <c r="LM9" s="404" t="s">
        <v>57</v>
      </c>
      <c r="LN9" s="411" t="s">
        <v>2321</v>
      </c>
      <c r="MA9" s="398" t="s">
        <v>2261</v>
      </c>
      <c r="MB9" s="1232"/>
      <c r="MC9" s="406" t="s">
        <v>2264</v>
      </c>
      <c r="MD9" s="398" t="s">
        <v>2158</v>
      </c>
      <c r="ME9" s="404" t="s">
        <v>2263</v>
      </c>
      <c r="MF9" s="398" t="s">
        <v>2154</v>
      </c>
      <c r="MG9" s="404" t="s">
        <v>2262</v>
      </c>
      <c r="MH9" s="404" t="s">
        <v>2259</v>
      </c>
      <c r="MI9" s="404" t="s">
        <v>2260</v>
      </c>
      <c r="MJ9" s="404" t="s">
        <v>2266</v>
      </c>
      <c r="MK9" s="404" t="s">
        <v>2267</v>
      </c>
      <c r="ML9" s="404" t="s">
        <v>2260</v>
      </c>
      <c r="MM9" s="404" t="s">
        <v>57</v>
      </c>
      <c r="MN9" s="411" t="s">
        <v>2321</v>
      </c>
      <c r="NA9" s="398" t="s">
        <v>2261</v>
      </c>
      <c r="NB9" s="1232"/>
      <c r="NC9" s="406" t="s">
        <v>2264</v>
      </c>
      <c r="ND9" s="398" t="s">
        <v>2158</v>
      </c>
      <c r="NE9" s="404" t="s">
        <v>2263</v>
      </c>
      <c r="NF9" s="398" t="s">
        <v>2154</v>
      </c>
      <c r="NG9" s="404" t="s">
        <v>2262</v>
      </c>
      <c r="NH9" s="404" t="s">
        <v>2259</v>
      </c>
      <c r="NI9" s="404" t="s">
        <v>2260</v>
      </c>
      <c r="NJ9" s="404" t="s">
        <v>2266</v>
      </c>
      <c r="NK9" s="404" t="s">
        <v>2267</v>
      </c>
      <c r="NL9" s="404" t="s">
        <v>2260</v>
      </c>
      <c r="NM9" s="404" t="s">
        <v>57</v>
      </c>
      <c r="NN9" s="411" t="s">
        <v>2321</v>
      </c>
      <c r="OA9" s="612" t="s">
        <v>2261</v>
      </c>
      <c r="OB9" s="1232"/>
      <c r="OC9" s="406" t="s">
        <v>2264</v>
      </c>
      <c r="OD9" s="612" t="s">
        <v>2158</v>
      </c>
      <c r="OE9" s="404" t="s">
        <v>2263</v>
      </c>
      <c r="OF9" s="612" t="s">
        <v>2154</v>
      </c>
      <c r="OG9" s="404" t="s">
        <v>2262</v>
      </c>
      <c r="OH9" s="404" t="s">
        <v>2259</v>
      </c>
      <c r="OI9" s="404" t="s">
        <v>2260</v>
      </c>
      <c r="OJ9" s="404" t="s">
        <v>2266</v>
      </c>
      <c r="OK9" s="404" t="s">
        <v>2267</v>
      </c>
      <c r="OL9" s="404" t="s">
        <v>2260</v>
      </c>
      <c r="OM9" s="404" t="s">
        <v>57</v>
      </c>
      <c r="ON9" s="614" t="s">
        <v>2321</v>
      </c>
      <c r="PA9" s="1272" t="s">
        <v>2261</v>
      </c>
      <c r="PB9" s="1232" t="s">
        <v>2858</v>
      </c>
      <c r="PC9" s="406" t="s">
        <v>2264</v>
      </c>
      <c r="PD9" s="1272" t="s">
        <v>2158</v>
      </c>
      <c r="PE9" s="404" t="s">
        <v>2263</v>
      </c>
      <c r="PF9" s="1272" t="s">
        <v>2154</v>
      </c>
      <c r="PG9" s="404" t="s">
        <v>2262</v>
      </c>
      <c r="PH9" s="404" t="s">
        <v>2259</v>
      </c>
      <c r="PI9" s="404" t="s">
        <v>2260</v>
      </c>
      <c r="PJ9" s="404" t="s">
        <v>2266</v>
      </c>
      <c r="PK9" s="404" t="s">
        <v>2267</v>
      </c>
      <c r="PL9" s="404" t="s">
        <v>2260</v>
      </c>
      <c r="PM9" s="404" t="s">
        <v>57</v>
      </c>
      <c r="PN9" s="1273" t="s">
        <v>2321</v>
      </c>
    </row>
    <row r="10" spans="1:430">
      <c r="I10" s="582"/>
      <c r="J10" s="582"/>
      <c r="K10" s="582"/>
      <c r="L10" s="784"/>
      <c r="M10" s="784"/>
      <c r="N10" s="784"/>
      <c r="O10" s="784"/>
      <c r="P10" s="784"/>
      <c r="Q10" s="784"/>
      <c r="R10" s="784"/>
      <c r="S10" s="784"/>
      <c r="T10" s="796">
        <f>SUMIF(($A$15:$A$120),TRUE,(T15:T120))</f>
        <v>60500</v>
      </c>
      <c r="U10" s="796"/>
      <c r="V10" s="796">
        <f t="shared" ref="V10:AG10" si="0">SUMIF(($A$15:$A$120),TRUE,(V15:V120))</f>
        <v>53000</v>
      </c>
      <c r="W10" s="796"/>
      <c r="X10" s="796">
        <f t="shared" si="0"/>
        <v>60500</v>
      </c>
      <c r="Y10" s="796">
        <f t="shared" si="0"/>
        <v>726000</v>
      </c>
      <c r="Z10" s="796">
        <f t="shared" si="0"/>
        <v>726000</v>
      </c>
      <c r="AA10" s="796">
        <f t="shared" si="0"/>
        <v>707000</v>
      </c>
      <c r="AB10" s="796"/>
      <c r="AC10" s="796" t="e">
        <f t="shared" si="0"/>
        <v>#N/A</v>
      </c>
      <c r="AD10" s="796" t="e">
        <f t="shared" si="0"/>
        <v>#N/A</v>
      </c>
      <c r="AE10" s="796" t="e">
        <f t="shared" si="0"/>
        <v>#N/A</v>
      </c>
      <c r="AF10" s="796" t="e">
        <f t="shared" si="0"/>
        <v>#N/A</v>
      </c>
      <c r="AG10" s="796">
        <f t="shared" si="0"/>
        <v>352372.60273972602</v>
      </c>
      <c r="AH10" s="797"/>
      <c r="AI10" s="798">
        <f>SUM(AI15:AI120)</f>
        <v>19083.94463425603</v>
      </c>
      <c r="AJ10" s="798">
        <f t="shared" ref="AJ10:AK10" si="1">SUM(AJ15:AJ120)</f>
        <v>4474.4223999999986</v>
      </c>
      <c r="AK10" s="798">
        <f t="shared" si="1"/>
        <v>14534.522234256025</v>
      </c>
      <c r="AL10" s="798">
        <f t="shared" ref="AL10:BB10" si="2">SUM(AL15:AL120)</f>
        <v>94.257399999999976</v>
      </c>
      <c r="AM10" s="798">
        <f t="shared" si="2"/>
        <v>727.48797054830936</v>
      </c>
      <c r="AN10" s="798">
        <f t="shared" si="2"/>
        <v>0</v>
      </c>
      <c r="AO10" s="798">
        <f t="shared" si="2"/>
        <v>821.74537054830921</v>
      </c>
      <c r="AP10" s="798">
        <f t="shared" si="2"/>
        <v>0</v>
      </c>
      <c r="AQ10" s="798">
        <f t="shared" si="2"/>
        <v>75</v>
      </c>
      <c r="AR10" s="798">
        <f t="shared" si="2"/>
        <v>18187.199263707713</v>
      </c>
      <c r="AS10" s="798"/>
      <c r="AT10" s="798"/>
      <c r="AU10" s="798">
        <f t="shared" si="2"/>
        <v>3469.1971153846143</v>
      </c>
      <c r="AV10" s="798">
        <f t="shared" si="2"/>
        <v>742.5</v>
      </c>
      <c r="AW10" s="798">
        <f t="shared" si="2"/>
        <v>730.50485781766622</v>
      </c>
      <c r="AX10" s="798">
        <f t="shared" si="2"/>
        <v>1826.9911913084554</v>
      </c>
      <c r="AY10" s="798">
        <f t="shared" si="2"/>
        <v>902.55989418989122</v>
      </c>
      <c r="AZ10" s="798">
        <f t="shared" si="2"/>
        <v>2171.1012640529048</v>
      </c>
      <c r="BA10" s="798">
        <f t="shared" si="2"/>
        <v>2782.8674199338684</v>
      </c>
      <c r="BB10" s="798">
        <f t="shared" si="2"/>
        <v>5561.4775210203125</v>
      </c>
      <c r="BC10" s="798">
        <f t="shared" ref="BC10:BX10" si="3">SUM(BC15:BC120)</f>
        <v>4380.1650000000009</v>
      </c>
      <c r="BD10" s="798">
        <f t="shared" si="3"/>
        <v>4211.6971153846162</v>
      </c>
      <c r="BE10" s="798">
        <f>SUM(BE15:BE120)</f>
        <v>3469.1971153846143</v>
      </c>
      <c r="BF10" s="798">
        <f t="shared" si="3"/>
        <v>742.5</v>
      </c>
      <c r="BG10" s="798">
        <f t="shared" si="3"/>
        <v>0</v>
      </c>
      <c r="BH10" s="798">
        <f t="shared" si="3"/>
        <v>0</v>
      </c>
      <c r="BI10" s="798">
        <f t="shared" si="3"/>
        <v>0</v>
      </c>
      <c r="BJ10" s="798">
        <f t="shared" si="3"/>
        <v>0</v>
      </c>
      <c r="BK10" s="798">
        <f t="shared" si="3"/>
        <v>0</v>
      </c>
      <c r="BL10" s="798">
        <f t="shared" si="3"/>
        <v>0</v>
      </c>
      <c r="BM10" s="798">
        <f t="shared" si="3"/>
        <v>0</v>
      </c>
      <c r="BN10" s="798">
        <f t="shared" si="3"/>
        <v>0</v>
      </c>
      <c r="BO10" s="798">
        <f t="shared" si="3"/>
        <v>14534.522234256025</v>
      </c>
      <c r="BP10" s="798">
        <f t="shared" si="3"/>
        <v>13975.502148323099</v>
      </c>
      <c r="BQ10" s="798">
        <f t="shared" si="3"/>
        <v>0</v>
      </c>
      <c r="BR10" s="798">
        <f t="shared" si="3"/>
        <v>0</v>
      </c>
      <c r="BS10" s="798">
        <f t="shared" si="3"/>
        <v>730.50485781766622</v>
      </c>
      <c r="BT10" s="798">
        <f t="shared" si="3"/>
        <v>1826.9911913084554</v>
      </c>
      <c r="BU10" s="798">
        <f t="shared" si="3"/>
        <v>902.55989418989122</v>
      </c>
      <c r="BV10" s="798">
        <f t="shared" si="3"/>
        <v>2171.1012640529048</v>
      </c>
      <c r="BW10" s="798">
        <f t="shared" si="3"/>
        <v>2782.8674199338684</v>
      </c>
      <c r="BX10" s="798">
        <f t="shared" si="3"/>
        <v>5561.4775210203125</v>
      </c>
      <c r="BY10" s="440"/>
      <c r="BZ10" s="440"/>
      <c r="CA10" s="440"/>
      <c r="CB10" s="440"/>
      <c r="CC10" s="440"/>
      <c r="CD10" s="440"/>
      <c r="CE10" s="440"/>
      <c r="CF10" s="440"/>
      <c r="CG10" s="440"/>
      <c r="CH10" s="440"/>
      <c r="CI10" s="440"/>
      <c r="CJ10" s="440"/>
      <c r="CK10" s="440"/>
      <c r="CL10" s="440"/>
      <c r="CM10" s="440"/>
      <c r="CN10" s="440"/>
      <c r="CO10" s="440"/>
      <c r="CP10" s="440"/>
      <c r="CQ10" s="440"/>
      <c r="CR10" s="440"/>
      <c r="CS10" s="440"/>
      <c r="CT10" s="440"/>
      <c r="CU10" s="440"/>
      <c r="CV10" s="440"/>
      <c r="DA10" s="440"/>
      <c r="DB10" s="440"/>
      <c r="DC10" s="440"/>
      <c r="DD10" s="440"/>
      <c r="DE10" s="440"/>
      <c r="DF10" s="440"/>
      <c r="DG10" s="440"/>
      <c r="DH10" s="440"/>
      <c r="DI10" s="440"/>
      <c r="DJ10" s="440"/>
      <c r="DK10" s="440"/>
      <c r="DL10" s="440"/>
      <c r="DM10" s="440"/>
      <c r="DN10" s="440"/>
      <c r="DO10" s="440"/>
      <c r="DP10" s="440"/>
      <c r="DQ10" s="440"/>
      <c r="DR10" s="440"/>
      <c r="DS10" s="440"/>
      <c r="DT10" s="440"/>
      <c r="DU10" s="440"/>
      <c r="DV10" s="440"/>
      <c r="EA10" s="440"/>
      <c r="EB10" s="440"/>
      <c r="EC10" s="440"/>
      <c r="ED10" s="440"/>
      <c r="EE10" s="440"/>
      <c r="EF10" s="440"/>
      <c r="EG10" s="440"/>
      <c r="EH10" s="440"/>
      <c r="EI10" s="440"/>
      <c r="EJ10" s="440"/>
      <c r="EK10" s="440"/>
      <c r="EL10" s="440"/>
      <c r="EM10" s="440"/>
      <c r="EN10" s="440"/>
      <c r="EO10" s="440"/>
      <c r="EP10" s="440"/>
      <c r="EQ10" s="440"/>
      <c r="ER10" s="440"/>
      <c r="ES10" s="440"/>
      <c r="ET10" s="440"/>
      <c r="EU10" s="440"/>
      <c r="EV10" s="440"/>
      <c r="EW10" s="440"/>
      <c r="EX10" s="440"/>
      <c r="EY10" s="440"/>
      <c r="EZ10" s="440"/>
      <c r="FA10" s="440"/>
      <c r="FB10" s="440"/>
      <c r="FC10" s="440"/>
      <c r="FD10" s="440"/>
      <c r="FE10" s="440"/>
      <c r="FF10" s="440"/>
      <c r="FG10" s="440"/>
      <c r="FH10" s="440"/>
      <c r="FI10" s="440"/>
      <c r="FJ10" s="440"/>
      <c r="FK10" s="440"/>
      <c r="FL10" s="440"/>
      <c r="FM10" s="440"/>
      <c r="FN10" s="440"/>
      <c r="FO10" s="440"/>
      <c r="FP10" s="440"/>
      <c r="FQ10" s="440"/>
      <c r="FR10" s="440"/>
      <c r="FS10" s="440"/>
      <c r="FT10" s="440"/>
      <c r="FU10" s="440"/>
      <c r="FV10" s="440"/>
      <c r="FW10" s="440"/>
      <c r="FX10" s="440"/>
      <c r="FY10" s="440"/>
      <c r="FZ10" s="440"/>
      <c r="GA10" s="440"/>
      <c r="GB10" s="440"/>
      <c r="GC10" s="440"/>
      <c r="GD10" s="440"/>
      <c r="GE10" s="440"/>
      <c r="GF10" s="440"/>
      <c r="GG10" s="440"/>
      <c r="GH10" s="440"/>
      <c r="GI10" s="440"/>
      <c r="GJ10" s="440"/>
      <c r="GK10" s="440"/>
      <c r="GL10" s="440"/>
      <c r="GM10" s="440"/>
      <c r="GN10" s="440"/>
      <c r="GO10" s="440"/>
      <c r="GP10" s="440"/>
      <c r="GQ10" s="440"/>
      <c r="GR10" s="440"/>
      <c r="GS10" s="440"/>
      <c r="GT10" s="440"/>
      <c r="GU10" s="440"/>
      <c r="GV10" s="440"/>
      <c r="GW10" s="440"/>
      <c r="GX10" s="440"/>
      <c r="GY10" s="440"/>
      <c r="GZ10" s="440"/>
      <c r="HA10" s="440"/>
      <c r="HB10" s="440"/>
      <c r="HC10" s="440"/>
      <c r="HD10" s="440"/>
      <c r="HE10" s="440"/>
      <c r="HF10" s="440"/>
      <c r="HG10" s="440"/>
      <c r="HH10" s="440"/>
      <c r="HI10" s="440"/>
      <c r="HJ10" s="440"/>
      <c r="HK10" s="440"/>
      <c r="HL10" s="440"/>
      <c r="HM10" s="440"/>
      <c r="HN10" s="440"/>
      <c r="HO10" s="440"/>
      <c r="HP10" s="440"/>
      <c r="HQ10" s="440"/>
      <c r="HR10" s="440"/>
      <c r="HS10" s="440"/>
      <c r="HT10" s="440"/>
      <c r="HU10" s="440"/>
      <c r="HV10" s="440"/>
      <c r="HW10" s="440"/>
      <c r="HX10" s="440"/>
      <c r="HY10" s="440"/>
      <c r="HZ10" s="1254"/>
      <c r="IA10" s="440"/>
      <c r="IB10" s="440"/>
      <c r="IC10" s="440"/>
      <c r="ID10" s="440"/>
      <c r="IE10" s="440"/>
      <c r="IF10" s="440"/>
      <c r="IG10" s="440"/>
      <c r="IH10" s="440"/>
      <c r="II10" s="440"/>
      <c r="IJ10" s="440"/>
      <c r="IK10" s="440"/>
      <c r="IL10" s="440"/>
      <c r="IM10" s="440"/>
      <c r="IN10" s="440"/>
      <c r="IO10" s="440"/>
      <c r="IP10" s="440"/>
      <c r="IQ10" s="440"/>
      <c r="IR10" s="440"/>
      <c r="IS10" s="440"/>
      <c r="IT10" s="440"/>
      <c r="IU10" s="440"/>
      <c r="IV10" s="440"/>
      <c r="IW10" s="440"/>
      <c r="IX10" s="440"/>
      <c r="IY10" s="440"/>
      <c r="IZ10" s="440"/>
      <c r="JA10" s="440"/>
      <c r="JB10" s="440"/>
      <c r="JC10" s="440"/>
      <c r="JD10" s="440"/>
      <c r="JE10" s="440"/>
      <c r="JF10" s="440"/>
      <c r="JG10" s="440"/>
      <c r="JH10" s="440"/>
      <c r="JI10" s="440"/>
      <c r="JJ10" s="440"/>
      <c r="JK10" s="440"/>
      <c r="JL10" s="440"/>
      <c r="JM10" s="440"/>
      <c r="JN10" s="440"/>
      <c r="JO10" s="440"/>
      <c r="JP10" s="440"/>
      <c r="JQ10" s="440"/>
      <c r="JR10" s="440"/>
      <c r="JS10" s="440"/>
      <c r="JT10" s="440"/>
      <c r="JU10" s="440"/>
      <c r="JV10" s="440"/>
      <c r="JW10" s="440"/>
      <c r="JX10" s="440"/>
      <c r="JY10" s="440"/>
      <c r="JZ10" s="440"/>
      <c r="KA10" s="440"/>
      <c r="KB10" s="440"/>
      <c r="KC10" s="440"/>
      <c r="KD10" s="440"/>
      <c r="KE10" s="440"/>
      <c r="KF10" s="440"/>
      <c r="KG10" s="440"/>
      <c r="KH10" s="440"/>
      <c r="KI10" s="440"/>
      <c r="KJ10" s="440"/>
      <c r="KK10" s="440"/>
      <c r="KL10" s="440"/>
      <c r="KM10" s="440"/>
      <c r="KN10" s="440"/>
      <c r="KO10" s="440"/>
      <c r="KP10" s="440"/>
      <c r="KQ10" s="440"/>
      <c r="KR10" s="440"/>
      <c r="KS10" s="440"/>
      <c r="KT10" s="440"/>
      <c r="KU10" s="440"/>
      <c r="KV10" s="440"/>
      <c r="KW10" s="440"/>
      <c r="KX10" s="440"/>
      <c r="KY10" s="440"/>
      <c r="KZ10" s="440"/>
      <c r="LA10" s="440"/>
      <c r="LB10" s="440"/>
      <c r="LC10" s="440"/>
      <c r="LD10" s="440"/>
      <c r="LE10" s="440"/>
      <c r="LF10" s="440"/>
      <c r="LG10" s="440"/>
      <c r="LH10" s="440"/>
      <c r="LI10" s="440"/>
      <c r="LJ10" s="440"/>
      <c r="LK10" s="440"/>
      <c r="LL10" s="440"/>
      <c r="LM10" s="440"/>
      <c r="LN10" s="440"/>
      <c r="LO10" s="440"/>
      <c r="LP10" s="440"/>
      <c r="LQ10" s="440"/>
      <c r="LR10" s="440"/>
      <c r="LS10" s="440"/>
      <c r="LT10" s="440"/>
      <c r="LU10" s="440"/>
      <c r="LV10" s="440"/>
      <c r="LW10" s="440"/>
      <c r="LX10" s="440"/>
      <c r="LY10" s="440"/>
      <c r="LZ10" s="440"/>
      <c r="MA10" s="440"/>
      <c r="MB10" s="440"/>
      <c r="MC10" s="440"/>
      <c r="MD10" s="440"/>
      <c r="ME10" s="440"/>
      <c r="MF10" s="440"/>
      <c r="MG10" s="440"/>
      <c r="MH10" s="440"/>
      <c r="MI10" s="440"/>
      <c r="MJ10" s="440"/>
      <c r="MK10" s="440"/>
      <c r="ML10" s="440"/>
      <c r="MM10" s="440"/>
      <c r="MN10" s="440"/>
      <c r="MO10" s="440"/>
      <c r="MP10" s="440"/>
      <c r="MQ10" s="440"/>
      <c r="MR10" s="440"/>
      <c r="MS10" s="440"/>
      <c r="MT10" s="440"/>
      <c r="MU10" s="440"/>
      <c r="MV10" s="440"/>
      <c r="MW10" s="440"/>
      <c r="MX10" s="440"/>
      <c r="MY10" s="440"/>
      <c r="MZ10" s="440"/>
      <c r="NA10" s="440"/>
      <c r="NB10" s="440"/>
      <c r="NC10" s="440"/>
      <c r="ND10" s="440"/>
      <c r="NE10" s="440"/>
      <c r="NF10" s="440"/>
      <c r="NG10" s="440"/>
      <c r="NH10" s="440"/>
      <c r="NI10" s="440"/>
      <c r="NJ10" s="440"/>
      <c r="NK10" s="440"/>
      <c r="NL10" s="440"/>
      <c r="NM10" s="440"/>
      <c r="NN10" s="440"/>
      <c r="NO10" s="440"/>
      <c r="NP10" s="440"/>
      <c r="NQ10" s="440"/>
      <c r="NR10" s="440"/>
      <c r="NS10" s="440"/>
      <c r="NT10" s="440"/>
      <c r="NU10" s="440"/>
      <c r="NV10" s="440"/>
      <c r="NW10" s="440"/>
      <c r="NX10" s="440"/>
      <c r="NY10" s="440"/>
      <c r="NZ10" s="440"/>
      <c r="OA10" s="440"/>
      <c r="OB10" s="440"/>
      <c r="OC10" s="440"/>
      <c r="OD10" s="440"/>
      <c r="OE10" s="440"/>
      <c r="OF10" s="440"/>
      <c r="OG10" s="440"/>
      <c r="OH10" s="440"/>
      <c r="OI10" s="440"/>
      <c r="OJ10" s="440"/>
      <c r="OK10" s="440"/>
      <c r="OL10" s="440"/>
      <c r="OM10" s="440"/>
      <c r="ON10" s="440"/>
      <c r="PA10" s="440"/>
      <c r="PB10" s="440"/>
      <c r="PC10" s="440"/>
      <c r="PD10" s="440"/>
      <c r="PE10" s="440"/>
      <c r="PF10" s="440"/>
      <c r="PG10" s="440"/>
      <c r="PH10" s="440"/>
      <c r="PI10" s="440"/>
      <c r="PJ10" s="440"/>
      <c r="PK10" s="440"/>
      <c r="PL10" s="440"/>
      <c r="PM10" s="440"/>
      <c r="PN10" s="440"/>
    </row>
    <row r="11" spans="1:430" ht="15" customHeight="1">
      <c r="I11" s="582"/>
      <c r="J11" s="582"/>
      <c r="K11" s="582"/>
      <c r="L11" s="420"/>
      <c r="M11" s="420"/>
      <c r="N11" s="420"/>
      <c r="O11" s="420"/>
      <c r="P11" s="420"/>
      <c r="Q11" s="784"/>
      <c r="R11" s="420"/>
      <c r="S11" s="420"/>
      <c r="T11" s="342"/>
      <c r="U11" s="342"/>
      <c r="V11" s="342"/>
      <c r="W11" s="342"/>
      <c r="X11" s="784"/>
      <c r="Y11" s="420"/>
      <c r="Z11" s="420"/>
      <c r="AA11" s="420"/>
      <c r="AB11" s="420"/>
      <c r="AC11" s="420"/>
      <c r="AD11" s="420"/>
      <c r="AE11" s="420"/>
      <c r="AF11" s="420"/>
      <c r="AG11" s="420"/>
      <c r="AH11" s="784"/>
      <c r="AI11" s="1779" t="s">
        <v>2136</v>
      </c>
      <c r="AJ11" s="1773" t="s">
        <v>2782</v>
      </c>
      <c r="AK11" s="1773" t="s">
        <v>2783</v>
      </c>
      <c r="AL11" s="1779" t="s">
        <v>2127</v>
      </c>
      <c r="AM11" s="1779" t="s">
        <v>2196</v>
      </c>
      <c r="AN11" s="1773" t="s">
        <v>2774</v>
      </c>
      <c r="AO11" s="1782" t="s">
        <v>2211</v>
      </c>
      <c r="AP11" s="1779" t="s">
        <v>2496</v>
      </c>
      <c r="AQ11" s="1779"/>
      <c r="AR11" s="1683" t="s">
        <v>2287</v>
      </c>
      <c r="AS11" s="461"/>
      <c r="AT11" s="461"/>
      <c r="AU11" s="1666" t="s">
        <v>2000</v>
      </c>
      <c r="AV11" s="1666" t="s">
        <v>2207</v>
      </c>
      <c r="AW11" s="1666" t="s">
        <v>192</v>
      </c>
      <c r="AX11" s="1666" t="s">
        <v>192</v>
      </c>
      <c r="AY11" s="1666" t="s">
        <v>193</v>
      </c>
      <c r="AZ11" s="1666" t="s">
        <v>193</v>
      </c>
      <c r="BA11" s="1666" t="s">
        <v>194</v>
      </c>
      <c r="BB11" s="1666" t="s">
        <v>194</v>
      </c>
      <c r="BC11" s="1783" t="s">
        <v>2210</v>
      </c>
      <c r="BD11" s="1666" t="s">
        <v>2209</v>
      </c>
      <c r="BE11" s="1666" t="s">
        <v>2000</v>
      </c>
      <c r="BF11" s="1666" t="s">
        <v>2207</v>
      </c>
      <c r="BG11" s="1798" t="s">
        <v>2633</v>
      </c>
      <c r="BH11" s="1798" t="s">
        <v>2634</v>
      </c>
      <c r="BI11" s="1666" t="s">
        <v>192</v>
      </c>
      <c r="BJ11" s="1666" t="s">
        <v>192</v>
      </c>
      <c r="BK11" s="1666" t="s">
        <v>193</v>
      </c>
      <c r="BL11" s="1666" t="s">
        <v>193</v>
      </c>
      <c r="BM11" s="1666" t="s">
        <v>194</v>
      </c>
      <c r="BN11" s="1781" t="s">
        <v>194</v>
      </c>
      <c r="BO11" s="1806" t="s">
        <v>2855</v>
      </c>
      <c r="BP11" s="1666" t="s">
        <v>2128</v>
      </c>
      <c r="BQ11" s="1666" t="s">
        <v>2000</v>
      </c>
      <c r="BR11" s="1666" t="s">
        <v>2207</v>
      </c>
      <c r="BS11" s="1666" t="s">
        <v>192</v>
      </c>
      <c r="BT11" s="1666" t="s">
        <v>192</v>
      </c>
      <c r="BU11" s="1666" t="s">
        <v>193</v>
      </c>
      <c r="BV11" s="1666" t="s">
        <v>193</v>
      </c>
      <c r="BW11" s="1666" t="s">
        <v>194</v>
      </c>
      <c r="BX11" s="1781" t="s">
        <v>194</v>
      </c>
      <c r="BY11" s="351"/>
      <c r="BZ11" s="351"/>
      <c r="CA11" s="351"/>
      <c r="CB11" s="293">
        <f>SUM(CB15:CB120)</f>
        <v>4211.6971153846162</v>
      </c>
      <c r="CC11" s="293">
        <f>SUM(CC15:CC120)</f>
        <v>3469.1971153846143</v>
      </c>
      <c r="CD11" s="293">
        <f t="shared" ref="CD11:CH11" si="4">SUM(CD15:CD120)</f>
        <v>742.5</v>
      </c>
      <c r="CE11" s="293">
        <f t="shared" si="4"/>
        <v>0</v>
      </c>
      <c r="CF11" s="293">
        <f t="shared" si="4"/>
        <v>0</v>
      </c>
      <c r="CG11" s="293">
        <f t="shared" si="4"/>
        <v>0</v>
      </c>
      <c r="CH11" s="293">
        <f t="shared" si="4"/>
        <v>0</v>
      </c>
      <c r="CI11" s="440"/>
      <c r="CJ11" s="440"/>
      <c r="CK11" s="440"/>
      <c r="CL11" s="440"/>
      <c r="CM11" s="440"/>
      <c r="CN11" s="440"/>
      <c r="CO11" s="440"/>
      <c r="CP11" s="440"/>
      <c r="CQ11" s="293"/>
      <c r="CR11" s="293"/>
      <c r="CS11" s="440"/>
      <c r="CT11" s="440"/>
      <c r="CU11" s="440"/>
      <c r="CV11" s="440"/>
      <c r="DB11" s="293">
        <f>SUM(DB15:DB120)</f>
        <v>13975.502148323099</v>
      </c>
      <c r="DC11" s="293">
        <f t="shared" ref="DC11:DH11" si="5">SUM(DC15:DC120)</f>
        <v>730.50485781766622</v>
      </c>
      <c r="DD11" s="293">
        <f t="shared" si="5"/>
        <v>1826.9911913084554</v>
      </c>
      <c r="DE11" s="293">
        <f t="shared" si="5"/>
        <v>902.55989418989122</v>
      </c>
      <c r="DF11" s="293">
        <f t="shared" si="5"/>
        <v>2171.1012640529048</v>
      </c>
      <c r="DG11" s="293">
        <f t="shared" si="5"/>
        <v>2782.8674199338684</v>
      </c>
      <c r="DH11" s="293">
        <f t="shared" si="5"/>
        <v>5561.4775210203125</v>
      </c>
      <c r="DI11" s="440"/>
      <c r="DJ11" s="440"/>
      <c r="DK11" s="440"/>
      <c r="DL11" s="440"/>
      <c r="DM11" s="440"/>
      <c r="DN11" s="440"/>
      <c r="DO11" s="440"/>
      <c r="DP11" s="293">
        <f t="shared" ref="DP11" si="6">SUM(DP15:DP120)/1.04</f>
        <v>0</v>
      </c>
      <c r="DQ11" s="293"/>
      <c r="DR11" s="293"/>
      <c r="DS11" s="440"/>
      <c r="DT11" s="440"/>
      <c r="DU11" s="440"/>
      <c r="DV11" s="440"/>
      <c r="EA11" s="232"/>
      <c r="EB11" s="232"/>
      <c r="EC11" s="232"/>
      <c r="ED11" s="264"/>
      <c r="EE11" s="297"/>
      <c r="EF11" s="297"/>
      <c r="EG11" s="297"/>
      <c r="EH11" s="297"/>
      <c r="EI11" s="297"/>
      <c r="EJ11" s="297"/>
      <c r="EK11" s="293">
        <f>SUM(EK15:EK120)</f>
        <v>3854.6634615384605</v>
      </c>
      <c r="EL11" s="293">
        <f t="shared" ref="EL11:ER11" si="7">SUM(EL15:EL120)</f>
        <v>3854.6634615384605</v>
      </c>
      <c r="EM11" s="293">
        <f t="shared" si="7"/>
        <v>1.3</v>
      </c>
      <c r="EN11" s="293">
        <f t="shared" si="7"/>
        <v>385.46634615384619</v>
      </c>
      <c r="EO11" s="293">
        <f t="shared" si="7"/>
        <v>3469.1971153846143</v>
      </c>
      <c r="EP11" s="293">
        <f t="shared" si="7"/>
        <v>0</v>
      </c>
      <c r="EQ11" s="293">
        <f t="shared" si="7"/>
        <v>3607.9650000000001</v>
      </c>
      <c r="ER11" s="293">
        <f t="shared" si="7"/>
        <v>7678.3424000000032</v>
      </c>
      <c r="ET11" s="419"/>
      <c r="EU11" s="419"/>
      <c r="EV11" s="419"/>
      <c r="EW11" s="419"/>
      <c r="EX11" s="419"/>
      <c r="EY11" s="419"/>
      <c r="EZ11" s="419"/>
      <c r="FA11" s="232"/>
      <c r="FB11" s="232"/>
      <c r="FC11" s="232"/>
      <c r="FD11" s="264"/>
      <c r="FE11" s="297"/>
      <c r="FF11" s="297"/>
      <c r="FG11" s="297"/>
      <c r="FH11" s="293">
        <f>SUM(FH15:FH120)</f>
        <v>1713.4615384615383</v>
      </c>
      <c r="FI11" s="293">
        <f t="shared" ref="FI11:FR11" si="8">SUM(FI15:FI120)</f>
        <v>0</v>
      </c>
      <c r="FJ11" s="293">
        <f t="shared" si="8"/>
        <v>0</v>
      </c>
      <c r="FK11" s="293">
        <f t="shared" si="8"/>
        <v>824.99999999999989</v>
      </c>
      <c r="FL11" s="293">
        <f t="shared" si="8"/>
        <v>0</v>
      </c>
      <c r="FM11" s="293">
        <f t="shared" si="8"/>
        <v>1.3</v>
      </c>
      <c r="FN11" s="293">
        <f t="shared" si="8"/>
        <v>82.499999999999986</v>
      </c>
      <c r="FO11" s="293">
        <f t="shared" si="8"/>
        <v>742.5</v>
      </c>
      <c r="FP11" s="293">
        <f t="shared" si="8"/>
        <v>0</v>
      </c>
      <c r="FQ11" s="293">
        <f t="shared" si="8"/>
        <v>772.19999999999993</v>
      </c>
      <c r="FR11" s="293" t="e">
        <f t="shared" si="8"/>
        <v>#REF!</v>
      </c>
      <c r="FS11" s="419"/>
      <c r="FT11" s="419"/>
      <c r="FU11" s="419"/>
      <c r="FV11" s="419"/>
      <c r="FW11" s="419"/>
      <c r="FX11" s="419"/>
      <c r="FY11" s="419"/>
      <c r="FZ11" s="419"/>
      <c r="GA11" s="232"/>
      <c r="GB11" s="232"/>
      <c r="GC11" s="232"/>
      <c r="GD11" s="264"/>
      <c r="GE11" s="297"/>
      <c r="GF11" s="297"/>
      <c r="GG11" s="297"/>
      <c r="GH11" s="297"/>
      <c r="GI11" s="297"/>
      <c r="GJ11" s="297"/>
      <c r="GK11" s="293">
        <f t="shared" ref="GK11:GR11" si="9">SUM(GK15:GK120)</f>
        <v>0</v>
      </c>
      <c r="GL11" s="293">
        <f t="shared" si="9"/>
        <v>0</v>
      </c>
      <c r="GM11" s="293">
        <f t="shared" si="9"/>
        <v>0</v>
      </c>
      <c r="GN11" s="293">
        <f t="shared" si="9"/>
        <v>0</v>
      </c>
      <c r="GO11" s="293">
        <f t="shared" si="9"/>
        <v>0</v>
      </c>
      <c r="GP11" s="293">
        <f t="shared" si="9"/>
        <v>0</v>
      </c>
      <c r="GQ11" s="293">
        <f t="shared" si="9"/>
        <v>0</v>
      </c>
      <c r="GR11" s="293">
        <f t="shared" si="9"/>
        <v>196.10239999999996</v>
      </c>
      <c r="GS11" s="420"/>
      <c r="GT11" s="420"/>
      <c r="GU11" s="420"/>
      <c r="GV11" s="420"/>
      <c r="GW11" s="420"/>
      <c r="GX11" s="420"/>
      <c r="GY11" s="420"/>
      <c r="GZ11" s="420"/>
      <c r="HA11" s="232"/>
      <c r="HB11" s="232"/>
      <c r="HC11" s="232"/>
      <c r="HD11" s="264"/>
      <c r="HE11" s="297"/>
      <c r="HF11" s="297"/>
      <c r="HG11" s="297"/>
      <c r="HH11" s="297"/>
      <c r="HI11" s="297"/>
      <c r="HJ11" s="297"/>
      <c r="HK11" s="293">
        <f t="shared" ref="HK11:HR11" si="10">SUM(HK15:HK120)</f>
        <v>0</v>
      </c>
      <c r="HL11" s="293">
        <f t="shared" si="10"/>
        <v>0</v>
      </c>
      <c r="HM11" s="293">
        <f t="shared" si="10"/>
        <v>0</v>
      </c>
      <c r="HN11" s="293">
        <f t="shared" si="10"/>
        <v>0</v>
      </c>
      <c r="HO11" s="293">
        <f t="shared" si="10"/>
        <v>0</v>
      </c>
      <c r="HP11" s="293">
        <f t="shared" si="10"/>
        <v>0</v>
      </c>
      <c r="HQ11" s="293">
        <f t="shared" si="10"/>
        <v>0</v>
      </c>
      <c r="HR11" s="293">
        <f t="shared" si="10"/>
        <v>196.10239999999996</v>
      </c>
      <c r="HS11" s="420"/>
      <c r="HT11" s="420"/>
      <c r="HU11" s="420"/>
      <c r="HV11" s="420"/>
      <c r="HW11" s="420"/>
      <c r="HX11" s="420"/>
      <c r="HY11" s="420"/>
      <c r="HZ11" s="1254"/>
      <c r="IA11" s="232"/>
      <c r="IB11" s="232"/>
      <c r="IC11" s="232"/>
      <c r="ID11" s="264"/>
      <c r="IE11" s="297"/>
      <c r="IF11" s="297"/>
      <c r="IG11" s="297"/>
      <c r="IH11" s="293">
        <f t="shared" ref="IH11:IN11" si="11">SUM(IH15:IH120)</f>
        <v>1505.073103448276</v>
      </c>
      <c r="II11" s="293">
        <f t="shared" si="11"/>
        <v>730.50485781766622</v>
      </c>
      <c r="IJ11" s="293">
        <f t="shared" si="11"/>
        <v>0</v>
      </c>
      <c r="IK11" s="293">
        <f t="shared" si="11"/>
        <v>0</v>
      </c>
      <c r="IL11" s="293">
        <f t="shared" si="11"/>
        <v>730.50485781766622</v>
      </c>
      <c r="IM11" s="293">
        <f t="shared" si="11"/>
        <v>759.72505213037334</v>
      </c>
      <c r="IN11" s="293">
        <f t="shared" si="11"/>
        <v>1565.2760275862072</v>
      </c>
      <c r="JA11" s="232"/>
      <c r="JB11" s="232"/>
      <c r="JC11" s="232"/>
      <c r="JD11" s="264"/>
      <c r="JE11" s="297"/>
      <c r="JF11" s="297"/>
      <c r="JG11" s="297"/>
      <c r="JH11" s="293">
        <f t="shared" ref="JH11:JN11" si="12">SUM(JH15:JH120)</f>
        <v>3764.1848275862062</v>
      </c>
      <c r="JI11" s="293">
        <f t="shared" si="12"/>
        <v>1826.9911913084554</v>
      </c>
      <c r="JJ11" s="293">
        <f t="shared" si="12"/>
        <v>0</v>
      </c>
      <c r="JK11" s="293">
        <f t="shared" si="12"/>
        <v>0</v>
      </c>
      <c r="JL11" s="293">
        <f t="shared" si="12"/>
        <v>1826.9911913084554</v>
      </c>
      <c r="JM11" s="293">
        <f t="shared" si="12"/>
        <v>1900.0708389607933</v>
      </c>
      <c r="JN11" s="293" t="e">
        <f t="shared" si="12"/>
        <v>#REF!</v>
      </c>
      <c r="KA11" s="232"/>
      <c r="KB11" s="232"/>
      <c r="KC11" s="232"/>
      <c r="KD11" s="264"/>
      <c r="KE11" s="297"/>
      <c r="KF11" s="297"/>
      <c r="KG11" s="297"/>
      <c r="KH11" s="293">
        <f t="shared" ref="KH11:KN11" si="13">SUM(KH15:KH120)</f>
        <v>1859.5613793103446</v>
      </c>
      <c r="KI11" s="293">
        <f t="shared" si="13"/>
        <v>902.55989418989122</v>
      </c>
      <c r="KJ11" s="293">
        <f t="shared" si="13"/>
        <v>0</v>
      </c>
      <c r="KK11" s="293">
        <f t="shared" si="13"/>
        <v>0</v>
      </c>
      <c r="KL11" s="293">
        <f t="shared" si="13"/>
        <v>902.55989418989122</v>
      </c>
      <c r="KM11" s="293">
        <f t="shared" si="13"/>
        <v>938.66228995748713</v>
      </c>
      <c r="KN11" s="293" t="e">
        <f t="shared" si="13"/>
        <v>#REF!</v>
      </c>
      <c r="LA11" s="232"/>
      <c r="LB11" s="232"/>
      <c r="LC11" s="232"/>
      <c r="LD11" s="264"/>
      <c r="LE11" s="297"/>
      <c r="LF11" s="297"/>
      <c r="LG11" s="297"/>
      <c r="LH11" s="293">
        <f t="shared" ref="LH11:LN11" si="14">SUM(LH15:LH120)</f>
        <v>4473.1613793103443</v>
      </c>
      <c r="LI11" s="293">
        <f t="shared" si="14"/>
        <v>2171.1012640529048</v>
      </c>
      <c r="LJ11" s="293">
        <f t="shared" si="14"/>
        <v>0</v>
      </c>
      <c r="LK11" s="293">
        <f t="shared" si="14"/>
        <v>0</v>
      </c>
      <c r="LL11" s="293">
        <f t="shared" si="14"/>
        <v>2171.1012640529048</v>
      </c>
      <c r="LM11" s="293">
        <f t="shared" si="14"/>
        <v>2257.9453146150213</v>
      </c>
      <c r="LN11" s="293" t="e">
        <f t="shared" si="14"/>
        <v>#REF!</v>
      </c>
      <c r="MA11" s="232"/>
      <c r="MB11" s="232"/>
      <c r="MC11" s="232"/>
      <c r="MD11" s="264"/>
      <c r="ME11" s="297"/>
      <c r="MF11" s="297"/>
      <c r="MG11" s="297"/>
      <c r="MH11" s="293">
        <f t="shared" ref="MH11:MN11" si="15">SUM(MH15:MH120)</f>
        <v>5736.9393103448292</v>
      </c>
      <c r="MI11" s="293">
        <f t="shared" si="15"/>
        <v>2782.8674199338684</v>
      </c>
      <c r="MJ11" s="293">
        <f t="shared" si="15"/>
        <v>0</v>
      </c>
      <c r="MK11" s="293">
        <f t="shared" si="15"/>
        <v>0</v>
      </c>
      <c r="ML11" s="293">
        <f t="shared" si="15"/>
        <v>2782.8674199338684</v>
      </c>
      <c r="MM11" s="293">
        <f t="shared" si="15"/>
        <v>2894.1821167312241</v>
      </c>
      <c r="MN11" s="293" t="e">
        <f t="shared" si="15"/>
        <v>#REF!</v>
      </c>
      <c r="NA11" s="232"/>
      <c r="NB11" s="232"/>
      <c r="NC11" s="232"/>
      <c r="ND11" s="264"/>
      <c r="NE11" s="297"/>
      <c r="NF11" s="297"/>
      <c r="NG11" s="297"/>
      <c r="NH11" s="293">
        <f t="shared" ref="NH11:NN11" si="16">SUM(NH15:NH120)</f>
        <v>11465.10206896552</v>
      </c>
      <c r="NI11" s="293">
        <f t="shared" si="16"/>
        <v>5561.4775210203125</v>
      </c>
      <c r="NJ11" s="293">
        <f t="shared" si="16"/>
        <v>0</v>
      </c>
      <c r="NK11" s="293">
        <f t="shared" si="16"/>
        <v>0</v>
      </c>
      <c r="NL11" s="293">
        <f t="shared" si="16"/>
        <v>5561.4775210203125</v>
      </c>
      <c r="NM11" s="293">
        <f t="shared" si="16"/>
        <v>5783.9366218611249</v>
      </c>
      <c r="NN11" s="293" t="e">
        <f t="shared" si="16"/>
        <v>#REF!</v>
      </c>
      <c r="OA11" s="232"/>
      <c r="OB11" s="232"/>
      <c r="OC11" s="232"/>
      <c r="OD11" s="264"/>
      <c r="OE11" s="297"/>
      <c r="OF11" s="297"/>
      <c r="OG11" s="297"/>
      <c r="OH11" s="293">
        <f t="shared" ref="OH11:ON11" si="17">SUM(OH15:OH120)</f>
        <v>0</v>
      </c>
      <c r="OI11" s="293">
        <f t="shared" si="17"/>
        <v>0</v>
      </c>
      <c r="OJ11" s="293">
        <f t="shared" si="17"/>
        <v>0</v>
      </c>
      <c r="OK11" s="293">
        <f t="shared" si="17"/>
        <v>0</v>
      </c>
      <c r="OL11" s="293">
        <f t="shared" si="17"/>
        <v>0</v>
      </c>
      <c r="OM11" s="293">
        <f t="shared" si="17"/>
        <v>0</v>
      </c>
      <c r="ON11" s="293" t="e">
        <f t="shared" si="17"/>
        <v>#REF!</v>
      </c>
      <c r="PA11" s="232"/>
      <c r="PB11" s="232"/>
      <c r="PC11" s="232"/>
      <c r="PD11" s="264"/>
      <c r="PE11" s="297"/>
      <c r="PF11" s="297"/>
      <c r="PG11" s="297"/>
      <c r="PH11" s="293">
        <f t="shared" ref="PH11:PN11" si="18">SUM(PH15:PH120)</f>
        <v>0</v>
      </c>
      <c r="PI11" s="293">
        <f t="shared" si="18"/>
        <v>0</v>
      </c>
      <c r="PJ11" s="293">
        <f t="shared" si="18"/>
        <v>0</v>
      </c>
      <c r="PK11" s="293">
        <f t="shared" si="18"/>
        <v>0</v>
      </c>
      <c r="PL11" s="293">
        <f t="shared" si="18"/>
        <v>0</v>
      </c>
      <c r="PM11" s="293">
        <f t="shared" si="18"/>
        <v>0</v>
      </c>
      <c r="PN11" s="293" t="e">
        <f t="shared" si="18"/>
        <v>#REF!</v>
      </c>
    </row>
    <row r="12" spans="1:430" ht="27.75" thickBot="1">
      <c r="I12" s="582"/>
      <c r="J12" s="582"/>
      <c r="K12" s="582"/>
      <c r="L12" s="420"/>
      <c r="M12" s="420"/>
      <c r="N12" s="420"/>
      <c r="O12" s="420"/>
      <c r="P12" s="420"/>
      <c r="Q12" s="784"/>
      <c r="R12" s="420"/>
      <c r="S12" s="420"/>
      <c r="T12" s="342"/>
      <c r="U12" s="342"/>
      <c r="V12" s="342"/>
      <c r="W12" s="342"/>
      <c r="X12" s="420"/>
      <c r="Y12" s="420"/>
      <c r="Z12" s="420"/>
      <c r="AA12" s="420"/>
      <c r="AB12" s="420"/>
      <c r="AC12" s="420"/>
      <c r="AD12" s="420"/>
      <c r="AE12" s="420"/>
      <c r="AF12" s="420"/>
      <c r="AG12" s="420"/>
      <c r="AH12" s="784"/>
      <c r="AI12" s="1667"/>
      <c r="AJ12" s="1774"/>
      <c r="AK12" s="1774"/>
      <c r="AL12" s="1780"/>
      <c r="AM12" s="1667"/>
      <c r="AN12" s="1774"/>
      <c r="AO12" s="1684"/>
      <c r="AP12" s="1797"/>
      <c r="AQ12" s="1797"/>
      <c r="AR12" s="1684"/>
      <c r="AS12" s="461"/>
      <c r="AT12" s="461"/>
      <c r="AU12" s="1666"/>
      <c r="AV12" s="1666"/>
      <c r="AW12" s="1666"/>
      <c r="AX12" s="1666"/>
      <c r="AY12" s="1666"/>
      <c r="AZ12" s="1666"/>
      <c r="BA12" s="1666"/>
      <c r="BB12" s="1666"/>
      <c r="BC12" s="1783"/>
      <c r="BD12" s="1666"/>
      <c r="BE12" s="1666"/>
      <c r="BF12" s="1666"/>
      <c r="BG12" s="1774"/>
      <c r="BH12" s="1774"/>
      <c r="BI12" s="1666"/>
      <c r="BJ12" s="1666"/>
      <c r="BK12" s="1666"/>
      <c r="BL12" s="1666"/>
      <c r="BM12" s="1666"/>
      <c r="BN12" s="1781"/>
      <c r="BO12" s="1783"/>
      <c r="BP12" s="1666"/>
      <c r="BQ12" s="1666"/>
      <c r="BR12" s="1666"/>
      <c r="BS12" s="1666"/>
      <c r="BT12" s="1666"/>
      <c r="BU12" s="1666"/>
      <c r="BV12" s="1666"/>
      <c r="BW12" s="1666"/>
      <c r="BX12" s="1781"/>
      <c r="BY12" s="351"/>
      <c r="BZ12" s="351"/>
      <c r="CA12" s="351"/>
      <c r="CB12" s="351"/>
      <c r="CC12" s="294"/>
      <c r="CD12" s="294"/>
      <c r="CE12" s="294"/>
      <c r="CF12" s="294"/>
      <c r="CG12" s="294"/>
      <c r="CH12" s="294"/>
      <c r="CI12" s="440"/>
      <c r="CJ12" s="440"/>
      <c r="CK12" s="440"/>
      <c r="CL12" s="440"/>
      <c r="CM12" s="440"/>
      <c r="CN12" s="440"/>
      <c r="CO12" s="440"/>
      <c r="CP12" s="440"/>
      <c r="CQ12" s="294"/>
      <c r="CR12" s="294"/>
      <c r="CS12" s="440"/>
      <c r="CT12" s="440"/>
      <c r="CU12" s="440"/>
      <c r="CV12" s="440"/>
      <c r="DB12" s="294">
        <v>0</v>
      </c>
      <c r="DC12" s="294">
        <v>0</v>
      </c>
      <c r="DD12" s="294">
        <v>0</v>
      </c>
      <c r="DE12" s="294">
        <v>0</v>
      </c>
      <c r="DF12" s="294">
        <v>0</v>
      </c>
      <c r="DG12" s="294">
        <v>0</v>
      </c>
      <c r="DH12" s="294">
        <v>0</v>
      </c>
      <c r="DI12" s="294"/>
      <c r="DJ12" s="294"/>
      <c r="DK12" s="294"/>
      <c r="DL12" s="294"/>
      <c r="DM12" s="294"/>
      <c r="DN12" s="294"/>
      <c r="DO12" s="294"/>
      <c r="DP12" s="294">
        <f t="shared" ref="DP12" si="19">DP11*TAXE</f>
        <v>0</v>
      </c>
      <c r="DQ12" s="294"/>
      <c r="DR12" s="294"/>
      <c r="DS12" s="440"/>
      <c r="DT12" s="440"/>
      <c r="DU12" s="440"/>
      <c r="DV12" s="440"/>
      <c r="EA12" s="230"/>
      <c r="EB12" s="230"/>
      <c r="EC12" s="230"/>
      <c r="ED12" s="265"/>
      <c r="EE12" s="298"/>
      <c r="EF12" s="298"/>
      <c r="EG12" s="298"/>
      <c r="EH12" s="298"/>
      <c r="EI12" s="298"/>
      <c r="EJ12" s="298"/>
      <c r="EK12" s="294">
        <f>EK13-EK11</f>
        <v>154.18653846153848</v>
      </c>
      <c r="EL12" s="294">
        <f t="shared" ref="EL12:ER12" si="20">EL13-EL11</f>
        <v>154.18653846153848</v>
      </c>
      <c r="EM12" s="294">
        <f t="shared" si="20"/>
        <v>5.2000000000000046E-2</v>
      </c>
      <c r="EN12" s="294">
        <f t="shared" si="20"/>
        <v>15.418653846153859</v>
      </c>
      <c r="EO12" s="294">
        <f t="shared" si="20"/>
        <v>138.7678846153849</v>
      </c>
      <c r="EP12" s="294">
        <f t="shared" si="20"/>
        <v>0</v>
      </c>
      <c r="EQ12" s="294">
        <f t="shared" si="20"/>
        <v>144.31860000000006</v>
      </c>
      <c r="ER12" s="294">
        <f t="shared" si="20"/>
        <v>307.13369600000078</v>
      </c>
      <c r="ET12" s="419"/>
      <c r="EU12" s="419"/>
      <c r="EV12" s="419"/>
      <c r="EW12" s="419"/>
      <c r="EX12" s="419"/>
      <c r="EY12" s="419"/>
      <c r="EZ12" s="419"/>
      <c r="FA12" s="230"/>
      <c r="FB12" s="230"/>
      <c r="FC12" s="230"/>
      <c r="FD12" s="265"/>
      <c r="FE12" s="298"/>
      <c r="FF12" s="298"/>
      <c r="FG12" s="298"/>
      <c r="FH12" s="294">
        <f>FH13-FH11</f>
        <v>68.538461538461661</v>
      </c>
      <c r="FI12" s="294">
        <f t="shared" ref="FI12:FR12" si="21">FI13-FI11</f>
        <v>0</v>
      </c>
      <c r="FJ12" s="294">
        <f t="shared" si="21"/>
        <v>0</v>
      </c>
      <c r="FK12" s="294">
        <f t="shared" si="21"/>
        <v>33</v>
      </c>
      <c r="FL12" s="294">
        <f t="shared" si="21"/>
        <v>0</v>
      </c>
      <c r="FM12" s="294">
        <f t="shared" si="21"/>
        <v>5.2000000000000046E-2</v>
      </c>
      <c r="FN12" s="294">
        <f t="shared" si="21"/>
        <v>3.2999999999999972</v>
      </c>
      <c r="FO12" s="294">
        <f t="shared" si="21"/>
        <v>29.700000000000045</v>
      </c>
      <c r="FP12" s="294">
        <f t="shared" si="21"/>
        <v>0</v>
      </c>
      <c r="FQ12" s="294">
        <f t="shared" si="21"/>
        <v>30.888000000000034</v>
      </c>
      <c r="FR12" s="294" t="e">
        <f t="shared" si="21"/>
        <v>#REF!</v>
      </c>
      <c r="FS12" s="419"/>
      <c r="FT12" s="419"/>
      <c r="FU12" s="419"/>
      <c r="FV12" s="419"/>
      <c r="FW12" s="419"/>
      <c r="FX12" s="419"/>
      <c r="FY12" s="419"/>
      <c r="FZ12" s="419"/>
      <c r="GA12" s="230"/>
      <c r="GB12" s="230"/>
      <c r="GC12" s="230"/>
      <c r="GD12" s="265"/>
      <c r="GE12" s="298"/>
      <c r="GF12" s="298"/>
      <c r="GG12" s="298"/>
      <c r="GH12" s="298"/>
      <c r="GI12" s="298"/>
      <c r="GJ12" s="298"/>
      <c r="GK12" s="294">
        <f t="shared" ref="GK12" si="22">GK13-GK11</f>
        <v>0</v>
      </c>
      <c r="GL12" s="294">
        <f t="shared" ref="GL12" si="23">GL13-GL11</f>
        <v>0</v>
      </c>
      <c r="GM12" s="294">
        <f t="shared" ref="GM12" si="24">GM13-GM11</f>
        <v>0</v>
      </c>
      <c r="GN12" s="294">
        <f t="shared" ref="GN12" si="25">GN13-GN11</f>
        <v>0</v>
      </c>
      <c r="GO12" s="294">
        <f t="shared" ref="GO12" si="26">GO13-GO11</f>
        <v>0</v>
      </c>
      <c r="GP12" s="294">
        <f t="shared" ref="GP12" si="27">GP13-GP11</f>
        <v>0</v>
      </c>
      <c r="GQ12" s="294">
        <f t="shared" ref="GQ12" si="28">GQ13-GQ11</f>
        <v>0</v>
      </c>
      <c r="GR12" s="294">
        <f t="shared" ref="GR12" si="29">GR13-GR11</f>
        <v>7.8440960000000075</v>
      </c>
      <c r="GS12" s="420"/>
      <c r="GT12" s="420"/>
      <c r="GU12" s="420"/>
      <c r="GV12" s="420"/>
      <c r="GW12" s="420"/>
      <c r="GX12" s="420"/>
      <c r="GY12" s="420"/>
      <c r="GZ12" s="420"/>
      <c r="HA12" s="230"/>
      <c r="HB12" s="230"/>
      <c r="HC12" s="230"/>
      <c r="HD12" s="265"/>
      <c r="HE12" s="298"/>
      <c r="HF12" s="298"/>
      <c r="HG12" s="298"/>
      <c r="HH12" s="298"/>
      <c r="HI12" s="298"/>
      <c r="HJ12" s="298"/>
      <c r="HK12" s="294">
        <f t="shared" ref="HK12" si="30">HK13-HK11</f>
        <v>0</v>
      </c>
      <c r="HL12" s="294">
        <f t="shared" ref="HL12" si="31">HL13-HL11</f>
        <v>0</v>
      </c>
      <c r="HM12" s="294">
        <f t="shared" ref="HM12" si="32">HM13-HM11</f>
        <v>0</v>
      </c>
      <c r="HN12" s="294">
        <f t="shared" ref="HN12" si="33">HN13-HN11</f>
        <v>0</v>
      </c>
      <c r="HO12" s="294">
        <f t="shared" ref="HO12" si="34">HO13-HO11</f>
        <v>0</v>
      </c>
      <c r="HP12" s="294">
        <f t="shared" ref="HP12" si="35">HP13-HP11</f>
        <v>0</v>
      </c>
      <c r="HQ12" s="294">
        <f t="shared" ref="HQ12" si="36">HQ13-HQ11</f>
        <v>0</v>
      </c>
      <c r="HR12" s="294">
        <f t="shared" ref="HR12" si="37">HR13-HR11</f>
        <v>7.8440960000000075</v>
      </c>
      <c r="HS12" s="420"/>
      <c r="HT12" s="420"/>
      <c r="HU12" s="420"/>
      <c r="HV12" s="420"/>
      <c r="HW12" s="420"/>
      <c r="HX12" s="420"/>
      <c r="HY12" s="420"/>
      <c r="HZ12" s="1254"/>
      <c r="IA12" s="230"/>
      <c r="IB12" s="230"/>
      <c r="IC12" s="230"/>
      <c r="ID12" s="265"/>
      <c r="IE12" s="298"/>
      <c r="IF12" s="298"/>
      <c r="IG12" s="298"/>
      <c r="IH12" s="294">
        <f t="shared" ref="IH12" si="38">IH13-IH11</f>
        <v>60.202924137931177</v>
      </c>
      <c r="II12" s="294">
        <f t="shared" ref="II12" si="39">II13-II11</f>
        <v>29.220194312706667</v>
      </c>
      <c r="IJ12" s="294">
        <f t="shared" ref="IJ12" si="40">IJ13-IJ11</f>
        <v>0</v>
      </c>
      <c r="IK12" s="294">
        <f t="shared" ref="IK12" si="41">IK13-IK11</f>
        <v>0</v>
      </c>
      <c r="IL12" s="294">
        <f t="shared" ref="IL12" si="42">IL13-IL11</f>
        <v>29.220194312706667</v>
      </c>
      <c r="IM12" s="294">
        <f t="shared" ref="IM12" si="43">IM13-IM11</f>
        <v>30.389002085214997</v>
      </c>
      <c r="IN12" s="294">
        <f t="shared" ref="IN12" si="44">IN13-IN11</f>
        <v>62.611041103448315</v>
      </c>
      <c r="JA12" s="230"/>
      <c r="JB12" s="230"/>
      <c r="JC12" s="230"/>
      <c r="JD12" s="265"/>
      <c r="JE12" s="298"/>
      <c r="JF12" s="298"/>
      <c r="JG12" s="298"/>
      <c r="JH12" s="294">
        <f t="shared" ref="JH12" si="45">JH13-JH11</f>
        <v>150.56739310344847</v>
      </c>
      <c r="JI12" s="294">
        <f t="shared" ref="JI12" si="46">JI13-JI11</f>
        <v>73.079647652338281</v>
      </c>
      <c r="JJ12" s="294">
        <f t="shared" ref="JJ12" si="47">JJ13-JJ11</f>
        <v>0</v>
      </c>
      <c r="JK12" s="294">
        <f t="shared" ref="JK12" si="48">JK13-JK11</f>
        <v>0</v>
      </c>
      <c r="JL12" s="294">
        <f t="shared" ref="JL12" si="49">JL13-JL11</f>
        <v>73.079647652338281</v>
      </c>
      <c r="JM12" s="294">
        <f t="shared" ref="JM12" si="50">JM13-JM11</f>
        <v>76.002833558431803</v>
      </c>
      <c r="JN12" s="294" t="e">
        <f t="shared" ref="JN12" si="51">JN13-JN11</f>
        <v>#REF!</v>
      </c>
      <c r="KA12" s="230"/>
      <c r="KB12" s="230"/>
      <c r="KC12" s="230"/>
      <c r="KD12" s="265"/>
      <c r="KE12" s="298"/>
      <c r="KF12" s="298"/>
      <c r="KG12" s="298"/>
      <c r="KH12" s="294">
        <f t="shared" ref="KH12" si="52">KH13-KH11</f>
        <v>74.382455172413756</v>
      </c>
      <c r="KI12" s="294">
        <f t="shared" ref="KI12" si="53">KI13-KI11</f>
        <v>36.102395767595681</v>
      </c>
      <c r="KJ12" s="294">
        <f t="shared" ref="KJ12" si="54">KJ13-KJ11</f>
        <v>0</v>
      </c>
      <c r="KK12" s="294">
        <f t="shared" ref="KK12" si="55">KK13-KK11</f>
        <v>0</v>
      </c>
      <c r="KL12" s="294">
        <f t="shared" ref="KL12" si="56">KL13-KL11</f>
        <v>36.102395767595681</v>
      </c>
      <c r="KM12" s="294">
        <f t="shared" ref="KM12" si="57">KM13-KM11</f>
        <v>37.546491598299554</v>
      </c>
      <c r="KN12" s="294" t="e">
        <f t="shared" ref="KN12" si="58">KN13-KN11</f>
        <v>#REF!</v>
      </c>
      <c r="LA12" s="230"/>
      <c r="LB12" s="230"/>
      <c r="LC12" s="230"/>
      <c r="LD12" s="265"/>
      <c r="LE12" s="298"/>
      <c r="LF12" s="298"/>
      <c r="LG12" s="298"/>
      <c r="LH12" s="294">
        <f t="shared" ref="LH12" si="59">LH13-LH11</f>
        <v>178.92645517241363</v>
      </c>
      <c r="LI12" s="294">
        <f t="shared" ref="LI12" si="60">LI13-LI11</f>
        <v>86.844050562116081</v>
      </c>
      <c r="LJ12" s="294">
        <f t="shared" ref="LJ12" si="61">LJ13-LJ11</f>
        <v>0</v>
      </c>
      <c r="LK12" s="294">
        <f t="shared" ref="LK12" si="62">LK13-LK11</f>
        <v>0</v>
      </c>
      <c r="LL12" s="294">
        <f t="shared" ref="LL12" si="63">LL13-LL11</f>
        <v>86.844050562116081</v>
      </c>
      <c r="LM12" s="294">
        <f t="shared" ref="LM12" si="64">LM13-LM11</f>
        <v>90.317812584601143</v>
      </c>
      <c r="LN12" s="294" t="e">
        <f t="shared" ref="LN12" si="65">LN13-LN11</f>
        <v>#REF!</v>
      </c>
      <c r="MA12" s="230"/>
      <c r="MB12" s="230"/>
      <c r="MC12" s="230"/>
      <c r="MD12" s="265"/>
      <c r="ME12" s="298"/>
      <c r="MF12" s="298"/>
      <c r="MG12" s="298"/>
      <c r="MH12" s="294">
        <f t="shared" ref="MH12" si="66">MH13-MH11</f>
        <v>229.4775724137935</v>
      </c>
      <c r="MI12" s="294">
        <f t="shared" ref="MI12" si="67">MI13-MI11</f>
        <v>111.31469679735483</v>
      </c>
      <c r="MJ12" s="294">
        <f t="shared" ref="MJ12" si="68">MJ13-MJ11</f>
        <v>0</v>
      </c>
      <c r="MK12" s="294">
        <f t="shared" ref="MK12" si="69">MK13-MK11</f>
        <v>0</v>
      </c>
      <c r="ML12" s="294">
        <f t="shared" ref="ML12" si="70">ML13-ML11</f>
        <v>111.31469679735483</v>
      </c>
      <c r="MM12" s="294">
        <f t="shared" ref="MM12" si="71">MM13-MM11</f>
        <v>115.76728466924897</v>
      </c>
      <c r="MN12" s="294" t="e">
        <f t="shared" ref="MN12" si="72">MN13-MN11</f>
        <v>#REF!</v>
      </c>
      <c r="NA12" s="230"/>
      <c r="NB12" s="230"/>
      <c r="NC12" s="230"/>
      <c r="ND12" s="265"/>
      <c r="NE12" s="298"/>
      <c r="NF12" s="298"/>
      <c r="NG12" s="298"/>
      <c r="NH12" s="294">
        <f t="shared" ref="NH12" si="73">NH13-NH11</f>
        <v>458.6040827586221</v>
      </c>
      <c r="NI12" s="294">
        <f t="shared" ref="NI12" si="74">NI13-NI11</f>
        <v>222.45910084081243</v>
      </c>
      <c r="NJ12" s="294">
        <f t="shared" ref="NJ12" si="75">NJ13-NJ11</f>
        <v>0</v>
      </c>
      <c r="NK12" s="294">
        <f t="shared" ref="NK12" si="76">NK13-NK11</f>
        <v>0</v>
      </c>
      <c r="NL12" s="294">
        <f t="shared" ref="NL12" si="77">NL13-NL11</f>
        <v>222.45910084081243</v>
      </c>
      <c r="NM12" s="294">
        <f t="shared" ref="NM12" si="78">NM13-NM11</f>
        <v>231.35746487444521</v>
      </c>
      <c r="NN12" s="294" t="e">
        <f t="shared" ref="NN12" si="79">NN13-NN11</f>
        <v>#REF!</v>
      </c>
      <c r="OA12" s="230"/>
      <c r="OB12" s="230"/>
      <c r="OC12" s="230"/>
      <c r="OD12" s="265"/>
      <c r="OE12" s="298"/>
      <c r="OF12" s="298"/>
      <c r="OG12" s="298"/>
      <c r="OH12" s="294">
        <f t="shared" ref="OH12" si="80">OH13-OH11</f>
        <v>0</v>
      </c>
      <c r="OI12" s="294">
        <f t="shared" ref="OI12" si="81">OI13-OI11</f>
        <v>0</v>
      </c>
      <c r="OJ12" s="294">
        <f t="shared" ref="OJ12" si="82">OJ13-OJ11</f>
        <v>0</v>
      </c>
      <c r="OK12" s="294">
        <f t="shared" ref="OK12" si="83">OK13-OK11</f>
        <v>0</v>
      </c>
      <c r="OL12" s="294">
        <f t="shared" ref="OL12" si="84">OL13-OL11</f>
        <v>0</v>
      </c>
      <c r="OM12" s="294">
        <f t="shared" ref="OM12" si="85">OM13-OM11</f>
        <v>0</v>
      </c>
      <c r="ON12" s="294" t="e">
        <f t="shared" ref="ON12" si="86">ON13-ON11</f>
        <v>#REF!</v>
      </c>
      <c r="PA12" s="230"/>
      <c r="PB12" s="230"/>
      <c r="PC12" s="230"/>
      <c r="PD12" s="265"/>
      <c r="PE12" s="298"/>
      <c r="PF12" s="298"/>
      <c r="PG12" s="298"/>
      <c r="PH12" s="294">
        <f t="shared" ref="PH12" si="87">PH13-PH11</f>
        <v>0</v>
      </c>
      <c r="PI12" s="294">
        <f t="shared" ref="PI12" si="88">PI13-PI11</f>
        <v>0</v>
      </c>
      <c r="PJ12" s="294">
        <f t="shared" ref="PJ12" si="89">PJ13-PJ11</f>
        <v>0</v>
      </c>
      <c r="PK12" s="294">
        <f t="shared" ref="PK12" si="90">PK13-PK11</f>
        <v>0</v>
      </c>
      <c r="PL12" s="294">
        <f t="shared" ref="PL12" si="91">PL13-PL11</f>
        <v>0</v>
      </c>
      <c r="PM12" s="294">
        <f t="shared" ref="PM12" si="92">PM13-PM11</f>
        <v>0</v>
      </c>
      <c r="PN12" s="294" t="e">
        <f t="shared" ref="PN12" si="93">PN13-PN11</f>
        <v>#REF!</v>
      </c>
    </row>
    <row r="13" spans="1:430" ht="15.75" thickBot="1">
      <c r="I13" s="582"/>
      <c r="J13" s="582"/>
      <c r="K13" s="582"/>
      <c r="L13" s="421"/>
      <c r="M13" s="421"/>
      <c r="N13" s="421"/>
      <c r="O13" s="421"/>
      <c r="P13" s="421"/>
      <c r="Q13" s="784"/>
      <c r="R13" s="421"/>
      <c r="S13" s="420"/>
      <c r="T13" s="1759" t="s">
        <v>2351</v>
      </c>
      <c r="U13" s="1759"/>
      <c r="V13" s="1759" t="s">
        <v>2257</v>
      </c>
      <c r="W13" s="1759"/>
      <c r="X13" s="795"/>
      <c r="Y13" s="795"/>
      <c r="Z13" s="795"/>
      <c r="AA13" s="795"/>
      <c r="AB13" s="795"/>
      <c r="AC13" s="795"/>
      <c r="AD13" s="795"/>
      <c r="AE13" s="795"/>
      <c r="AF13" s="795"/>
      <c r="AG13" s="795"/>
      <c r="AH13" s="812"/>
      <c r="AI13" s="813"/>
      <c r="AJ13" s="788"/>
      <c r="AK13" s="788"/>
      <c r="AL13" s="788"/>
      <c r="AM13" s="788"/>
      <c r="AN13" s="788"/>
      <c r="AO13" s="788"/>
      <c r="AP13" s="788"/>
      <c r="AQ13" s="788"/>
      <c r="AR13" s="788"/>
      <c r="AS13" s="788"/>
      <c r="AT13" s="788"/>
      <c r="AU13" s="788"/>
      <c r="AV13" s="788"/>
      <c r="AW13" s="788"/>
      <c r="AX13" s="788"/>
      <c r="AY13" s="788"/>
      <c r="AZ13" s="788"/>
      <c r="BA13" s="788"/>
      <c r="BB13" s="814"/>
      <c r="BC13" s="790"/>
      <c r="BD13" s="790"/>
      <c r="BE13" s="789"/>
      <c r="BF13" s="789"/>
      <c r="BG13" s="789"/>
      <c r="BH13" s="789"/>
      <c r="BI13" s="789"/>
      <c r="BJ13" s="789"/>
      <c r="BK13" s="789"/>
      <c r="BL13" s="789"/>
      <c r="BM13" s="789"/>
      <c r="BN13" s="791"/>
      <c r="BO13" s="792"/>
      <c r="BP13" s="793"/>
      <c r="BQ13" s="793"/>
      <c r="BR13" s="793"/>
      <c r="BS13" s="793"/>
      <c r="BT13" s="793"/>
      <c r="BU13" s="793"/>
      <c r="BV13" s="793"/>
      <c r="BW13" s="793"/>
      <c r="BX13" s="794"/>
      <c r="BY13" s="351"/>
      <c r="BZ13" s="351"/>
      <c r="CA13" s="351"/>
      <c r="CB13" s="295">
        <f t="shared" ref="CB13:CH13" si="94">CB11*TAXE</f>
        <v>4380.1650000000009</v>
      </c>
      <c r="CC13" s="295">
        <f t="shared" si="94"/>
        <v>3607.9649999999992</v>
      </c>
      <c r="CD13" s="295">
        <f t="shared" si="94"/>
        <v>772.2</v>
      </c>
      <c r="CE13" s="295">
        <f t="shared" si="94"/>
        <v>0</v>
      </c>
      <c r="CF13" s="295">
        <f t="shared" si="94"/>
        <v>0</v>
      </c>
      <c r="CG13" s="295">
        <f t="shared" si="94"/>
        <v>0</v>
      </c>
      <c r="CH13" s="295">
        <f t="shared" si="94"/>
        <v>0</v>
      </c>
      <c r="CI13" s="295">
        <f>SUM(CI15:CI120)</f>
        <v>4380.165</v>
      </c>
      <c r="CJ13" s="295">
        <f t="shared" ref="CJ13:CP13" si="95">SUM(CJ15:CJ120)</f>
        <v>3607.9650000000001</v>
      </c>
      <c r="CK13" s="295">
        <f t="shared" si="95"/>
        <v>772.19999999999993</v>
      </c>
      <c r="CL13" s="295">
        <f t="shared" si="95"/>
        <v>0</v>
      </c>
      <c r="CM13" s="295">
        <f t="shared" si="95"/>
        <v>0</v>
      </c>
      <c r="CN13" s="295">
        <f t="shared" si="95"/>
        <v>0</v>
      </c>
      <c r="CO13" s="295">
        <f t="shared" si="95"/>
        <v>0</v>
      </c>
      <c r="CP13" s="295">
        <f t="shared" si="95"/>
        <v>0</v>
      </c>
      <c r="CQ13" s="295"/>
      <c r="CR13" s="295"/>
      <c r="CS13" s="440"/>
      <c r="CT13" s="440"/>
      <c r="CU13" s="440"/>
      <c r="CV13" s="440"/>
      <c r="DB13" s="295">
        <f t="shared" ref="DB13:DH13" si="96">DB11*TAXE</f>
        <v>14534.522234256025</v>
      </c>
      <c r="DC13" s="295">
        <f t="shared" si="96"/>
        <v>759.72505213037289</v>
      </c>
      <c r="DD13" s="295">
        <f t="shared" si="96"/>
        <v>1900.0708389607937</v>
      </c>
      <c r="DE13" s="295">
        <f t="shared" si="96"/>
        <v>938.66228995748691</v>
      </c>
      <c r="DF13" s="295">
        <f t="shared" si="96"/>
        <v>2257.9453146150208</v>
      </c>
      <c r="DG13" s="295">
        <f t="shared" si="96"/>
        <v>2894.1821167312232</v>
      </c>
      <c r="DH13" s="295">
        <f t="shared" si="96"/>
        <v>5783.9366218611249</v>
      </c>
      <c r="DI13" s="293">
        <f>SUM(DI15:DI122)</f>
        <v>14534.522234256026</v>
      </c>
      <c r="DJ13" s="293">
        <f t="shared" ref="DJ13:DO13" si="97">SUM(DJ15:DJ122)</f>
        <v>759.72505213037334</v>
      </c>
      <c r="DK13" s="293">
        <f t="shared" si="97"/>
        <v>1900.0708389607933</v>
      </c>
      <c r="DL13" s="293">
        <f t="shared" si="97"/>
        <v>938.66228995748713</v>
      </c>
      <c r="DM13" s="293">
        <f t="shared" si="97"/>
        <v>2257.9453146150213</v>
      </c>
      <c r="DN13" s="293">
        <f t="shared" si="97"/>
        <v>2894.1821167312241</v>
      </c>
      <c r="DO13" s="293">
        <f t="shared" si="97"/>
        <v>5783.9366218611249</v>
      </c>
      <c r="DP13" s="295">
        <f t="shared" ref="DP13" si="98">SUM(DP11:DP12)</f>
        <v>0</v>
      </c>
      <c r="DQ13" s="295"/>
      <c r="DR13" s="295"/>
      <c r="DS13" s="440"/>
      <c r="DT13" s="440"/>
      <c r="DU13" s="440"/>
      <c r="DV13" s="440"/>
      <c r="EA13" s="284"/>
      <c r="EB13" s="1233"/>
      <c r="EC13" s="284"/>
      <c r="ED13" s="266"/>
      <c r="EE13" s="299"/>
      <c r="EF13" s="299"/>
      <c r="EG13" s="299"/>
      <c r="EH13" s="299"/>
      <c r="EI13" s="1102"/>
      <c r="EJ13" s="1102"/>
      <c r="EK13" s="295">
        <f t="shared" ref="EK13:ER13" si="99">EK11*TAXE</f>
        <v>4008.849999999999</v>
      </c>
      <c r="EL13" s="295">
        <f t="shared" si="99"/>
        <v>4008.849999999999</v>
      </c>
      <c r="EM13" s="295">
        <f t="shared" si="99"/>
        <v>1.3520000000000001</v>
      </c>
      <c r="EN13" s="295">
        <f t="shared" si="99"/>
        <v>400.88500000000005</v>
      </c>
      <c r="EO13" s="295">
        <f t="shared" si="99"/>
        <v>3607.9649999999992</v>
      </c>
      <c r="EP13" s="295">
        <f t="shared" si="99"/>
        <v>0</v>
      </c>
      <c r="EQ13" s="295">
        <f t="shared" si="99"/>
        <v>3752.2836000000002</v>
      </c>
      <c r="ER13" s="295">
        <f t="shared" si="99"/>
        <v>7985.476096000004</v>
      </c>
      <c r="ET13" s="419"/>
      <c r="EU13" s="419"/>
      <c r="EV13" s="419"/>
      <c r="EW13" s="419"/>
      <c r="EX13" s="419"/>
      <c r="EY13" s="419"/>
      <c r="EZ13" s="419"/>
      <c r="FA13" s="284"/>
      <c r="FB13" s="1233"/>
      <c r="FC13" s="284"/>
      <c r="FD13" s="266"/>
      <c r="FE13" s="299"/>
      <c r="FF13" s="299"/>
      <c r="FG13" s="299"/>
      <c r="FH13" s="295">
        <f t="shared" ref="FH13:FR13" si="100">FH11*TAXE</f>
        <v>1782</v>
      </c>
      <c r="FI13" s="295">
        <f t="shared" si="100"/>
        <v>0</v>
      </c>
      <c r="FJ13" s="295">
        <f t="shared" si="100"/>
        <v>0</v>
      </c>
      <c r="FK13" s="295">
        <f t="shared" si="100"/>
        <v>857.99999999999989</v>
      </c>
      <c r="FL13" s="295">
        <f t="shared" si="100"/>
        <v>0</v>
      </c>
      <c r="FM13" s="295">
        <f t="shared" si="100"/>
        <v>1.3520000000000001</v>
      </c>
      <c r="FN13" s="295">
        <f t="shared" si="100"/>
        <v>85.799999999999983</v>
      </c>
      <c r="FO13" s="295">
        <f t="shared" si="100"/>
        <v>772.2</v>
      </c>
      <c r="FP13" s="295">
        <f t="shared" si="100"/>
        <v>0</v>
      </c>
      <c r="FQ13" s="295">
        <f t="shared" si="100"/>
        <v>803.08799999999997</v>
      </c>
      <c r="FR13" s="295" t="e">
        <f t="shared" si="100"/>
        <v>#REF!</v>
      </c>
      <c r="FS13" s="419"/>
      <c r="FT13" s="419"/>
      <c r="FU13" s="419"/>
      <c r="FV13" s="419"/>
      <c r="FW13" s="419"/>
      <c r="FX13" s="419"/>
      <c r="FY13" s="419"/>
      <c r="FZ13" s="419"/>
      <c r="GA13" s="284"/>
      <c r="GB13" s="1233"/>
      <c r="GC13" s="284"/>
      <c r="GD13" s="266"/>
      <c r="GE13" s="299"/>
      <c r="GF13" s="299"/>
      <c r="GG13" s="299"/>
      <c r="GH13" s="299"/>
      <c r="GI13" s="1102"/>
      <c r="GJ13" s="1102"/>
      <c r="GK13" s="295">
        <f t="shared" ref="GK13:GR13" si="101">GK11*TAXE</f>
        <v>0</v>
      </c>
      <c r="GL13" s="295">
        <f t="shared" si="101"/>
        <v>0</v>
      </c>
      <c r="GM13" s="295">
        <f t="shared" si="101"/>
        <v>0</v>
      </c>
      <c r="GN13" s="295">
        <f t="shared" si="101"/>
        <v>0</v>
      </c>
      <c r="GO13" s="295">
        <f t="shared" si="101"/>
        <v>0</v>
      </c>
      <c r="GP13" s="295">
        <f t="shared" si="101"/>
        <v>0</v>
      </c>
      <c r="GQ13" s="295">
        <f t="shared" si="101"/>
        <v>0</v>
      </c>
      <c r="GR13" s="295">
        <f t="shared" si="101"/>
        <v>203.94649599999997</v>
      </c>
      <c r="GS13" s="421"/>
      <c r="GT13" s="421"/>
      <c r="GU13" s="421"/>
      <c r="GV13" s="421"/>
      <c r="GW13" s="421"/>
      <c r="GX13" s="421"/>
      <c r="GY13" s="421"/>
      <c r="GZ13" s="421"/>
      <c r="HA13" s="284"/>
      <c r="HB13" s="1233"/>
      <c r="HC13" s="284"/>
      <c r="HD13" s="266"/>
      <c r="HE13" s="299"/>
      <c r="HF13" s="299"/>
      <c r="HG13" s="299"/>
      <c r="HH13" s="299"/>
      <c r="HI13" s="1102"/>
      <c r="HJ13" s="1102"/>
      <c r="HK13" s="295">
        <f t="shared" ref="HK13:HR13" si="102">HK11*TAXE</f>
        <v>0</v>
      </c>
      <c r="HL13" s="295">
        <f t="shared" si="102"/>
        <v>0</v>
      </c>
      <c r="HM13" s="295">
        <f t="shared" si="102"/>
        <v>0</v>
      </c>
      <c r="HN13" s="295">
        <f t="shared" si="102"/>
        <v>0</v>
      </c>
      <c r="HO13" s="295">
        <f t="shared" si="102"/>
        <v>0</v>
      </c>
      <c r="HP13" s="295">
        <f t="shared" si="102"/>
        <v>0</v>
      </c>
      <c r="HQ13" s="295">
        <f t="shared" si="102"/>
        <v>0</v>
      </c>
      <c r="HR13" s="295">
        <f t="shared" si="102"/>
        <v>203.94649599999997</v>
      </c>
      <c r="HS13" s="421"/>
      <c r="HT13" s="421"/>
      <c r="HU13" s="421"/>
      <c r="HV13" s="421"/>
      <c r="HW13" s="421"/>
      <c r="HX13" s="421"/>
      <c r="HY13" s="421"/>
      <c r="HZ13" s="1254"/>
      <c r="IA13" s="284"/>
      <c r="IB13" s="1233"/>
      <c r="IC13" s="284"/>
      <c r="ID13" s="266"/>
      <c r="IE13" s="299"/>
      <c r="IF13" s="299"/>
      <c r="IG13" s="299"/>
      <c r="IH13" s="295">
        <f t="shared" ref="IH13:IN13" si="103">IH11*TAXE</f>
        <v>1565.2760275862072</v>
      </c>
      <c r="II13" s="295">
        <f t="shared" si="103"/>
        <v>759.72505213037289</v>
      </c>
      <c r="IJ13" s="295">
        <f t="shared" si="103"/>
        <v>0</v>
      </c>
      <c r="IK13" s="295">
        <f t="shared" si="103"/>
        <v>0</v>
      </c>
      <c r="IL13" s="295">
        <f t="shared" si="103"/>
        <v>759.72505213037289</v>
      </c>
      <c r="IM13" s="295">
        <f t="shared" si="103"/>
        <v>790.11405421558834</v>
      </c>
      <c r="IN13" s="295">
        <f t="shared" si="103"/>
        <v>1627.8870686896555</v>
      </c>
      <c r="JA13" s="284"/>
      <c r="JB13" s="1233"/>
      <c r="JC13" s="284"/>
      <c r="JD13" s="266"/>
      <c r="JE13" s="299"/>
      <c r="JF13" s="299"/>
      <c r="JG13" s="299"/>
      <c r="JH13" s="295">
        <f t="shared" ref="JH13:JN13" si="104">JH11*TAXE</f>
        <v>3914.7522206896547</v>
      </c>
      <c r="JI13" s="295">
        <f t="shared" si="104"/>
        <v>1900.0708389607937</v>
      </c>
      <c r="JJ13" s="295">
        <f t="shared" si="104"/>
        <v>0</v>
      </c>
      <c r="JK13" s="295">
        <f t="shared" si="104"/>
        <v>0</v>
      </c>
      <c r="JL13" s="295">
        <f t="shared" si="104"/>
        <v>1900.0708389607937</v>
      </c>
      <c r="JM13" s="295">
        <f t="shared" si="104"/>
        <v>1976.0736725192251</v>
      </c>
      <c r="JN13" s="295" t="e">
        <f t="shared" si="104"/>
        <v>#REF!</v>
      </c>
      <c r="KA13" s="284"/>
      <c r="KB13" s="1233"/>
      <c r="KC13" s="284"/>
      <c r="KD13" s="266"/>
      <c r="KE13" s="299"/>
      <c r="KF13" s="299"/>
      <c r="KG13" s="299"/>
      <c r="KH13" s="295">
        <f t="shared" ref="KH13:KN13" si="105">KH11*TAXE</f>
        <v>1933.9438344827583</v>
      </c>
      <c r="KI13" s="295">
        <f t="shared" si="105"/>
        <v>938.66228995748691</v>
      </c>
      <c r="KJ13" s="295">
        <f t="shared" si="105"/>
        <v>0</v>
      </c>
      <c r="KK13" s="295">
        <f t="shared" si="105"/>
        <v>0</v>
      </c>
      <c r="KL13" s="295">
        <f t="shared" si="105"/>
        <v>938.66228995748691</v>
      </c>
      <c r="KM13" s="295">
        <f t="shared" si="105"/>
        <v>976.20878155578669</v>
      </c>
      <c r="KN13" s="295" t="e">
        <f t="shared" si="105"/>
        <v>#REF!</v>
      </c>
      <c r="LA13" s="284"/>
      <c r="LB13" s="1233"/>
      <c r="LC13" s="284"/>
      <c r="LD13" s="266"/>
      <c r="LE13" s="299"/>
      <c r="LF13" s="299"/>
      <c r="LG13" s="299"/>
      <c r="LH13" s="295">
        <f t="shared" ref="LH13:LN13" si="106">LH11*TAXE</f>
        <v>4652.0878344827579</v>
      </c>
      <c r="LI13" s="295">
        <f t="shared" si="106"/>
        <v>2257.9453146150208</v>
      </c>
      <c r="LJ13" s="295">
        <f t="shared" si="106"/>
        <v>0</v>
      </c>
      <c r="LK13" s="295">
        <f t="shared" si="106"/>
        <v>0</v>
      </c>
      <c r="LL13" s="295">
        <f t="shared" si="106"/>
        <v>2257.9453146150208</v>
      </c>
      <c r="LM13" s="295">
        <f t="shared" si="106"/>
        <v>2348.2631271996224</v>
      </c>
      <c r="LN13" s="295" t="e">
        <f t="shared" si="106"/>
        <v>#REF!</v>
      </c>
      <c r="MA13" s="284"/>
      <c r="MB13" s="1233"/>
      <c r="MC13" s="284"/>
      <c r="MD13" s="266"/>
      <c r="ME13" s="299"/>
      <c r="MF13" s="299"/>
      <c r="MG13" s="299"/>
      <c r="MH13" s="295">
        <f t="shared" ref="MH13:MN13" si="107">MH11*TAXE</f>
        <v>5966.4168827586227</v>
      </c>
      <c r="MI13" s="295">
        <f t="shared" si="107"/>
        <v>2894.1821167312232</v>
      </c>
      <c r="MJ13" s="295">
        <f t="shared" si="107"/>
        <v>0</v>
      </c>
      <c r="MK13" s="295">
        <f t="shared" si="107"/>
        <v>0</v>
      </c>
      <c r="ML13" s="295">
        <f t="shared" si="107"/>
        <v>2894.1821167312232</v>
      </c>
      <c r="MM13" s="295">
        <f t="shared" si="107"/>
        <v>3009.9494014004731</v>
      </c>
      <c r="MN13" s="295" t="e">
        <f t="shared" si="107"/>
        <v>#REF!</v>
      </c>
      <c r="NA13" s="284"/>
      <c r="NB13" s="1233"/>
      <c r="NC13" s="284"/>
      <c r="ND13" s="266"/>
      <c r="NE13" s="299"/>
      <c r="NF13" s="299"/>
      <c r="NG13" s="299"/>
      <c r="NH13" s="295">
        <f t="shared" ref="NH13:NN13" si="108">NH11*TAXE</f>
        <v>11923.706151724142</v>
      </c>
      <c r="NI13" s="295">
        <f t="shared" si="108"/>
        <v>5783.9366218611249</v>
      </c>
      <c r="NJ13" s="295">
        <f t="shared" si="108"/>
        <v>0</v>
      </c>
      <c r="NK13" s="295">
        <f t="shared" si="108"/>
        <v>0</v>
      </c>
      <c r="NL13" s="295">
        <f t="shared" si="108"/>
        <v>5783.9366218611249</v>
      </c>
      <c r="NM13" s="295">
        <f t="shared" si="108"/>
        <v>6015.2940867355701</v>
      </c>
      <c r="NN13" s="295" t="e">
        <f t="shared" si="108"/>
        <v>#REF!</v>
      </c>
      <c r="OA13" s="284"/>
      <c r="OB13" s="1233"/>
      <c r="OC13" s="284"/>
      <c r="OD13" s="266"/>
      <c r="OE13" s="299"/>
      <c r="OF13" s="299"/>
      <c r="OG13" s="299"/>
      <c r="OH13" s="295">
        <f t="shared" ref="OH13:ON13" si="109">OH11*TAXE</f>
        <v>0</v>
      </c>
      <c r="OI13" s="295">
        <f t="shared" si="109"/>
        <v>0</v>
      </c>
      <c r="OJ13" s="295">
        <f t="shared" si="109"/>
        <v>0</v>
      </c>
      <c r="OK13" s="295">
        <f t="shared" si="109"/>
        <v>0</v>
      </c>
      <c r="OL13" s="295">
        <f t="shared" si="109"/>
        <v>0</v>
      </c>
      <c r="OM13" s="295">
        <f t="shared" si="109"/>
        <v>0</v>
      </c>
      <c r="ON13" s="295" t="e">
        <f t="shared" si="109"/>
        <v>#REF!</v>
      </c>
      <c r="PA13" s="284"/>
      <c r="PB13" s="1233"/>
      <c r="PC13" s="284"/>
      <c r="PD13" s="266"/>
      <c r="PE13" s="299"/>
      <c r="PF13" s="299"/>
      <c r="PG13" s="299"/>
      <c r="PH13" s="295">
        <f t="shared" ref="PH13:PN13" si="110">PH11*TAXE</f>
        <v>0</v>
      </c>
      <c r="PI13" s="295">
        <f t="shared" si="110"/>
        <v>0</v>
      </c>
      <c r="PJ13" s="295">
        <f t="shared" si="110"/>
        <v>0</v>
      </c>
      <c r="PK13" s="295">
        <f t="shared" si="110"/>
        <v>0</v>
      </c>
      <c r="PL13" s="295">
        <f t="shared" si="110"/>
        <v>0</v>
      </c>
      <c r="PM13" s="295">
        <f t="shared" si="110"/>
        <v>0</v>
      </c>
      <c r="PN13" s="295" t="e">
        <f t="shared" si="110"/>
        <v>#REF!</v>
      </c>
    </row>
    <row r="14" spans="1:430" ht="20.25">
      <c r="A14" s="395" t="s">
        <v>2252</v>
      </c>
      <c r="B14" s="395" t="s">
        <v>2249</v>
      </c>
      <c r="C14" s="395" t="s">
        <v>2250</v>
      </c>
      <c r="D14" s="395" t="s">
        <v>2251</v>
      </c>
      <c r="E14" s="234"/>
      <c r="F14" s="235"/>
      <c r="G14" s="235"/>
      <c r="H14" s="231"/>
      <c r="I14" s="582"/>
      <c r="J14" s="582"/>
      <c r="K14" s="582"/>
      <c r="L14" s="415"/>
      <c r="M14" s="415"/>
      <c r="N14" s="415"/>
      <c r="O14" s="415"/>
      <c r="P14" s="415"/>
      <c r="Q14" s="415"/>
      <c r="R14" s="415"/>
      <c r="S14" s="420"/>
      <c r="T14" s="415">
        <v>1</v>
      </c>
      <c r="U14" s="415">
        <v>2</v>
      </c>
      <c r="V14" s="415">
        <v>3</v>
      </c>
      <c r="W14" s="415">
        <v>4</v>
      </c>
      <c r="X14" s="415">
        <v>5</v>
      </c>
      <c r="Y14" s="415">
        <v>6</v>
      </c>
      <c r="Z14" s="415">
        <v>7</v>
      </c>
      <c r="AA14" s="415">
        <v>8</v>
      </c>
      <c r="AB14" s="415">
        <v>9</v>
      </c>
      <c r="AC14" s="415">
        <v>10</v>
      </c>
      <c r="AD14" s="415">
        <v>11</v>
      </c>
      <c r="AE14" s="415">
        <v>12</v>
      </c>
      <c r="AF14" s="415">
        <v>13</v>
      </c>
      <c r="AG14" s="415">
        <v>14</v>
      </c>
      <c r="AH14" s="415">
        <v>15</v>
      </c>
      <c r="AI14" s="415"/>
      <c r="AJ14" s="415"/>
      <c r="AK14" s="415"/>
      <c r="AL14" s="233"/>
      <c r="AM14" s="322"/>
      <c r="AN14" s="1098"/>
      <c r="AO14" s="322"/>
      <c r="AP14" s="233"/>
      <c r="AQ14" s="322"/>
      <c r="AR14" s="427"/>
      <c r="AS14" s="931"/>
      <c r="AT14" s="463"/>
      <c r="AU14" s="427"/>
      <c r="AV14" s="427"/>
      <c r="AW14" s="427"/>
      <c r="AX14" s="427"/>
      <c r="AY14" s="427"/>
      <c r="AZ14" s="427"/>
      <c r="BA14" s="427"/>
      <c r="BB14" s="427"/>
      <c r="BC14" s="462"/>
      <c r="BD14" s="462"/>
      <c r="BE14" s="459"/>
      <c r="BF14" s="459"/>
      <c r="BG14" s="836"/>
      <c r="BH14" s="836"/>
      <c r="BI14" s="459"/>
      <c r="BJ14" s="459"/>
      <c r="BK14" s="459"/>
      <c r="BL14" s="459"/>
      <c r="BM14" s="459"/>
      <c r="BN14" s="460"/>
      <c r="BO14" s="459"/>
      <c r="BP14" s="324"/>
      <c r="BQ14" s="324"/>
      <c r="BR14" s="324"/>
      <c r="BS14" s="324"/>
      <c r="BT14" s="324"/>
      <c r="BU14" s="324"/>
      <c r="BV14" s="324"/>
      <c r="BW14" s="324"/>
      <c r="BX14" s="325"/>
      <c r="BY14" s="415"/>
      <c r="BZ14" s="415"/>
      <c r="CA14" s="421">
        <v>1</v>
      </c>
      <c r="CB14" s="421">
        <v>2</v>
      </c>
      <c r="CC14" s="421">
        <v>3</v>
      </c>
      <c r="CD14" s="421">
        <v>4</v>
      </c>
      <c r="CE14" s="421">
        <v>5</v>
      </c>
      <c r="CF14" s="421">
        <v>6</v>
      </c>
      <c r="CG14" s="421">
        <v>7</v>
      </c>
      <c r="CH14" s="421">
        <v>8</v>
      </c>
      <c r="CI14" s="421">
        <v>9</v>
      </c>
      <c r="CJ14" s="421">
        <v>10</v>
      </c>
      <c r="CK14" s="421">
        <v>11</v>
      </c>
      <c r="CL14" s="421">
        <v>12</v>
      </c>
      <c r="CM14" s="421">
        <v>13</v>
      </c>
      <c r="CN14" s="421">
        <v>14</v>
      </c>
      <c r="CO14" s="421">
        <v>15</v>
      </c>
      <c r="CP14" s="421">
        <v>16</v>
      </c>
      <c r="CQ14" s="421">
        <v>17</v>
      </c>
      <c r="CR14" s="421">
        <v>18</v>
      </c>
      <c r="CS14" s="421">
        <v>19</v>
      </c>
      <c r="CT14" s="421">
        <v>20</v>
      </c>
      <c r="CU14" s="421">
        <v>21</v>
      </c>
      <c r="CV14" s="421">
        <v>22</v>
      </c>
      <c r="DA14" s="1269">
        <v>1</v>
      </c>
      <c r="DB14" s="1269">
        <v>2</v>
      </c>
      <c r="DC14" s="1269">
        <v>3</v>
      </c>
      <c r="DD14" s="1269">
        <v>4</v>
      </c>
      <c r="DE14" s="1269">
        <v>5</v>
      </c>
      <c r="DF14" s="1269">
        <v>6</v>
      </c>
      <c r="DG14" s="1269">
        <v>7</v>
      </c>
      <c r="DH14" s="1269">
        <v>8</v>
      </c>
      <c r="DI14" s="1269">
        <v>9</v>
      </c>
      <c r="DJ14" s="1269">
        <v>10</v>
      </c>
      <c r="DK14" s="1269">
        <v>11</v>
      </c>
      <c r="DL14" s="1269">
        <v>12</v>
      </c>
      <c r="DM14" s="1269">
        <v>13</v>
      </c>
      <c r="DN14" s="1269">
        <v>14</v>
      </c>
      <c r="DO14" s="1269">
        <v>15</v>
      </c>
      <c r="DP14" s="1269">
        <v>16</v>
      </c>
      <c r="DQ14" s="1269">
        <v>17</v>
      </c>
      <c r="DR14" s="1269">
        <v>18</v>
      </c>
      <c r="DS14" s="1269">
        <v>19</v>
      </c>
      <c r="DT14" s="1269">
        <v>20</v>
      </c>
      <c r="DU14" s="1269">
        <v>21</v>
      </c>
      <c r="DV14" s="1269">
        <v>22</v>
      </c>
      <c r="EA14" s="456">
        <v>1</v>
      </c>
      <c r="EB14" s="456">
        <v>2</v>
      </c>
      <c r="EC14" s="248">
        <v>3</v>
      </c>
      <c r="ED14" s="456">
        <v>4</v>
      </c>
      <c r="EE14" s="456">
        <v>5</v>
      </c>
      <c r="EF14" s="456">
        <v>6</v>
      </c>
      <c r="EG14" s="456">
        <v>7</v>
      </c>
      <c r="EH14" s="248">
        <v>8</v>
      </c>
      <c r="EI14" s="456">
        <v>9</v>
      </c>
      <c r="EJ14" s="456">
        <v>10</v>
      </c>
      <c r="EK14" s="456">
        <v>11</v>
      </c>
      <c r="EL14" s="456">
        <v>12</v>
      </c>
      <c r="EM14" s="248">
        <v>13</v>
      </c>
      <c r="EN14" s="456">
        <v>14</v>
      </c>
      <c r="EO14" s="456">
        <v>15</v>
      </c>
      <c r="EP14" s="456">
        <v>16</v>
      </c>
      <c r="EQ14" s="456">
        <v>17</v>
      </c>
      <c r="ER14" s="248">
        <v>18</v>
      </c>
      <c r="ET14" s="415"/>
      <c r="EU14" s="415"/>
      <c r="EV14" s="415"/>
      <c r="EW14" s="415"/>
      <c r="EX14" s="415"/>
      <c r="EY14" s="415"/>
      <c r="EZ14" s="415"/>
      <c r="FA14" s="456">
        <v>1</v>
      </c>
      <c r="FB14" s="456">
        <v>2</v>
      </c>
      <c r="FC14" s="248">
        <v>3</v>
      </c>
      <c r="FD14" s="456">
        <v>4</v>
      </c>
      <c r="FE14" s="456">
        <v>5</v>
      </c>
      <c r="FF14" s="248">
        <v>6</v>
      </c>
      <c r="FG14" s="456">
        <v>7</v>
      </c>
      <c r="FH14" s="456">
        <v>8</v>
      </c>
      <c r="FI14" s="456">
        <v>9</v>
      </c>
      <c r="FJ14" s="456">
        <v>10</v>
      </c>
      <c r="FK14" s="248">
        <v>11</v>
      </c>
      <c r="FL14" s="456">
        <v>12</v>
      </c>
      <c r="FM14" s="456">
        <v>13</v>
      </c>
      <c r="FN14" s="248">
        <v>14</v>
      </c>
      <c r="FO14" s="456">
        <v>15</v>
      </c>
      <c r="FP14" s="456">
        <v>16</v>
      </c>
      <c r="FQ14" s="456">
        <v>17</v>
      </c>
      <c r="FR14" s="456">
        <v>18</v>
      </c>
      <c r="FS14" s="415"/>
      <c r="FT14" s="415"/>
      <c r="FU14" s="415"/>
      <c r="FV14" s="415"/>
      <c r="FW14" s="415"/>
      <c r="FX14" s="415"/>
      <c r="FY14" s="415"/>
      <c r="FZ14" s="415"/>
      <c r="GA14" s="456">
        <v>1</v>
      </c>
      <c r="GB14" s="456">
        <v>2</v>
      </c>
      <c r="GC14" s="248">
        <v>3</v>
      </c>
      <c r="GD14" s="456">
        <v>4</v>
      </c>
      <c r="GE14" s="456">
        <v>5</v>
      </c>
      <c r="GF14" s="248">
        <v>6</v>
      </c>
      <c r="GG14" s="456">
        <v>7</v>
      </c>
      <c r="GH14" s="456">
        <v>8</v>
      </c>
      <c r="GI14" s="248">
        <v>9</v>
      </c>
      <c r="GJ14" s="456">
        <v>10</v>
      </c>
      <c r="GK14" s="456">
        <v>11</v>
      </c>
      <c r="GL14" s="248">
        <v>12</v>
      </c>
      <c r="GM14" s="456">
        <v>13</v>
      </c>
      <c r="GN14" s="456">
        <v>14</v>
      </c>
      <c r="GO14" s="248">
        <v>15</v>
      </c>
      <c r="GP14" s="456">
        <v>16</v>
      </c>
      <c r="GQ14" s="456">
        <v>17</v>
      </c>
      <c r="GR14" s="248">
        <v>18</v>
      </c>
      <c r="GS14" s="415"/>
      <c r="GT14" s="415"/>
      <c r="GU14" s="415"/>
      <c r="GV14" s="415"/>
      <c r="GW14" s="415"/>
      <c r="GX14" s="415"/>
      <c r="GY14" s="415"/>
      <c r="GZ14" s="415"/>
      <c r="HA14" s="456">
        <v>1</v>
      </c>
      <c r="HB14" s="456">
        <v>2</v>
      </c>
      <c r="HC14" s="248">
        <v>3</v>
      </c>
      <c r="HD14" s="456">
        <v>4</v>
      </c>
      <c r="HE14" s="456">
        <v>5</v>
      </c>
      <c r="HF14" s="456">
        <v>6</v>
      </c>
      <c r="HG14" s="456">
        <v>7</v>
      </c>
      <c r="HH14" s="248">
        <v>8</v>
      </c>
      <c r="HI14" s="456">
        <v>9</v>
      </c>
      <c r="HJ14" s="456">
        <v>10</v>
      </c>
      <c r="HK14" s="456">
        <v>11</v>
      </c>
      <c r="HL14" s="456">
        <v>12</v>
      </c>
      <c r="HM14" s="248">
        <v>13</v>
      </c>
      <c r="HN14" s="456">
        <v>14</v>
      </c>
      <c r="HO14" s="456">
        <v>15</v>
      </c>
      <c r="HP14" s="456">
        <v>16</v>
      </c>
      <c r="HQ14" s="456">
        <v>17</v>
      </c>
      <c r="HR14" s="248">
        <v>18</v>
      </c>
      <c r="HS14" s="415"/>
      <c r="HT14" s="415"/>
      <c r="HU14" s="415"/>
      <c r="HV14" s="415"/>
      <c r="HW14" s="415"/>
      <c r="HX14" s="415"/>
      <c r="HY14" s="415"/>
      <c r="HZ14" s="1254"/>
      <c r="IA14" s="455">
        <v>1</v>
      </c>
      <c r="IB14" s="455">
        <v>2</v>
      </c>
      <c r="IC14" s="455">
        <v>3</v>
      </c>
      <c r="ID14" s="455">
        <v>4</v>
      </c>
      <c r="IE14" s="455">
        <v>5</v>
      </c>
      <c r="IF14" s="455">
        <v>6</v>
      </c>
      <c r="IG14" s="455">
        <v>7</v>
      </c>
      <c r="IH14" s="455">
        <v>8</v>
      </c>
      <c r="II14" s="455">
        <v>9</v>
      </c>
      <c r="IJ14" s="455">
        <v>10</v>
      </c>
      <c r="IK14" s="455">
        <v>11</v>
      </c>
      <c r="IL14" s="455">
        <v>12</v>
      </c>
      <c r="IM14" s="455">
        <v>13</v>
      </c>
      <c r="IN14" s="455">
        <v>14</v>
      </c>
      <c r="JA14" s="455">
        <v>1</v>
      </c>
      <c r="JB14" s="455">
        <v>2</v>
      </c>
      <c r="JC14" s="455">
        <v>3</v>
      </c>
      <c r="JD14" s="455">
        <v>4</v>
      </c>
      <c r="JE14" s="455">
        <v>5</v>
      </c>
      <c r="JF14" s="455">
        <v>6</v>
      </c>
      <c r="JG14" s="455">
        <v>7</v>
      </c>
      <c r="JH14" s="455">
        <v>8</v>
      </c>
      <c r="JI14" s="455">
        <v>9</v>
      </c>
      <c r="JJ14" s="455">
        <v>10</v>
      </c>
      <c r="JK14" s="455">
        <v>11</v>
      </c>
      <c r="JL14" s="455">
        <v>12</v>
      </c>
      <c r="JM14" s="455">
        <v>13</v>
      </c>
      <c r="JN14" s="455">
        <v>14</v>
      </c>
      <c r="KA14" s="455">
        <v>1</v>
      </c>
      <c r="KB14" s="455">
        <v>2</v>
      </c>
      <c r="KC14" s="455">
        <v>3</v>
      </c>
      <c r="KD14" s="455">
        <v>4</v>
      </c>
      <c r="KE14" s="455">
        <v>5</v>
      </c>
      <c r="KF14" s="455">
        <v>6</v>
      </c>
      <c r="KG14" s="455">
        <v>7</v>
      </c>
      <c r="KH14" s="455">
        <v>8</v>
      </c>
      <c r="KI14" s="455">
        <v>9</v>
      </c>
      <c r="KJ14" s="455">
        <v>10</v>
      </c>
      <c r="KK14" s="455">
        <v>11</v>
      </c>
      <c r="KL14" s="455">
        <v>12</v>
      </c>
      <c r="KM14" s="455">
        <v>13</v>
      </c>
      <c r="KN14" s="455">
        <v>14</v>
      </c>
      <c r="LA14" s="455">
        <v>1</v>
      </c>
      <c r="LB14" s="455">
        <v>2</v>
      </c>
      <c r="LC14" s="455">
        <v>3</v>
      </c>
      <c r="LD14" s="455">
        <v>4</v>
      </c>
      <c r="LE14" s="455">
        <v>5</v>
      </c>
      <c r="LF14" s="455">
        <v>6</v>
      </c>
      <c r="LG14" s="455">
        <v>7</v>
      </c>
      <c r="LH14" s="455">
        <v>8</v>
      </c>
      <c r="LI14" s="455">
        <v>9</v>
      </c>
      <c r="LJ14" s="455">
        <v>10</v>
      </c>
      <c r="LK14" s="455">
        <v>11</v>
      </c>
      <c r="LL14" s="455">
        <v>12</v>
      </c>
      <c r="LM14" s="455">
        <v>13</v>
      </c>
      <c r="LN14" s="455">
        <v>14</v>
      </c>
      <c r="MA14" s="455">
        <v>1</v>
      </c>
      <c r="MB14" s="455">
        <v>2</v>
      </c>
      <c r="MC14" s="455">
        <v>3</v>
      </c>
      <c r="MD14" s="455">
        <v>4</v>
      </c>
      <c r="ME14" s="455">
        <v>5</v>
      </c>
      <c r="MF14" s="455">
        <v>6</v>
      </c>
      <c r="MG14" s="455">
        <v>7</v>
      </c>
      <c r="MH14" s="455">
        <v>8</v>
      </c>
      <c r="MI14" s="455">
        <v>9</v>
      </c>
      <c r="MJ14" s="455">
        <v>10</v>
      </c>
      <c r="MK14" s="455">
        <v>11</v>
      </c>
      <c r="ML14" s="455">
        <v>12</v>
      </c>
      <c r="MM14" s="455">
        <v>13</v>
      </c>
      <c r="MN14" s="455">
        <v>14</v>
      </c>
      <c r="NA14" s="455">
        <v>1</v>
      </c>
      <c r="NB14" s="455">
        <v>2</v>
      </c>
      <c r="NC14" s="455">
        <v>3</v>
      </c>
      <c r="ND14" s="455">
        <v>4</v>
      </c>
      <c r="NE14" s="455">
        <v>5</v>
      </c>
      <c r="NF14" s="455">
        <v>6</v>
      </c>
      <c r="NG14" s="455">
        <v>7</v>
      </c>
      <c r="NH14" s="455">
        <v>8</v>
      </c>
      <c r="NI14" s="455">
        <v>9</v>
      </c>
      <c r="NJ14" s="455">
        <v>10</v>
      </c>
      <c r="NK14" s="455">
        <v>11</v>
      </c>
      <c r="NL14" s="455">
        <v>12</v>
      </c>
      <c r="NM14" s="455">
        <v>13</v>
      </c>
      <c r="NN14" s="455">
        <v>14</v>
      </c>
      <c r="OA14" s="228">
        <v>1</v>
      </c>
      <c r="OB14" s="228">
        <v>2</v>
      </c>
      <c r="OC14" s="228">
        <v>3</v>
      </c>
      <c r="OD14" s="228">
        <v>4</v>
      </c>
      <c r="OE14" s="228">
        <v>5</v>
      </c>
      <c r="OF14" s="228">
        <v>6</v>
      </c>
      <c r="OG14" s="228">
        <v>7</v>
      </c>
      <c r="OH14" s="228">
        <v>8</v>
      </c>
      <c r="OI14" s="228">
        <v>9</v>
      </c>
      <c r="OJ14" s="228">
        <v>10</v>
      </c>
      <c r="OK14" s="228">
        <v>11</v>
      </c>
      <c r="OL14" s="228">
        <v>12</v>
      </c>
      <c r="OM14" s="228">
        <v>13</v>
      </c>
      <c r="ON14" s="228">
        <v>14</v>
      </c>
      <c r="PA14" s="228">
        <v>1</v>
      </c>
      <c r="PB14" s="228">
        <v>2</v>
      </c>
      <c r="PC14" s="228">
        <v>3</v>
      </c>
      <c r="PD14" s="228">
        <v>4</v>
      </c>
      <c r="PE14" s="228">
        <v>5</v>
      </c>
      <c r="PF14" s="228">
        <v>6</v>
      </c>
      <c r="PG14" s="228">
        <v>7</v>
      </c>
      <c r="PH14" s="228">
        <v>8</v>
      </c>
      <c r="PI14" s="228">
        <v>9</v>
      </c>
      <c r="PJ14" s="228">
        <v>10</v>
      </c>
      <c r="PK14" s="228">
        <v>11</v>
      </c>
      <c r="PL14" s="228">
        <v>12</v>
      </c>
      <c r="PM14" s="228">
        <v>13</v>
      </c>
      <c r="PN14" s="228">
        <v>14</v>
      </c>
    </row>
    <row r="15" spans="1:430" s="288" customFormat="1">
      <c r="A15" s="267" t="b">
        <f t="shared" ref="A15:A46" si="111">IF(B15=FALSE,FALSE,IF(C15=FALSE,FALSE,IF(D15=FALSE,FALSE,TRUE)))</f>
        <v>0</v>
      </c>
      <c r="B15" s="267" t="b">
        <f>IF(NAMES!$B$9=TRUE,TRUE,FALSE)</f>
        <v>1</v>
      </c>
      <c r="C15" s="267" t="b">
        <f>E15</f>
        <v>0</v>
      </c>
      <c r="D15" s="267" t="b">
        <f>IF(N15="",FALSE,TRUE)</f>
        <v>1</v>
      </c>
      <c r="E15" s="267" t="b">
        <f>IF(Cotations!C15="","",Cotations!C15)</f>
        <v>0</v>
      </c>
      <c r="F15" s="267" t="str">
        <f>IF(Cotations!AT15="","",Cotations!AT15)</f>
        <v>PROP</v>
      </c>
      <c r="G15" s="267" t="str">
        <f>IF(Cotations!D15="","",Cotations!D15)</f>
        <v>2016-2017!</v>
      </c>
      <c r="H15" s="267" t="str">
        <f>IF(Cotations!E15="","",Cotations!E15)</f>
        <v>SINGLE</v>
      </c>
      <c r="I15" s="267" t="str">
        <f>IF(Cotations!F15="","",Cotations!F15)</f>
        <v/>
      </c>
      <c r="J15" s="267" t="str">
        <f>IF(Cotations!G15="","",Cotations!G15)</f>
        <v/>
      </c>
      <c r="K15" s="267" t="str">
        <f>IF(Cotations!H15="","",Cotations!H15)</f>
        <v/>
      </c>
      <c r="L15" s="267" t="str">
        <f>IF(A15=FALSE,"",IF(Cotations!M15="","",Cotations!M15))</f>
        <v/>
      </c>
      <c r="M15" s="267" t="str">
        <f>IF(Cotations!O15="","",Cotations!O15)</f>
        <v/>
      </c>
      <c r="N15" s="268">
        <f>IF(NAMES!$B$10=TRUE,Cotations!I15,Cotations!K15)</f>
        <v>42566</v>
      </c>
      <c r="O15" s="268">
        <f>IF(NAMES!$B$10=TRUE,Cotations!J15,Cotations!L15)</f>
        <v>42675</v>
      </c>
      <c r="P15" s="780" t="str">
        <f>TEXT(N15,"mmmm")</f>
        <v>juillet</v>
      </c>
      <c r="Q15" s="268" t="str">
        <f>IF(A15=FALSE,"",IF(Crewlist!Y15="","",Crewlist!Y15))</f>
        <v/>
      </c>
      <c r="R15" s="78" t="str">
        <f>IF(Cotations!T15="","",Cotations!T15)</f>
        <v/>
      </c>
      <c r="S15" s="780" t="str">
        <f>IF(A15=FALSE,"",CONCATENATE(E15,I15,P15,N15))</f>
        <v/>
      </c>
      <c r="T15" s="759" t="str">
        <f>IF(A15=FALSE,"",VLOOKUP($U$15:$U$120,Currency!$A$2:$D$10,4,0)*Crewlist!N15)</f>
        <v/>
      </c>
      <c r="U15" s="780" t="str">
        <f>IF(A15=FALSE,"",IF(DP15=0,Crewlist!M15&amp;"/"&amp;CP15,Crewlist!M15&amp;"/"&amp;DP15))</f>
        <v/>
      </c>
      <c r="V15" s="759" t="str">
        <f>IF(A15=FALSE,"",VLOOKUP($U$15:$U$120,Currency!$A$2:$D$10,4,0)*Detail!Q15)</f>
        <v/>
      </c>
      <c r="W15" s="780" t="str">
        <f>IF(A15=FALSE,"",IF(DP15=0,Detail!R15&amp;"/"&amp;CP15,Detail!R15&amp;"/"&amp;DP15))</f>
        <v/>
      </c>
      <c r="X15" s="759" t="str">
        <f>IF(A15=FALSE,"",IF(LISTES!$C$17="Crewlist",Calcul!T15,Calcul!V15))</f>
        <v/>
      </c>
      <c r="Y15" s="78" t="str">
        <f>IF(A15=FALSE,"",12*X15)</f>
        <v/>
      </c>
      <c r="Z15" s="618" t="str">
        <f>IF(A15=FALSE,"",IF(X15=0,0,IF((Cotations!BA15*12*X15)&lt;50000,50000,(12*X15))))</f>
        <v/>
      </c>
      <c r="AA15" s="618" t="str">
        <f>IF(A15=FALSE,"",IF(X15=0,0,IF((12*X15)&lt;125000,(12*X15),125000)))</f>
        <v/>
      </c>
      <c r="AB15" s="618" t="str">
        <f>IF(A15=FALSE,"",IF(Crewlist!O15=0,"",Crewlist!O15))</f>
        <v/>
      </c>
      <c r="AC15" s="618" t="str">
        <f>IF(I15="","",VLOOKUP($AB$15:$AB$120,Currency!$A$15:$B$34,2,0))</f>
        <v/>
      </c>
      <c r="AD15" s="618" t="str">
        <f>IF(I15="","",Y15-AC15)</f>
        <v/>
      </c>
      <c r="AE15" s="618" t="str">
        <f>IF(I15="","",IF(AC15&gt;Y15,1/3*AC15,(AD15+AC15)*1/3))</f>
        <v/>
      </c>
      <c r="AF15" s="618" t="str">
        <f>IF(I15="","",AE15/12)</f>
        <v/>
      </c>
      <c r="AG15" s="78" t="str">
        <f>IF(A15=FALSE,"",X15*12/365*M15)</f>
        <v/>
      </c>
      <c r="AH15" s="780" t="str">
        <f t="shared" ref="AH15:AH46" si="112">IF(A15=FALSE,"",CP15)</f>
        <v/>
      </c>
      <c r="AI15" s="278" t="str">
        <f>IF(A15=FALSE,"",BD15+BP15+(AN15+AO15+AQ15))</f>
        <v/>
      </c>
      <c r="AJ15" s="1120" t="str">
        <f>IF(A15=FALSE,"",AS15+AL15+AN15)</f>
        <v/>
      </c>
      <c r="AK15" s="1120" t="str">
        <f>IF(A15=FALSE,"",AT15)</f>
        <v/>
      </c>
      <c r="AL15" s="236" t="str">
        <f>IF(A15=FALSE,"",CT15+DT15)</f>
        <v/>
      </c>
      <c r="AM15" s="236" t="str">
        <f t="shared" ref="AM15" si="113">IF(A15=FALSE,"",AR15*(TAXE-1))</f>
        <v/>
      </c>
      <c r="AN15" s="1112" t="str">
        <f t="shared" ref="AN15" si="114">IF(A15=FALSE,"",EP15)</f>
        <v/>
      </c>
      <c r="AO15" s="236" t="str">
        <f t="shared" ref="AO15" si="115">IF(A15=FALSE,"",AL15+AM15)</f>
        <v/>
      </c>
      <c r="AP15" s="327" t="str">
        <f>IF(A15=FALSE,"",INDEX(Rates!$Q$1:$Q$278,MATCH(CA15,colchoice,0)))</f>
        <v/>
      </c>
      <c r="AQ15" s="236" t="str">
        <f t="shared" ref="AQ15" si="116">IF(A15=FALSE,"",IF(AP15="NO",0,IF(AP15="WCA",L15,15/12*L15)))</f>
        <v/>
      </c>
      <c r="AR15" s="236" t="str">
        <f>IF(A15=FALSE,"",BD15+BP15)</f>
        <v/>
      </c>
      <c r="AS15" s="236" t="str">
        <f t="shared" ref="AS15:AS46" si="117">IF(A15=FALSE,"",SUM(AU15:AV15)*TAXE)</f>
        <v/>
      </c>
      <c r="AT15" s="236" t="str">
        <f t="shared" ref="AT15:AT46" si="118">IF(A15=FALSE,"",SUM(AW15:BB15)*TAXE)</f>
        <v/>
      </c>
      <c r="AU15" s="236" t="str">
        <f t="shared" ref="AU15" si="119">IF(A15=FALSE,"",BE15+BQ15)</f>
        <v/>
      </c>
      <c r="AV15" s="236" t="str">
        <f>IF(A15=FALSE,"",BF15+BR15+BG15+BH15)</f>
        <v/>
      </c>
      <c r="AW15" s="236" t="str">
        <f>IF(A15=FALSE,"",BI15+BS15)</f>
        <v/>
      </c>
      <c r="AX15" s="236" t="str">
        <f>IF(A15=FALSE,"",BJ15+BT15)</f>
        <v/>
      </c>
      <c r="AY15" s="236" t="str">
        <f t="shared" ref="AY15" si="120">IF(A15=FALSE,"",BK15+BU15)</f>
        <v/>
      </c>
      <c r="AZ15" s="236" t="str">
        <f t="shared" ref="AZ15" si="121">IF(A15=FALSE,"",BL15+BV15)</f>
        <v/>
      </c>
      <c r="BA15" s="236" t="str">
        <f t="shared" ref="BA15" si="122">IF(A15=FALSE,"",BM15+BW15)</f>
        <v/>
      </c>
      <c r="BB15" s="467" t="str">
        <f t="shared" ref="BB15" si="123">IF(A15=FALSE,"",BN15+BX15)</f>
        <v/>
      </c>
      <c r="BC15" s="329" t="str">
        <f t="shared" ref="BC15" si="124">IF(A15=FALSE,"",BD15*TAXE)</f>
        <v/>
      </c>
      <c r="BD15" s="237" t="str">
        <f>IF(A15=FALSE,"",SUM(BE15:BN15))</f>
        <v/>
      </c>
      <c r="BE15" s="237" t="str">
        <f>IF(A15=FALSE,"",IF(ED15&lt;&gt;$BC$7,0,INDEX(EA15:EZ15,1,MATCH(Structure!$J$16,$EA$14:$EZ$14,0))))</f>
        <v/>
      </c>
      <c r="BF15" s="237" t="str">
        <f>IF(A15=FALSE,"",IF(FD15&lt;&gt;$BC$7,0,INDEX(FA15:FZ15,1,MATCH(Structure!$J$16,$FA$14:$FZ$14,0))))</f>
        <v/>
      </c>
      <c r="BG15" s="237" t="str">
        <f>IF(A15=FALSE,"",IF(GD15&lt;&gt;$BC$7,0,INDEX(GA15:GZ15,1,MATCH(Structure!$J$16,$GA$14:$GZ$14,0))))</f>
        <v/>
      </c>
      <c r="BH15" s="237" t="str">
        <f>IF(A15=FALSE,"",IF(HD15&lt;&gt;$BC$7,0,INDEX(HA15:HZ15,1,MATCH(Structure!$J$16,$HA$14:$HZ$14,0))))</f>
        <v/>
      </c>
      <c r="BI15" s="621" t="str">
        <f>IF(A15=FALSE,"",IF(ID15&lt;&gt;$BC$7,0,INDEX(IA15:IZ15,1,MATCH(Structure!$C$12,$IA$14:$IZ$14,0)))+OL15)</f>
        <v/>
      </c>
      <c r="BJ15" s="237" t="str">
        <f>IF(A15=FALSE,"",IF(JD15&lt;&gt;$BC$7,0,INDEX(JA15:JZ15,1,MATCH(Structure!$C$12,$JA$14:$JZ$14,0))))</f>
        <v/>
      </c>
      <c r="BK15" s="621" t="str">
        <f>IF(A15=FALSE,"",IF(KD15&lt;&gt;$BC$7,0,INDEX(KA15:KZ15,1,MATCH(Structure!$C$12,$KA$14:$KZ$14,0)))+PL15)</f>
        <v/>
      </c>
      <c r="BL15" s="237" t="str">
        <f>IF(A15=FALSE,"",IF(LD15&lt;&gt;$BC$7,0,INDEX(LA15:LZ15,1,MATCH(Structure!$C$12,$LA$14:$LZ$14,0))))</f>
        <v/>
      </c>
      <c r="BM15" s="237" t="str">
        <f>IF(A15=FALSE,"",IF(MD15&lt;&gt;$BC$7,0,INDEX(MA15:MZ15,1,MATCH(Structure!$C$12,$MA$14:$MZ$14,0))))</f>
        <v/>
      </c>
      <c r="BN15" s="326" t="str">
        <f>IF(A15=FALSE,"",IF(ND15&lt;&gt;$BC$7,0,INDEX(NA15:OC15,1,MATCH(Structure!$C$12,$NA$14:$OC$14,0))))</f>
        <v/>
      </c>
      <c r="BO15" s="435" t="str">
        <f t="shared" ref="BO15" si="125">IF(A15=FALSE,"",BP15*TAXE)</f>
        <v/>
      </c>
      <c r="BP15" s="237" t="str">
        <f>IF(A15=FALSE,"",SUM(BQ15:BX15))</f>
        <v/>
      </c>
      <c r="BQ15" s="237" t="str">
        <f>IF(A15=FALSE,"",IF(ED15&lt;&gt;$BO$7,0,INDEX(EA15:EZ15,1,MATCH(Structure!$C$12,$EA$14:$EZ$14,0))))</f>
        <v/>
      </c>
      <c r="BR15" s="237" t="str">
        <f>IF(A15=FALSE,"",IF(FD15&lt;&gt;$BO$7,0,INDEX(FA15:FZ15,1,MATCH(Structure!$C$12,$FA$14:$FZ$14,0))))</f>
        <v/>
      </c>
      <c r="BS15" s="237" t="str">
        <f>IF(A15=FALSE,"",IF(ID15&lt;&gt;$BO$7,0,INDEX(IA15:IZ15,1,MATCH(Structure!$C$13,$IA$14:$IZ$14,0))))</f>
        <v/>
      </c>
      <c r="BT15" s="237" t="str">
        <f>IF(A15=FALSE,"",IF(JD15&lt;&gt;$BO$7,0,INDEX(JA15:JZ15,1,MATCH(Structure!$C$13,$JA$14:$JZ$14,0))))</f>
        <v/>
      </c>
      <c r="BU15" s="237" t="str">
        <f>IF(A15=FALSE,"",IF(KD15&lt;&gt;$BO$7,0,INDEX(KA15:KZ15,1,MATCH(Structure!$C$13,$KA$14:$KZ$14,0))))</f>
        <v/>
      </c>
      <c r="BV15" s="237" t="str">
        <f>IF(A15=FALSE,"",IF(LD15&lt;&gt;$BO$7,0,INDEX(LA15:LZ15,1,MATCH(Structure!$C$13,$LA$14:$LZ$14,0))))</f>
        <v/>
      </c>
      <c r="BW15" s="237" t="str">
        <f>IF(A15=FALSE,"",IF(MD15&lt;&gt;$BO$7,0,INDEX(MA15:MZ15,1,MATCH(Structure!$C$13,$MA$14:$MZ$14,0))))</f>
        <v/>
      </c>
      <c r="BX15" s="326" t="str">
        <f>IF(A15=FALSE,"",IF(ND15&lt;&gt;$BO$7,0,INDEX(NA15:OC15,1,MATCH(Structure!$C$13,$NA$14:$OC$14,0))))</f>
        <v/>
      </c>
      <c r="BY15" s="412"/>
      <c r="BZ15" s="412"/>
      <c r="CA15" s="1255" t="str">
        <f>IF(A15=FALSE,"",IF(LISTES!$A$17=1,Cotations!AG15,Cotations!AH15))</f>
        <v/>
      </c>
      <c r="CB15" s="1266" t="str">
        <f t="shared" ref="CB15" si="126">IF(A15=FALSE,"",SUM(CC15:CH15))</f>
        <v/>
      </c>
      <c r="CC15" s="1120" t="str">
        <f>IF(A15=FALSE,"",EO15)</f>
        <v/>
      </c>
      <c r="CD15" s="1120" t="str">
        <f>IF(A15=FALSE,"",FO15)</f>
        <v/>
      </c>
      <c r="CE15" s="1120" t="str">
        <f>IF(A15=FALSE,"",GO15)</f>
        <v/>
      </c>
      <c r="CF15" s="1120" t="str">
        <f>IF(A15=FALSE,"",HO15)</f>
        <v/>
      </c>
      <c r="CG15" s="1267"/>
      <c r="CH15" s="1267"/>
      <c r="CI15" s="1268" t="str">
        <f t="shared" ref="CI15" si="127">IF(A15=FALSE,"",SUM(CJ15:CO15))</f>
        <v/>
      </c>
      <c r="CJ15" s="286" t="str">
        <f t="shared" ref="CJ15" si="128">IF(A15=FALSE,"",EQ15)</f>
        <v/>
      </c>
      <c r="CK15" s="286" t="str">
        <f t="shared" ref="CK15" si="129">IF(A15=FALSE,"",FQ15)</f>
        <v/>
      </c>
      <c r="CL15" s="1263"/>
      <c r="CM15" s="1263"/>
      <c r="CN15" s="1263"/>
      <c r="CO15" s="1263"/>
      <c r="CP15" s="319" t="str">
        <f t="shared" ref="CP15" si="130">IF(A15=FALSE,"",INDEX(colCurrency,MATCH(EC15,colMOD1,0)))</f>
        <v/>
      </c>
      <c r="CQ15" s="443" t="str">
        <f>IF(A15=FALSE,"",Cotations!AM15)</f>
        <v/>
      </c>
      <c r="CR15" s="443" t="str">
        <f>IF(A15=FALSE,"",IF(Cotations!AN15="","",Cotations!AN15))</f>
        <v/>
      </c>
      <c r="CS15" s="433" t="str">
        <f>IF(A15=FALSE,"",Cotations!AO15)</f>
        <v/>
      </c>
      <c r="CT15" s="443" t="str">
        <f>IF(A15=FALSE,"",IF(CQ15="N/A",0,IF(INDEX(LISTES!$F$105:$F$109,MATCH(CQ15,LISTES!$C$105:$C$109,0))="FIX",IF(INDEX(LISTES!$E$105:$E$109,MATCH(CQ15,LISTES!$C$105:$C$109,0))=12,CR15/12*L15,CR15/365*M15),CS15*EQ15)))</f>
        <v/>
      </c>
      <c r="CU15" s="434" t="str">
        <f>IF(A15=FALSE,"",(CJ15+CK15)*Cotations!AP15)</f>
        <v/>
      </c>
      <c r="CV15" s="434" t="str">
        <f>IF(A15=FALSE,"",(CJ15+CK15)*Cotations!AQ15)</f>
        <v/>
      </c>
      <c r="CX15" s="1127"/>
      <c r="CY15" s="1127"/>
      <c r="CZ15" s="1127"/>
      <c r="DA15" s="1253" t="str">
        <f>IF(A15=FALSE,"",IF(LISTES!$A$17=1,Cotations!AV15,Cotations!AW15))</f>
        <v/>
      </c>
      <c r="DB15" s="1271" t="str">
        <f>IF(A15=FALSE,"",SUM(DC15:DH15))</f>
        <v/>
      </c>
      <c r="DC15" s="1270" t="str">
        <f>IF(A15=FALSE,"",IL15+OL15)</f>
        <v/>
      </c>
      <c r="DD15" s="1270" t="str">
        <f>IF(A15=FALSE,"",JL15)</f>
        <v/>
      </c>
      <c r="DE15" s="1270" t="str">
        <f>IF(A15=FALSE,"",KL15+PL15)</f>
        <v/>
      </c>
      <c r="DF15" s="1270" t="str">
        <f>IF(A15=FALSE,"",LL15)</f>
        <v/>
      </c>
      <c r="DG15" s="1270" t="str">
        <f>IF(A15=FALSE,"",ML15)</f>
        <v/>
      </c>
      <c r="DH15" s="1270" t="str">
        <f>IF(A15=FALSE,"",NL15)</f>
        <v/>
      </c>
      <c r="DI15" s="1271" t="str">
        <f>IF(A15=FALSE,"",SUM(DJ15:DO15))</f>
        <v/>
      </c>
      <c r="DJ15" s="286" t="str">
        <f t="shared" ref="DJ15" si="131">IF(A15=FALSE,"",IM15)</f>
        <v/>
      </c>
      <c r="DK15" s="286" t="str">
        <f>IF(A15=FALSE,"",JM15)</f>
        <v/>
      </c>
      <c r="DL15" s="1264" t="str">
        <f>IF(A15=FALSE,"",KM15)</f>
        <v/>
      </c>
      <c r="DM15" s="1264" t="str">
        <f>IF(A15=FALSE,"",LM15)</f>
        <v/>
      </c>
      <c r="DN15" s="1264" t="str">
        <f>IF(A15=FALSE,"",MM15)</f>
        <v/>
      </c>
      <c r="DO15" s="1264" t="str">
        <f>IF(A15=FALSE,"",NM15)</f>
        <v/>
      </c>
      <c r="DP15" s="323" t="str">
        <f t="shared" ref="DP15:DP46" si="132">IF(A15=FALSE,"",INDEX(colCurrency,MATCH(IC15,colMOD1,0)))</f>
        <v/>
      </c>
      <c r="DQ15" s="444" t="str">
        <f>IF(A15=FALSE,"",Cotations!BW15)</f>
        <v/>
      </c>
      <c r="DR15" s="444" t="str">
        <f>IF(A15=FALSE,"",Cotations!BX15)</f>
        <v/>
      </c>
      <c r="DS15" s="433" t="str">
        <f>IF(A15=FALSE,"",Cotations!BY15)</f>
        <v/>
      </c>
      <c r="DT15" s="444" t="str">
        <f>IF(A15=FALSE,"",IF(DQ15="N/A",0,IF(INDEX(LISTES!$F$105:$F$109,MATCH(DQ15,LISTES!$C$105:$C$109,0))="FIX",IF(INDEX(LISTES!$E$105:$E$109,MATCH(DQ15,LISTES!$C$105:$C$109,0))=12,DR15/12*L15,DR15/365*M15),DS15*(DN15+DO15))))</f>
        <v/>
      </c>
      <c r="DU15" s="434" t="str">
        <f>IF(A15=FALSE,"",DJ15*Cotations!BZ15)</f>
        <v/>
      </c>
      <c r="DV15" s="434" t="str">
        <f>IF(A15=FALSE,"",DJ15*Cotations!CA15)</f>
        <v/>
      </c>
      <c r="DX15" s="1127"/>
      <c r="DY15" s="1127"/>
      <c r="DZ15" s="1127"/>
      <c r="EA15" s="432" t="str">
        <f>IF(A15=FALSE,"",Cotations!AT15)</f>
        <v/>
      </c>
      <c r="EB15" s="1234" t="str">
        <f>IF(A15=FALSE,"",YEAR(Detail!F15)&amp;Detail!AG15&amp;Detail!AD15&amp;"-"&amp;Detail!$AD$13&amp;Detail!AE15)</f>
        <v/>
      </c>
      <c r="EC15" s="434" t="str">
        <f>IF(A15=FALSE,"",IF(LISTES!$A$17=1,EB15,INDEX(colMOD1,MATCH(Cotations!AH15,colchoice,0))))</f>
        <v/>
      </c>
      <c r="ED15" s="277" t="str">
        <f t="shared" ref="ED15:ED46" si="133">IF(A15=FALSE,"",INDEX(colAssureur,MATCH(EC15,colMOD1,0)))</f>
        <v/>
      </c>
      <c r="EE15" s="277" t="str">
        <f t="shared" ref="EE15:EE46" si="134">IF(A15=FALSE,"",IF(N15="","",INDEX(colProduct,MATCH(EC15,colMOD1,0))))</f>
        <v/>
      </c>
      <c r="EF15" s="277"/>
      <c r="EG15" s="277"/>
      <c r="EH15" s="277" t="str">
        <f t="shared" ref="EH15:EH46" si="135">IF(A15=FALSE,"",INDEX(colMOD1HT,MATCH(EC15,colMOD1,0)))</f>
        <v/>
      </c>
      <c r="EI15" s="1104" t="str">
        <f t="shared" ref="EI15:EI46" si="136">IF(A15=FALSE,"",INDEX(colSURCOM,MATCH(EC15,colMOD1,0)))</f>
        <v/>
      </c>
      <c r="EJ15" s="1104" t="str">
        <f t="shared" ref="EJ15:EJ46" si="137">IF(A15=FALSE,"",INDEX(colRatesHTsurcom,MATCH(EC15,colMOD1,0)))</f>
        <v/>
      </c>
      <c r="EK15" s="443" t="str">
        <f>IF(A15=FALSE,"",IF(Cotations!AF15="monthly",EH15/12*L15,EH15/365*M15))</f>
        <v/>
      </c>
      <c r="EL15" s="1103" t="str">
        <f>IF(A15=FALSE,"",IF(Cotations!AF15="monthly",EJ15/12*L15,EJ15/365*M15))</f>
        <v/>
      </c>
      <c r="EM15" s="433" t="str">
        <f>IF(A15=FALSE,"",IF(Cotations!AI15="","",Cotations!AI15))</f>
        <v/>
      </c>
      <c r="EN15" s="277" t="str">
        <f>IF(A15=FALSE,"",EK15*EM15)</f>
        <v/>
      </c>
      <c r="EO15" s="277" t="str">
        <f t="shared" ref="EO15:EO46" si="138">IF(A15=FALSE,"",EK15-EN15)</f>
        <v/>
      </c>
      <c r="EP15" s="1104" t="str">
        <f t="shared" ref="EP15:EP46" si="139">IF(A15=FALSE,"",IF(EI15=0,0,EL15-(EK15-EN15)))</f>
        <v/>
      </c>
      <c r="EQ15" s="277" t="str">
        <f>IF(A15=FALSE,"",(EO15*TAXE)+EP15)</f>
        <v/>
      </c>
      <c r="ER15" s="278" t="str">
        <f>IF(A15=FALSE,"",((EH15*TAXE)-(EH15*TAXE*EM15)+EI15)+IF(CQ15="N/A",0,IF(INDEX(LISTES!$F$105:$F$109,MATCH(CQ15,LISTES!$C$105:$C$109,0))="FIX",CR15,CS15*EQ15)))</f>
        <v/>
      </c>
      <c r="ES15" s="383"/>
      <c r="ET15" s="422"/>
      <c r="EU15" s="422"/>
      <c r="EV15" s="422"/>
      <c r="EW15" s="422"/>
      <c r="EX15" s="422"/>
      <c r="EY15" s="422"/>
      <c r="EZ15" s="422"/>
      <c r="FA15" s="432" t="str">
        <f>IF(A15=FALSE,"",Cotations!AT15)</f>
        <v/>
      </c>
      <c r="FB15" s="1235" t="str">
        <f>IF(A15=FALSE,"",IF(Detail!AL15="","N/A",YEAR(Detail!F15)&amp;Detail!AO15&amp;Detail!AL15&amp;"-"&amp;Detail!$AL$13&amp;Detail!AM15))</f>
        <v/>
      </c>
      <c r="FC15" s="434" t="str">
        <f>IF(A15=FALSE,"",IF(LISTES!$A$17=1,FB15,INDEX(colMOD2,MATCH(Cotations!AH15,colchoice,0))))</f>
        <v/>
      </c>
      <c r="FD15" s="277" t="str">
        <f t="shared" ref="FD15:FD46" si="140">IF(A15=FALSE,"",INDEX(colAssureur,MATCH(FC15,colMOD2,0)))</f>
        <v/>
      </c>
      <c r="FE15" s="443" t="str">
        <f>IF(A15=FALSE,"",IF(Detail!AM15="","",Detail!AM15))</f>
        <v/>
      </c>
      <c r="FF15" s="277"/>
      <c r="FG15" s="277"/>
      <c r="FH15" s="277" t="str">
        <f t="shared" ref="FH15:FH46" si="141">IF(A15=FALSE,"",INDEX(colMOD2HT,MATCH(FC15,colMOD2,0)))</f>
        <v/>
      </c>
      <c r="FI15" s="1104"/>
      <c r="FJ15" s="1104"/>
      <c r="FK15" s="443" t="str">
        <f>IF(A15=FALSE,"",IF(Cotations!AF15="monthly",FH15/12*L15,FH15/365*M15))</f>
        <v/>
      </c>
      <c r="FL15" s="1103" t="str">
        <f>IF(A15=FALSE,"",IF(Cotations!AF15="monthly",FJ15/12*L15,FJ15/365*M15))</f>
        <v/>
      </c>
      <c r="FM15" s="433" t="str">
        <f>IF(A15=FALSE,"",IF(Cotations!AJ15="","",Cotations!AJ15))</f>
        <v/>
      </c>
      <c r="FN15" s="277" t="str">
        <f t="shared" ref="FN15" si="142">IF(A15=FALSE,"",FK15*FM15)</f>
        <v/>
      </c>
      <c r="FO15" s="277" t="str">
        <f t="shared" ref="FO15" si="143">IF(A15=FALSE,"",FK15-FN15)</f>
        <v/>
      </c>
      <c r="FP15" s="1104"/>
      <c r="FQ15" s="277" t="str">
        <f t="shared" ref="FQ15" si="144">IF(A15=FALSE,"",FO15*TAXE)</f>
        <v/>
      </c>
      <c r="FR15" s="278" t="str">
        <f>IF(A15=FALSE,"",((FH15*TAXE)-(FH15*TAXE*FM15))+IF(#REF!="N/A",0,IF(INDEX(LISTES!$F$105:$F$109,MATCH(#REF!,LISTES!$C$105:$C$109,0))="FIX",#REF!,#REF!*FQ15)))</f>
        <v/>
      </c>
      <c r="FS15" s="422"/>
      <c r="FT15" s="422"/>
      <c r="FU15" s="422"/>
      <c r="FV15" s="422"/>
      <c r="FW15" s="422"/>
      <c r="FX15" s="422"/>
      <c r="FY15" s="422"/>
      <c r="FZ15" s="422"/>
      <c r="GA15" s="432" t="str">
        <f t="shared" ref="GA15:GA46" si="145">IF(A15=FALSE,"",EA15)</f>
        <v/>
      </c>
      <c r="GB15" s="1234" t="str">
        <f>IF(A15=FALSE,"",IF(Detail!DF15="","N/A",YEAR(Detail!F15)&amp;Detail!DI15&amp;Detail!DF15&amp;"-"&amp;Detail!$DF$13))</f>
        <v/>
      </c>
      <c r="GC15" s="434" t="str">
        <f>IF(A15=FALSE,"",IF(LISTES!$A$17=1,GB15,INDEX(colMOD3,MATCH(Cotations!AH15,colchoice,0))))</f>
        <v/>
      </c>
      <c r="GD15" s="277" t="str">
        <f t="shared" ref="GD15:GD46" si="146">IF(A15=FALSE,"",INDEX(colAssureur,MATCH(GC15,colMOD3,0)))</f>
        <v/>
      </c>
      <c r="GE15" s="277" t="str">
        <f t="shared" ref="GE15:GE46" si="147">IF(A15=FALSE,"",INDEX(colProduct,MATCH(GC15,colMOD3,0)))</f>
        <v/>
      </c>
      <c r="GF15" s="277"/>
      <c r="GG15" s="277"/>
      <c r="GH15" s="277" t="str">
        <f t="shared" ref="GH15" si="148">IF(A15=FALSE,"",IF(GC15="N/A",0,INDEX(colMOD3HT,MATCH(GC15,colMOD3,0))))</f>
        <v/>
      </c>
      <c r="GI15" s="1104" t="str">
        <f t="shared" ref="GI15" si="149">IF(A15=FALSE,"",INDEX(colSURCOM,MATCH(GC15,colMOD3,0)))</f>
        <v/>
      </c>
      <c r="GJ15" s="1104" t="str">
        <f t="shared" ref="GJ15" si="150">IF(A15=FALSE,"",INDEX(colRatesHTsurcom,MATCH(GC15,colMOD3,0)))</f>
        <v/>
      </c>
      <c r="GK15" s="443" t="str">
        <f>IF(A15=FALSE,"",IF(Cotations!AF15="monthly",GH15/12*L15,GH15/365*M15))</f>
        <v/>
      </c>
      <c r="GL15" s="1103" t="str">
        <f>IF(A15=FALSE,"",IF(Cotations!AF15="monthly",GJ15/12*L15,GJ15/365*M15))</f>
        <v/>
      </c>
      <c r="GM15" s="433" t="str">
        <f>IF(A15=FALSE,"",IF(Cotations!AK15="","",Cotations!AK15))</f>
        <v/>
      </c>
      <c r="GN15" s="277" t="str">
        <f t="shared" ref="GN15" si="151">IF(A15=FALSE,"",GK15*GM15)</f>
        <v/>
      </c>
      <c r="GO15" s="277" t="str">
        <f t="shared" ref="GO15" si="152">IF(A15=FALSE,"",GK15-GN15)</f>
        <v/>
      </c>
      <c r="GP15" s="1104" t="str">
        <f t="shared" ref="GP15" si="153">IF(A15=FALSE,"",IF(GI15=0,0,GL15-(GK15-GN15)))</f>
        <v/>
      </c>
      <c r="GQ15" s="277" t="str">
        <f t="shared" ref="GQ15" si="154">IF(A15=FALSE,"",(GO15*TAXE)+GP15)</f>
        <v/>
      </c>
      <c r="GR15" s="759" t="str">
        <f>IF(A15=FALSE,"",((GH15*TAXE)-(GH15*TAXE*GM15)+GI15)+IF(CQ15="N/A",0,IF(INDEX(LISTES!$F$105:$F$109,MATCH(CQ15,LISTES!$C$105:$C$109,0))="FIX",CR15,CS15*GQ15)))</f>
        <v/>
      </c>
      <c r="GS15" s="412"/>
      <c r="GT15" s="412"/>
      <c r="GU15" s="412"/>
      <c r="GV15" s="412"/>
      <c r="GW15" s="412"/>
      <c r="GX15" s="412"/>
      <c r="GY15" s="412"/>
      <c r="GZ15" s="412"/>
      <c r="HA15" s="432" t="str">
        <f t="shared" ref="HA15:HA46" si="155">IF(A15=FALSE,"",EA15)</f>
        <v/>
      </c>
      <c r="HB15" s="1234" t="str">
        <f>IF(A15=FALSE,"",IF(Detail!DF15="","N/A",YEAR(Detail!F15)&amp;Detail!DI15&amp;Detail!DF15&amp;"-"&amp;Detail!$DF$13))</f>
        <v/>
      </c>
      <c r="HC15" s="434" t="str">
        <f>IF(A15=FALSE,"",IF(LISTES!$A$17=1,HB15,INDEX(colMOD4,MATCH(Cotations!AH15,colchoice,0))))</f>
        <v/>
      </c>
      <c r="HD15" s="277" t="str">
        <f t="shared" ref="HD15" si="156">IF(A15=FALSE,"",INDEX(colAssureur,MATCH(HC15,colMOD4,0)))</f>
        <v/>
      </c>
      <c r="HE15" s="277" t="str">
        <f t="shared" ref="HE15" si="157">IF(A15=FALSE,"",INDEX(colProduct,MATCH(HC15,colMOD4,0)))</f>
        <v/>
      </c>
      <c r="HF15" s="277"/>
      <c r="HG15" s="277"/>
      <c r="HH15" s="277" t="str">
        <f t="shared" ref="HH15" si="158">IF(A15=FALSE,"",IF(HC15="N/A",0,INDEX(colMOD4HT,MATCH(HC15,colMOD4,0))))</f>
        <v/>
      </c>
      <c r="HI15" s="1104" t="str">
        <f t="shared" ref="HI15" si="159">IF(A15=FALSE,"",INDEX(colSURCOM,MATCH(HC15,colMOD4,0)))</f>
        <v/>
      </c>
      <c r="HJ15" s="1104" t="str">
        <f t="shared" ref="HJ15" si="160">IF(A15=FALSE,"",INDEX(colRatesHTsurcom,MATCH(HC15,colMOD4,0)))</f>
        <v/>
      </c>
      <c r="HK15" s="443" t="str">
        <f>IF(A15=FALSE,"",IF(Cotations!AF15="monthly",HH15/12*L15,HH15/365*M15))</f>
        <v/>
      </c>
      <c r="HL15" s="1103" t="str">
        <f>IF(A15=FALSE,"",IF(Cotations!AF15="monthly",HJ15/12*L15,HJ15/365*M15))</f>
        <v/>
      </c>
      <c r="HM15" s="433" t="str">
        <f>IF(A15=FALSE,"",IF(Cotations!AL15="","",Cotations!AL15))</f>
        <v/>
      </c>
      <c r="HN15" s="277" t="str">
        <f t="shared" ref="HN15" si="161">IF(A15=FALSE,"",HK15*HM15)</f>
        <v/>
      </c>
      <c r="HO15" s="277" t="str">
        <f t="shared" ref="HO15" si="162">IF(A15=FALSE,"",HK15-HN15)</f>
        <v/>
      </c>
      <c r="HP15" s="1104" t="str">
        <f t="shared" ref="HP15" si="163">IF(A15=FALSE,"",IF(HI15=0,0,HL15-(HK15-HN15)))</f>
        <v/>
      </c>
      <c r="HQ15" s="277" t="str">
        <f t="shared" ref="HQ15" si="164">IF(A15=FALSE,"",(HO15*TAXE)+HP15)</f>
        <v/>
      </c>
      <c r="HR15" s="759" t="str">
        <f>IF(A15=FALSE,"",((HH15*TAXE)-(HH15*TAXE*HM15)+HI15)+IF(CQ15="N/A",0,IF(INDEX(LISTES!$F$105:$F$109,MATCH(CQ15,LISTES!$C$105:$C$109,0))="FIX",CR15,CS15*HQ15)))</f>
        <v/>
      </c>
      <c r="HS15" s="412"/>
      <c r="HT15" s="412"/>
      <c r="HU15" s="412"/>
      <c r="HV15" s="412"/>
      <c r="HW15" s="412"/>
      <c r="HX15" s="412"/>
      <c r="HY15" s="412"/>
      <c r="HZ15" s="1254"/>
      <c r="IA15" s="432" t="str">
        <f>IF(A15=FALSE,"",Cotations!AT15)</f>
        <v/>
      </c>
      <c r="IB15" s="1253" t="str">
        <f>IF(A15=FALSE,"",IF(Detail!AT15="","N/A",YEAR(Detail!F15)&amp;Detail!AW15&amp;Detail!AT15&amp;"-"&amp;Detail!$AT$13&amp;Detail!AU15))</f>
        <v/>
      </c>
      <c r="IC15" s="431" t="str">
        <f>IF(A15=FALSE,"",IF(LISTES!$A$17=1,IB15,INDEX(colMOD1,MATCH(DA15,colchoice,0))))</f>
        <v/>
      </c>
      <c r="ID15" s="278" t="str">
        <f>IF(A15=FALSE,"",INDEX(colAssureur,MATCH(IC15,colMOD1,0)))</f>
        <v/>
      </c>
      <c r="IE15" s="292" t="str">
        <f>IF(A15=FALSE,"",IF(LISTES!$A$17=1,Detail!AU15,INDEX(Rates!$M$1:$M$270,MATCH(IC15,colMOD1,0))))</f>
        <v/>
      </c>
      <c r="IF15" s="409" t="str">
        <f t="shared" ref="IF15:IF46" si="165">IF(A15=FALSE,"",IF(IA15="POEA",$IA$2,INDEX(colMOD1HT,MATCH(IC15,colMOD1,0))))</f>
        <v/>
      </c>
      <c r="IG15" s="430" t="str">
        <f>IF(A15=FALSE,"",IF(IA15="POEA",Cotations!AY15,IF(IA15="FIXE",Cotations!AZ15,IF(Cotations!BA15*Y15&lt;50000,Z15,Cotations!BA15*Y15))))</f>
        <v/>
      </c>
      <c r="IH15" s="292" t="str">
        <f t="shared" ref="IH15:IH46" si="166">IF(A15=FALSE,"",IF(IC15="N/A",0,IG15*IF15))</f>
        <v/>
      </c>
      <c r="II15" s="446" t="str">
        <f>IF(A15=FALSE,"",IF(Cotations!AU15="monthly",IH15/12*L15,IH15/365*M15))</f>
        <v/>
      </c>
      <c r="IJ15" s="429" t="str">
        <f>IF(A15=FALSE,"",IF(Cotations!BB15="","",Cotations!BB15))</f>
        <v/>
      </c>
      <c r="IK15" s="292" t="str">
        <f t="shared" ref="IK15:IK46" si="167">IF(A15=FALSE,"",II15*IJ15)</f>
        <v/>
      </c>
      <c r="IL15" s="292" t="str">
        <f t="shared" ref="IL15:IL46" si="168">IF(A15=FALSE,"",II15-IK15)</f>
        <v/>
      </c>
      <c r="IM15" s="278" t="str">
        <f t="shared" ref="IM15:IM46" si="169">IF(A15=FALSE,"",IL15*TAXE)</f>
        <v/>
      </c>
      <c r="IN15" s="278" t="str">
        <f>IF(A15=FALSE,"",((IH15*TAXE)-(IH15*TAXE*IJ15))+IF(DQ15="N/A",0,IF(INDEX(LISTES!$F$105:$F$109,MATCH(DQ15,LISTES!$C$105:$C$109,0))="FIX",DR15,DS15*IM15)))</f>
        <v/>
      </c>
      <c r="IO15" s="383"/>
      <c r="IP15" s="1127"/>
      <c r="IQ15" s="1127"/>
      <c r="IR15" s="1127"/>
      <c r="IS15" s="1127"/>
      <c r="IT15" s="1127"/>
      <c r="IU15" s="1127"/>
      <c r="IV15" s="1127"/>
      <c r="IW15" s="1127"/>
      <c r="IX15" s="1127"/>
      <c r="IY15" s="1127"/>
      <c r="IZ15" s="288" t="b">
        <f>JB15=JC15</f>
        <v>1</v>
      </c>
      <c r="JA15" s="432" t="str">
        <f>IF(A15=FALSE,"",Cotations!AT15)</f>
        <v/>
      </c>
      <c r="JB15" s="1234" t="str">
        <f>IF(A15=FALSE,"",IF(Detail!BB15="","N/A",YEAR(Detail!F15)&amp;Detail!BE15&amp;Detail!BB15&amp;"-"&amp;Detail!$BB$13&amp;Detail!BC15))</f>
        <v/>
      </c>
      <c r="JC15" s="431" t="str">
        <f>IF(A15=FALSE,"",IF(LISTES!$A$17=1,JB15,INDEX(colMOD2,MATCH(DA15,colchoice,0))))</f>
        <v/>
      </c>
      <c r="JD15" s="278" t="str">
        <f t="shared" ref="JD15:JD46" si="170">IF(A15=FALSE,"",INDEX(colAssureur,MATCH(JC15,colMOD2,0)))</f>
        <v/>
      </c>
      <c r="JE15" s="292"/>
      <c r="JF15" s="409" t="str">
        <f t="shared" ref="JF15:JF46" si="171">IF(A15=FALSE,"",IF(JA15="POEA",$JA$2,INDEX(colMOD2HT,MATCH(JC15,colMOD2,0))))</f>
        <v/>
      </c>
      <c r="JG15" s="430" t="str">
        <f>IF(A15=FALSE,"",IF(JA15="POEA",Cotations!BC15,IF(JA15="FIXE",Cotations!BD15,IF(Cotations!BE15*Y15&lt;50000,Z15,Cotations!BE15*Y15))))</f>
        <v/>
      </c>
      <c r="JH15" s="292" t="str">
        <f t="shared" ref="JH15:JH46" si="172">IF(A15=FALSE,"",IF(JC15="N/A",0,JG15*INDEX(colMOD2HT,MATCH(JC15,colMOD2,0))))</f>
        <v/>
      </c>
      <c r="JI15" s="446" t="str">
        <f>IF(A15=FALSE,"",IF(Cotations!AU15="monthly",JH15/12*L15,JH15/365*M15))</f>
        <v/>
      </c>
      <c r="JJ15" s="429" t="str">
        <f>IF(A15=FALSE,"",IF(Cotations!BF15="","",Cotations!BF15))</f>
        <v/>
      </c>
      <c r="JK15" s="292" t="str">
        <f t="shared" ref="JK15:JK46" si="173">IF(A15=FALSE,"",JI15*JJ15)</f>
        <v/>
      </c>
      <c r="JL15" s="292" t="str">
        <f t="shared" ref="JL15:JL46" si="174">IF(A15=FALSE,"",JI15-JK15)</f>
        <v/>
      </c>
      <c r="JM15" s="278" t="str">
        <f t="shared" ref="JM15:JM46" si="175">IF(A15=FALSE,"",JL15*TAXE)</f>
        <v/>
      </c>
      <c r="JN15" s="278" t="str">
        <f>IF(A15=FALSE,"",((JH15*TAXE)-(JH15*TAXE*JJ15))+IF(#REF!="N/A",0,IF(INDEX(LISTES!$F$105:$F$109,MATCH(#REF!,LISTES!$C$105:$C$109,0))="FIX",#REF!,#REF!*JM15)))</f>
        <v/>
      </c>
      <c r="JQ15" s="383"/>
      <c r="JR15" s="1127"/>
      <c r="JS15" s="1127"/>
      <c r="JT15" s="1127"/>
      <c r="JU15" s="1127"/>
      <c r="JV15" s="1127"/>
      <c r="JW15" s="383"/>
      <c r="JX15" s="1127"/>
      <c r="JY15" s="1127"/>
      <c r="KA15" s="432" t="str">
        <f>IF(A15=FALSE,"",Cotations!AT15)</f>
        <v/>
      </c>
      <c r="KB15" s="1234" t="str">
        <f>IF(A15=FALSE,"",IF(Detail!BJ15="","N/A",YEAR(Detail!F15)&amp;Detail!BM15&amp;Detail!BJ15&amp;"-"&amp;Detail!$BJ$13&amp;Detail!BK15))</f>
        <v/>
      </c>
      <c r="KC15" s="431" t="str">
        <f>IF(A15=FALSE,"",IF(LISTES!$A$17=1,KB15,INDEX(colMOD3,MATCH(DA15,colchoice,0))))</f>
        <v/>
      </c>
      <c r="KD15" s="278" t="str">
        <f t="shared" ref="KD15:KD46" si="176">IF(A15=FALSE,"",INDEX(colAssureur,MATCH(KC15,colMOD3,0)))</f>
        <v/>
      </c>
      <c r="KE15" s="292"/>
      <c r="KF15" s="409" t="str">
        <f t="shared" ref="KF15:KF46" si="177">IF(A15=FALSE,"",IF(KA15="POEA",$KA$2,INDEX(colMOD1HT,MATCH(KC15,colMOD3,0))))</f>
        <v/>
      </c>
      <c r="KG15" s="430" t="str">
        <f>IF(A15=FALSE,"",IF(KA15="POEA",Cotations!BG15,IF(KA15="FIXE",Cotations!BH15,IF(Cotations!BI15*Y15&lt;50000,Z15,Cotations!BI15*Y15))))</f>
        <v/>
      </c>
      <c r="KH15" s="292" t="str">
        <f t="shared" ref="KH15:KH46" si="178">IF(A15=FALSE,"",IF(KC15="N/A",0,KG15*INDEX(colMOD3HT,MATCH(KC15,colMOD3,0))))</f>
        <v/>
      </c>
      <c r="KI15" s="446" t="str">
        <f>IF(A15=FALSE,"",IF(Cotations!AU15="monthly",KH15/12*L15,KH15/365*M15))</f>
        <v/>
      </c>
      <c r="KJ15" s="429" t="str">
        <f>IF(A15=FALSE,"",IF(Cotations!BJ15="","",Cotations!BJ15))</f>
        <v/>
      </c>
      <c r="KK15" s="292" t="str">
        <f t="shared" ref="KK15:KK46" si="179">IF(A15=FALSE,"",KI15*KJ15)</f>
        <v/>
      </c>
      <c r="KL15" s="292" t="str">
        <f t="shared" ref="KL15:KL46" si="180">IF(A15=FALSE,"",KI15-KK15)</f>
        <v/>
      </c>
      <c r="KM15" s="278" t="str">
        <f t="shared" ref="KM15:KM46" si="181">IF(A15=FALSE,"",KL15*TAXE)</f>
        <v/>
      </c>
      <c r="KN15" s="278" t="str">
        <f>IF(A15=FALSE,"",((KH15*TAXE)-(KH15*TAXE*KJ15))+IF(#REF!="N/A",0,IF(INDEX(LISTES!$F$105:$F$109,MATCH(#REF!,LISTES!$C$105:$C$109,0))="FIX",#REF!,#REF!*KM15)))</f>
        <v/>
      </c>
      <c r="KR15" s="1127"/>
      <c r="KS15" s="1127"/>
      <c r="KT15" s="1127"/>
      <c r="KU15" s="1127"/>
      <c r="KV15" s="1127"/>
      <c r="KW15" s="1127"/>
      <c r="KX15" s="1127"/>
      <c r="KY15" s="1127"/>
      <c r="LA15" s="432" t="str">
        <f>IF(A15=FALSE,"",Cotations!AT15)</f>
        <v/>
      </c>
      <c r="LB15" s="1234" t="str">
        <f>IF(A15=FALSE,"",IF(Detail!BR15="","N/A",YEAR(Detail!F15)&amp;Detail!BU15&amp;Detail!BR15&amp;"-"&amp;Detail!$BR$13&amp;Detail!BS15))</f>
        <v/>
      </c>
      <c r="LC15" s="431" t="str">
        <f>IF(A15=FALSE,"",IF(LISTES!$A$17=1,LB15,INDEX(colMOD4,MATCH(DA15,colchoice,0))))</f>
        <v/>
      </c>
      <c r="LD15" s="278" t="str">
        <f t="shared" ref="LD15:LD46" si="182">IF(A15=FALSE,"",INDEX(colAssureur,MATCH(LC15,colMOD4,0)))</f>
        <v/>
      </c>
      <c r="LE15" s="292"/>
      <c r="LF15" s="409" t="str">
        <f t="shared" ref="LF15:LF46" si="183">IF(A15=FALSE,"",IF(LA15="POEA",$LA$2,INDEX(colMOD4HT,MATCH(LC15,colMOD4,0))))</f>
        <v/>
      </c>
      <c r="LG15" s="430" t="str">
        <f>IF(A15=FALSE,"",IF(LA15="POEA",Cotations!BK15,IF(LA15="FIXE",Cotations!BL15,IF(Cotations!BM15*Y15&lt;50000,Z15,Cotations!BM15*Y15))))</f>
        <v/>
      </c>
      <c r="LH15" s="292" t="str">
        <f t="shared" ref="LH15:LH46" si="184">IF(A15=FALSE,"",IF(LC15="N/A",0,LG15*INDEX(colMOD4HT,MATCH(LC15,colMOD4,0))))</f>
        <v/>
      </c>
      <c r="LI15" s="446" t="str">
        <f>IF(A15=FALSE,"",IF(Cotations!AU15="monthly",LH15/12*L15,LH15/365*M15))</f>
        <v/>
      </c>
      <c r="LJ15" s="429" t="str">
        <f>IF(A15=FALSE,"",IF(Cotations!BN15="","",Cotations!BN15))</f>
        <v/>
      </c>
      <c r="LK15" s="292" t="str">
        <f t="shared" ref="LK15:LK46" si="185">IF(A15=FALSE,"",LI15*LJ15)</f>
        <v/>
      </c>
      <c r="LL15" s="292" t="str">
        <f t="shared" ref="LL15:LL46" si="186">IF(A15=FALSE,"",LI15-LK15)</f>
        <v/>
      </c>
      <c r="LM15" s="278" t="str">
        <f t="shared" ref="LM15:LM46" si="187">IF(A15=FALSE,"",LL15*TAXE)</f>
        <v/>
      </c>
      <c r="LN15" s="278" t="str">
        <f>IF(A15=FALSE,"",((LH15*TAXE)-(LH15*TAXE*LJ15))+IF(#REF!="N/A",0,IF(INDEX(LISTES!$F$105:$F$109,MATCH(#REF!,LISTES!$C$105:$C$109,0))="FIX",#REF!,#REF!*LM15)))</f>
        <v/>
      </c>
      <c r="LR15" s="1127"/>
      <c r="LS15" s="1127"/>
      <c r="LT15" s="1127"/>
      <c r="LU15" s="1127"/>
      <c r="LV15" s="1127"/>
      <c r="LW15" s="1127"/>
      <c r="LX15" s="1127"/>
      <c r="LY15" s="1127"/>
      <c r="MA15" s="432" t="str">
        <f t="shared" ref="MA15:MA46" si="188">IF(A15=FALSE,"","PROP")</f>
        <v/>
      </c>
      <c r="MB15" s="1234" t="str">
        <f>IF(A15=FALSE,"",IF(Detail!BZ15="","N/A",YEAR(Detail!F15)&amp;Detail!CC15&amp;Detail!BZ15&amp;"-"&amp;Detail!$BZ$13&amp;" (100%/"&amp;Detail!CD15&amp;"/"&amp;Detail!CE15&amp;")"))</f>
        <v/>
      </c>
      <c r="MC15" s="431" t="str">
        <f>IF(A15=FALSE,"",IF(LISTES!$A$17=1,MB15,INDEX(colMOD5,MATCH(DA15,colchoice,0))))</f>
        <v/>
      </c>
      <c r="MD15" s="278" t="str">
        <f t="shared" ref="MD15:MD46" si="189">IF(A15=FALSE,"",INDEX(colAssureur,MATCH(MC15,colMOD5,0)))</f>
        <v/>
      </c>
      <c r="ME15" s="292"/>
      <c r="MF15" s="409" t="str">
        <f t="shared" ref="MF15:MF46" si="190">IF(A15=FALSE,"",IF(MA15="POEA",$MA$2,INDEX(colMOD5HT,MATCH(MC15,colMOD5,0))))</f>
        <v/>
      </c>
      <c r="MG15" s="430" t="str">
        <f>IF(A15=FALSE,"",Cotations!BQ15*AA15)</f>
        <v/>
      </c>
      <c r="MH15" s="292" t="str">
        <f t="shared" ref="MH15:MH46" si="191">IF(A15=FALSE,"",IF(MC15="N/A",0,MG15*INDEX(colMOD5HT,MATCH(MC15,colMOD5,0))))</f>
        <v/>
      </c>
      <c r="MI15" s="446" t="str">
        <f>IF(A15=FALSE,"",IF(Cotations!AU15="monthly",MH15/12*L15,MH15/365*M15))</f>
        <v/>
      </c>
      <c r="MJ15" s="429" t="str">
        <f>IF(A15=FALSE,"",IF(Cotations!BR15="","",Cotations!BR15))</f>
        <v/>
      </c>
      <c r="MK15" s="292" t="str">
        <f t="shared" ref="MK15:MK46" si="192">IF(A15=FALSE,"",MI15*MJ15)</f>
        <v/>
      </c>
      <c r="ML15" s="292" t="str">
        <f t="shared" ref="ML15:ML46" si="193">IF(A15=FALSE,"",MI15-MK15)</f>
        <v/>
      </c>
      <c r="MM15" s="278" t="str">
        <f t="shared" ref="MM15:MM46" si="194">IF(A15=FALSE,"",ML15*TAXE)</f>
        <v/>
      </c>
      <c r="MN15" s="278" t="str">
        <f>IF(A15=FALSE,"",((MH15*TAXE)-(MH15*TAXE*MJ15))+IF(#REF!="N/A",0,IF(INDEX(LISTES!$F$105:$F$109,MATCH(#REF!,LISTES!$C$105:$C$109,0))="FIX",#REF!,#REF!*MM15)))</f>
        <v/>
      </c>
      <c r="MQ15" s="1127"/>
      <c r="MR15" s="1127"/>
      <c r="MS15" s="1127"/>
      <c r="MT15" s="1127"/>
      <c r="MU15" s="1127"/>
      <c r="MV15" s="1127"/>
      <c r="MW15" s="1127"/>
      <c r="MX15" s="1127"/>
      <c r="NA15" s="432" t="str">
        <f t="shared" ref="NA15:NA46" si="195">IF(A15=FALSE,"","PROP")</f>
        <v/>
      </c>
      <c r="NB15" s="1234" t="str">
        <f>IF(A15=FALSE,"",IF(Detail!CH15="","N/A",YEAR(Detail!F15)&amp;Detail!CK15&amp;Detail!CH15&amp;"-"&amp;Detail!$CH$13&amp;" (100%/"&amp;Detail!CL15&amp;"/"&amp;Detail!CM15&amp;")"))</f>
        <v/>
      </c>
      <c r="NC15" s="431" t="str">
        <f>IF(A15=FALSE,"",IF(LISTES!$A$17=1,NB15,INDEX(colMOD6,MATCH(DA15,colchoice,0))))</f>
        <v/>
      </c>
      <c r="ND15" s="278" t="str">
        <f t="shared" ref="ND15:ND46" si="196">IF(A15=FALSE,"",INDEX(colAssureur,MATCH(NC15,colMOD6,0)))</f>
        <v/>
      </c>
      <c r="NE15" s="292"/>
      <c r="NF15" s="409" t="str">
        <f t="shared" ref="NF15:NF46" si="197">IF(A15=FALSE,"",IF(NA15="POEA",$NA$2,INDEX(colMOD5HT,MATCH(NC15,colMOD6,0))))</f>
        <v/>
      </c>
      <c r="NG15" s="430" t="str">
        <f>IF(A15=FALSE,"",Cotations!BU15*AA15)</f>
        <v/>
      </c>
      <c r="NH15" s="292" t="str">
        <f t="shared" ref="NH15:NH46" si="198">IF(A15=FALSE,"",IF(NC15="N/A",0,NG15*INDEX(colMOD6HT,MATCH(NC15,colMOD6,0))))</f>
        <v/>
      </c>
      <c r="NI15" s="446" t="str">
        <f>IF(A15=FALSE,"",IF(Cotations!AU15="monthly",NH15/12*L15,NH15/365*M15))</f>
        <v/>
      </c>
      <c r="NJ15" s="429" t="str">
        <f>IF(A15=FALSE,"",IF(Cotations!BV15="","",Cotations!BV15))</f>
        <v/>
      </c>
      <c r="NK15" s="292" t="str">
        <f t="shared" ref="NK15:NK46" si="199">IF(A15=FALSE,"",NI15*NJ15)</f>
        <v/>
      </c>
      <c r="NL15" s="292" t="str">
        <f t="shared" ref="NL15:NL46" si="200">IF(A15=FALSE,"",NI15-NK15)</f>
        <v/>
      </c>
      <c r="NM15" s="278" t="str">
        <f t="shared" ref="NM15:NM46" si="201">IF(A15=FALSE,"",NL15*TAXE)</f>
        <v/>
      </c>
      <c r="NN15" s="278" t="str">
        <f>IF(A15=FALSE,"",((NH15*TAXE)-(NH15*TAXE*NJ15))+IF(#REF!="N/A",0,IF(INDEX(LISTES!$F$105:$F$109,MATCH(#REF!,LISTES!$C$105:$C$109,0))="FIX",#REF!,#REF!*NM15)))</f>
        <v/>
      </c>
      <c r="NR15" s="1127"/>
      <c r="NS15" s="1127"/>
      <c r="NT15" s="1127"/>
      <c r="NU15" s="1127"/>
      <c r="NV15" s="1127"/>
      <c r="NW15" s="1127"/>
      <c r="NX15" s="1127"/>
      <c r="NY15" s="1127"/>
      <c r="NZ15" s="1281" t="str">
        <f>IF(A15=FALSE,"",IF(Detail!CP15="","N/A",YEAR(Detail!F15)&amp;Detail!CS15&amp;Detail!CP15&amp;"-"&amp;Detail!CQ15))</f>
        <v/>
      </c>
      <c r="OA15" s="432" t="str">
        <f>IF(A15=FALSE,"",Cotations!CF15)</f>
        <v/>
      </c>
      <c r="OB15" s="1282" t="str">
        <f>IF(A15=FALSE,"",IF(Detail!CP15="","N/A",YEAR(Detail!F15)&amp;Detail!CS15&amp;Detail!CP15&amp;"-"&amp;Detail!$CP$13&amp;Detail!CQ15))</f>
        <v/>
      </c>
      <c r="OC15" s="1283" t="str">
        <f>IF(A15=FALSE,"",IF(LISTES!$A$17=1,OB15,INDEX(colMOD1,MATCH(Cotations!CE15,colchoice,0))))</f>
        <v/>
      </c>
      <c r="OD15" s="278" t="str">
        <f t="shared" ref="OD15:OD46" si="202">IF(A15=FALSE,"",INDEX(colAssureur,MATCH(OC15,colMOD1,0)))</f>
        <v/>
      </c>
      <c r="OE15" s="292" t="str">
        <f>IF(A15=FALSE,"",Detail!CQ15)</f>
        <v/>
      </c>
      <c r="OF15" s="409" t="str">
        <f t="shared" ref="OF15:OF46" si="203">IF(A15=FALSE,"",IF(OC15="",0,INDEX(colMOD1HT,MATCH(OC15,colMOD1,0))))</f>
        <v/>
      </c>
      <c r="OG15" s="430" t="str">
        <f>IF(A15=FALSE,"",IF(OA15="FIXE",Cotations!CM15,Cotations!CN15*AA15))</f>
        <v/>
      </c>
      <c r="OH15" s="292" t="str">
        <f t="shared" ref="OH15" si="204">IF(A15=FALSE,"",IF(OC15="N/A",0,OG15*INDEX(colMOD1HT,MATCH(OC15,colMOD1,0))))</f>
        <v/>
      </c>
      <c r="OI15" s="446" t="str">
        <f>IF(A15=FALSE,"",IF(Cotations!CF15="monthly",OH15/12*L15,OH15/365*M15))</f>
        <v/>
      </c>
      <c r="OJ15" s="429" t="str">
        <f>IF(A15=FALSE,"",IF(Cotations!CO15="","",Cotations!CO15))</f>
        <v/>
      </c>
      <c r="OK15" s="292" t="str">
        <f t="shared" ref="OK15" si="205">IF(A15=FALSE,"",OI15*OJ15)</f>
        <v/>
      </c>
      <c r="OL15" s="292" t="str">
        <f t="shared" ref="OL15" si="206">IF(A15=FALSE,"",OI15-OK15)</f>
        <v/>
      </c>
      <c r="OM15" s="278" t="str">
        <f t="shared" ref="OM15:OM46" si="207">IF(A15=FALSE,"",OL15*TAXE)</f>
        <v/>
      </c>
      <c r="ON15" s="278" t="str">
        <f>IF(A15=FALSE,"",((OH15*(1+TAXE)-(OH15*(1+TAXE)*OJ15))+IF(#REF!="N/A",0,IF(INDEX(LISTES!$F$105:$F$109,MATCH(#REF!,LISTES!$C$105:$C$109,0))="FIX",#REF!,#REF!*OM15))))</f>
        <v/>
      </c>
      <c r="PA15" s="432" t="str">
        <f>IF(A15=FALSE,"",Cotations!CF15)</f>
        <v/>
      </c>
      <c r="PB15" s="1282" t="str">
        <f>IF(A15=FALSE,"",IF(Detail!CX15="","N/A",YEAR(Detail!F15)&amp;Detail!DA15&amp;Detail!CX15&amp;"-"&amp;Detail!$CX$13&amp;Detail!CY15))</f>
        <v/>
      </c>
      <c r="PC15" s="1283" t="str">
        <f>IF(A15=FALSE,"",IF(LISTES!$A$17=1,PB15,INDEX(colMOD3,MATCH(Cotations!CE15,colchoice,0))))</f>
        <v/>
      </c>
      <c r="PD15" s="759" t="str">
        <f t="shared" ref="PD15:PD46" si="208">IF(A15=FALSE,"",INDEX(colAssureur,MATCH(PC15,colMOD3,0)))</f>
        <v/>
      </c>
      <c r="PE15" s="292" t="str">
        <f>IF(A15=FALSE,"",IF(Detail!CY15="","",Detail!CY15))</f>
        <v/>
      </c>
      <c r="PF15" s="409" t="str">
        <f t="shared" ref="PF15" si="209">IF(A15=FALSE,"",IF(PC15="",0,INDEX(colMOD3HT,MATCH(PC15,colMOD3,0))))</f>
        <v/>
      </c>
      <c r="PG15" s="430" t="str">
        <f>IF(A15=FALSE,"",IF(PA15="FIXE",Cotations!CP15,Cotations!CQ15*AA15))</f>
        <v/>
      </c>
      <c r="PH15" s="292" t="str">
        <f t="shared" ref="PH15" si="210">IF(A15=FALSE,"",IF(PC15="N/A",0,PG15*INDEX(colMOD3HT,MATCH(PC15,colMOD3,0))))</f>
        <v/>
      </c>
      <c r="PI15" s="446" t="str">
        <f>IF(A15=FALSE,"",IF(Cotations!CG15="monthly",PH15/12*L15,PH15/365*M15))</f>
        <v/>
      </c>
      <c r="PJ15" s="429" t="str">
        <f>IF(A15=FALSE,"",IF(Cotations!DA15="",0,Cotations!DA15))</f>
        <v/>
      </c>
      <c r="PK15" s="292" t="str">
        <f>IF(A15=FALSE,"",PI15*PJ15)</f>
        <v/>
      </c>
      <c r="PL15" s="292" t="str">
        <f>IF(A15=FALSE,"",PI15-PK15)</f>
        <v/>
      </c>
      <c r="PM15" s="759" t="str">
        <f t="shared" ref="PM15:PM46" si="211">IF(A15=FALSE,"",PL15*TAXE)</f>
        <v/>
      </c>
      <c r="PN15" s="759" t="str">
        <f>IF(A15=FALSE,"",((PH15*(1+TAXE)-(PH15*(1+TAXE)*PJ15))+IF(#REF!="N/A",0,IF(INDEX(LISTES!$F$105:$F$109,MATCH(#REF!,LISTES!$C$105:$C$109,0))="FIX",#REF!,#REF!*PM15))))</f>
        <v/>
      </c>
    </row>
    <row r="16" spans="1:430" s="288" customFormat="1">
      <c r="A16" s="779" t="b">
        <f t="shared" si="111"/>
        <v>0</v>
      </c>
      <c r="B16" s="779" t="b">
        <f>IF(NAMES!$B$9=TRUE,TRUE,FALSE)</f>
        <v>1</v>
      </c>
      <c r="C16" s="779" t="b">
        <f t="shared" ref="C16:C79" si="212">E16</f>
        <v>0</v>
      </c>
      <c r="D16" s="779" t="b">
        <f t="shared" ref="D16:D79" si="213">IF(N16="",FALSE,TRUE)</f>
        <v>1</v>
      </c>
      <c r="E16" s="267" t="b">
        <f>IF(Cotations!C16="","",Cotations!C16)</f>
        <v>0</v>
      </c>
      <c r="F16" s="267" t="str">
        <f>IF(Cotations!AT16="","",Cotations!AT16)</f>
        <v>PROP</v>
      </c>
      <c r="G16" s="267" t="str">
        <f>IF(Cotations!D16="","",Cotations!D16)</f>
        <v>2016-2017!</v>
      </c>
      <c r="H16" s="267" t="str">
        <f>IF(Cotations!E16="","",Cotations!E16)</f>
        <v>SINGLE</v>
      </c>
      <c r="I16" s="267" t="str">
        <f>IF(Cotations!F16="","",Cotations!F16)</f>
        <v/>
      </c>
      <c r="J16" s="267" t="str">
        <f>IF(Cotations!G16="","",Cotations!G16)</f>
        <v/>
      </c>
      <c r="K16" s="267" t="str">
        <f>IF(Cotations!H16="","",Cotations!H16)</f>
        <v/>
      </c>
      <c r="L16" s="267" t="str">
        <f>IF(A16=FALSE,"",IF(Cotations!M16="","",Cotations!M16))</f>
        <v/>
      </c>
      <c r="M16" s="267" t="str">
        <f>IF(Cotations!O16="","",Cotations!O16)</f>
        <v/>
      </c>
      <c r="N16" s="588">
        <f>IF(NAMES!$B$10=TRUE,Cotations!I16,Cotations!K16)</f>
        <v>42566</v>
      </c>
      <c r="O16" s="588">
        <f>IF(NAMES!$B$10=TRUE,Cotations!J16,Cotations!L16)</f>
        <v>42675</v>
      </c>
      <c r="P16" s="780" t="str">
        <f t="shared" ref="P16:P79" si="214">TEXT(N16,"mmmm")</f>
        <v>juillet</v>
      </c>
      <c r="Q16" s="588" t="str">
        <f>IF(A16=FALSE,"",IF(Crewlist!Y16="","",Crewlist!Y16))</f>
        <v/>
      </c>
      <c r="R16" s="78" t="str">
        <f>IF(Cotations!T16="","",Cotations!T16)</f>
        <v/>
      </c>
      <c r="S16" s="780" t="str">
        <f t="shared" ref="S16:S79" si="215">IF(A16=FALSE,"",CONCATENATE(E16,I16,P16,N16))</f>
        <v/>
      </c>
      <c r="T16" s="759" t="str">
        <f>IF(A16=FALSE,"",VLOOKUP($U$15:$U$120,Currency!$A$2:$D$10,4,0)*Crewlist!N16)</f>
        <v/>
      </c>
      <c r="U16" s="1097" t="str">
        <f>IF(A16=FALSE,"",IF(DP16=0,Crewlist!M16&amp;"/"&amp;CP16,Crewlist!M16&amp;"/"&amp;DP16))</f>
        <v/>
      </c>
      <c r="V16" s="759" t="str">
        <f>IF(A16=FALSE,"",VLOOKUP($U$15:$U$120,Currency!$A$2:$D$10,4,0)*Detail!Q16)</f>
        <v/>
      </c>
      <c r="W16" s="1097" t="str">
        <f>IF(A16=FALSE,"",IF(DP16=0,Detail!R16&amp;"/"&amp;CP16,Detail!R16&amp;"/"&amp;DP16))</f>
        <v/>
      </c>
      <c r="X16" s="759" t="str">
        <f>IF(A16=FALSE,"",IF(LISTES!$C$17="Crewlist",Calcul!T16,Calcul!V16))</f>
        <v/>
      </c>
      <c r="Y16" s="618" t="str">
        <f t="shared" ref="Y16:Y79" si="216">IF(A16=FALSE,"",12*X16)</f>
        <v/>
      </c>
      <c r="Z16" s="618" t="str">
        <f>IF(A16=FALSE,"",IF(X16=0,0,IF((Cotations!BA16*12*X16)&lt;50000,50000,(12*X16))))</f>
        <v/>
      </c>
      <c r="AA16" s="618" t="str">
        <f t="shared" ref="AA16:AA79" si="217">IF(A16=FALSE,"",IF(X16=0,0,IF((12*X16)&lt;125000,(12*X16),125000)))</f>
        <v/>
      </c>
      <c r="AB16" s="618" t="str">
        <f>IF(A16=FALSE,"",IF(Crewlist!O16=0,"",Crewlist!O16))</f>
        <v/>
      </c>
      <c r="AC16" s="618" t="str">
        <f>IF(I16="","",VLOOKUP($AB$15:$AB$120,Currency!$A$15:$B$34,2,0))</f>
        <v/>
      </c>
      <c r="AD16" s="618" t="str">
        <f t="shared" ref="AD16:AD79" si="218">IF(I16="","",Y16-AC16)</f>
        <v/>
      </c>
      <c r="AE16" s="618" t="str">
        <f t="shared" ref="AE16:AE79" si="219">IF(I16="","",IF(AC16&gt;Y16,1/3*AC16,(AD16+AC16)*1/3))</f>
        <v/>
      </c>
      <c r="AF16" s="618" t="str">
        <f t="shared" ref="AF16:AF79" si="220">IF(I16="","",AE16/12)</f>
        <v/>
      </c>
      <c r="AG16" s="618" t="str">
        <f t="shared" ref="AG16:AG79" si="221">IF(A16=FALSE,"",X16*12/365*M16)</f>
        <v/>
      </c>
      <c r="AH16" s="1097" t="str">
        <f t="shared" si="112"/>
        <v/>
      </c>
      <c r="AI16" s="759" t="str">
        <f t="shared" ref="AI16:AI79" si="222">IF(A16=FALSE,"",BD16+BP16+(AN16+AO16+AQ16))</f>
        <v/>
      </c>
      <c r="AJ16" s="1120" t="str">
        <f t="shared" ref="AJ16:AJ79" si="223">IF(A16=FALSE,"",AS16+AL16+AN16)</f>
        <v/>
      </c>
      <c r="AK16" s="1120" t="str">
        <f t="shared" ref="AK16:AK79" si="224">IF(A16=FALSE,"",AT16)</f>
        <v/>
      </c>
      <c r="AL16" s="236" t="str">
        <f t="shared" ref="AL16:AL79" si="225">IF(A16=FALSE,"",CT16+DT16)</f>
        <v/>
      </c>
      <c r="AM16" s="236" t="str">
        <f t="shared" ref="AM16:AM79" si="226">IF(A16=FALSE,"",AR16*(TAXE-1))</f>
        <v/>
      </c>
      <c r="AN16" s="1112" t="str">
        <f t="shared" ref="AN16:AN79" si="227">IF(A16=FALSE,"",EP16)</f>
        <v/>
      </c>
      <c r="AO16" s="236" t="str">
        <f t="shared" ref="AO16:AO79" si="228">IF(A16=FALSE,"",AL16+AM16)</f>
        <v/>
      </c>
      <c r="AP16" s="327" t="str">
        <f>IF(A16=FALSE,"",INDEX(Rates!$Q$1:$Q$278,MATCH(CA16,colchoice,0)))</f>
        <v/>
      </c>
      <c r="AQ16" s="236" t="str">
        <f t="shared" ref="AQ16:AQ79" si="229">IF(A16=FALSE,"",IF(AP16="NO",0,IF(AP16="WCA",L16,15/12*L16)))</f>
        <v/>
      </c>
      <c r="AR16" s="236" t="str">
        <f t="shared" ref="AR16:AR79" si="230">IF(A16=FALSE,"",BD16+BP16)</f>
        <v/>
      </c>
      <c r="AS16" s="236" t="str">
        <f t="shared" si="117"/>
        <v/>
      </c>
      <c r="AT16" s="236" t="str">
        <f t="shared" si="118"/>
        <v/>
      </c>
      <c r="AU16" s="236" t="str">
        <f t="shared" ref="AU16:AU79" si="231">IF(A16=FALSE,"",BE16+BQ16)</f>
        <v/>
      </c>
      <c r="AV16" s="236" t="str">
        <f t="shared" ref="AV16:AV79" si="232">IF(A16=FALSE,"",BF16+BR16+BG16+BH16)</f>
        <v/>
      </c>
      <c r="AW16" s="236" t="str">
        <f t="shared" ref="AW16:AW79" si="233">IF(A16=FALSE,"",BI16+BS16)</f>
        <v/>
      </c>
      <c r="AX16" s="236" t="str">
        <f t="shared" ref="AX16:AX79" si="234">IF(A16=FALSE,"",BJ16+BT16)</f>
        <v/>
      </c>
      <c r="AY16" s="236" t="str">
        <f t="shared" ref="AY16:AY79" si="235">IF(A16=FALSE,"",BK16+BU16)</f>
        <v/>
      </c>
      <c r="AZ16" s="236" t="str">
        <f t="shared" ref="AZ16:AZ79" si="236">IF(A16=FALSE,"",BL16+BV16)</f>
        <v/>
      </c>
      <c r="BA16" s="236" t="str">
        <f t="shared" ref="BA16:BA79" si="237">IF(A16=FALSE,"",BM16+BW16)</f>
        <v/>
      </c>
      <c r="BB16" s="467" t="str">
        <f t="shared" ref="BB16:BB79" si="238">IF(A16=FALSE,"",BN16+BX16)</f>
        <v/>
      </c>
      <c r="BC16" s="329" t="str">
        <f t="shared" ref="BC16:BC79" si="239">IF(A16=FALSE,"",BD16*TAXE)</f>
        <v/>
      </c>
      <c r="BD16" s="237" t="str">
        <f t="shared" ref="BD16:BD79" si="240">IF(A16=FALSE,"",SUM(BE16:BN16))</f>
        <v/>
      </c>
      <c r="BE16" s="237" t="str">
        <f>IF(A16=FALSE,"",IF(ED16&lt;&gt;$BC$7,0,INDEX(EA16:EZ16,1,MATCH(Structure!$J$16,$EA$14:$EZ$14,0))))</f>
        <v/>
      </c>
      <c r="BF16" s="237" t="str">
        <f>IF(A16=FALSE,"",IF(FD16&lt;&gt;$BC$7,0,INDEX(FA16:FZ16,1,MATCH(Structure!$J$16,$FA$14:$FZ$14,0))))</f>
        <v/>
      </c>
      <c r="BG16" s="237" t="str">
        <f>IF(A16=FALSE,"",IF(GD16&lt;&gt;$BC$7,0,INDEX(GA16:GZ16,1,MATCH(Structure!$J$16,$GA$14:$GZ$14,0))))</f>
        <v/>
      </c>
      <c r="BH16" s="237" t="str">
        <f>IF(A16=FALSE,"",IF(HD16&lt;&gt;$BC$7,0,INDEX(HA16:HZ16,1,MATCH(Structure!$J$16,$HA$14:$HZ$14,0))))</f>
        <v/>
      </c>
      <c r="BI16" s="621" t="str">
        <f>IF(A16=FALSE,"",IF(ID16&lt;&gt;$BC$7,0,INDEX(IA16:IZ16,1,MATCH(Structure!$C$12,$IA$14:$IZ$14,0)))+OL16)</f>
        <v/>
      </c>
      <c r="BJ16" s="237" t="str">
        <f>IF(A16=FALSE,"",IF(JD16&lt;&gt;$BC$7,0,INDEX(JA16:JZ16,1,MATCH(Structure!$C$12,$JA$14:$JZ$14,0))))</f>
        <v/>
      </c>
      <c r="BK16" s="621" t="str">
        <f>IF(A16=FALSE,"",IF(KD16&lt;&gt;$BC$7,0,INDEX(KA16:KZ16,1,MATCH(Structure!$C$12,$KA$14:$KZ$14,0)))+PL16)</f>
        <v/>
      </c>
      <c r="BL16" s="237" t="str">
        <f>IF(A16=FALSE,"",IF(LD16&lt;&gt;$BC$7,0,INDEX(LA16:LZ16,1,MATCH(Structure!$C$12,$LA$14:$LZ$14,0))))</f>
        <v/>
      </c>
      <c r="BM16" s="237" t="str">
        <f>IF(A16=FALSE,"",IF(MD16&lt;&gt;$BC$7,0,INDEX(MA16:MZ16,1,MATCH(Structure!$C$12,$MA$14:$MZ$14,0))))</f>
        <v/>
      </c>
      <c r="BN16" s="326" t="str">
        <f>IF(A16=FALSE,"",IF(ND16&lt;&gt;$BC$7,0,INDEX(NA16:OC16,1,MATCH(Structure!$C$12,$NA$14:$OC$14,0))))</f>
        <v/>
      </c>
      <c r="BO16" s="435" t="str">
        <f t="shared" ref="BO16:BO79" si="241">IF(A16=FALSE,"",BP16*TAXE)</f>
        <v/>
      </c>
      <c r="BP16" s="237" t="str">
        <f t="shared" ref="BP16:BP79" si="242">IF(A16=FALSE,"",SUM(BQ16:BX16))</f>
        <v/>
      </c>
      <c r="BQ16" s="237" t="str">
        <f>IF(A16=FALSE,"",IF(ED16&lt;&gt;$BO$7,0,INDEX(EA16:EZ16,1,MATCH(Structure!$C$12,$EA$14:$EZ$14,0))))</f>
        <v/>
      </c>
      <c r="BR16" s="237" t="str">
        <f>IF(A16=FALSE,"",IF(FD16&lt;&gt;$BO$7,0,INDEX(FA16:FZ16,1,MATCH(Structure!$C$12,$FA$14:$FZ$14,0))))</f>
        <v/>
      </c>
      <c r="BS16" s="237" t="str">
        <f>IF(A16=FALSE,"",IF(ID16&lt;&gt;$BO$7,0,INDEX(IA16:IZ16,1,MATCH(Structure!$C$13,$IA$14:$IZ$14,0))))</f>
        <v/>
      </c>
      <c r="BT16" s="237" t="str">
        <f>IF(A16=FALSE,"",IF(JD16&lt;&gt;$BO$7,0,INDEX(JA16:JZ16,1,MATCH(Structure!$C$13,$JA$14:$JZ$14,0))))</f>
        <v/>
      </c>
      <c r="BU16" s="237" t="str">
        <f>IF(A16=FALSE,"",IF(KD16&lt;&gt;$BO$7,0,INDEX(KA16:KZ16,1,MATCH(Structure!$C$13,$KA$14:$KZ$14,0))))</f>
        <v/>
      </c>
      <c r="BV16" s="237" t="str">
        <f>IF(A16=FALSE,"",IF(LD16&lt;&gt;$BO$7,0,INDEX(LA16:LZ16,1,MATCH(Structure!$C$13,$LA$14:$LZ$14,0))))</f>
        <v/>
      </c>
      <c r="BW16" s="237" t="str">
        <f>IF(A16=FALSE,"",IF(MD16&lt;&gt;$BO$7,0,INDEX(MA16:MZ16,1,MATCH(Structure!$C$13,$MA$14:$MZ$14,0))))</f>
        <v/>
      </c>
      <c r="BX16" s="326" t="str">
        <f>IF(A16=FALSE,"",IF(ND16&lt;&gt;$BO$7,0,INDEX(NA16:OC16,1,MATCH(Structure!$C$13,$NA$14:$OC$14,0))))</f>
        <v/>
      </c>
      <c r="BY16" s="412"/>
      <c r="BZ16" s="412"/>
      <c r="CA16" s="1255" t="str">
        <f>IF(A16=FALSE,"",IF(LISTES!$A$17=1,Cotations!AG16,Cotations!AH16))</f>
        <v/>
      </c>
      <c r="CB16" s="1266" t="str">
        <f t="shared" ref="CB16:CB79" si="243">IF(A16=FALSE,"",SUM(CC16:CH16))</f>
        <v/>
      </c>
      <c r="CC16" s="1120" t="str">
        <f t="shared" ref="CC16:CC79" si="244">IF(A16=FALSE,"",EO16)</f>
        <v/>
      </c>
      <c r="CD16" s="1120" t="str">
        <f t="shared" ref="CD16:CD79" si="245">IF(A16=FALSE,"",FO16)</f>
        <v/>
      </c>
      <c r="CE16" s="1120" t="str">
        <f t="shared" ref="CE16:CE79" si="246">IF(A16=FALSE,"",GO16)</f>
        <v/>
      </c>
      <c r="CF16" s="1120" t="str">
        <f t="shared" ref="CF16:CF79" si="247">IF(A16=FALSE,"",HO16)</f>
        <v/>
      </c>
      <c r="CG16" s="1267"/>
      <c r="CH16" s="1267"/>
      <c r="CI16" s="1268" t="str">
        <f t="shared" ref="CI16:CI79" si="248">IF(A16=FALSE,"",SUM(CJ16:CO16))</f>
        <v/>
      </c>
      <c r="CJ16" s="286" t="str">
        <f t="shared" ref="CJ16:CJ79" si="249">IF(A16=FALSE,"",EQ16)</f>
        <v/>
      </c>
      <c r="CK16" s="286" t="str">
        <f t="shared" ref="CK16:CK79" si="250">IF(A16=FALSE,"",FQ16)</f>
        <v/>
      </c>
      <c r="CL16" s="1263"/>
      <c r="CM16" s="1263"/>
      <c r="CN16" s="1263"/>
      <c r="CO16" s="1263"/>
      <c r="CP16" s="319" t="str">
        <f t="shared" ref="CP16:CP79" si="251">IF(A16=FALSE,"",INDEX(colCurrency,MATCH(EC16,colMOD1,0)))</f>
        <v/>
      </c>
      <c r="CQ16" s="443" t="str">
        <f>IF(A16=FALSE,"",Cotations!AM16)</f>
        <v/>
      </c>
      <c r="CR16" s="443" t="str">
        <f>IF(A16=FALSE,"",IF(Cotations!AN16="","",Cotations!AN16))</f>
        <v/>
      </c>
      <c r="CS16" s="433" t="str">
        <f>IF(A16=FALSE,"",Cotations!AO16)</f>
        <v/>
      </c>
      <c r="CT16" s="443" t="str">
        <f>IF(A16=FALSE,"",IF(CQ16="N/A",0,IF(INDEX(LISTES!$F$105:$F$109,MATCH(CQ16,LISTES!$C$105:$C$109,0))="FIX",IF(INDEX(LISTES!$E$105:$E$109,MATCH(CQ16,LISTES!$C$105:$C$109,0))=12,CR16/12*L16,CR16/365*M16),CS16*EQ16)))</f>
        <v/>
      </c>
      <c r="CU16" s="434" t="str">
        <f>IF(A16=FALSE,"",(CJ16+CK16)*Cotations!AP16)</f>
        <v/>
      </c>
      <c r="CV16" s="434" t="str">
        <f>IF(A16=FALSE,"",(CJ16+CK16)*Cotations!AQ16)</f>
        <v/>
      </c>
      <c r="CX16" s="1127"/>
      <c r="CY16" s="1127"/>
      <c r="CZ16" s="1127"/>
      <c r="DA16" s="1253" t="str">
        <f>IF(A16=FALSE,"",IF(LISTES!$A$17=1,Cotations!AV16,Cotations!AW16))</f>
        <v/>
      </c>
      <c r="DB16" s="1271" t="str">
        <f t="shared" ref="DB16:DB79" si="252">IF(A16=FALSE,"",SUM(DC16:DH16))</f>
        <v/>
      </c>
      <c r="DC16" s="1270" t="str">
        <f t="shared" ref="DC16:DC79" si="253">IF(A16=FALSE,"",IL16+OL16)</f>
        <v/>
      </c>
      <c r="DD16" s="1270" t="str">
        <f t="shared" ref="DD16:DD79" si="254">IF(A16=FALSE,"",JL16)</f>
        <v/>
      </c>
      <c r="DE16" s="1270" t="str">
        <f t="shared" ref="DE16:DE79" si="255">IF(A16=FALSE,"",KL16+PL16)</f>
        <v/>
      </c>
      <c r="DF16" s="1270" t="str">
        <f t="shared" ref="DF16:DF79" si="256">IF(A16=FALSE,"",LL16)</f>
        <v/>
      </c>
      <c r="DG16" s="1270" t="str">
        <f t="shared" ref="DG16:DG79" si="257">IF(A16=FALSE,"",ML16)</f>
        <v/>
      </c>
      <c r="DH16" s="1270" t="str">
        <f t="shared" ref="DH16:DH79" si="258">IF(A16=FALSE,"",NL16)</f>
        <v/>
      </c>
      <c r="DI16" s="1271" t="str">
        <f t="shared" ref="DI16:DI79" si="259">IF(A16=FALSE,"",SUM(DJ16:DO16))</f>
        <v/>
      </c>
      <c r="DJ16" s="286" t="str">
        <f t="shared" ref="DJ16:DJ79" si="260">IF(A16=FALSE,"",IM16)</f>
        <v/>
      </c>
      <c r="DK16" s="286" t="str">
        <f t="shared" ref="DK16:DK79" si="261">IF(A16=FALSE,"",JM16)</f>
        <v/>
      </c>
      <c r="DL16" s="1264" t="str">
        <f t="shared" ref="DL16:DL79" si="262">IF(A16=FALSE,"",KM16)</f>
        <v/>
      </c>
      <c r="DM16" s="1264" t="str">
        <f t="shared" ref="DM16:DM79" si="263">IF(A16=FALSE,"",LM16)</f>
        <v/>
      </c>
      <c r="DN16" s="1264" t="str">
        <f t="shared" ref="DN16:DN79" si="264">IF(A16=FALSE,"",MM16)</f>
        <v/>
      </c>
      <c r="DO16" s="1264" t="str">
        <f t="shared" ref="DO16:DO79" si="265">IF(A16=FALSE,"",NM16)</f>
        <v/>
      </c>
      <c r="DP16" s="323" t="str">
        <f t="shared" si="132"/>
        <v/>
      </c>
      <c r="DQ16" s="444" t="str">
        <f>IF(A16=FALSE,"",Cotations!BW16)</f>
        <v/>
      </c>
      <c r="DR16" s="444" t="str">
        <f>IF(A16=FALSE,"",Cotations!BX16)</f>
        <v/>
      </c>
      <c r="DS16" s="433" t="str">
        <f>IF(A16=FALSE,"",Cotations!BY16)</f>
        <v/>
      </c>
      <c r="DT16" s="830" t="str">
        <f>IF(A16=FALSE,"",IF(DQ16="N/A",0,IF(INDEX(LISTES!$F$105:$F$109,MATCH(DQ16,LISTES!$C$105:$C$109,0))="FIX",IF(INDEX(LISTES!$E$105:$E$109,MATCH(DQ16,LISTES!$C$105:$C$109,0))=12,DR16/12*L16,DR16/365*M16),DS16*(DN16+DO16))))</f>
        <v/>
      </c>
      <c r="DU16" s="434" t="str">
        <f>IF(A16=FALSE,"",DJ16*Cotations!BZ16)</f>
        <v/>
      </c>
      <c r="DV16" s="434" t="str">
        <f>IF(A16=FALSE,"",DJ16*Cotations!CA16)</f>
        <v/>
      </c>
      <c r="DX16" s="1127"/>
      <c r="DY16" s="1127"/>
      <c r="DZ16" s="1127"/>
      <c r="EA16" s="432" t="str">
        <f>IF(A16=FALSE,"",Cotations!AT16)</f>
        <v/>
      </c>
      <c r="EB16" s="1234" t="str">
        <f>IF(A16=FALSE,"",YEAR(Detail!F16)&amp;Detail!AG16&amp;Detail!AD16&amp;"-"&amp;Detail!$AD$13&amp;Detail!AE16)</f>
        <v/>
      </c>
      <c r="EC16" s="434" t="str">
        <f>IF(A16=FALSE,"",IF(LISTES!$A$17=1,EB16,INDEX(colMOD1,MATCH(Cotations!AH16,colchoice,0))))</f>
        <v/>
      </c>
      <c r="ED16" s="277" t="str">
        <f t="shared" si="133"/>
        <v/>
      </c>
      <c r="EE16" s="277" t="str">
        <f t="shared" si="134"/>
        <v/>
      </c>
      <c r="EF16" s="277"/>
      <c r="EG16" s="277"/>
      <c r="EH16" s="277" t="str">
        <f t="shared" si="135"/>
        <v/>
      </c>
      <c r="EI16" s="1104" t="str">
        <f t="shared" si="136"/>
        <v/>
      </c>
      <c r="EJ16" s="1104" t="str">
        <f t="shared" si="137"/>
        <v/>
      </c>
      <c r="EK16" s="443" t="str">
        <f>IF(A16=FALSE,"",IF(Cotations!AF16="monthly",EH16/12*L16,EH16/365*M16))</f>
        <v/>
      </c>
      <c r="EL16" s="1103" t="str">
        <f>IF(A16=FALSE,"",IF(Cotations!AF16="monthly",EJ16/12*L16,EJ16/365*M16))</f>
        <v/>
      </c>
      <c r="EM16" s="433" t="str">
        <f>IF(A16=FALSE,"",IF(Cotations!AI16="","",Cotations!AI16))</f>
        <v/>
      </c>
      <c r="EN16" s="277" t="str">
        <f t="shared" ref="EN16:EN46" si="266">IF(A16=FALSE,"",EK16*EM16)</f>
        <v/>
      </c>
      <c r="EO16" s="277" t="str">
        <f t="shared" si="138"/>
        <v/>
      </c>
      <c r="EP16" s="1104" t="str">
        <f t="shared" si="139"/>
        <v/>
      </c>
      <c r="EQ16" s="277" t="str">
        <f t="shared" ref="EQ16:EQ46" si="267">IF(A16=FALSE,"",(EO16*TAXE)+EP16)</f>
        <v/>
      </c>
      <c r="ER16" s="759" t="str">
        <f>IF(A16=FALSE,"",((EH16*TAXE)-(EH16*TAXE*EM16)+EI16)+IF(CQ16="N/A",0,IF(INDEX(LISTES!$F$105:$F$109,MATCH(CQ16,LISTES!$C$105:$C$109,0))="FIX",CR16,CS16*EQ16)))</f>
        <v/>
      </c>
      <c r="ES16" s="383"/>
      <c r="ET16" s="422"/>
      <c r="EU16" s="422"/>
      <c r="EV16" s="422"/>
      <c r="EW16" s="422"/>
      <c r="EX16" s="422"/>
      <c r="EY16" s="422"/>
      <c r="EZ16" s="422"/>
      <c r="FA16" s="432" t="str">
        <f>IF(A16=FALSE,"",Cotations!AT16)</f>
        <v/>
      </c>
      <c r="FB16" s="1235" t="str">
        <f>IF(A16=FALSE,"",IF(Detail!AL16="","N/A",YEAR(Detail!F16)&amp;Detail!AO16&amp;Detail!AL16&amp;"-"&amp;Detail!$AL$13&amp;Detail!AM16))</f>
        <v/>
      </c>
      <c r="FC16" s="434" t="str">
        <f>IF(A16=FALSE,"",IF(LISTES!$A$17=1,FB16,INDEX(colMOD2,MATCH(Cotations!AH16,colchoice,0))))</f>
        <v/>
      </c>
      <c r="FD16" s="277" t="str">
        <f t="shared" si="140"/>
        <v/>
      </c>
      <c r="FE16" s="443" t="str">
        <f>IF(A16=FALSE,"",IF(Detail!AM16="","",Detail!AM16))</f>
        <v/>
      </c>
      <c r="FF16" s="277"/>
      <c r="FG16" s="277"/>
      <c r="FH16" s="277" t="str">
        <f t="shared" si="141"/>
        <v/>
      </c>
      <c r="FI16" s="1104"/>
      <c r="FJ16" s="1104"/>
      <c r="FK16" s="443" t="str">
        <f>IF(A16=FALSE,"",IF(Cotations!AF16="monthly",FH16/12*L16,FH16/365*M16))</f>
        <v/>
      </c>
      <c r="FL16" s="1103" t="str">
        <f>IF(A16=FALSE,"",IF(Cotations!AF16="monthly",FJ16/12*L16,FJ16/365*M16))</f>
        <v/>
      </c>
      <c r="FM16" s="433" t="str">
        <f>IF(A16=FALSE,"",IF(Cotations!AJ16="","",Cotations!AJ16))</f>
        <v/>
      </c>
      <c r="FN16" s="277" t="str">
        <f t="shared" ref="FN16:FN79" si="268">IF(A16=FALSE,"",FK16*FM16)</f>
        <v/>
      </c>
      <c r="FO16" s="277" t="str">
        <f t="shared" ref="FO16:FO79" si="269">IF(A16=FALSE,"",FK16-FN16)</f>
        <v/>
      </c>
      <c r="FP16" s="1104"/>
      <c r="FQ16" s="277" t="str">
        <f t="shared" ref="FQ16:FQ79" si="270">IF(A16=FALSE,"",FO16*TAXE)</f>
        <v/>
      </c>
      <c r="FR16" s="759" t="str">
        <f>IF(A16=FALSE,"",((FH16*TAXE)-(FH16*TAXE*FM16))+IF(#REF!="N/A",0,IF(INDEX(LISTES!$F$105:$F$109,MATCH(#REF!,LISTES!$C$105:$C$109,0))="FIX",#REF!,#REF!*FQ16)))</f>
        <v/>
      </c>
      <c r="FS16" s="422"/>
      <c r="FT16" s="422"/>
      <c r="FU16" s="422"/>
      <c r="FV16" s="422"/>
      <c r="FW16" s="422"/>
      <c r="FX16" s="422"/>
      <c r="FY16" s="422"/>
      <c r="FZ16" s="422"/>
      <c r="GA16" s="432" t="str">
        <f t="shared" si="145"/>
        <v/>
      </c>
      <c r="GB16" s="1234" t="str">
        <f>IF(A16=FALSE,"",IF(Detail!DF16="","N/A",YEAR(Detail!F16)&amp;Detail!DI16&amp;Detail!DF16&amp;"-"&amp;Detail!$DF$13))</f>
        <v/>
      </c>
      <c r="GC16" s="434" t="str">
        <f>IF(A16=FALSE,"",IF(LISTES!$A$17=1,GB16,INDEX(colMOD3,MATCH(Cotations!AH16,colchoice,0))))</f>
        <v/>
      </c>
      <c r="GD16" s="277" t="str">
        <f t="shared" si="146"/>
        <v/>
      </c>
      <c r="GE16" s="277" t="str">
        <f t="shared" si="147"/>
        <v/>
      </c>
      <c r="GF16" s="277"/>
      <c r="GG16" s="277"/>
      <c r="GH16" s="277" t="str">
        <f t="shared" ref="GH16:GH79" si="271">IF(A16=FALSE,"",IF(GC16="N/A",0,INDEX(colMOD3HT,MATCH(GC16,colMOD3,0))))</f>
        <v/>
      </c>
      <c r="GI16" s="1104" t="str">
        <f t="shared" ref="GI16:GI79" si="272">IF(A16=FALSE,"",INDEX(colSURCOM,MATCH(GC16,colMOD3,0)))</f>
        <v/>
      </c>
      <c r="GJ16" s="1104" t="str">
        <f t="shared" ref="GJ16:GJ79" si="273">IF(A16=FALSE,"",INDEX(colRatesHTsurcom,MATCH(GC16,colMOD3,0)))</f>
        <v/>
      </c>
      <c r="GK16" s="443" t="str">
        <f>IF(A16=FALSE,"",IF(Cotations!AF16="monthly",GH16/12*L16,GH16/365*M16))</f>
        <v/>
      </c>
      <c r="GL16" s="1103" t="str">
        <f>IF(A16=FALSE,"",IF(Cotations!AF16="monthly",GJ16/12*L16,GJ16/365*M16))</f>
        <v/>
      </c>
      <c r="GM16" s="433" t="str">
        <f>IF(A16=FALSE,"",IF(Cotations!AK16="","",Cotations!AK16))</f>
        <v/>
      </c>
      <c r="GN16" s="277" t="str">
        <f t="shared" ref="GN16:GN79" si="274">IF(A16=FALSE,"",GK16*GM16)</f>
        <v/>
      </c>
      <c r="GO16" s="277" t="str">
        <f t="shared" ref="GO16:GO79" si="275">IF(A16=FALSE,"",GK16-GN16)</f>
        <v/>
      </c>
      <c r="GP16" s="1104" t="str">
        <f t="shared" ref="GP16:GP79" si="276">IF(A16=FALSE,"",IF(GI16=0,0,GL16-(GK16-GN16)))</f>
        <v/>
      </c>
      <c r="GQ16" s="277" t="str">
        <f t="shared" ref="GQ16:GQ79" si="277">IF(A16=FALSE,"",(GO16*TAXE)+GP16)</f>
        <v/>
      </c>
      <c r="GR16" s="759" t="str">
        <f>IF(A16=FALSE,"",((GH16*TAXE)-(GH16*TAXE*GM16)+GI16)+IF(CQ16="N/A",0,IF(INDEX(LISTES!$F$105:$F$109,MATCH(CQ16,LISTES!$C$105:$C$109,0))="FIX",CR16,CS16*GQ16)))</f>
        <v/>
      </c>
      <c r="GS16" s="412"/>
      <c r="GT16" s="412"/>
      <c r="GU16" s="412"/>
      <c r="GV16" s="412"/>
      <c r="GW16" s="412"/>
      <c r="GX16" s="412"/>
      <c r="GY16" s="412"/>
      <c r="GZ16" s="412"/>
      <c r="HA16" s="432" t="str">
        <f t="shared" si="155"/>
        <v/>
      </c>
      <c r="HB16" s="1234" t="str">
        <f>IF(A16=FALSE,"",IF(Detail!DF16="","N/A",YEAR(Detail!F16)&amp;Detail!DI16&amp;Detail!DF16&amp;"-"&amp;Detail!$DF$13))</f>
        <v/>
      </c>
      <c r="HC16" s="434" t="str">
        <f>IF(A16=FALSE,"",IF(LISTES!$A$17=1,HB16,INDEX(colMOD4,MATCH(Cotations!AH16,colchoice,0))))</f>
        <v/>
      </c>
      <c r="HD16" s="277" t="str">
        <f t="shared" ref="HD16:HD79" si="278">IF(A16=FALSE,"",INDEX(colAssureur,MATCH(HC16,colMOD4,0)))</f>
        <v/>
      </c>
      <c r="HE16" s="277" t="str">
        <f t="shared" ref="HE16:HE79" si="279">IF(A16=FALSE,"",INDEX(colProduct,MATCH(HC16,colMOD4,0)))</f>
        <v/>
      </c>
      <c r="HF16" s="277"/>
      <c r="HG16" s="277"/>
      <c r="HH16" s="277" t="str">
        <f t="shared" ref="HH16:HH79" si="280">IF(A16=FALSE,"",IF(HC16="N/A",0,INDEX(colMOD4HT,MATCH(HC16,colMOD4,0))))</f>
        <v/>
      </c>
      <c r="HI16" s="1104" t="str">
        <f t="shared" ref="HI16:HI79" si="281">IF(A16=FALSE,"",INDEX(colSURCOM,MATCH(HC16,colMOD4,0)))</f>
        <v/>
      </c>
      <c r="HJ16" s="1104" t="str">
        <f t="shared" ref="HJ16:HJ79" si="282">IF(A16=FALSE,"",INDEX(colRatesHTsurcom,MATCH(HC16,colMOD4,0)))</f>
        <v/>
      </c>
      <c r="HK16" s="443" t="str">
        <f>IF(A16=FALSE,"",IF(Cotations!AF16="monthly",HH16/12*L16,HH16/365*M16))</f>
        <v/>
      </c>
      <c r="HL16" s="1103" t="str">
        <f>IF(A16=FALSE,"",IF(Cotations!AF16="monthly",HJ16/12*L16,HJ16/365*M16))</f>
        <v/>
      </c>
      <c r="HM16" s="433" t="str">
        <f>IF(A16=FALSE,"",IF(Cotations!AL16="","",Cotations!AL16))</f>
        <v/>
      </c>
      <c r="HN16" s="277" t="str">
        <f t="shared" ref="HN16:HN79" si="283">IF(A16=FALSE,"",HK16*HM16)</f>
        <v/>
      </c>
      <c r="HO16" s="277" t="str">
        <f t="shared" ref="HO16:HO79" si="284">IF(A16=FALSE,"",HK16-HN16)</f>
        <v/>
      </c>
      <c r="HP16" s="1104" t="str">
        <f t="shared" ref="HP16:HP79" si="285">IF(A16=FALSE,"",IF(HI16=0,0,HL16-(HK16-HN16)))</f>
        <v/>
      </c>
      <c r="HQ16" s="277" t="str">
        <f t="shared" ref="HQ16:HQ79" si="286">IF(A16=FALSE,"",(HO16*TAXE)+HP16)</f>
        <v/>
      </c>
      <c r="HR16" s="759" t="str">
        <f>IF(A16=FALSE,"",((HH16*TAXE)-(HH16*TAXE*HM16)+HI16)+IF(CQ16="N/A",0,IF(INDEX(LISTES!$F$105:$F$109,MATCH(CQ16,LISTES!$C$105:$C$109,0))="FIX",CR16,CS16*HQ16)))</f>
        <v/>
      </c>
      <c r="HS16" s="412"/>
      <c r="HT16" s="412"/>
      <c r="HU16" s="412"/>
      <c r="HV16" s="412"/>
      <c r="HW16" s="412"/>
      <c r="HX16" s="412"/>
      <c r="HY16" s="412"/>
      <c r="HZ16" s="1254"/>
      <c r="IA16" s="432" t="str">
        <f>IF(A16=FALSE,"",Cotations!AT16)</f>
        <v/>
      </c>
      <c r="IB16" s="1253" t="str">
        <f>IF(A16=FALSE,"",IF(Detail!AT16="","N/A",YEAR(Detail!F16)&amp;Detail!AW16&amp;Detail!AT16&amp;"-"&amp;Detail!$AT$13&amp;Detail!AU16))</f>
        <v/>
      </c>
      <c r="IC16" s="431" t="str">
        <f>IF(A16=FALSE,"",IF(LISTES!$A$17=1,IB16,INDEX(colMOD1,MATCH(DA16,colchoice,0))))</f>
        <v/>
      </c>
      <c r="ID16" s="759" t="str">
        <f t="shared" ref="ID16:ID46" si="287">IF(A16=FALSE,"",INDEX(colAssureur,MATCH(IC16,colMOD1,0)))</f>
        <v/>
      </c>
      <c r="IE16" s="292" t="str">
        <f>IF(A16=FALSE,"",IF(LISTES!$A$17=1,Detail!AU16,INDEX(Rates!$M$1:$M$270,MATCH(IC16,colMOD1,0))))</f>
        <v/>
      </c>
      <c r="IF16" s="409" t="str">
        <f t="shared" si="165"/>
        <v/>
      </c>
      <c r="IG16" s="430" t="str">
        <f>IF(A16=FALSE,"",IF(IA16="POEA",Cotations!AY16,IF(IA16="FIXE",Cotations!AZ16,IF(Cotations!BA16*Y16&lt;50000,Z16,Cotations!BA16*Y16))))</f>
        <v/>
      </c>
      <c r="IH16" s="292" t="str">
        <f t="shared" si="166"/>
        <v/>
      </c>
      <c r="II16" s="446" t="str">
        <f>IF(A16=FALSE,"",IF(Cotations!AU16="monthly",IH16/12*L16,IH16/365*M16))</f>
        <v/>
      </c>
      <c r="IJ16" s="429" t="str">
        <f>IF(A16=FALSE,"",IF(Cotations!BB16="","",Cotations!BB16))</f>
        <v/>
      </c>
      <c r="IK16" s="292" t="str">
        <f t="shared" si="167"/>
        <v/>
      </c>
      <c r="IL16" s="292" t="str">
        <f t="shared" si="168"/>
        <v/>
      </c>
      <c r="IM16" s="759" t="str">
        <f t="shared" si="169"/>
        <v/>
      </c>
      <c r="IN16" s="759" t="str">
        <f>IF(A16=FALSE,"",((IH16*TAXE)-(IH16*TAXE*IJ16))+IF(DQ16="N/A",0,IF(INDEX(LISTES!$F$105:$F$109,MATCH(DQ16,LISTES!$C$105:$C$109,0))="FIX",DR16,DS16*IM16)))</f>
        <v/>
      </c>
      <c r="IO16" s="383"/>
      <c r="IP16" s="1127"/>
      <c r="IQ16" s="1127"/>
      <c r="IR16" s="1127"/>
      <c r="IS16" s="1127"/>
      <c r="IT16" s="1127"/>
      <c r="IU16" s="1127"/>
      <c r="IV16" s="1127"/>
      <c r="IW16" s="1127"/>
      <c r="IX16" s="1127"/>
      <c r="IY16" s="1127"/>
      <c r="JA16" s="432" t="str">
        <f>IF(A16=FALSE,"",Cotations!AT16)</f>
        <v/>
      </c>
      <c r="JB16" s="1234" t="str">
        <f>IF(A16=FALSE,"",IF(Detail!BB16="","N/A",YEAR(Detail!F16)&amp;Detail!BE16&amp;Detail!BB16&amp;"-"&amp;Detail!$BB$13&amp;Detail!BC16))</f>
        <v/>
      </c>
      <c r="JC16" s="431" t="str">
        <f>IF(A16=FALSE,"",IF(LISTES!$A$17=1,JB16,INDEX(colMOD2,MATCH(DA16,colchoice,0))))</f>
        <v/>
      </c>
      <c r="JD16" s="759" t="str">
        <f t="shared" si="170"/>
        <v/>
      </c>
      <c r="JE16" s="292"/>
      <c r="JF16" s="409" t="str">
        <f t="shared" si="171"/>
        <v/>
      </c>
      <c r="JG16" s="430" t="str">
        <f>IF(A16=FALSE,"",IF(JA16="POEA",Cotations!BC16,IF(JA16="FIXE",Cotations!BD16,IF(Cotations!BE16*Y16&lt;50000,Z16,Cotations!BE16*Y16))))</f>
        <v/>
      </c>
      <c r="JH16" s="292" t="str">
        <f t="shared" si="172"/>
        <v/>
      </c>
      <c r="JI16" s="446" t="str">
        <f>IF(A16=FALSE,"",IF(Cotations!AU16="monthly",JH16/12*L16,JH16/365*M16))</f>
        <v/>
      </c>
      <c r="JJ16" s="429" t="str">
        <f>IF(A16=FALSE,"",IF(Cotations!BF16="","",Cotations!BF16))</f>
        <v/>
      </c>
      <c r="JK16" s="292" t="str">
        <f t="shared" si="173"/>
        <v/>
      </c>
      <c r="JL16" s="292" t="str">
        <f t="shared" si="174"/>
        <v/>
      </c>
      <c r="JM16" s="759" t="str">
        <f t="shared" si="175"/>
        <v/>
      </c>
      <c r="JN16" s="759" t="str">
        <f>IF(A16=FALSE,"",((JH16*TAXE)-(JH16*TAXE*JJ16))+IF(#REF!="N/A",0,IF(INDEX(LISTES!$F$105:$F$109,MATCH(#REF!,LISTES!$C$105:$C$109,0))="FIX",#REF!,#REF!*JM16)))</f>
        <v/>
      </c>
      <c r="JQ16" s="383"/>
      <c r="JR16" s="1127"/>
      <c r="JS16" s="1127"/>
      <c r="JT16" s="1127"/>
      <c r="JU16" s="1127"/>
      <c r="JV16" s="1127"/>
      <c r="JW16" s="383"/>
      <c r="JX16" s="1127"/>
      <c r="JY16" s="1127"/>
      <c r="KA16" s="432" t="str">
        <f>IF(A16=FALSE,"",Cotations!AT16)</f>
        <v/>
      </c>
      <c r="KB16" s="1234" t="str">
        <f>IF(A16=FALSE,"",IF(Detail!BJ16="","N/A",YEAR(Detail!F16)&amp;Detail!BM16&amp;Detail!BJ16&amp;"-"&amp;Detail!$BJ$13&amp;Detail!BK16))</f>
        <v/>
      </c>
      <c r="KC16" s="431" t="str">
        <f>IF(A16=FALSE,"",IF(LISTES!$A$17=1,KB16,INDEX(colMOD3,MATCH(DA16,colchoice,0))))</f>
        <v/>
      </c>
      <c r="KD16" s="759" t="str">
        <f t="shared" si="176"/>
        <v/>
      </c>
      <c r="KE16" s="292"/>
      <c r="KF16" s="409" t="str">
        <f t="shared" si="177"/>
        <v/>
      </c>
      <c r="KG16" s="430" t="str">
        <f>IF(A16=FALSE,"",IF(KA16="POEA",Cotations!BG16,IF(KA16="FIXE",Cotations!BH16,IF(Cotations!BI16*Y16&lt;50000,Z16,Cotations!BI16*Y16))))</f>
        <v/>
      </c>
      <c r="KH16" s="292" t="str">
        <f t="shared" si="178"/>
        <v/>
      </c>
      <c r="KI16" s="446" t="str">
        <f>IF(A16=FALSE,"",IF(Cotations!AU16="monthly",KH16/12*L16,KH16/365*M16))</f>
        <v/>
      </c>
      <c r="KJ16" s="429" t="str">
        <f>IF(A16=FALSE,"",IF(Cotations!BJ16="","",Cotations!BJ16))</f>
        <v/>
      </c>
      <c r="KK16" s="292" t="str">
        <f t="shared" si="179"/>
        <v/>
      </c>
      <c r="KL16" s="292" t="str">
        <f t="shared" si="180"/>
        <v/>
      </c>
      <c r="KM16" s="759" t="str">
        <f t="shared" si="181"/>
        <v/>
      </c>
      <c r="KN16" s="759" t="str">
        <f>IF(A16=FALSE,"",((KH16*TAXE)-(KH16*TAXE*KJ16))+IF(#REF!="N/A",0,IF(INDEX(LISTES!$F$105:$F$109,MATCH(#REF!,LISTES!$C$105:$C$109,0))="FIX",#REF!,#REF!*KM16)))</f>
        <v/>
      </c>
      <c r="KR16" s="1127"/>
      <c r="KS16" s="1127"/>
      <c r="KT16" s="1127"/>
      <c r="KU16" s="1127"/>
      <c r="KV16" s="1127"/>
      <c r="KW16" s="1127"/>
      <c r="KX16" s="1127"/>
      <c r="KY16" s="1127"/>
      <c r="LA16" s="432" t="str">
        <f>IF(A16=FALSE,"",Cotations!AT16)</f>
        <v/>
      </c>
      <c r="LB16" s="1234" t="str">
        <f>IF(A16=FALSE,"",IF(Detail!BR16="","N/A",YEAR(Detail!F16)&amp;Detail!BU16&amp;Detail!BR16&amp;"-"&amp;Detail!$BR$13&amp;Detail!BS16))</f>
        <v/>
      </c>
      <c r="LC16" s="431" t="str">
        <f>IF(A16=FALSE,"",IF(LISTES!$A$17=1,LB16,INDEX(colMOD4,MATCH(DA16,colchoice,0))))</f>
        <v/>
      </c>
      <c r="LD16" s="759" t="str">
        <f t="shared" si="182"/>
        <v/>
      </c>
      <c r="LE16" s="292"/>
      <c r="LF16" s="409" t="str">
        <f t="shared" si="183"/>
        <v/>
      </c>
      <c r="LG16" s="430" t="str">
        <f>IF(A16=FALSE,"",IF(LA16="POEA",Cotations!BK16,IF(LA16="FIXE",Cotations!BL16,IF(Cotations!BM16*Y16&lt;50000,Z16,Cotations!BM16*Y16))))</f>
        <v/>
      </c>
      <c r="LH16" s="292" t="str">
        <f t="shared" si="184"/>
        <v/>
      </c>
      <c r="LI16" s="446" t="str">
        <f>IF(A16=FALSE,"",IF(Cotations!AU16="monthly",LH16/12*L16,LH16/365*M16))</f>
        <v/>
      </c>
      <c r="LJ16" s="429" t="str">
        <f>IF(A16=FALSE,"",IF(Cotations!BN16="","",Cotations!BN16))</f>
        <v/>
      </c>
      <c r="LK16" s="292" t="str">
        <f t="shared" si="185"/>
        <v/>
      </c>
      <c r="LL16" s="292" t="str">
        <f t="shared" si="186"/>
        <v/>
      </c>
      <c r="LM16" s="759" t="str">
        <f t="shared" si="187"/>
        <v/>
      </c>
      <c r="LN16" s="759" t="str">
        <f>IF(A16=FALSE,"",((LH16*TAXE)-(LH16*TAXE*LJ16))+IF(#REF!="N/A",0,IF(INDEX(LISTES!$F$105:$F$109,MATCH(#REF!,LISTES!$C$105:$C$109,0))="FIX",#REF!,#REF!*LM16)))</f>
        <v/>
      </c>
      <c r="LR16" s="1127"/>
      <c r="LS16" s="1127"/>
      <c r="LT16" s="1127"/>
      <c r="LU16" s="1127"/>
      <c r="LV16" s="1127"/>
      <c r="LW16" s="1127"/>
      <c r="LX16" s="1127"/>
      <c r="LY16" s="1127"/>
      <c r="MA16" s="432" t="str">
        <f t="shared" si="188"/>
        <v/>
      </c>
      <c r="MB16" s="1234" t="str">
        <f>IF(A16=FALSE,"",IF(Detail!BZ16="","N/A",YEAR(Detail!F16)&amp;Detail!CC16&amp;Detail!BZ16&amp;"-"&amp;Detail!$BZ$13&amp;" (100%/"&amp;Detail!CD16&amp;"/"&amp;Detail!CE16&amp;")"))</f>
        <v/>
      </c>
      <c r="MC16" s="431" t="str">
        <f>IF(A16=FALSE,"",IF(LISTES!$A$17=1,MB16,INDEX(colMOD5,MATCH(DA16,colchoice,0))))</f>
        <v/>
      </c>
      <c r="MD16" s="759" t="str">
        <f t="shared" si="189"/>
        <v/>
      </c>
      <c r="ME16" s="292"/>
      <c r="MF16" s="409" t="str">
        <f t="shared" si="190"/>
        <v/>
      </c>
      <c r="MG16" s="430" t="str">
        <f>IF(A16=FALSE,"",Cotations!BQ16*AA16)</f>
        <v/>
      </c>
      <c r="MH16" s="292" t="str">
        <f t="shared" si="191"/>
        <v/>
      </c>
      <c r="MI16" s="446" t="str">
        <f>IF(A16=FALSE,"",IF(Cotations!AU16="monthly",MH16/12*L16,MH16/365*M16))</f>
        <v/>
      </c>
      <c r="MJ16" s="429" t="str">
        <f>IF(A16=FALSE,"",IF(Cotations!BR16="","",Cotations!BR16))</f>
        <v/>
      </c>
      <c r="MK16" s="292" t="str">
        <f t="shared" si="192"/>
        <v/>
      </c>
      <c r="ML16" s="292" t="str">
        <f t="shared" si="193"/>
        <v/>
      </c>
      <c r="MM16" s="759" t="str">
        <f t="shared" si="194"/>
        <v/>
      </c>
      <c r="MN16" s="759" t="str">
        <f>IF(A16=FALSE,"",((MH16*TAXE)-(MH16*TAXE*MJ16))+IF(#REF!="N/A",0,IF(INDEX(LISTES!$F$105:$F$109,MATCH(#REF!,LISTES!$C$105:$C$109,0))="FIX",#REF!,#REF!*MM16)))</f>
        <v/>
      </c>
      <c r="MQ16" s="1127"/>
      <c r="MR16" s="1127"/>
      <c r="MS16" s="1127"/>
      <c r="MT16" s="1127"/>
      <c r="MU16" s="1127"/>
      <c r="MV16" s="1127"/>
      <c r="MW16" s="1127"/>
      <c r="MX16" s="1127"/>
      <c r="NA16" s="432" t="str">
        <f t="shared" si="195"/>
        <v/>
      </c>
      <c r="NB16" s="1234" t="str">
        <f>IF(A16=FALSE,"",IF(Detail!CH16="","N/A",YEAR(Detail!F16)&amp;Detail!CK16&amp;Detail!CH16&amp;"-"&amp;Detail!$CH$13&amp;" (100%/"&amp;Detail!CL16&amp;"/"&amp;Detail!CM16&amp;")"))</f>
        <v/>
      </c>
      <c r="NC16" s="431" t="str">
        <f>IF(A16=FALSE,"",IF(LISTES!$A$17=1,NB16,INDEX(colMOD6,MATCH(DA16,colchoice,0))))</f>
        <v/>
      </c>
      <c r="ND16" s="759" t="str">
        <f t="shared" si="196"/>
        <v/>
      </c>
      <c r="NE16" s="292"/>
      <c r="NF16" s="409" t="str">
        <f t="shared" si="197"/>
        <v/>
      </c>
      <c r="NG16" s="430" t="str">
        <f>IF(A16=FALSE,"",Cotations!BU16*AA16)</f>
        <v/>
      </c>
      <c r="NH16" s="292" t="str">
        <f t="shared" si="198"/>
        <v/>
      </c>
      <c r="NI16" s="446" t="str">
        <f>IF(A16=FALSE,"",IF(Cotations!AU16="monthly",NH16/12*L16,NH16/365*M16))</f>
        <v/>
      </c>
      <c r="NJ16" s="429" t="str">
        <f>IF(A16=FALSE,"",IF(Cotations!BV16="","",Cotations!BV16))</f>
        <v/>
      </c>
      <c r="NK16" s="292" t="str">
        <f t="shared" si="199"/>
        <v/>
      </c>
      <c r="NL16" s="292" t="str">
        <f t="shared" si="200"/>
        <v/>
      </c>
      <c r="NM16" s="759" t="str">
        <f t="shared" si="201"/>
        <v/>
      </c>
      <c r="NN16" s="759" t="str">
        <f>IF(A16=FALSE,"",((NH16*TAXE)-(NH16*TAXE*NJ16))+IF(#REF!="N/A",0,IF(INDEX(LISTES!$F$105:$F$109,MATCH(#REF!,LISTES!$C$105:$C$109,0))="FIX",#REF!,#REF!*NM16)))</f>
        <v/>
      </c>
      <c r="NR16" s="1127"/>
      <c r="NS16" s="1127"/>
      <c r="NT16" s="1127"/>
      <c r="NU16" s="1127"/>
      <c r="NV16" s="1127"/>
      <c r="NW16" s="1127"/>
      <c r="NX16" s="1127"/>
      <c r="NY16" s="1127"/>
      <c r="NZ16" s="1281" t="str">
        <f>IF(A16=FALSE,"",IF(Detail!CP16="","N/A",YEAR(Detail!F16)&amp;Detail!CS16&amp;Detail!CP16&amp;"-"&amp;Detail!CQ16))</f>
        <v/>
      </c>
      <c r="OA16" s="432" t="str">
        <f>IF(A16=FALSE,"",Cotations!CF16)</f>
        <v/>
      </c>
      <c r="OB16" s="1282" t="str">
        <f>IF(A16=FALSE,"",IF(Detail!CP16="","N/A",YEAR(Detail!F16)&amp;Detail!CS16&amp;Detail!CP16&amp;"-"&amp;Detail!$CP$13&amp;Detail!CQ16))</f>
        <v/>
      </c>
      <c r="OC16" s="1283" t="str">
        <f>IF(A16=FALSE,"",IF(LISTES!$A$17=1,OB16,INDEX(colMOD1,MATCH(Cotations!CE16,colchoice,0))))</f>
        <v/>
      </c>
      <c r="OD16" s="759" t="str">
        <f t="shared" si="202"/>
        <v/>
      </c>
      <c r="OE16" s="292" t="str">
        <f>IF(A16=FALSE,"",Detail!CQ16)</f>
        <v/>
      </c>
      <c r="OF16" s="409" t="str">
        <f t="shared" si="203"/>
        <v/>
      </c>
      <c r="OG16" s="430" t="str">
        <f>IF(A16=FALSE,"",IF(OA16="FIXE",Cotations!CM16,Cotations!CN16*AA16))</f>
        <v/>
      </c>
      <c r="OH16" s="292" t="str">
        <f t="shared" ref="OH16:OH79" si="288">IF(A16=FALSE,"",IF(OC16="N/A",0,OG16*INDEX(colMOD1HT,MATCH(OC16,colMOD1,0))))</f>
        <v/>
      </c>
      <c r="OI16" s="446" t="str">
        <f>IF(A16=FALSE,"",IF(Cotations!CF16="monthly",OH16/12*L16,OH16/365*M16))</f>
        <v/>
      </c>
      <c r="OJ16" s="429" t="str">
        <f>IF(A16=FALSE,"",IF(Cotations!CO16="","",Cotations!CO16))</f>
        <v/>
      </c>
      <c r="OK16" s="292" t="str">
        <f t="shared" ref="OK16:OK79" si="289">IF(A16=FALSE,"",OI16*OJ16)</f>
        <v/>
      </c>
      <c r="OL16" s="292" t="str">
        <f t="shared" ref="OL16:OL79" si="290">IF(A16=FALSE,"",OI16-OK16)</f>
        <v/>
      </c>
      <c r="OM16" s="759" t="str">
        <f t="shared" si="207"/>
        <v/>
      </c>
      <c r="ON16" s="759" t="str">
        <f>IF(A16=FALSE,"",((OH16*(1+TAXE)-(OH16*(1+TAXE)*OJ16))+IF(#REF!="N/A",0,IF(INDEX(LISTES!$F$105:$F$109,MATCH(#REF!,LISTES!$C$105:$C$109,0))="FIX",#REF!,#REF!*OM16))))</f>
        <v/>
      </c>
      <c r="PA16" s="432" t="str">
        <f>IF(A16=FALSE,"",Cotations!CF16)</f>
        <v/>
      </c>
      <c r="PB16" s="1282" t="str">
        <f>IF(A16=FALSE,"",IF(Detail!CX16="","N/A",YEAR(Detail!F16)&amp;Detail!DA16&amp;Detail!CX16&amp;"-"&amp;Detail!$CX$13&amp;Detail!CY16))</f>
        <v/>
      </c>
      <c r="PC16" s="1283" t="str">
        <f>IF(A16=FALSE,"",IF(LISTES!$A$17=1,PB16,INDEX(colMOD3,MATCH(Cotations!CE16,colchoice,0))))</f>
        <v/>
      </c>
      <c r="PD16" s="759" t="str">
        <f t="shared" si="208"/>
        <v/>
      </c>
      <c r="PE16" s="292" t="str">
        <f>IF(A16=FALSE,"",IF(Detail!CY16="","",Detail!CY16))</f>
        <v/>
      </c>
      <c r="PF16" s="409" t="str">
        <f t="shared" ref="PF16:PF79" si="291">IF(A16=FALSE,"",IF(PC16="",0,INDEX(colMOD3HT,MATCH(PC16,colMOD3,0))))</f>
        <v/>
      </c>
      <c r="PG16" s="430" t="str">
        <f>IF(A16=FALSE,"",IF(PA16="FIXE",Cotations!CP16,Cotations!CQ16*AA16))</f>
        <v/>
      </c>
      <c r="PH16" s="292" t="str">
        <f t="shared" ref="PH16:PH79" si="292">IF(A16=FALSE,"",IF(PC16="N/A",0,PG16*INDEX(colMOD3HT,MATCH(PC16,colMOD3,0))))</f>
        <v/>
      </c>
      <c r="PI16" s="446" t="str">
        <f>IF(A16=FALSE,"",IF(Cotations!CG16="monthly",PH16/12*L16,PH16/365*M16))</f>
        <v/>
      </c>
      <c r="PJ16" s="429" t="str">
        <f>IF(A16=FALSE,"",IF(Cotations!DA16="",0,Cotations!DA16))</f>
        <v/>
      </c>
      <c r="PK16" s="292" t="str">
        <f t="shared" ref="PK16:PK79" si="293">IF(A16=FALSE,"",PI16*PJ16)</f>
        <v/>
      </c>
      <c r="PL16" s="292" t="str">
        <f t="shared" ref="PL16:PL79" si="294">IF(A16=FALSE,"",PI16-PK16)</f>
        <v/>
      </c>
      <c r="PM16" s="759" t="str">
        <f t="shared" si="211"/>
        <v/>
      </c>
      <c r="PN16" s="759" t="str">
        <f>IF(A16=FALSE,"",((PH16*(1+TAXE)-(PH16*(1+TAXE)*PJ16))+IF(#REF!="N/A",0,IF(INDEX(LISTES!$F$105:$F$109,MATCH(#REF!,LISTES!$C$105:$C$109,0))="FIX",#REF!,#REF!*PM16))))</f>
        <v/>
      </c>
    </row>
    <row r="17" spans="1:430" s="288" customFormat="1">
      <c r="A17" s="779" t="b">
        <f t="shared" si="111"/>
        <v>0</v>
      </c>
      <c r="B17" s="779" t="b">
        <f>IF(NAMES!$B$9=TRUE,TRUE,FALSE)</f>
        <v>1</v>
      </c>
      <c r="C17" s="779" t="b">
        <f t="shared" si="212"/>
        <v>0</v>
      </c>
      <c r="D17" s="779" t="b">
        <f t="shared" si="213"/>
        <v>1</v>
      </c>
      <c r="E17" s="267" t="b">
        <f>IF(Cotations!C17="","",Cotations!C17)</f>
        <v>0</v>
      </c>
      <c r="F17" s="267" t="str">
        <f>IF(Cotations!AT17="","",Cotations!AT17)</f>
        <v>PROP</v>
      </c>
      <c r="G17" s="267" t="str">
        <f>IF(Cotations!D17="","",Cotations!D17)</f>
        <v>2016-2017!</v>
      </c>
      <c r="H17" s="267" t="str">
        <f>IF(Cotations!E17="","",Cotations!E17)</f>
        <v>SINGLE</v>
      </c>
      <c r="I17" s="267" t="str">
        <f>IF(Cotations!F17="","",Cotations!F17)</f>
        <v/>
      </c>
      <c r="J17" s="267" t="str">
        <f>IF(Cotations!G17="","",Cotations!G17)</f>
        <v/>
      </c>
      <c r="K17" s="267" t="str">
        <f>IF(Cotations!H17="","",Cotations!H17)</f>
        <v/>
      </c>
      <c r="L17" s="267" t="str">
        <f>IF(A17=FALSE,"",IF(Cotations!M17="","",Cotations!M17))</f>
        <v/>
      </c>
      <c r="M17" s="267" t="str">
        <f>IF(Cotations!O17="","",Cotations!O17)</f>
        <v/>
      </c>
      <c r="N17" s="588">
        <f>IF(NAMES!$B$10=TRUE,Cotations!I17,Cotations!K17)</f>
        <v>42675</v>
      </c>
      <c r="O17" s="588">
        <f>IF(NAMES!$B$10=TRUE,Cotations!J17,Cotations!L17)</f>
        <v>42749</v>
      </c>
      <c r="P17" s="780" t="str">
        <f t="shared" si="214"/>
        <v>novembre</v>
      </c>
      <c r="Q17" s="588" t="str">
        <f>IF(A17=FALSE,"",IF(Crewlist!Y17="","",Crewlist!Y17))</f>
        <v/>
      </c>
      <c r="R17" s="78" t="str">
        <f>IF(Cotations!T17="","",Cotations!T17)</f>
        <v/>
      </c>
      <c r="S17" s="780" t="str">
        <f t="shared" si="215"/>
        <v/>
      </c>
      <c r="T17" s="759" t="str">
        <f>IF(A17=FALSE,"",VLOOKUP($U$15:$U$120,Currency!$A$2:$D$10,4,0)*Crewlist!N17)</f>
        <v/>
      </c>
      <c r="U17" s="1097" t="str">
        <f>IF(A17=FALSE,"",IF(DP17=0,Crewlist!M17&amp;"/"&amp;CP17,Crewlist!M17&amp;"/"&amp;DP17))</f>
        <v/>
      </c>
      <c r="V17" s="759" t="str">
        <f>IF(A17=FALSE,"",VLOOKUP($U$15:$U$120,Currency!$A$2:$D$10,4,0)*Detail!Q17)</f>
        <v/>
      </c>
      <c r="W17" s="1097" t="str">
        <f>IF(A17=FALSE,"",IF(DP17=0,Detail!R17&amp;"/"&amp;CP17,Detail!R17&amp;"/"&amp;DP17))</f>
        <v/>
      </c>
      <c r="X17" s="759" t="str">
        <f>IF(A17=FALSE,"",IF(LISTES!$C$17="Crewlist",Calcul!T17,Calcul!V17))</f>
        <v/>
      </c>
      <c r="Y17" s="618" t="str">
        <f t="shared" si="216"/>
        <v/>
      </c>
      <c r="Z17" s="618" t="str">
        <f>IF(A17=FALSE,"",IF(X17=0,0,IF((Cotations!BA17*12*X17)&lt;50000,50000,(12*X17))))</f>
        <v/>
      </c>
      <c r="AA17" s="618" t="str">
        <f t="shared" si="217"/>
        <v/>
      </c>
      <c r="AB17" s="618" t="str">
        <f>IF(A17=FALSE,"",IF(Crewlist!O17=0,"",Crewlist!O17))</f>
        <v/>
      </c>
      <c r="AC17" s="618" t="str">
        <f>IF(I17="","",VLOOKUP($AB$15:$AB$120,Currency!$A$15:$B$34,2,0))</f>
        <v/>
      </c>
      <c r="AD17" s="618" t="str">
        <f t="shared" si="218"/>
        <v/>
      </c>
      <c r="AE17" s="618" t="str">
        <f t="shared" si="219"/>
        <v/>
      </c>
      <c r="AF17" s="618" t="str">
        <f t="shared" si="220"/>
        <v/>
      </c>
      <c r="AG17" s="618" t="str">
        <f t="shared" si="221"/>
        <v/>
      </c>
      <c r="AH17" s="1097" t="str">
        <f t="shared" si="112"/>
        <v/>
      </c>
      <c r="AI17" s="759" t="str">
        <f t="shared" si="222"/>
        <v/>
      </c>
      <c r="AJ17" s="1120" t="str">
        <f t="shared" si="223"/>
        <v/>
      </c>
      <c r="AK17" s="1120" t="str">
        <f t="shared" si="224"/>
        <v/>
      </c>
      <c r="AL17" s="236" t="str">
        <f t="shared" si="225"/>
        <v/>
      </c>
      <c r="AM17" s="236" t="str">
        <f t="shared" si="226"/>
        <v/>
      </c>
      <c r="AN17" s="1112" t="str">
        <f t="shared" si="227"/>
        <v/>
      </c>
      <c r="AO17" s="236" t="str">
        <f t="shared" si="228"/>
        <v/>
      </c>
      <c r="AP17" s="327" t="str">
        <f>IF(A17=FALSE,"",INDEX(Rates!$Q$1:$Q$278,MATCH(CA17,colchoice,0)))</f>
        <v/>
      </c>
      <c r="AQ17" s="236" t="str">
        <f t="shared" si="229"/>
        <v/>
      </c>
      <c r="AR17" s="236" t="str">
        <f t="shared" si="230"/>
        <v/>
      </c>
      <c r="AS17" s="236" t="str">
        <f t="shared" si="117"/>
        <v/>
      </c>
      <c r="AT17" s="236" t="str">
        <f t="shared" si="118"/>
        <v/>
      </c>
      <c r="AU17" s="236" t="str">
        <f t="shared" si="231"/>
        <v/>
      </c>
      <c r="AV17" s="236" t="str">
        <f t="shared" si="232"/>
        <v/>
      </c>
      <c r="AW17" s="236" t="str">
        <f t="shared" si="233"/>
        <v/>
      </c>
      <c r="AX17" s="236" t="str">
        <f t="shared" si="234"/>
        <v/>
      </c>
      <c r="AY17" s="236" t="str">
        <f t="shared" si="235"/>
        <v/>
      </c>
      <c r="AZ17" s="236" t="str">
        <f t="shared" si="236"/>
        <v/>
      </c>
      <c r="BA17" s="236" t="str">
        <f t="shared" si="237"/>
        <v/>
      </c>
      <c r="BB17" s="467" t="str">
        <f t="shared" si="238"/>
        <v/>
      </c>
      <c r="BC17" s="329" t="str">
        <f t="shared" si="239"/>
        <v/>
      </c>
      <c r="BD17" s="237" t="str">
        <f t="shared" si="240"/>
        <v/>
      </c>
      <c r="BE17" s="237" t="str">
        <f>IF(A17=FALSE,"",IF(ED17&lt;&gt;$BC$7,0,INDEX(EA17:EZ17,1,MATCH(Structure!$J$16,$EA$14:$EZ$14,0))))</f>
        <v/>
      </c>
      <c r="BF17" s="237" t="str">
        <f>IF(A17=FALSE,"",IF(FD17&lt;&gt;$BC$7,0,INDEX(FA17:FZ17,1,MATCH(Structure!$J$16,$FA$14:$FZ$14,0))))</f>
        <v/>
      </c>
      <c r="BG17" s="237" t="str">
        <f>IF(A17=FALSE,"",IF(GD17&lt;&gt;$BC$7,0,INDEX(GA17:GZ17,1,MATCH(Structure!$J$16,$GA$14:$GZ$14,0))))</f>
        <v/>
      </c>
      <c r="BH17" s="237" t="str">
        <f>IF(A17=FALSE,"",IF(HD17&lt;&gt;$BC$7,0,INDEX(HA17:HZ17,1,MATCH(Structure!$J$16,$HA$14:$HZ$14,0))))</f>
        <v/>
      </c>
      <c r="BI17" s="621" t="str">
        <f>IF(A17=FALSE,"",IF(ID17&lt;&gt;$BC$7,0,INDEX(IA17:IZ17,1,MATCH(Structure!$C$12,$IA$14:$IZ$14,0)))+OL17)</f>
        <v/>
      </c>
      <c r="BJ17" s="237" t="str">
        <f>IF(A17=FALSE,"",IF(JD17&lt;&gt;$BC$7,0,INDEX(JA17:JZ17,1,MATCH(Structure!$C$12,$JA$14:$JZ$14,0))))</f>
        <v/>
      </c>
      <c r="BK17" s="621" t="str">
        <f>IF(A17=FALSE,"",IF(KD17&lt;&gt;$BC$7,0,INDEX(KA17:KZ17,1,MATCH(Structure!$C$12,$KA$14:$KZ$14,0)))+PL17)</f>
        <v/>
      </c>
      <c r="BL17" s="237" t="str">
        <f>IF(A17=FALSE,"",IF(LD17&lt;&gt;$BC$7,0,INDEX(LA17:LZ17,1,MATCH(Structure!$C$12,$LA$14:$LZ$14,0))))</f>
        <v/>
      </c>
      <c r="BM17" s="237" t="str">
        <f>IF(A17=FALSE,"",IF(MD17&lt;&gt;$BC$7,0,INDEX(MA17:MZ17,1,MATCH(Structure!$C$12,$MA$14:$MZ$14,0))))</f>
        <v/>
      </c>
      <c r="BN17" s="326" t="str">
        <f>IF(A17=FALSE,"",IF(ND17&lt;&gt;$BC$7,0,INDEX(NA17:OC17,1,MATCH(Structure!$C$12,$NA$14:$OC$14,0))))</f>
        <v/>
      </c>
      <c r="BO17" s="435" t="str">
        <f t="shared" si="241"/>
        <v/>
      </c>
      <c r="BP17" s="237" t="str">
        <f t="shared" si="242"/>
        <v/>
      </c>
      <c r="BQ17" s="237" t="str">
        <f>IF(A17=FALSE,"",IF(ED17&lt;&gt;$BO$7,0,INDEX(EA17:EZ17,1,MATCH(Structure!$C$12,$EA$14:$EZ$14,0))))</f>
        <v/>
      </c>
      <c r="BR17" s="237" t="str">
        <f>IF(A17=FALSE,"",IF(FD17&lt;&gt;$BO$7,0,INDEX(FA17:FZ17,1,MATCH(Structure!$C$12,$FA$14:$FZ$14,0))))</f>
        <v/>
      </c>
      <c r="BS17" s="237" t="str">
        <f>IF(A17=FALSE,"",IF(ID17&lt;&gt;$BO$7,0,INDEX(IA17:IZ17,1,MATCH(Structure!$C$13,$IA$14:$IZ$14,0))))</f>
        <v/>
      </c>
      <c r="BT17" s="237" t="str">
        <f>IF(A17=FALSE,"",IF(JD17&lt;&gt;$BO$7,0,INDEX(JA17:JZ17,1,MATCH(Structure!$C$13,$JA$14:$JZ$14,0))))</f>
        <v/>
      </c>
      <c r="BU17" s="237" t="str">
        <f>IF(A17=FALSE,"",IF(KD17&lt;&gt;$BO$7,0,INDEX(KA17:KZ17,1,MATCH(Structure!$C$13,$KA$14:$KZ$14,0))))</f>
        <v/>
      </c>
      <c r="BV17" s="237" t="str">
        <f>IF(A17=FALSE,"",IF(LD17&lt;&gt;$BO$7,0,INDEX(LA17:LZ17,1,MATCH(Structure!$C$13,$LA$14:$LZ$14,0))))</f>
        <v/>
      </c>
      <c r="BW17" s="237" t="str">
        <f>IF(A17=FALSE,"",IF(MD17&lt;&gt;$BO$7,0,INDEX(MA17:MZ17,1,MATCH(Structure!$C$13,$MA$14:$MZ$14,0))))</f>
        <v/>
      </c>
      <c r="BX17" s="326" t="str">
        <f>IF(A17=FALSE,"",IF(ND17&lt;&gt;$BO$7,0,INDEX(NA17:OC17,1,MATCH(Structure!$C$13,$NA$14:$OC$14,0))))</f>
        <v/>
      </c>
      <c r="BY17" s="412"/>
      <c r="BZ17" s="412"/>
      <c r="CA17" s="1255" t="str">
        <f>IF(A17=FALSE,"",IF(LISTES!$A$17=1,Cotations!AG17,Cotations!AH17))</f>
        <v/>
      </c>
      <c r="CB17" s="1266" t="str">
        <f t="shared" si="243"/>
        <v/>
      </c>
      <c r="CC17" s="1120" t="str">
        <f t="shared" si="244"/>
        <v/>
      </c>
      <c r="CD17" s="1120" t="str">
        <f t="shared" si="245"/>
        <v/>
      </c>
      <c r="CE17" s="1120" t="str">
        <f t="shared" si="246"/>
        <v/>
      </c>
      <c r="CF17" s="1120" t="str">
        <f t="shared" si="247"/>
        <v/>
      </c>
      <c r="CG17" s="1267"/>
      <c r="CH17" s="1267"/>
      <c r="CI17" s="1268" t="str">
        <f t="shared" si="248"/>
        <v/>
      </c>
      <c r="CJ17" s="286" t="str">
        <f t="shared" si="249"/>
        <v/>
      </c>
      <c r="CK17" s="286" t="str">
        <f t="shared" si="250"/>
        <v/>
      </c>
      <c r="CL17" s="1263"/>
      <c r="CM17" s="1263"/>
      <c r="CN17" s="1263"/>
      <c r="CO17" s="1263"/>
      <c r="CP17" s="319" t="str">
        <f t="shared" si="251"/>
        <v/>
      </c>
      <c r="CQ17" s="443" t="str">
        <f>IF(A17=FALSE,"",Cotations!AM17)</f>
        <v/>
      </c>
      <c r="CR17" s="443" t="str">
        <f>IF(A17=FALSE,"",IF(Cotations!AN17="","",Cotations!AN17))</f>
        <v/>
      </c>
      <c r="CS17" s="433" t="str">
        <f>IF(A17=FALSE,"",Cotations!AO17)</f>
        <v/>
      </c>
      <c r="CT17" s="443" t="str">
        <f>IF(A17=FALSE,"",IF(CQ17="N/A",0,IF(INDEX(LISTES!$F$105:$F$109,MATCH(CQ17,LISTES!$C$105:$C$109,0))="FIX",IF(INDEX(LISTES!$E$105:$E$109,MATCH(CQ17,LISTES!$C$105:$C$109,0))=12,CR17/12*L17,CR17/365*M17),CS17*EQ17)))</f>
        <v/>
      </c>
      <c r="CU17" s="434" t="str">
        <f>IF(A17=FALSE,"",(CJ17+CK17)*Cotations!AP17)</f>
        <v/>
      </c>
      <c r="CV17" s="434" t="str">
        <f>IF(A17=FALSE,"",(CJ17+CK17)*Cotations!AQ17)</f>
        <v/>
      </c>
      <c r="CX17" s="1127"/>
      <c r="CY17" s="1127"/>
      <c r="CZ17" s="1127"/>
      <c r="DA17" s="1253" t="str">
        <f>IF(A17=FALSE,"",IF(LISTES!$A$17=1,Cotations!AV17,Cotations!AW17))</f>
        <v/>
      </c>
      <c r="DB17" s="1271" t="str">
        <f t="shared" si="252"/>
        <v/>
      </c>
      <c r="DC17" s="1270" t="str">
        <f t="shared" si="253"/>
        <v/>
      </c>
      <c r="DD17" s="1270" t="str">
        <f t="shared" si="254"/>
        <v/>
      </c>
      <c r="DE17" s="1270" t="str">
        <f t="shared" si="255"/>
        <v/>
      </c>
      <c r="DF17" s="1270" t="str">
        <f t="shared" si="256"/>
        <v/>
      </c>
      <c r="DG17" s="1270" t="str">
        <f t="shared" si="257"/>
        <v/>
      </c>
      <c r="DH17" s="1270" t="str">
        <f t="shared" si="258"/>
        <v/>
      </c>
      <c r="DI17" s="1271" t="str">
        <f t="shared" si="259"/>
        <v/>
      </c>
      <c r="DJ17" s="286" t="str">
        <f t="shared" si="260"/>
        <v/>
      </c>
      <c r="DK17" s="286" t="str">
        <f t="shared" si="261"/>
        <v/>
      </c>
      <c r="DL17" s="1264" t="str">
        <f t="shared" si="262"/>
        <v/>
      </c>
      <c r="DM17" s="1264" t="str">
        <f t="shared" si="263"/>
        <v/>
      </c>
      <c r="DN17" s="1264" t="str">
        <f t="shared" si="264"/>
        <v/>
      </c>
      <c r="DO17" s="1264" t="str">
        <f t="shared" si="265"/>
        <v/>
      </c>
      <c r="DP17" s="323" t="str">
        <f t="shared" si="132"/>
        <v/>
      </c>
      <c r="DQ17" s="444" t="str">
        <f>IF(A17=FALSE,"",Cotations!BW17)</f>
        <v/>
      </c>
      <c r="DR17" s="444" t="str">
        <f>IF(A17=FALSE,"",Cotations!BX17)</f>
        <v/>
      </c>
      <c r="DS17" s="433" t="str">
        <f>IF(A17=FALSE,"",Cotations!BY17)</f>
        <v/>
      </c>
      <c r="DT17" s="830" t="str">
        <f>IF(A17=FALSE,"",IF(DQ17="N/A",0,IF(INDEX(LISTES!$F$105:$F$109,MATCH(DQ17,LISTES!$C$105:$C$109,0))="FIX",IF(INDEX(LISTES!$E$105:$E$109,MATCH(DQ17,LISTES!$C$105:$C$109,0))=12,DR17/12*L17,DR17/365*M17),DS17*(DN17+DO17))))</f>
        <v/>
      </c>
      <c r="DU17" s="434" t="str">
        <f>IF(A17=FALSE,"",DJ17*Cotations!BZ17)</f>
        <v/>
      </c>
      <c r="DV17" s="434" t="str">
        <f>IF(A17=FALSE,"",DJ17*Cotations!CA17)</f>
        <v/>
      </c>
      <c r="DX17" s="1127"/>
      <c r="DY17" s="1127"/>
      <c r="DZ17" s="1127"/>
      <c r="EA17" s="432" t="str">
        <f>IF(A17=FALSE,"",Cotations!AT17)</f>
        <v/>
      </c>
      <c r="EB17" s="1234" t="str">
        <f>IF(A17=FALSE,"",YEAR(Detail!F17)&amp;Detail!AG17&amp;Detail!AD17&amp;"-"&amp;Detail!$AD$13&amp;Detail!AE17)</f>
        <v/>
      </c>
      <c r="EC17" s="434" t="str">
        <f>IF(A17=FALSE,"",IF(LISTES!$A$17=1,EB17,INDEX(colMOD1,MATCH(Cotations!AH17,colchoice,0))))</f>
        <v/>
      </c>
      <c r="ED17" s="277" t="str">
        <f t="shared" si="133"/>
        <v/>
      </c>
      <c r="EE17" s="277" t="str">
        <f t="shared" si="134"/>
        <v/>
      </c>
      <c r="EF17" s="277"/>
      <c r="EG17" s="277"/>
      <c r="EH17" s="277" t="str">
        <f t="shared" si="135"/>
        <v/>
      </c>
      <c r="EI17" s="1104" t="str">
        <f t="shared" si="136"/>
        <v/>
      </c>
      <c r="EJ17" s="1104" t="str">
        <f t="shared" si="137"/>
        <v/>
      </c>
      <c r="EK17" s="443" t="str">
        <f>IF(A17=FALSE,"",IF(Cotations!AF17="monthly",EH17/12*L17,EH17/365*M17))</f>
        <v/>
      </c>
      <c r="EL17" s="1103" t="str">
        <f>IF(A17=FALSE,"",IF(Cotations!AF17="monthly",EJ17/12*L17,EJ17/365*M17))</f>
        <v/>
      </c>
      <c r="EM17" s="433" t="str">
        <f>IF(A17=FALSE,"",IF(Cotations!AI17="","",Cotations!AI17))</f>
        <v/>
      </c>
      <c r="EN17" s="277" t="str">
        <f t="shared" si="266"/>
        <v/>
      </c>
      <c r="EO17" s="277" t="str">
        <f t="shared" si="138"/>
        <v/>
      </c>
      <c r="EP17" s="1104" t="str">
        <f t="shared" si="139"/>
        <v/>
      </c>
      <c r="EQ17" s="277" t="str">
        <f t="shared" si="267"/>
        <v/>
      </c>
      <c r="ER17" s="759" t="str">
        <f>IF(A17=FALSE,"",((EH17*TAXE)-(EH17*TAXE*EM17)+EI17)+IF(CQ17="N/A",0,IF(INDEX(LISTES!$F$105:$F$109,MATCH(CQ17,LISTES!$C$105:$C$109,0))="FIX",CR17,CS17*EQ17)))</f>
        <v/>
      </c>
      <c r="ES17" s="383"/>
      <c r="ET17" s="422"/>
      <c r="EU17" s="422"/>
      <c r="EV17" s="422"/>
      <c r="EW17" s="422"/>
      <c r="EX17" s="422"/>
      <c r="EY17" s="422"/>
      <c r="EZ17" s="422"/>
      <c r="FA17" s="432" t="str">
        <f>IF(A17=FALSE,"",Cotations!AT17)</f>
        <v/>
      </c>
      <c r="FB17" s="1235" t="str">
        <f>IF(A17=FALSE,"",IF(Detail!AL17="","N/A",YEAR(Detail!F17)&amp;Detail!AO17&amp;Detail!AL17&amp;"-"&amp;Detail!$AL$13&amp;Detail!AM17))</f>
        <v/>
      </c>
      <c r="FC17" s="434" t="str">
        <f>IF(A17=FALSE,"",IF(LISTES!$A$17=1,FB17,INDEX(colMOD2,MATCH(Cotations!AH17,colchoice,0))))</f>
        <v/>
      </c>
      <c r="FD17" s="277" t="str">
        <f t="shared" si="140"/>
        <v/>
      </c>
      <c r="FE17" s="443" t="str">
        <f>IF(A17=FALSE,"",IF(Detail!AM17="","",Detail!AM17))</f>
        <v/>
      </c>
      <c r="FF17" s="277"/>
      <c r="FG17" s="277"/>
      <c r="FH17" s="277" t="str">
        <f t="shared" si="141"/>
        <v/>
      </c>
      <c r="FI17" s="1104"/>
      <c r="FJ17" s="1104"/>
      <c r="FK17" s="443" t="str">
        <f>IF(A17=FALSE,"",IF(Cotations!AF17="monthly",FH17/12*L17,FH17/365*M17))</f>
        <v/>
      </c>
      <c r="FL17" s="1103" t="str">
        <f>IF(A17=FALSE,"",IF(Cotations!AF17="monthly",FJ17/12*L17,FJ17/365*M17))</f>
        <v/>
      </c>
      <c r="FM17" s="433" t="str">
        <f>IF(A17=FALSE,"",IF(Cotations!AJ17="","",Cotations!AJ17))</f>
        <v/>
      </c>
      <c r="FN17" s="277" t="str">
        <f t="shared" si="268"/>
        <v/>
      </c>
      <c r="FO17" s="277" t="str">
        <f t="shared" si="269"/>
        <v/>
      </c>
      <c r="FP17" s="1104"/>
      <c r="FQ17" s="277" t="str">
        <f t="shared" si="270"/>
        <v/>
      </c>
      <c r="FR17" s="759" t="str">
        <f>IF(A17=FALSE,"",((FH17*TAXE)-(FH17*TAXE*FM17))+IF(#REF!="N/A",0,IF(INDEX(LISTES!$F$105:$F$109,MATCH(#REF!,LISTES!$C$105:$C$109,0))="FIX",#REF!,#REF!*FQ17)))</f>
        <v/>
      </c>
      <c r="FS17" s="422"/>
      <c r="FT17" s="422"/>
      <c r="FU17" s="422"/>
      <c r="FV17" s="422"/>
      <c r="FW17" s="422"/>
      <c r="FX17" s="422"/>
      <c r="FY17" s="422"/>
      <c r="FZ17" s="422"/>
      <c r="GA17" s="432" t="str">
        <f t="shared" si="145"/>
        <v/>
      </c>
      <c r="GB17" s="1234" t="str">
        <f>IF(A17=FALSE,"",IF(Detail!DF17="","N/A",YEAR(Detail!F17)&amp;Detail!DI17&amp;Detail!DF17&amp;"-"&amp;Detail!$DF$13))</f>
        <v/>
      </c>
      <c r="GC17" s="434" t="str">
        <f>IF(A17=FALSE,"",IF(LISTES!$A$17=1,GB17,INDEX(colMOD3,MATCH(Cotations!AH17,colchoice,0))))</f>
        <v/>
      </c>
      <c r="GD17" s="277" t="str">
        <f t="shared" si="146"/>
        <v/>
      </c>
      <c r="GE17" s="277" t="str">
        <f t="shared" si="147"/>
        <v/>
      </c>
      <c r="GF17" s="277"/>
      <c r="GG17" s="277"/>
      <c r="GH17" s="277" t="str">
        <f t="shared" si="271"/>
        <v/>
      </c>
      <c r="GI17" s="1104" t="str">
        <f t="shared" si="272"/>
        <v/>
      </c>
      <c r="GJ17" s="1104" t="str">
        <f t="shared" si="273"/>
        <v/>
      </c>
      <c r="GK17" s="443" t="str">
        <f>IF(A17=FALSE,"",IF(Cotations!AF17="monthly",GH17/12*L17,GH17/365*M17))</f>
        <v/>
      </c>
      <c r="GL17" s="1103" t="str">
        <f>IF(A17=FALSE,"",IF(Cotations!AF17="monthly",GJ17/12*L17,GJ17/365*M17))</f>
        <v/>
      </c>
      <c r="GM17" s="433" t="str">
        <f>IF(A17=FALSE,"",IF(Cotations!AK17="","",Cotations!AK17))</f>
        <v/>
      </c>
      <c r="GN17" s="277" t="str">
        <f t="shared" si="274"/>
        <v/>
      </c>
      <c r="GO17" s="277" t="str">
        <f t="shared" si="275"/>
        <v/>
      </c>
      <c r="GP17" s="1104" t="str">
        <f t="shared" si="276"/>
        <v/>
      </c>
      <c r="GQ17" s="277" t="str">
        <f t="shared" si="277"/>
        <v/>
      </c>
      <c r="GR17" s="759" t="str">
        <f>IF(A17=FALSE,"",((GH17*TAXE)-(GH17*TAXE*GM17)+GI17)+IF(CQ17="N/A",0,IF(INDEX(LISTES!$F$105:$F$109,MATCH(CQ17,LISTES!$C$105:$C$109,0))="FIX",CR17,CS17*GQ17)))</f>
        <v/>
      </c>
      <c r="GS17" s="412"/>
      <c r="GT17" s="412"/>
      <c r="GU17" s="412"/>
      <c r="GV17" s="412"/>
      <c r="GW17" s="412"/>
      <c r="GX17" s="412"/>
      <c r="GY17" s="412"/>
      <c r="GZ17" s="412"/>
      <c r="HA17" s="432" t="str">
        <f t="shared" si="155"/>
        <v/>
      </c>
      <c r="HB17" s="1234" t="str">
        <f>IF(A17=FALSE,"",IF(Detail!DF17="","N/A",YEAR(Detail!F17)&amp;Detail!DI17&amp;Detail!DF17&amp;"-"&amp;Detail!$DF$13))</f>
        <v/>
      </c>
      <c r="HC17" s="434" t="str">
        <f>IF(A17=FALSE,"",IF(LISTES!$A$17=1,HB17,INDEX(colMOD4,MATCH(Cotations!AH17,colchoice,0))))</f>
        <v/>
      </c>
      <c r="HD17" s="277" t="str">
        <f t="shared" si="278"/>
        <v/>
      </c>
      <c r="HE17" s="277" t="str">
        <f t="shared" si="279"/>
        <v/>
      </c>
      <c r="HF17" s="277"/>
      <c r="HG17" s="277"/>
      <c r="HH17" s="277" t="str">
        <f t="shared" si="280"/>
        <v/>
      </c>
      <c r="HI17" s="1104" t="str">
        <f t="shared" si="281"/>
        <v/>
      </c>
      <c r="HJ17" s="1104" t="str">
        <f t="shared" si="282"/>
        <v/>
      </c>
      <c r="HK17" s="443" t="str">
        <f>IF(A17=FALSE,"",IF(Cotations!AF17="monthly",HH17/12*L17,HH17/365*M17))</f>
        <v/>
      </c>
      <c r="HL17" s="1103" t="str">
        <f>IF(A17=FALSE,"",IF(Cotations!AF17="monthly",HJ17/12*L17,HJ17/365*M17))</f>
        <v/>
      </c>
      <c r="HM17" s="433" t="str">
        <f>IF(A17=FALSE,"",IF(Cotations!AL17="","",Cotations!AL17))</f>
        <v/>
      </c>
      <c r="HN17" s="277" t="str">
        <f t="shared" si="283"/>
        <v/>
      </c>
      <c r="HO17" s="277" t="str">
        <f t="shared" si="284"/>
        <v/>
      </c>
      <c r="HP17" s="1104" t="str">
        <f t="shared" si="285"/>
        <v/>
      </c>
      <c r="HQ17" s="277" t="str">
        <f t="shared" si="286"/>
        <v/>
      </c>
      <c r="HR17" s="759" t="str">
        <f>IF(A17=FALSE,"",((HH17*TAXE)-(HH17*TAXE*HM17)+HI17)+IF(CQ17="N/A",0,IF(INDEX(LISTES!$F$105:$F$109,MATCH(CQ17,LISTES!$C$105:$C$109,0))="FIX",CR17,CS17*HQ17)))</f>
        <v/>
      </c>
      <c r="HS17" s="412"/>
      <c r="HT17" s="412"/>
      <c r="HU17" s="412"/>
      <c r="HV17" s="412"/>
      <c r="HW17" s="412"/>
      <c r="HX17" s="412"/>
      <c r="HY17" s="412"/>
      <c r="HZ17" s="1254"/>
      <c r="IA17" s="432" t="str">
        <f>IF(A17=FALSE,"",Cotations!AT17)</f>
        <v/>
      </c>
      <c r="IB17" s="1253" t="str">
        <f>IF(A17=FALSE,"",IF(Detail!AT17="","N/A",YEAR(Detail!F17)&amp;Detail!AW17&amp;Detail!AT17&amp;"-"&amp;Detail!$AT$13&amp;Detail!AU17))</f>
        <v/>
      </c>
      <c r="IC17" s="431" t="str">
        <f>IF(A17=FALSE,"",IF(LISTES!$A$17=1,IB17,INDEX(colMOD1,MATCH(DA17,colchoice,0))))</f>
        <v/>
      </c>
      <c r="ID17" s="759" t="str">
        <f t="shared" si="287"/>
        <v/>
      </c>
      <c r="IE17" s="292" t="str">
        <f>IF(A17=FALSE,"",IF(LISTES!$A$17=1,Detail!AU17,INDEX(Rates!$M$1:$M$270,MATCH(IC17,colMOD1,0))))</f>
        <v/>
      </c>
      <c r="IF17" s="409" t="str">
        <f t="shared" si="165"/>
        <v/>
      </c>
      <c r="IG17" s="430" t="str">
        <f>IF(A17=FALSE,"",IF(IA17="POEA",Cotations!AY17,IF(IA17="FIXE",Cotations!AZ17,IF(Cotations!BA17*Y17&lt;50000,Z17,Cotations!BA17*Y17))))</f>
        <v/>
      </c>
      <c r="IH17" s="292" t="str">
        <f t="shared" si="166"/>
        <v/>
      </c>
      <c r="II17" s="446" t="str">
        <f>IF(A17=FALSE,"",IF(Cotations!AU17="monthly",IH17/12*L17,IH17/365*M17))</f>
        <v/>
      </c>
      <c r="IJ17" s="429" t="str">
        <f>IF(A17=FALSE,"",IF(Cotations!BB17="","",Cotations!BB17))</f>
        <v/>
      </c>
      <c r="IK17" s="292" t="str">
        <f t="shared" si="167"/>
        <v/>
      </c>
      <c r="IL17" s="292" t="str">
        <f t="shared" si="168"/>
        <v/>
      </c>
      <c r="IM17" s="759" t="str">
        <f t="shared" si="169"/>
        <v/>
      </c>
      <c r="IN17" s="759" t="str">
        <f>IF(A17=FALSE,"",((IH17*TAXE)-(IH17*TAXE*IJ17))+IF(DQ17="N/A",0,IF(INDEX(LISTES!$F$105:$F$109,MATCH(DQ17,LISTES!$C$105:$C$109,0))="FIX",DR17,DS17*IM17)))</f>
        <v/>
      </c>
      <c r="IO17" s="383"/>
      <c r="IP17" s="1127"/>
      <c r="IQ17" s="1127"/>
      <c r="IR17" s="1127"/>
      <c r="IS17" s="1127"/>
      <c r="IT17" s="1127"/>
      <c r="IU17" s="1127"/>
      <c r="IV17" s="1127"/>
      <c r="IW17" s="1127"/>
      <c r="IX17" s="1127"/>
      <c r="IY17" s="1127"/>
      <c r="JA17" s="432" t="str">
        <f>IF(A17=FALSE,"",Cotations!AT17)</f>
        <v/>
      </c>
      <c r="JB17" s="1234" t="str">
        <f>IF(A17=FALSE,"",IF(Detail!BB17="","N/A",YEAR(Detail!F17)&amp;Detail!BE17&amp;Detail!BB17&amp;"-"&amp;Detail!$BB$13&amp;Detail!BC17))</f>
        <v/>
      </c>
      <c r="JC17" s="431" t="str">
        <f>IF(A17=FALSE,"",IF(LISTES!$A$17=1,JB17,INDEX(colMOD2,MATCH(DA17,colchoice,0))))</f>
        <v/>
      </c>
      <c r="JD17" s="759" t="str">
        <f t="shared" si="170"/>
        <v/>
      </c>
      <c r="JE17" s="292"/>
      <c r="JF17" s="409" t="str">
        <f t="shared" si="171"/>
        <v/>
      </c>
      <c r="JG17" s="430" t="str">
        <f>IF(A17=FALSE,"",IF(JA17="POEA",Cotations!BC17,IF(JA17="FIXE",Cotations!BD17,IF(Cotations!BE17*Y17&lt;50000,Z17,Cotations!BE17*Y17))))</f>
        <v/>
      </c>
      <c r="JH17" s="292" t="str">
        <f t="shared" si="172"/>
        <v/>
      </c>
      <c r="JI17" s="446" t="str">
        <f>IF(A17=FALSE,"",IF(Cotations!AU17="monthly",JH17/12*L17,JH17/365*M17))</f>
        <v/>
      </c>
      <c r="JJ17" s="429" t="str">
        <f>IF(A17=FALSE,"",IF(Cotations!BF17="","",Cotations!BF17))</f>
        <v/>
      </c>
      <c r="JK17" s="292" t="str">
        <f t="shared" si="173"/>
        <v/>
      </c>
      <c r="JL17" s="292" t="str">
        <f t="shared" si="174"/>
        <v/>
      </c>
      <c r="JM17" s="759" t="str">
        <f t="shared" si="175"/>
        <v/>
      </c>
      <c r="JN17" s="759" t="str">
        <f>IF(A17=FALSE,"",((JH17*TAXE)-(JH17*TAXE*JJ17))+IF(#REF!="N/A",0,IF(INDEX(LISTES!$F$105:$F$109,MATCH(#REF!,LISTES!$C$105:$C$109,0))="FIX",#REF!,#REF!*JM17)))</f>
        <v/>
      </c>
      <c r="JQ17" s="383"/>
      <c r="JR17" s="1127"/>
      <c r="JS17" s="1127"/>
      <c r="JT17" s="1127"/>
      <c r="JU17" s="1127"/>
      <c r="JV17" s="1127"/>
      <c r="JW17" s="383"/>
      <c r="JX17" s="1127"/>
      <c r="JY17" s="1127"/>
      <c r="KA17" s="432" t="str">
        <f>IF(A17=FALSE,"",Cotations!AT17)</f>
        <v/>
      </c>
      <c r="KB17" s="1234" t="str">
        <f>IF(A17=FALSE,"",IF(Detail!BJ17="","N/A",YEAR(Detail!F17)&amp;Detail!BM17&amp;Detail!BJ17&amp;"-"&amp;Detail!$BJ$13&amp;Detail!BK17))</f>
        <v/>
      </c>
      <c r="KC17" s="431" t="str">
        <f>IF(A17=FALSE,"",IF(LISTES!$A$17=1,KB17,INDEX(colMOD3,MATCH(DA17,colchoice,0))))</f>
        <v/>
      </c>
      <c r="KD17" s="759" t="str">
        <f t="shared" si="176"/>
        <v/>
      </c>
      <c r="KE17" s="292"/>
      <c r="KF17" s="409" t="str">
        <f t="shared" si="177"/>
        <v/>
      </c>
      <c r="KG17" s="430" t="str">
        <f>IF(A17=FALSE,"",IF(KA17="POEA",Cotations!BG17,IF(KA17="FIXE",Cotations!BH17,IF(Cotations!BI17*Y17&lt;50000,Z17,Cotations!BI17*Y17))))</f>
        <v/>
      </c>
      <c r="KH17" s="292" t="str">
        <f t="shared" si="178"/>
        <v/>
      </c>
      <c r="KI17" s="446" t="str">
        <f>IF(A17=FALSE,"",IF(Cotations!AU17="monthly",KH17/12*L17,KH17/365*M17))</f>
        <v/>
      </c>
      <c r="KJ17" s="429" t="str">
        <f>IF(A17=FALSE,"",IF(Cotations!BJ17="","",Cotations!BJ17))</f>
        <v/>
      </c>
      <c r="KK17" s="292" t="str">
        <f t="shared" si="179"/>
        <v/>
      </c>
      <c r="KL17" s="292" t="str">
        <f t="shared" si="180"/>
        <v/>
      </c>
      <c r="KM17" s="759" t="str">
        <f t="shared" si="181"/>
        <v/>
      </c>
      <c r="KN17" s="759" t="str">
        <f>IF(A17=FALSE,"",((KH17*TAXE)-(KH17*TAXE*KJ17))+IF(#REF!="N/A",0,IF(INDEX(LISTES!$F$105:$F$109,MATCH(#REF!,LISTES!$C$105:$C$109,0))="FIX",#REF!,#REF!*KM17)))</f>
        <v/>
      </c>
      <c r="KR17" s="1127"/>
      <c r="KS17" s="1127"/>
      <c r="KT17" s="1127"/>
      <c r="KU17" s="1127"/>
      <c r="KV17" s="1127"/>
      <c r="KW17" s="1127"/>
      <c r="KX17" s="1127"/>
      <c r="KY17" s="1127"/>
      <c r="LA17" s="432" t="str">
        <f>IF(A17=FALSE,"",Cotations!AT17)</f>
        <v/>
      </c>
      <c r="LB17" s="1234" t="str">
        <f>IF(A17=FALSE,"",IF(Detail!BR17="","N/A",YEAR(Detail!F17)&amp;Detail!BU17&amp;Detail!BR17&amp;"-"&amp;Detail!$BR$13&amp;Detail!BS17))</f>
        <v/>
      </c>
      <c r="LC17" s="431" t="str">
        <f>IF(A17=FALSE,"",IF(LISTES!$A$17=1,LB17,INDEX(colMOD4,MATCH(DA17,colchoice,0))))</f>
        <v/>
      </c>
      <c r="LD17" s="759" t="str">
        <f t="shared" si="182"/>
        <v/>
      </c>
      <c r="LE17" s="292"/>
      <c r="LF17" s="409" t="str">
        <f t="shared" si="183"/>
        <v/>
      </c>
      <c r="LG17" s="430" t="str">
        <f>IF(A17=FALSE,"",IF(LA17="POEA",Cotations!BK17,IF(LA17="FIXE",Cotations!BL17,IF(Cotations!BM17*Y17&lt;50000,Z17,Cotations!BM17*Y17))))</f>
        <v/>
      </c>
      <c r="LH17" s="292" t="str">
        <f t="shared" si="184"/>
        <v/>
      </c>
      <c r="LI17" s="446" t="str">
        <f>IF(A17=FALSE,"",IF(Cotations!AU17="monthly",LH17/12*L17,LH17/365*M17))</f>
        <v/>
      </c>
      <c r="LJ17" s="429" t="str">
        <f>IF(A17=FALSE,"",IF(Cotations!BN17="","",Cotations!BN17))</f>
        <v/>
      </c>
      <c r="LK17" s="292" t="str">
        <f t="shared" si="185"/>
        <v/>
      </c>
      <c r="LL17" s="292" t="str">
        <f t="shared" si="186"/>
        <v/>
      </c>
      <c r="LM17" s="759" t="str">
        <f t="shared" si="187"/>
        <v/>
      </c>
      <c r="LN17" s="759" t="str">
        <f>IF(A17=FALSE,"",((LH17*TAXE)-(LH17*TAXE*LJ17))+IF(#REF!="N/A",0,IF(INDEX(LISTES!$F$105:$F$109,MATCH(#REF!,LISTES!$C$105:$C$109,0))="FIX",#REF!,#REF!*LM17)))</f>
        <v/>
      </c>
      <c r="LR17" s="1127"/>
      <c r="LS17" s="1127"/>
      <c r="LT17" s="1127"/>
      <c r="LU17" s="1127"/>
      <c r="LV17" s="1127"/>
      <c r="LW17" s="1127"/>
      <c r="LX17" s="1127"/>
      <c r="LY17" s="1127"/>
      <c r="MA17" s="432" t="str">
        <f t="shared" si="188"/>
        <v/>
      </c>
      <c r="MB17" s="1234" t="str">
        <f>IF(A17=FALSE,"",IF(Detail!BZ17="","N/A",YEAR(Detail!F17)&amp;Detail!CC17&amp;Detail!BZ17&amp;"-"&amp;Detail!$BZ$13&amp;" (100%/"&amp;Detail!CD17&amp;"/"&amp;Detail!CE17&amp;")"))</f>
        <v/>
      </c>
      <c r="MC17" s="431" t="str">
        <f>IF(A17=FALSE,"",IF(LISTES!$A$17=1,MB17,INDEX(colMOD5,MATCH(DA17,colchoice,0))))</f>
        <v/>
      </c>
      <c r="MD17" s="759" t="str">
        <f t="shared" si="189"/>
        <v/>
      </c>
      <c r="ME17" s="292"/>
      <c r="MF17" s="409" t="str">
        <f t="shared" si="190"/>
        <v/>
      </c>
      <c r="MG17" s="430" t="str">
        <f>IF(A17=FALSE,"",Cotations!BQ17*AA17)</f>
        <v/>
      </c>
      <c r="MH17" s="292" t="str">
        <f t="shared" si="191"/>
        <v/>
      </c>
      <c r="MI17" s="446" t="str">
        <f>IF(A17=FALSE,"",IF(Cotations!AU17="monthly",MH17/12*L17,MH17/365*M17))</f>
        <v/>
      </c>
      <c r="MJ17" s="429" t="str">
        <f>IF(A17=FALSE,"",IF(Cotations!BR17="","",Cotations!BR17))</f>
        <v/>
      </c>
      <c r="MK17" s="292" t="str">
        <f t="shared" si="192"/>
        <v/>
      </c>
      <c r="ML17" s="292" t="str">
        <f t="shared" si="193"/>
        <v/>
      </c>
      <c r="MM17" s="759" t="str">
        <f t="shared" si="194"/>
        <v/>
      </c>
      <c r="MN17" s="759" t="str">
        <f>IF(A17=FALSE,"",((MH17*TAXE)-(MH17*TAXE*MJ17))+IF(#REF!="N/A",0,IF(INDEX(LISTES!$F$105:$F$109,MATCH(#REF!,LISTES!$C$105:$C$109,0))="FIX",#REF!,#REF!*MM17)))</f>
        <v/>
      </c>
      <c r="MQ17" s="1127"/>
      <c r="MR17" s="1127"/>
      <c r="MS17" s="1127"/>
      <c r="MT17" s="1127"/>
      <c r="MU17" s="1127"/>
      <c r="MV17" s="1127"/>
      <c r="MW17" s="1127"/>
      <c r="MX17" s="1127"/>
      <c r="NA17" s="432" t="str">
        <f t="shared" si="195"/>
        <v/>
      </c>
      <c r="NB17" s="1234" t="str">
        <f>IF(A17=FALSE,"",IF(Detail!CH17="","N/A",YEAR(Detail!F17)&amp;Detail!CK17&amp;Detail!CH17&amp;"-"&amp;Detail!$CH$13&amp;" (100%/"&amp;Detail!CL17&amp;"/"&amp;Detail!CM17&amp;")"))</f>
        <v/>
      </c>
      <c r="NC17" s="431" t="str">
        <f>IF(A17=FALSE,"",IF(LISTES!$A$17=1,NB17,INDEX(colMOD6,MATCH(DA17,colchoice,0))))</f>
        <v/>
      </c>
      <c r="ND17" s="759" t="str">
        <f t="shared" si="196"/>
        <v/>
      </c>
      <c r="NE17" s="292"/>
      <c r="NF17" s="409" t="str">
        <f t="shared" si="197"/>
        <v/>
      </c>
      <c r="NG17" s="430" t="str">
        <f>IF(A17=FALSE,"",Cotations!BU17*AA17)</f>
        <v/>
      </c>
      <c r="NH17" s="292" t="str">
        <f t="shared" si="198"/>
        <v/>
      </c>
      <c r="NI17" s="446" t="str">
        <f>IF(A17=FALSE,"",IF(Cotations!AU17="monthly",NH17/12*L17,NH17/365*M17))</f>
        <v/>
      </c>
      <c r="NJ17" s="429" t="str">
        <f>IF(A17=FALSE,"",IF(Cotations!BV17="","",Cotations!BV17))</f>
        <v/>
      </c>
      <c r="NK17" s="292" t="str">
        <f t="shared" si="199"/>
        <v/>
      </c>
      <c r="NL17" s="292" t="str">
        <f t="shared" si="200"/>
        <v/>
      </c>
      <c r="NM17" s="759" t="str">
        <f t="shared" si="201"/>
        <v/>
      </c>
      <c r="NN17" s="759" t="str">
        <f>IF(A17=FALSE,"",((NH17*TAXE)-(NH17*TAXE*NJ17))+IF(#REF!="N/A",0,IF(INDEX(LISTES!$F$105:$F$109,MATCH(#REF!,LISTES!$C$105:$C$109,0))="FIX",#REF!,#REF!*NM17)))</f>
        <v/>
      </c>
      <c r="NR17" s="1127"/>
      <c r="NS17" s="1127"/>
      <c r="NT17" s="1127"/>
      <c r="NU17" s="1127"/>
      <c r="NV17" s="1127"/>
      <c r="NW17" s="1127"/>
      <c r="NX17" s="1127"/>
      <c r="NY17" s="1127"/>
      <c r="NZ17" s="1281" t="str">
        <f>IF(A17=FALSE,"",IF(Detail!CP17="","N/A",YEAR(Detail!F17)&amp;Detail!CS17&amp;Detail!CP17&amp;"-"&amp;Detail!CQ17))</f>
        <v/>
      </c>
      <c r="OA17" s="432" t="str">
        <f>IF(A17=FALSE,"",Cotations!CF17)</f>
        <v/>
      </c>
      <c r="OB17" s="1282" t="str">
        <f>IF(A17=FALSE,"",IF(Detail!CP17="","N/A",YEAR(Detail!F17)&amp;Detail!CS17&amp;Detail!CP17&amp;"-"&amp;Detail!$CP$13&amp;Detail!CQ17))</f>
        <v/>
      </c>
      <c r="OC17" s="1283" t="str">
        <f>IF(A17=FALSE,"",IF(LISTES!$A$17=1,OB17,INDEX(colMOD1,MATCH(Cotations!CE17,colchoice,0))))</f>
        <v/>
      </c>
      <c r="OD17" s="759" t="str">
        <f t="shared" si="202"/>
        <v/>
      </c>
      <c r="OE17" s="292" t="str">
        <f>IF(A17=FALSE,"",Detail!CQ17)</f>
        <v/>
      </c>
      <c r="OF17" s="409" t="str">
        <f t="shared" si="203"/>
        <v/>
      </c>
      <c r="OG17" s="430" t="str">
        <f>IF(A17=FALSE,"",IF(OA17="FIXE",Cotations!CM17,Cotations!CN17*AA17))</f>
        <v/>
      </c>
      <c r="OH17" s="292" t="str">
        <f t="shared" si="288"/>
        <v/>
      </c>
      <c r="OI17" s="446" t="str">
        <f>IF(A17=FALSE,"",IF(Cotations!CF17="monthly",OH17/12*L17,OH17/365*M17))</f>
        <v/>
      </c>
      <c r="OJ17" s="429" t="str">
        <f>IF(A17=FALSE,"",IF(Cotations!CO17="","",Cotations!CO17))</f>
        <v/>
      </c>
      <c r="OK17" s="292" t="str">
        <f t="shared" si="289"/>
        <v/>
      </c>
      <c r="OL17" s="292" t="str">
        <f t="shared" si="290"/>
        <v/>
      </c>
      <c r="OM17" s="759" t="str">
        <f t="shared" si="207"/>
        <v/>
      </c>
      <c r="ON17" s="759" t="str">
        <f>IF(A17=FALSE,"",((OH17*(1+TAXE)-(OH17*(1+TAXE)*OJ17))+IF(#REF!="N/A",0,IF(INDEX(LISTES!$F$105:$F$109,MATCH(#REF!,LISTES!$C$105:$C$109,0))="FIX",#REF!,#REF!*OM17))))</f>
        <v/>
      </c>
      <c r="PA17" s="432" t="str">
        <f>IF(A17=FALSE,"",Cotations!CF17)</f>
        <v/>
      </c>
      <c r="PB17" s="1282" t="str">
        <f>IF(A17=FALSE,"",IF(Detail!CX17="","N/A",YEAR(Detail!F17)&amp;Detail!DA17&amp;Detail!CX17&amp;"-"&amp;Detail!$CX$13&amp;Detail!CY17))</f>
        <v/>
      </c>
      <c r="PC17" s="1283" t="str">
        <f>IF(A17=FALSE,"",IF(LISTES!$A$17=1,PB17,INDEX(colMOD3,MATCH(Cotations!CE17,colchoice,0))))</f>
        <v/>
      </c>
      <c r="PD17" s="759" t="str">
        <f t="shared" si="208"/>
        <v/>
      </c>
      <c r="PE17" s="292" t="str">
        <f>IF(A17=FALSE,"",IF(Detail!CY17="","",Detail!CY17))</f>
        <v/>
      </c>
      <c r="PF17" s="409" t="str">
        <f t="shared" si="291"/>
        <v/>
      </c>
      <c r="PG17" s="430" t="str">
        <f>IF(A17=FALSE,"",IF(PA17="FIXE",Cotations!CP17,Cotations!CQ17*AA17))</f>
        <v/>
      </c>
      <c r="PH17" s="292" t="str">
        <f t="shared" si="292"/>
        <v/>
      </c>
      <c r="PI17" s="446" t="str">
        <f>IF(A17=FALSE,"",IF(Cotations!CG17="monthly",PH17/12*L17,PH17/365*M17))</f>
        <v/>
      </c>
      <c r="PJ17" s="429" t="str">
        <f>IF(A17=FALSE,"",IF(Cotations!DA17="",0,Cotations!DA17))</f>
        <v/>
      </c>
      <c r="PK17" s="292" t="str">
        <f t="shared" si="293"/>
        <v/>
      </c>
      <c r="PL17" s="292" t="str">
        <f t="shared" si="294"/>
        <v/>
      </c>
      <c r="PM17" s="759" t="str">
        <f t="shared" si="211"/>
        <v/>
      </c>
      <c r="PN17" s="759" t="str">
        <f>IF(A17=FALSE,"",((PH17*(1+TAXE)-(PH17*(1+TAXE)*PJ17))+IF(#REF!="N/A",0,IF(INDEX(LISTES!$F$105:$F$109,MATCH(#REF!,LISTES!$C$105:$C$109,0))="FIX",#REF!,#REF!*PM17))))</f>
        <v/>
      </c>
    </row>
    <row r="18" spans="1:430" s="288" customFormat="1">
      <c r="A18" s="779" t="b">
        <f t="shared" si="111"/>
        <v>0</v>
      </c>
      <c r="B18" s="779" t="b">
        <f>IF(NAMES!$B$9=TRUE,TRUE,FALSE)</f>
        <v>1</v>
      </c>
      <c r="C18" s="779" t="b">
        <f t="shared" si="212"/>
        <v>0</v>
      </c>
      <c r="D18" s="779" t="b">
        <f t="shared" si="213"/>
        <v>1</v>
      </c>
      <c r="E18" s="267" t="b">
        <f>IF(Cotations!C18="","",Cotations!C18)</f>
        <v>0</v>
      </c>
      <c r="F18" s="267" t="str">
        <f>IF(Cotations!AT18="","",Cotations!AT18)</f>
        <v>PROP</v>
      </c>
      <c r="G18" s="267" t="str">
        <f>IF(Cotations!D18="","",Cotations!D18)</f>
        <v>2016-2017!</v>
      </c>
      <c r="H18" s="267" t="str">
        <f>IF(Cotations!E18="","",Cotations!E18)</f>
        <v>SINGLE</v>
      </c>
      <c r="I18" s="267" t="str">
        <f>IF(Cotations!F18="","",Cotations!F18)</f>
        <v/>
      </c>
      <c r="J18" s="267" t="str">
        <f>IF(Cotations!G18="","",Cotations!G18)</f>
        <v/>
      </c>
      <c r="K18" s="267" t="str">
        <f>IF(Cotations!H18="","",Cotations!H18)</f>
        <v/>
      </c>
      <c r="L18" s="267" t="str">
        <f>IF(A18=FALSE,"",IF(Cotations!M18="","",Cotations!M18))</f>
        <v/>
      </c>
      <c r="M18" s="267" t="str">
        <f>IF(Cotations!O18="","",Cotations!O18)</f>
        <v/>
      </c>
      <c r="N18" s="588">
        <f>IF(NAMES!$B$10=TRUE,Cotations!I18,Cotations!K18)</f>
        <v>42566</v>
      </c>
      <c r="O18" s="588">
        <f>IF(NAMES!$B$10=TRUE,Cotations!J18,Cotations!L18)</f>
        <v>42675</v>
      </c>
      <c r="P18" s="780" t="str">
        <f t="shared" si="214"/>
        <v>juillet</v>
      </c>
      <c r="Q18" s="588" t="str">
        <f>IF(A18=FALSE,"",IF(Crewlist!Y18="","",Crewlist!Y18))</f>
        <v/>
      </c>
      <c r="R18" s="78" t="str">
        <f>IF(Cotations!T18="","",Cotations!T18)</f>
        <v/>
      </c>
      <c r="S18" s="780" t="str">
        <f t="shared" si="215"/>
        <v/>
      </c>
      <c r="T18" s="759" t="str">
        <f>IF(A18=FALSE,"",VLOOKUP($U$15:$U$120,Currency!$A$2:$D$10,4,0)*Crewlist!N18)</f>
        <v/>
      </c>
      <c r="U18" s="1097" t="str">
        <f>IF(A18=FALSE,"",IF(DP18=0,Crewlist!M18&amp;"/"&amp;CP18,Crewlist!M18&amp;"/"&amp;DP18))</f>
        <v/>
      </c>
      <c r="V18" s="759" t="str">
        <f>IF(A18=FALSE,"",VLOOKUP($U$15:$U$120,Currency!$A$2:$D$10,4,0)*Detail!Q18)</f>
        <v/>
      </c>
      <c r="W18" s="1097" t="str">
        <f>IF(A18=FALSE,"",IF(DP18=0,Detail!R18&amp;"/"&amp;CP18,Detail!R18&amp;"/"&amp;DP18))</f>
        <v/>
      </c>
      <c r="X18" s="759" t="str">
        <f>IF(A18=FALSE,"",IF(LISTES!$C$17="Crewlist",Calcul!T18,Calcul!V18))</f>
        <v/>
      </c>
      <c r="Y18" s="618" t="str">
        <f t="shared" si="216"/>
        <v/>
      </c>
      <c r="Z18" s="618" t="str">
        <f>IF(A18=FALSE,"",IF(X18=0,0,IF((Cotations!BA18*12*X18)&lt;50000,50000,(12*X18))))</f>
        <v/>
      </c>
      <c r="AA18" s="618" t="str">
        <f t="shared" si="217"/>
        <v/>
      </c>
      <c r="AB18" s="618" t="str">
        <f>IF(A18=FALSE,"",IF(Crewlist!O18=0,"",Crewlist!O18))</f>
        <v/>
      </c>
      <c r="AC18" s="618" t="str">
        <f>IF(I18="","",VLOOKUP($AB$15:$AB$120,Currency!$A$15:$B$34,2,0))</f>
        <v/>
      </c>
      <c r="AD18" s="618" t="str">
        <f t="shared" si="218"/>
        <v/>
      </c>
      <c r="AE18" s="618" t="str">
        <f t="shared" si="219"/>
        <v/>
      </c>
      <c r="AF18" s="618" t="str">
        <f t="shared" si="220"/>
        <v/>
      </c>
      <c r="AG18" s="618" t="str">
        <f t="shared" si="221"/>
        <v/>
      </c>
      <c r="AH18" s="1097" t="str">
        <f t="shared" si="112"/>
        <v/>
      </c>
      <c r="AI18" s="759" t="str">
        <f t="shared" si="222"/>
        <v/>
      </c>
      <c r="AJ18" s="1120" t="str">
        <f t="shared" si="223"/>
        <v/>
      </c>
      <c r="AK18" s="1120" t="str">
        <f t="shared" si="224"/>
        <v/>
      </c>
      <c r="AL18" s="236" t="str">
        <f t="shared" si="225"/>
        <v/>
      </c>
      <c r="AM18" s="236" t="str">
        <f t="shared" si="226"/>
        <v/>
      </c>
      <c r="AN18" s="1112" t="str">
        <f t="shared" si="227"/>
        <v/>
      </c>
      <c r="AO18" s="236" t="str">
        <f t="shared" si="228"/>
        <v/>
      </c>
      <c r="AP18" s="327" t="str">
        <f>IF(A18=FALSE,"",INDEX(Rates!$Q$1:$Q$278,MATCH(CA18,colchoice,0)))</f>
        <v/>
      </c>
      <c r="AQ18" s="236" t="str">
        <f t="shared" si="229"/>
        <v/>
      </c>
      <c r="AR18" s="236" t="str">
        <f t="shared" si="230"/>
        <v/>
      </c>
      <c r="AS18" s="236" t="str">
        <f t="shared" si="117"/>
        <v/>
      </c>
      <c r="AT18" s="236" t="str">
        <f t="shared" si="118"/>
        <v/>
      </c>
      <c r="AU18" s="236" t="str">
        <f t="shared" si="231"/>
        <v/>
      </c>
      <c r="AV18" s="236" t="str">
        <f t="shared" si="232"/>
        <v/>
      </c>
      <c r="AW18" s="236" t="str">
        <f t="shared" si="233"/>
        <v/>
      </c>
      <c r="AX18" s="236" t="str">
        <f t="shared" si="234"/>
        <v/>
      </c>
      <c r="AY18" s="236" t="str">
        <f t="shared" si="235"/>
        <v/>
      </c>
      <c r="AZ18" s="236" t="str">
        <f t="shared" si="236"/>
        <v/>
      </c>
      <c r="BA18" s="236" t="str">
        <f t="shared" si="237"/>
        <v/>
      </c>
      <c r="BB18" s="467" t="str">
        <f t="shared" si="238"/>
        <v/>
      </c>
      <c r="BC18" s="329" t="str">
        <f t="shared" si="239"/>
        <v/>
      </c>
      <c r="BD18" s="237" t="str">
        <f t="shared" si="240"/>
        <v/>
      </c>
      <c r="BE18" s="237" t="str">
        <f>IF(A18=FALSE,"",IF(ED18&lt;&gt;$BC$7,0,INDEX(EA18:EZ18,1,MATCH(Structure!$J$16,$EA$14:$EZ$14,0))))</f>
        <v/>
      </c>
      <c r="BF18" s="237" t="str">
        <f>IF(A18=FALSE,"",IF(FD18&lt;&gt;$BC$7,0,INDEX(FA18:FZ18,1,MATCH(Structure!$J$16,$FA$14:$FZ$14,0))))</f>
        <v/>
      </c>
      <c r="BG18" s="237" t="str">
        <f>IF(A18=FALSE,"",IF(GD18&lt;&gt;$BC$7,0,INDEX(GA18:GZ18,1,MATCH(Structure!$J$16,$GA$14:$GZ$14,0))))</f>
        <v/>
      </c>
      <c r="BH18" s="237" t="str">
        <f>IF(A18=FALSE,"",IF(HD18&lt;&gt;$BC$7,0,INDEX(HA18:HZ18,1,MATCH(Structure!$J$16,$HA$14:$HZ$14,0))))</f>
        <v/>
      </c>
      <c r="BI18" s="621" t="str">
        <f>IF(A18=FALSE,"",IF(ID18&lt;&gt;$BC$7,0,INDEX(IA18:IZ18,1,MATCH(Structure!$C$12,$IA$14:$IZ$14,0)))+OL18)</f>
        <v/>
      </c>
      <c r="BJ18" s="237" t="str">
        <f>IF(A18=FALSE,"",IF(JD18&lt;&gt;$BC$7,0,INDEX(JA18:JZ18,1,MATCH(Structure!$C$12,$JA$14:$JZ$14,0))))</f>
        <v/>
      </c>
      <c r="BK18" s="621" t="str">
        <f>IF(A18=FALSE,"",IF(KD18&lt;&gt;$BC$7,0,INDEX(KA18:KZ18,1,MATCH(Structure!$C$12,$KA$14:$KZ$14,0)))+PL18)</f>
        <v/>
      </c>
      <c r="BL18" s="237" t="str">
        <f>IF(A18=FALSE,"",IF(LD18&lt;&gt;$BC$7,0,INDEX(LA18:LZ18,1,MATCH(Structure!$C$12,$LA$14:$LZ$14,0))))</f>
        <v/>
      </c>
      <c r="BM18" s="237" t="str">
        <f>IF(A18=FALSE,"",IF(MD18&lt;&gt;$BC$7,0,INDEX(MA18:MZ18,1,MATCH(Structure!$C$12,$MA$14:$MZ$14,0))))</f>
        <v/>
      </c>
      <c r="BN18" s="326" t="str">
        <f>IF(A18=FALSE,"",IF(ND18&lt;&gt;$BC$7,0,INDEX(NA18:OC18,1,MATCH(Structure!$C$12,$NA$14:$OC$14,0))))</f>
        <v/>
      </c>
      <c r="BO18" s="435" t="str">
        <f t="shared" si="241"/>
        <v/>
      </c>
      <c r="BP18" s="237" t="str">
        <f t="shared" si="242"/>
        <v/>
      </c>
      <c r="BQ18" s="237" t="str">
        <f>IF(A18=FALSE,"",IF(ED18&lt;&gt;$BO$7,0,INDEX(EA18:EZ18,1,MATCH(Structure!$C$12,$EA$14:$EZ$14,0))))</f>
        <v/>
      </c>
      <c r="BR18" s="237" t="str">
        <f>IF(A18=FALSE,"",IF(FD18&lt;&gt;$BO$7,0,INDEX(FA18:FZ18,1,MATCH(Structure!$C$12,$FA$14:$FZ$14,0))))</f>
        <v/>
      </c>
      <c r="BS18" s="237" t="str">
        <f>IF(A18=FALSE,"",IF(ID18&lt;&gt;$BO$7,0,INDEX(IA18:IZ18,1,MATCH(Structure!$C$13,$IA$14:$IZ$14,0))))</f>
        <v/>
      </c>
      <c r="BT18" s="237" t="str">
        <f>IF(A18=FALSE,"",IF(JD18&lt;&gt;$BO$7,0,INDEX(JA18:JZ18,1,MATCH(Structure!$C$13,$JA$14:$JZ$14,0))))</f>
        <v/>
      </c>
      <c r="BU18" s="237" t="str">
        <f>IF(A18=FALSE,"",IF(KD18&lt;&gt;$BO$7,0,INDEX(KA18:KZ18,1,MATCH(Structure!$C$13,$KA$14:$KZ$14,0))))</f>
        <v/>
      </c>
      <c r="BV18" s="237" t="str">
        <f>IF(A18=FALSE,"",IF(LD18&lt;&gt;$BO$7,0,INDEX(LA18:LZ18,1,MATCH(Structure!$C$13,$LA$14:$LZ$14,0))))</f>
        <v/>
      </c>
      <c r="BW18" s="237" t="str">
        <f>IF(A18=FALSE,"",IF(MD18&lt;&gt;$BO$7,0,INDEX(MA18:MZ18,1,MATCH(Structure!$C$13,$MA$14:$MZ$14,0))))</f>
        <v/>
      </c>
      <c r="BX18" s="326" t="str">
        <f>IF(A18=FALSE,"",IF(ND18&lt;&gt;$BO$7,0,INDEX(NA18:OC18,1,MATCH(Structure!$C$13,$NA$14:$OC$14,0))))</f>
        <v/>
      </c>
      <c r="BY18" s="412"/>
      <c r="BZ18" s="412"/>
      <c r="CA18" s="1255" t="str">
        <f>IF(A18=FALSE,"",IF(LISTES!$A$17=1,Cotations!AG18,Cotations!AH18))</f>
        <v/>
      </c>
      <c r="CB18" s="1266" t="str">
        <f t="shared" si="243"/>
        <v/>
      </c>
      <c r="CC18" s="1120" t="str">
        <f t="shared" si="244"/>
        <v/>
      </c>
      <c r="CD18" s="1120" t="str">
        <f t="shared" si="245"/>
        <v/>
      </c>
      <c r="CE18" s="1120" t="str">
        <f t="shared" si="246"/>
        <v/>
      </c>
      <c r="CF18" s="1120" t="str">
        <f t="shared" si="247"/>
        <v/>
      </c>
      <c r="CG18" s="1267"/>
      <c r="CH18" s="1267"/>
      <c r="CI18" s="1268" t="str">
        <f t="shared" si="248"/>
        <v/>
      </c>
      <c r="CJ18" s="286" t="str">
        <f t="shared" si="249"/>
        <v/>
      </c>
      <c r="CK18" s="286" t="str">
        <f t="shared" si="250"/>
        <v/>
      </c>
      <c r="CL18" s="1263"/>
      <c r="CM18" s="1263"/>
      <c r="CN18" s="1263"/>
      <c r="CO18" s="1263"/>
      <c r="CP18" s="319" t="str">
        <f t="shared" si="251"/>
        <v/>
      </c>
      <c r="CQ18" s="443" t="str">
        <f>IF(A18=FALSE,"",Cotations!AM18)</f>
        <v/>
      </c>
      <c r="CR18" s="443" t="str">
        <f>IF(A18=FALSE,"",IF(Cotations!AN18="","",Cotations!AN18))</f>
        <v/>
      </c>
      <c r="CS18" s="433" t="str">
        <f>IF(A18=FALSE,"",Cotations!AO18)</f>
        <v/>
      </c>
      <c r="CT18" s="443" t="str">
        <f>IF(A18=FALSE,"",IF(CQ18="N/A",0,IF(INDEX(LISTES!$F$105:$F$109,MATCH(CQ18,LISTES!$C$105:$C$109,0))="FIX",IF(INDEX(LISTES!$E$105:$E$109,MATCH(CQ18,LISTES!$C$105:$C$109,0))=12,CR18/12*L18,CR18/365*M18),CS18*EQ18)))</f>
        <v/>
      </c>
      <c r="CU18" s="434" t="str">
        <f>IF(A18=FALSE,"",(CJ18+CK18)*Cotations!AP18)</f>
        <v/>
      </c>
      <c r="CV18" s="434" t="str">
        <f>IF(A18=FALSE,"",(CJ18+CK18)*Cotations!AQ18)</f>
        <v/>
      </c>
      <c r="CX18" s="1127"/>
      <c r="CY18" s="1127"/>
      <c r="CZ18" s="1127"/>
      <c r="DA18" s="1253" t="str">
        <f>IF(A18=FALSE,"",IF(LISTES!$A$17=1,Cotations!AV18,Cotations!AW18))</f>
        <v/>
      </c>
      <c r="DB18" s="1271" t="str">
        <f t="shared" si="252"/>
        <v/>
      </c>
      <c r="DC18" s="1270" t="str">
        <f t="shared" si="253"/>
        <v/>
      </c>
      <c r="DD18" s="1270" t="str">
        <f t="shared" si="254"/>
        <v/>
      </c>
      <c r="DE18" s="1270" t="str">
        <f t="shared" si="255"/>
        <v/>
      </c>
      <c r="DF18" s="1270" t="str">
        <f t="shared" si="256"/>
        <v/>
      </c>
      <c r="DG18" s="1270" t="str">
        <f t="shared" si="257"/>
        <v/>
      </c>
      <c r="DH18" s="1270" t="str">
        <f t="shared" si="258"/>
        <v/>
      </c>
      <c r="DI18" s="1271" t="str">
        <f t="shared" si="259"/>
        <v/>
      </c>
      <c r="DJ18" s="286" t="str">
        <f t="shared" si="260"/>
        <v/>
      </c>
      <c r="DK18" s="286" t="str">
        <f t="shared" si="261"/>
        <v/>
      </c>
      <c r="DL18" s="1264" t="str">
        <f t="shared" si="262"/>
        <v/>
      </c>
      <c r="DM18" s="1264" t="str">
        <f t="shared" si="263"/>
        <v/>
      </c>
      <c r="DN18" s="1264" t="str">
        <f t="shared" si="264"/>
        <v/>
      </c>
      <c r="DO18" s="1264" t="str">
        <f t="shared" si="265"/>
        <v/>
      </c>
      <c r="DP18" s="323" t="str">
        <f t="shared" si="132"/>
        <v/>
      </c>
      <c r="DQ18" s="444" t="str">
        <f>IF(A18=FALSE,"",Cotations!BW18)</f>
        <v/>
      </c>
      <c r="DR18" s="444" t="str">
        <f>IF(A18=FALSE,"",Cotations!BX18)</f>
        <v/>
      </c>
      <c r="DS18" s="433" t="str">
        <f>IF(A18=FALSE,"",Cotations!BY18)</f>
        <v/>
      </c>
      <c r="DT18" s="830" t="str">
        <f>IF(A18=FALSE,"",IF(DQ18="N/A",0,IF(INDEX(LISTES!$F$105:$F$109,MATCH(DQ18,LISTES!$C$105:$C$109,0))="FIX",IF(INDEX(LISTES!$E$105:$E$109,MATCH(DQ18,LISTES!$C$105:$C$109,0))=12,DR18/12*L18,DR18/365*M18),DS18*(DN18+DO18))))</f>
        <v/>
      </c>
      <c r="DU18" s="434" t="str">
        <f>IF(A18=FALSE,"",DJ18*Cotations!BZ18)</f>
        <v/>
      </c>
      <c r="DV18" s="434" t="str">
        <f>IF(A18=FALSE,"",DJ18*Cotations!CA18)</f>
        <v/>
      </c>
      <c r="DX18" s="1127"/>
      <c r="DY18" s="1127"/>
      <c r="DZ18" s="1127"/>
      <c r="EA18" s="432" t="str">
        <f>IF(A18=FALSE,"",Cotations!AT18)</f>
        <v/>
      </c>
      <c r="EB18" s="1234" t="str">
        <f>IF(A18=FALSE,"",YEAR(Detail!F18)&amp;Detail!AG18&amp;Detail!AD18&amp;"-"&amp;Detail!$AD$13&amp;Detail!AE18)</f>
        <v/>
      </c>
      <c r="EC18" s="434" t="str">
        <f>IF(A18=FALSE,"",IF(LISTES!$A$17=1,EB18,INDEX(colMOD1,MATCH(Cotations!AH18,colchoice,0))))</f>
        <v/>
      </c>
      <c r="ED18" s="277" t="str">
        <f t="shared" si="133"/>
        <v/>
      </c>
      <c r="EE18" s="277" t="str">
        <f t="shared" si="134"/>
        <v/>
      </c>
      <c r="EF18" s="277"/>
      <c r="EG18" s="277"/>
      <c r="EH18" s="277" t="str">
        <f t="shared" si="135"/>
        <v/>
      </c>
      <c r="EI18" s="1104" t="str">
        <f t="shared" si="136"/>
        <v/>
      </c>
      <c r="EJ18" s="1104" t="str">
        <f t="shared" si="137"/>
        <v/>
      </c>
      <c r="EK18" s="443" t="str">
        <f>IF(A18=FALSE,"",IF(Cotations!AF18="monthly",EH18/12*L18,EH18/365*M18))</f>
        <v/>
      </c>
      <c r="EL18" s="1103" t="str">
        <f>IF(A18=FALSE,"",IF(Cotations!AF18="monthly",EJ18/12*L18,EJ18/365*M18))</f>
        <v/>
      </c>
      <c r="EM18" s="433" t="str">
        <f>IF(A18=FALSE,"",IF(Cotations!AI18="","",Cotations!AI18))</f>
        <v/>
      </c>
      <c r="EN18" s="277" t="str">
        <f t="shared" si="266"/>
        <v/>
      </c>
      <c r="EO18" s="277" t="str">
        <f t="shared" si="138"/>
        <v/>
      </c>
      <c r="EP18" s="1104" t="str">
        <f t="shared" si="139"/>
        <v/>
      </c>
      <c r="EQ18" s="277" t="str">
        <f t="shared" si="267"/>
        <v/>
      </c>
      <c r="ER18" s="759" t="str">
        <f>IF(A18=FALSE,"",((EH18*TAXE)-(EH18*TAXE*EM18)+EI18)+IF(CQ18="N/A",0,IF(INDEX(LISTES!$F$105:$F$109,MATCH(CQ18,LISTES!$C$105:$C$109,0))="FIX",CR18,CS18*EQ18)))</f>
        <v/>
      </c>
      <c r="ES18" s="383"/>
      <c r="ET18" s="422"/>
      <c r="EU18" s="422"/>
      <c r="EV18" s="422"/>
      <c r="EW18" s="422"/>
      <c r="EX18" s="422"/>
      <c r="EY18" s="422"/>
      <c r="EZ18" s="422"/>
      <c r="FA18" s="432" t="str">
        <f>IF(A18=FALSE,"",Cotations!AT18)</f>
        <v/>
      </c>
      <c r="FB18" s="1235" t="str">
        <f>IF(A18=FALSE,"",IF(Detail!AL18="","N/A",YEAR(Detail!F18)&amp;Detail!AO18&amp;Detail!AL18&amp;"-"&amp;Detail!$AL$13&amp;Detail!AM18))</f>
        <v/>
      </c>
      <c r="FC18" s="434" t="str">
        <f>IF(A18=FALSE,"",IF(LISTES!$A$17=1,FB18,INDEX(colMOD2,MATCH(Cotations!AH18,colchoice,0))))</f>
        <v/>
      </c>
      <c r="FD18" s="277" t="str">
        <f t="shared" si="140"/>
        <v/>
      </c>
      <c r="FE18" s="443" t="str">
        <f>IF(A18=FALSE,"",IF(Detail!AM18="","",Detail!AM18))</f>
        <v/>
      </c>
      <c r="FF18" s="277"/>
      <c r="FG18" s="277"/>
      <c r="FH18" s="277" t="str">
        <f t="shared" si="141"/>
        <v/>
      </c>
      <c r="FI18" s="1104"/>
      <c r="FJ18" s="1104"/>
      <c r="FK18" s="443" t="str">
        <f>IF(A18=FALSE,"",IF(Cotations!AF18="monthly",FH18/12*L18,FH18/365*M18))</f>
        <v/>
      </c>
      <c r="FL18" s="1103" t="str">
        <f>IF(A18=FALSE,"",IF(Cotations!AF18="monthly",FJ18/12*L18,FJ18/365*M18))</f>
        <v/>
      </c>
      <c r="FM18" s="433" t="str">
        <f>IF(A18=FALSE,"",IF(Cotations!AJ18="","",Cotations!AJ18))</f>
        <v/>
      </c>
      <c r="FN18" s="277" t="str">
        <f t="shared" si="268"/>
        <v/>
      </c>
      <c r="FO18" s="277" t="str">
        <f t="shared" si="269"/>
        <v/>
      </c>
      <c r="FP18" s="1104"/>
      <c r="FQ18" s="277" t="str">
        <f t="shared" si="270"/>
        <v/>
      </c>
      <c r="FR18" s="759" t="str">
        <f>IF(A18=FALSE,"",((FH18*TAXE)-(FH18*TAXE*FM18))+IF(#REF!="N/A",0,IF(INDEX(LISTES!$F$105:$F$109,MATCH(#REF!,LISTES!$C$105:$C$109,0))="FIX",#REF!,#REF!*FQ18)))</f>
        <v/>
      </c>
      <c r="FS18" s="422"/>
      <c r="FT18" s="422"/>
      <c r="FU18" s="422"/>
      <c r="FV18" s="422"/>
      <c r="FW18" s="422"/>
      <c r="FX18" s="422"/>
      <c r="FY18" s="422"/>
      <c r="FZ18" s="422"/>
      <c r="GA18" s="432" t="str">
        <f t="shared" si="145"/>
        <v/>
      </c>
      <c r="GB18" s="1234" t="str">
        <f>IF(A18=FALSE,"",IF(Detail!DF18="","N/A",YEAR(Detail!F18)&amp;Detail!DI18&amp;Detail!DF18&amp;"-"&amp;Detail!$DF$13))</f>
        <v/>
      </c>
      <c r="GC18" s="434" t="str">
        <f>IF(A18=FALSE,"",IF(LISTES!$A$17=1,GB18,INDEX(colMOD3,MATCH(Cotations!AH18,colchoice,0))))</f>
        <v/>
      </c>
      <c r="GD18" s="277" t="str">
        <f t="shared" si="146"/>
        <v/>
      </c>
      <c r="GE18" s="277" t="str">
        <f t="shared" si="147"/>
        <v/>
      </c>
      <c r="GF18" s="277"/>
      <c r="GG18" s="277"/>
      <c r="GH18" s="277" t="str">
        <f t="shared" si="271"/>
        <v/>
      </c>
      <c r="GI18" s="1104" t="str">
        <f t="shared" si="272"/>
        <v/>
      </c>
      <c r="GJ18" s="1104" t="str">
        <f t="shared" si="273"/>
        <v/>
      </c>
      <c r="GK18" s="443" t="str">
        <f>IF(A18=FALSE,"",IF(Cotations!AF18="monthly",GH18/12*L18,GH18/365*M18))</f>
        <v/>
      </c>
      <c r="GL18" s="1103" t="str">
        <f>IF(A18=FALSE,"",IF(Cotations!AF18="monthly",GJ18/12*L18,GJ18/365*M18))</f>
        <v/>
      </c>
      <c r="GM18" s="433" t="str">
        <f>IF(A18=FALSE,"",IF(Cotations!AK18="","",Cotations!AK18))</f>
        <v/>
      </c>
      <c r="GN18" s="277" t="str">
        <f t="shared" si="274"/>
        <v/>
      </c>
      <c r="GO18" s="277" t="str">
        <f t="shared" si="275"/>
        <v/>
      </c>
      <c r="GP18" s="1104" t="str">
        <f t="shared" si="276"/>
        <v/>
      </c>
      <c r="GQ18" s="277" t="str">
        <f t="shared" si="277"/>
        <v/>
      </c>
      <c r="GR18" s="759" t="str">
        <f>IF(A18=FALSE,"",((GH18*TAXE)-(GH18*TAXE*GM18)+GI18)+IF(CQ18="N/A",0,IF(INDEX(LISTES!$F$105:$F$109,MATCH(CQ18,LISTES!$C$105:$C$109,0))="FIX",CR18,CS18*GQ18)))</f>
        <v/>
      </c>
      <c r="GS18" s="412"/>
      <c r="GT18" s="412"/>
      <c r="GU18" s="412"/>
      <c r="GV18" s="412"/>
      <c r="GW18" s="412"/>
      <c r="GX18" s="412"/>
      <c r="GY18" s="412"/>
      <c r="GZ18" s="412"/>
      <c r="HA18" s="432" t="str">
        <f t="shared" si="155"/>
        <v/>
      </c>
      <c r="HB18" s="1234" t="str">
        <f>IF(A18=FALSE,"",IF(Detail!DF18="","N/A",YEAR(Detail!F18)&amp;Detail!DI18&amp;Detail!DF18&amp;"-"&amp;Detail!$DF$13))</f>
        <v/>
      </c>
      <c r="HC18" s="434" t="str">
        <f>IF(A18=FALSE,"",IF(LISTES!$A$17=1,HB18,INDEX(colMOD4,MATCH(Cotations!AH18,colchoice,0))))</f>
        <v/>
      </c>
      <c r="HD18" s="277" t="str">
        <f t="shared" si="278"/>
        <v/>
      </c>
      <c r="HE18" s="277" t="str">
        <f t="shared" si="279"/>
        <v/>
      </c>
      <c r="HF18" s="277"/>
      <c r="HG18" s="277"/>
      <c r="HH18" s="277" t="str">
        <f t="shared" si="280"/>
        <v/>
      </c>
      <c r="HI18" s="1104" t="str">
        <f t="shared" si="281"/>
        <v/>
      </c>
      <c r="HJ18" s="1104" t="str">
        <f t="shared" si="282"/>
        <v/>
      </c>
      <c r="HK18" s="443" t="str">
        <f>IF(A18=FALSE,"",IF(Cotations!AF18="monthly",HH18/12*L18,HH18/365*M18))</f>
        <v/>
      </c>
      <c r="HL18" s="1103" t="str">
        <f>IF(A18=FALSE,"",IF(Cotations!AF18="monthly",HJ18/12*L18,HJ18/365*M18))</f>
        <v/>
      </c>
      <c r="HM18" s="433" t="str">
        <f>IF(A18=FALSE,"",IF(Cotations!AL18="","",Cotations!AL18))</f>
        <v/>
      </c>
      <c r="HN18" s="277" t="str">
        <f t="shared" si="283"/>
        <v/>
      </c>
      <c r="HO18" s="277" t="str">
        <f t="shared" si="284"/>
        <v/>
      </c>
      <c r="HP18" s="1104" t="str">
        <f t="shared" si="285"/>
        <v/>
      </c>
      <c r="HQ18" s="277" t="str">
        <f t="shared" si="286"/>
        <v/>
      </c>
      <c r="HR18" s="759" t="str">
        <f>IF(A18=FALSE,"",((HH18*TAXE)-(HH18*TAXE*HM18)+HI18)+IF(CQ18="N/A",0,IF(INDEX(LISTES!$F$105:$F$109,MATCH(CQ18,LISTES!$C$105:$C$109,0))="FIX",CR18,CS18*HQ18)))</f>
        <v/>
      </c>
      <c r="HS18" s="412"/>
      <c r="HT18" s="412"/>
      <c r="HU18" s="412"/>
      <c r="HV18" s="412"/>
      <c r="HW18" s="412"/>
      <c r="HX18" s="412"/>
      <c r="HY18" s="412"/>
      <c r="HZ18" s="1254"/>
      <c r="IA18" s="432" t="str">
        <f>IF(A18=FALSE,"",Cotations!AT18)</f>
        <v/>
      </c>
      <c r="IB18" s="1253" t="str">
        <f>IF(A18=FALSE,"",IF(Detail!AT18="","N/A",YEAR(Detail!F18)&amp;Detail!AW18&amp;Detail!AT18&amp;"-"&amp;Detail!$AT$13&amp;Detail!AU18))</f>
        <v/>
      </c>
      <c r="IC18" s="431" t="str">
        <f>IF(A18=FALSE,"",IF(LISTES!$A$17=1,IB18,INDEX(colMOD1,MATCH(DA18,colchoice,0))))</f>
        <v/>
      </c>
      <c r="ID18" s="759" t="str">
        <f t="shared" si="287"/>
        <v/>
      </c>
      <c r="IE18" s="292" t="str">
        <f>IF(A18=FALSE,"",IF(LISTES!$A$17=1,Detail!AU18,INDEX(Rates!$M$1:$M$270,MATCH(IC18,colMOD1,0))))</f>
        <v/>
      </c>
      <c r="IF18" s="409" t="str">
        <f t="shared" si="165"/>
        <v/>
      </c>
      <c r="IG18" s="430" t="str">
        <f>IF(A18=FALSE,"",IF(IA18="POEA",Cotations!AY18,IF(IA18="FIXE",Cotations!AZ18,IF(Cotations!BA18*Y18&lt;50000,Z18,Cotations!BA18*Y18))))</f>
        <v/>
      </c>
      <c r="IH18" s="292" t="str">
        <f t="shared" si="166"/>
        <v/>
      </c>
      <c r="II18" s="446" t="str">
        <f>IF(A18=FALSE,"",IF(Cotations!AU18="monthly",IH18/12*L18,IH18/365*M18))</f>
        <v/>
      </c>
      <c r="IJ18" s="429" t="str">
        <f>IF(A18=FALSE,"",IF(Cotations!BB18="","",Cotations!BB18))</f>
        <v/>
      </c>
      <c r="IK18" s="292" t="str">
        <f t="shared" si="167"/>
        <v/>
      </c>
      <c r="IL18" s="292" t="str">
        <f t="shared" si="168"/>
        <v/>
      </c>
      <c r="IM18" s="759" t="str">
        <f t="shared" si="169"/>
        <v/>
      </c>
      <c r="IN18" s="759" t="str">
        <f>IF(A18=FALSE,"",((IH18*TAXE)-(IH18*TAXE*IJ18))+IF(DQ18="N/A",0,IF(INDEX(LISTES!$F$105:$F$109,MATCH(DQ18,LISTES!$C$105:$C$109,0))="FIX",DR18,DS18*IM18)))</f>
        <v/>
      </c>
      <c r="IO18" s="383"/>
      <c r="IP18" s="1127"/>
      <c r="IQ18" s="1127"/>
      <c r="IR18" s="1127"/>
      <c r="IS18" s="1127"/>
      <c r="IT18" s="1127"/>
      <c r="IU18" s="1127"/>
      <c r="IV18" s="1127"/>
      <c r="IW18" s="1127"/>
      <c r="IX18" s="1127"/>
      <c r="IY18" s="1127"/>
      <c r="JA18" s="432" t="str">
        <f>IF(A18=FALSE,"",Cotations!AT18)</f>
        <v/>
      </c>
      <c r="JB18" s="1234" t="str">
        <f>IF(A18=FALSE,"",IF(Detail!BB18="","N/A",YEAR(Detail!F18)&amp;Detail!BE18&amp;Detail!BB18&amp;"-"&amp;Detail!$BB$13&amp;Detail!BC18))</f>
        <v/>
      </c>
      <c r="JC18" s="431" t="str">
        <f>IF(A18=FALSE,"",IF(LISTES!$A$17=1,JB18,INDEX(colMOD2,MATCH(DA18,colchoice,0))))</f>
        <v/>
      </c>
      <c r="JD18" s="759" t="str">
        <f t="shared" si="170"/>
        <v/>
      </c>
      <c r="JE18" s="292"/>
      <c r="JF18" s="409" t="str">
        <f t="shared" si="171"/>
        <v/>
      </c>
      <c r="JG18" s="430" t="str">
        <f>IF(A18=FALSE,"",IF(JA18="POEA",Cotations!BC18,IF(JA18="FIXE",Cotations!BD18,IF(Cotations!BE18*Y18&lt;50000,Z18,Cotations!BE18*Y18))))</f>
        <v/>
      </c>
      <c r="JH18" s="292" t="str">
        <f t="shared" si="172"/>
        <v/>
      </c>
      <c r="JI18" s="446" t="str">
        <f>IF(A18=FALSE,"",IF(Cotations!AU18="monthly",JH18/12*L18,JH18/365*M18))</f>
        <v/>
      </c>
      <c r="JJ18" s="429" t="str">
        <f>IF(A18=FALSE,"",IF(Cotations!BF18="","",Cotations!BF18))</f>
        <v/>
      </c>
      <c r="JK18" s="292" t="str">
        <f t="shared" si="173"/>
        <v/>
      </c>
      <c r="JL18" s="292" t="str">
        <f t="shared" si="174"/>
        <v/>
      </c>
      <c r="JM18" s="759" t="str">
        <f t="shared" si="175"/>
        <v/>
      </c>
      <c r="JN18" s="759" t="str">
        <f>IF(A18=FALSE,"",((JH18*TAXE)-(JH18*TAXE*JJ18))+IF(#REF!="N/A",0,IF(INDEX(LISTES!$F$105:$F$109,MATCH(#REF!,LISTES!$C$105:$C$109,0))="FIX",#REF!,#REF!*JM18)))</f>
        <v/>
      </c>
      <c r="JQ18" s="383"/>
      <c r="JR18" s="1127"/>
      <c r="JS18" s="1127"/>
      <c r="JT18" s="1127"/>
      <c r="JU18" s="1127"/>
      <c r="JV18" s="1127"/>
      <c r="JW18" s="383"/>
      <c r="JX18" s="1127"/>
      <c r="JY18" s="1127"/>
      <c r="KA18" s="432" t="str">
        <f>IF(A18=FALSE,"",Cotations!AT18)</f>
        <v/>
      </c>
      <c r="KB18" s="1234" t="str">
        <f>IF(A18=FALSE,"",IF(Detail!BJ18="","N/A",YEAR(Detail!F18)&amp;Detail!BM18&amp;Detail!BJ18&amp;"-"&amp;Detail!$BJ$13&amp;Detail!BK18))</f>
        <v/>
      </c>
      <c r="KC18" s="431" t="str">
        <f>IF(A18=FALSE,"",IF(LISTES!$A$17=1,KB18,INDEX(colMOD3,MATCH(DA18,colchoice,0))))</f>
        <v/>
      </c>
      <c r="KD18" s="759" t="str">
        <f t="shared" si="176"/>
        <v/>
      </c>
      <c r="KE18" s="292"/>
      <c r="KF18" s="409" t="str">
        <f t="shared" si="177"/>
        <v/>
      </c>
      <c r="KG18" s="430" t="str">
        <f>IF(A18=FALSE,"",IF(KA18="POEA",Cotations!BG18,IF(KA18="FIXE",Cotations!BH18,IF(Cotations!BI18*Y18&lt;50000,Z18,Cotations!BI18*Y18))))</f>
        <v/>
      </c>
      <c r="KH18" s="292" t="str">
        <f t="shared" si="178"/>
        <v/>
      </c>
      <c r="KI18" s="446" t="str">
        <f>IF(A18=FALSE,"",IF(Cotations!AU18="monthly",KH18/12*L18,KH18/365*M18))</f>
        <v/>
      </c>
      <c r="KJ18" s="429" t="str">
        <f>IF(A18=FALSE,"",IF(Cotations!BJ18="","",Cotations!BJ18))</f>
        <v/>
      </c>
      <c r="KK18" s="292" t="str">
        <f t="shared" si="179"/>
        <v/>
      </c>
      <c r="KL18" s="292" t="str">
        <f t="shared" si="180"/>
        <v/>
      </c>
      <c r="KM18" s="759" t="str">
        <f t="shared" si="181"/>
        <v/>
      </c>
      <c r="KN18" s="759" t="str">
        <f>IF(A18=FALSE,"",((KH18*TAXE)-(KH18*TAXE*KJ18))+IF(#REF!="N/A",0,IF(INDEX(LISTES!$F$105:$F$109,MATCH(#REF!,LISTES!$C$105:$C$109,0))="FIX",#REF!,#REF!*KM18)))</f>
        <v/>
      </c>
      <c r="KR18" s="1127"/>
      <c r="KS18" s="1127"/>
      <c r="KT18" s="1127"/>
      <c r="KU18" s="1127"/>
      <c r="KV18" s="1127"/>
      <c r="KW18" s="1127"/>
      <c r="KX18" s="1127"/>
      <c r="KY18" s="1127"/>
      <c r="LA18" s="432" t="str">
        <f>IF(A18=FALSE,"",Cotations!AT18)</f>
        <v/>
      </c>
      <c r="LB18" s="1234" t="str">
        <f>IF(A18=FALSE,"",IF(Detail!BR18="","N/A",YEAR(Detail!F18)&amp;Detail!BU18&amp;Detail!BR18&amp;"-"&amp;Detail!$BR$13&amp;Detail!BS18))</f>
        <v/>
      </c>
      <c r="LC18" s="431" t="str">
        <f>IF(A18=FALSE,"",IF(LISTES!$A$17=1,LB18,INDEX(colMOD4,MATCH(DA18,colchoice,0))))</f>
        <v/>
      </c>
      <c r="LD18" s="759" t="str">
        <f t="shared" si="182"/>
        <v/>
      </c>
      <c r="LE18" s="292"/>
      <c r="LF18" s="409" t="str">
        <f t="shared" si="183"/>
        <v/>
      </c>
      <c r="LG18" s="430" t="str">
        <f>IF(A18=FALSE,"",IF(LA18="POEA",Cotations!BK18,IF(LA18="FIXE",Cotations!BL18,IF(Cotations!BM18*Y18&lt;50000,Z18,Cotations!BM18*Y18))))</f>
        <v/>
      </c>
      <c r="LH18" s="292" t="str">
        <f t="shared" si="184"/>
        <v/>
      </c>
      <c r="LI18" s="446" t="str">
        <f>IF(A18=FALSE,"",IF(Cotations!AU18="monthly",LH18/12*L18,LH18/365*M18))</f>
        <v/>
      </c>
      <c r="LJ18" s="429" t="str">
        <f>IF(A18=FALSE,"",IF(Cotations!BN18="","",Cotations!BN18))</f>
        <v/>
      </c>
      <c r="LK18" s="292" t="str">
        <f t="shared" si="185"/>
        <v/>
      </c>
      <c r="LL18" s="292" t="str">
        <f t="shared" si="186"/>
        <v/>
      </c>
      <c r="LM18" s="759" t="str">
        <f t="shared" si="187"/>
        <v/>
      </c>
      <c r="LN18" s="759" t="str">
        <f>IF(A18=FALSE,"",((LH18*TAXE)-(LH18*TAXE*LJ18))+IF(#REF!="N/A",0,IF(INDEX(LISTES!$F$105:$F$109,MATCH(#REF!,LISTES!$C$105:$C$109,0))="FIX",#REF!,#REF!*LM18)))</f>
        <v/>
      </c>
      <c r="LR18" s="1127"/>
      <c r="LS18" s="1127"/>
      <c r="LT18" s="1127"/>
      <c r="LU18" s="1127"/>
      <c r="LV18" s="1127"/>
      <c r="LW18" s="1127"/>
      <c r="LX18" s="1127"/>
      <c r="LY18" s="1127"/>
      <c r="MA18" s="432" t="str">
        <f t="shared" si="188"/>
        <v/>
      </c>
      <c r="MB18" s="1234" t="str">
        <f>IF(A18=FALSE,"",IF(Detail!BZ18="","N/A",YEAR(Detail!F18)&amp;Detail!CC18&amp;Detail!BZ18&amp;"-"&amp;Detail!$BZ$13&amp;" (100%/"&amp;Detail!CD18&amp;"/"&amp;Detail!CE18&amp;")"))</f>
        <v/>
      </c>
      <c r="MC18" s="431" t="str">
        <f>IF(A18=FALSE,"",IF(LISTES!$A$17=1,MB18,INDEX(colMOD5,MATCH(DA18,colchoice,0))))</f>
        <v/>
      </c>
      <c r="MD18" s="759" t="str">
        <f t="shared" si="189"/>
        <v/>
      </c>
      <c r="ME18" s="292"/>
      <c r="MF18" s="409" t="str">
        <f t="shared" si="190"/>
        <v/>
      </c>
      <c r="MG18" s="430" t="str">
        <f>IF(A18=FALSE,"",Cotations!BQ18*AA18)</f>
        <v/>
      </c>
      <c r="MH18" s="292" t="str">
        <f t="shared" si="191"/>
        <v/>
      </c>
      <c r="MI18" s="446" t="str">
        <f>IF(A18=FALSE,"",IF(Cotations!AU18="monthly",MH18/12*L18,MH18/365*M18))</f>
        <v/>
      </c>
      <c r="MJ18" s="429" t="str">
        <f>IF(A18=FALSE,"",IF(Cotations!BR18="","",Cotations!BR18))</f>
        <v/>
      </c>
      <c r="MK18" s="292" t="str">
        <f t="shared" si="192"/>
        <v/>
      </c>
      <c r="ML18" s="292" t="str">
        <f t="shared" si="193"/>
        <v/>
      </c>
      <c r="MM18" s="759" t="str">
        <f t="shared" si="194"/>
        <v/>
      </c>
      <c r="MN18" s="759" t="str">
        <f>IF(A18=FALSE,"",((MH18*TAXE)-(MH18*TAXE*MJ18))+IF(#REF!="N/A",0,IF(INDEX(LISTES!$F$105:$F$109,MATCH(#REF!,LISTES!$C$105:$C$109,0))="FIX",#REF!,#REF!*MM18)))</f>
        <v/>
      </c>
      <c r="MQ18" s="1127"/>
      <c r="MR18" s="1127"/>
      <c r="MS18" s="1127"/>
      <c r="MT18" s="1127"/>
      <c r="MU18" s="1127"/>
      <c r="MV18" s="1127"/>
      <c r="MW18" s="1127"/>
      <c r="MX18" s="1127"/>
      <c r="NA18" s="432" t="str">
        <f t="shared" si="195"/>
        <v/>
      </c>
      <c r="NB18" s="1234" t="str">
        <f>IF(A18=FALSE,"",IF(Detail!CH18="","N/A",YEAR(Detail!F18)&amp;Detail!CK18&amp;Detail!CH18&amp;"-"&amp;Detail!$CH$13&amp;" (100%/"&amp;Detail!CL18&amp;"/"&amp;Detail!CM18&amp;")"))</f>
        <v/>
      </c>
      <c r="NC18" s="431" t="str">
        <f>IF(A18=FALSE,"",IF(LISTES!$A$17=1,NB18,INDEX(colMOD6,MATCH(DA18,colchoice,0))))</f>
        <v/>
      </c>
      <c r="ND18" s="759" t="str">
        <f t="shared" si="196"/>
        <v/>
      </c>
      <c r="NE18" s="292"/>
      <c r="NF18" s="409" t="str">
        <f t="shared" si="197"/>
        <v/>
      </c>
      <c r="NG18" s="430" t="str">
        <f>IF(A18=FALSE,"",Cotations!BU18*AA18)</f>
        <v/>
      </c>
      <c r="NH18" s="292" t="str">
        <f t="shared" si="198"/>
        <v/>
      </c>
      <c r="NI18" s="446" t="str">
        <f>IF(A18=FALSE,"",IF(Cotations!AU18="monthly",NH18/12*L18,NH18/365*M18))</f>
        <v/>
      </c>
      <c r="NJ18" s="429" t="str">
        <f>IF(A18=FALSE,"",IF(Cotations!BV18="","",Cotations!BV18))</f>
        <v/>
      </c>
      <c r="NK18" s="292" t="str">
        <f t="shared" si="199"/>
        <v/>
      </c>
      <c r="NL18" s="292" t="str">
        <f t="shared" si="200"/>
        <v/>
      </c>
      <c r="NM18" s="759" t="str">
        <f t="shared" si="201"/>
        <v/>
      </c>
      <c r="NN18" s="759" t="str">
        <f>IF(A18=FALSE,"",((NH18*TAXE)-(NH18*TAXE*NJ18))+IF(#REF!="N/A",0,IF(INDEX(LISTES!$F$105:$F$109,MATCH(#REF!,LISTES!$C$105:$C$109,0))="FIX",#REF!,#REF!*NM18)))</f>
        <v/>
      </c>
      <c r="NR18" s="1127"/>
      <c r="NS18" s="1127"/>
      <c r="NT18" s="1127"/>
      <c r="NU18" s="1127"/>
      <c r="NV18" s="1127"/>
      <c r="NW18" s="1127"/>
      <c r="NX18" s="1127"/>
      <c r="NY18" s="1127"/>
      <c r="NZ18" s="1281" t="str">
        <f>IF(A18=FALSE,"",IF(Detail!CP18="","N/A",YEAR(Detail!F18)&amp;Detail!CS18&amp;Detail!CP18&amp;"-"&amp;Detail!CQ18))</f>
        <v/>
      </c>
      <c r="OA18" s="432" t="str">
        <f>IF(A18=FALSE,"",Cotations!CF18)</f>
        <v/>
      </c>
      <c r="OB18" s="1282" t="str">
        <f>IF(A18=FALSE,"",IF(Detail!CP18="","N/A",YEAR(Detail!F18)&amp;Detail!CS18&amp;Detail!CP18&amp;"-"&amp;Detail!$CP$13&amp;Detail!CQ18))</f>
        <v/>
      </c>
      <c r="OC18" s="1283" t="str">
        <f>IF(A18=FALSE,"",IF(LISTES!$A$17=1,OB18,INDEX(colMOD1,MATCH(Cotations!CE18,colchoice,0))))</f>
        <v/>
      </c>
      <c r="OD18" s="759" t="str">
        <f t="shared" si="202"/>
        <v/>
      </c>
      <c r="OE18" s="292" t="str">
        <f>IF(A18=FALSE,"",Detail!CQ18)</f>
        <v/>
      </c>
      <c r="OF18" s="409" t="str">
        <f t="shared" si="203"/>
        <v/>
      </c>
      <c r="OG18" s="430" t="str">
        <f>IF(A18=FALSE,"",IF(OA18="FIXE",Cotations!CM18,Cotations!CN18*AA18))</f>
        <v/>
      </c>
      <c r="OH18" s="292" t="str">
        <f t="shared" si="288"/>
        <v/>
      </c>
      <c r="OI18" s="446" t="str">
        <f>IF(A18=FALSE,"",IF(Cotations!CF18="monthly",OH18/12*L18,OH18/365*M18))</f>
        <v/>
      </c>
      <c r="OJ18" s="429" t="str">
        <f>IF(A18=FALSE,"",IF(Cotations!CO18="","",Cotations!CO18))</f>
        <v/>
      </c>
      <c r="OK18" s="292" t="str">
        <f t="shared" si="289"/>
        <v/>
      </c>
      <c r="OL18" s="292" t="str">
        <f t="shared" si="290"/>
        <v/>
      </c>
      <c r="OM18" s="759" t="str">
        <f t="shared" si="207"/>
        <v/>
      </c>
      <c r="ON18" s="759" t="str">
        <f>IF(A18=FALSE,"",((OH18*(1+TAXE)-(OH18*(1+TAXE)*OJ18))+IF(#REF!="N/A",0,IF(INDEX(LISTES!$F$105:$F$109,MATCH(#REF!,LISTES!$C$105:$C$109,0))="FIX",#REF!,#REF!*OM18))))</f>
        <v/>
      </c>
      <c r="PA18" s="432" t="str">
        <f>IF(A18=FALSE,"",Cotations!CF18)</f>
        <v/>
      </c>
      <c r="PB18" s="1282" t="str">
        <f>IF(A18=FALSE,"",IF(Detail!CX18="","N/A",YEAR(Detail!F18)&amp;Detail!DA18&amp;Detail!CX18&amp;"-"&amp;Detail!$CX$13&amp;Detail!CY18))</f>
        <v/>
      </c>
      <c r="PC18" s="1283" t="str">
        <f>IF(A18=FALSE,"",IF(LISTES!$A$17=1,PB18,INDEX(colMOD3,MATCH(Cotations!CE18,colchoice,0))))</f>
        <v/>
      </c>
      <c r="PD18" s="759" t="str">
        <f t="shared" si="208"/>
        <v/>
      </c>
      <c r="PE18" s="292" t="str">
        <f>IF(A18=FALSE,"",IF(Detail!CY18="","",Detail!CY18))</f>
        <v/>
      </c>
      <c r="PF18" s="409" t="str">
        <f t="shared" si="291"/>
        <v/>
      </c>
      <c r="PG18" s="430" t="str">
        <f>IF(A18=FALSE,"",IF(PA18="FIXE",Cotations!CP18,Cotations!CQ18*AA18))</f>
        <v/>
      </c>
      <c r="PH18" s="292" t="str">
        <f t="shared" si="292"/>
        <v/>
      </c>
      <c r="PI18" s="446" t="str">
        <f>IF(A18=FALSE,"",IF(Cotations!CG18="monthly",PH18/12*L18,PH18/365*M18))</f>
        <v/>
      </c>
      <c r="PJ18" s="429" t="str">
        <f>IF(A18=FALSE,"",IF(Cotations!DA18="",0,Cotations!DA18))</f>
        <v/>
      </c>
      <c r="PK18" s="292" t="str">
        <f t="shared" si="293"/>
        <v/>
      </c>
      <c r="PL18" s="292" t="str">
        <f t="shared" si="294"/>
        <v/>
      </c>
      <c r="PM18" s="759" t="str">
        <f t="shared" si="211"/>
        <v/>
      </c>
      <c r="PN18" s="759" t="str">
        <f>IF(A18=FALSE,"",((PH18*(1+TAXE)-(PH18*(1+TAXE)*PJ18))+IF(#REF!="N/A",0,IF(INDEX(LISTES!$F$105:$F$109,MATCH(#REF!,LISTES!$C$105:$C$109,0))="FIX",#REF!,#REF!*PM18))))</f>
        <v/>
      </c>
    </row>
    <row r="19" spans="1:430" s="288" customFormat="1">
      <c r="A19" s="779" t="b">
        <f t="shared" si="111"/>
        <v>0</v>
      </c>
      <c r="B19" s="779" t="b">
        <f>IF(NAMES!$B$9=TRUE,TRUE,FALSE)</f>
        <v>1</v>
      </c>
      <c r="C19" s="779" t="b">
        <f t="shared" si="212"/>
        <v>0</v>
      </c>
      <c r="D19" s="779" t="b">
        <f t="shared" si="213"/>
        <v>1</v>
      </c>
      <c r="E19" s="267" t="b">
        <f>IF(Cotations!C19="","",Cotations!C19)</f>
        <v>0</v>
      </c>
      <c r="F19" s="267" t="str">
        <f>IF(Cotations!AT19="","",Cotations!AT19)</f>
        <v>PROP</v>
      </c>
      <c r="G19" s="267" t="str">
        <f>IF(Cotations!D19="","",Cotations!D19)</f>
        <v>2016-2017!</v>
      </c>
      <c r="H19" s="267" t="str">
        <f>IF(Cotations!E19="","",Cotations!E19)</f>
        <v>SINGLE</v>
      </c>
      <c r="I19" s="267" t="str">
        <f>IF(Cotations!F19="","",Cotations!F19)</f>
        <v/>
      </c>
      <c r="J19" s="267" t="str">
        <f>IF(Cotations!G19="","",Cotations!G19)</f>
        <v/>
      </c>
      <c r="K19" s="267" t="str">
        <f>IF(Cotations!H19="","",Cotations!H19)</f>
        <v/>
      </c>
      <c r="L19" s="267" t="str">
        <f>IF(A19=FALSE,"",IF(Cotations!M19="","",Cotations!M19))</f>
        <v/>
      </c>
      <c r="M19" s="267" t="str">
        <f>IF(Cotations!O19="","",Cotations!O19)</f>
        <v/>
      </c>
      <c r="N19" s="588">
        <f>IF(NAMES!$B$10=TRUE,Cotations!I19,Cotations!K19)</f>
        <v>42675</v>
      </c>
      <c r="O19" s="588">
        <f>IF(NAMES!$B$10=TRUE,Cotations!J19,Cotations!L19)</f>
        <v>42749</v>
      </c>
      <c r="P19" s="780" t="str">
        <f t="shared" si="214"/>
        <v>novembre</v>
      </c>
      <c r="Q19" s="588" t="str">
        <f>IF(A19=FALSE,"",IF(Crewlist!Y19="","",Crewlist!Y19))</f>
        <v/>
      </c>
      <c r="R19" s="78" t="str">
        <f>IF(Cotations!T19="","",Cotations!T19)</f>
        <v/>
      </c>
      <c r="S19" s="780" t="str">
        <f t="shared" si="215"/>
        <v/>
      </c>
      <c r="T19" s="759" t="str">
        <f>IF(A19=FALSE,"",VLOOKUP($U$15:$U$120,Currency!$A$2:$D$10,4,0)*Crewlist!N19)</f>
        <v/>
      </c>
      <c r="U19" s="1097" t="str">
        <f>IF(A19=FALSE,"",IF(DP19=0,Crewlist!M19&amp;"/"&amp;CP19,Crewlist!M19&amp;"/"&amp;DP19))</f>
        <v/>
      </c>
      <c r="V19" s="759" t="str">
        <f>IF(A19=FALSE,"",VLOOKUP($U$15:$U$120,Currency!$A$2:$D$10,4,0)*Detail!Q19)</f>
        <v/>
      </c>
      <c r="W19" s="1097" t="str">
        <f>IF(A19=FALSE,"",IF(DP19=0,Detail!R19&amp;"/"&amp;CP19,Detail!R19&amp;"/"&amp;DP19))</f>
        <v/>
      </c>
      <c r="X19" s="759" t="str">
        <f>IF(A19=FALSE,"",IF(LISTES!$C$17="Crewlist",Calcul!T19,Calcul!V19))</f>
        <v/>
      </c>
      <c r="Y19" s="618" t="str">
        <f t="shared" si="216"/>
        <v/>
      </c>
      <c r="Z19" s="618" t="str">
        <f>IF(A19=FALSE,"",IF(X19=0,0,IF((Cotations!BA19*12*X19)&lt;50000,50000,(12*X19))))</f>
        <v/>
      </c>
      <c r="AA19" s="618" t="str">
        <f t="shared" si="217"/>
        <v/>
      </c>
      <c r="AB19" s="618" t="str">
        <f>IF(A19=FALSE,"",IF(Crewlist!O19=0,"",Crewlist!O19))</f>
        <v/>
      </c>
      <c r="AC19" s="618" t="str">
        <f>IF(I19="","",VLOOKUP($AB$15:$AB$120,Currency!$A$15:$B$34,2,0))</f>
        <v/>
      </c>
      <c r="AD19" s="618" t="str">
        <f t="shared" si="218"/>
        <v/>
      </c>
      <c r="AE19" s="618" t="str">
        <f t="shared" si="219"/>
        <v/>
      </c>
      <c r="AF19" s="618" t="str">
        <f t="shared" si="220"/>
        <v/>
      </c>
      <c r="AG19" s="618" t="str">
        <f t="shared" si="221"/>
        <v/>
      </c>
      <c r="AH19" s="1097" t="str">
        <f t="shared" si="112"/>
        <v/>
      </c>
      <c r="AI19" s="759" t="str">
        <f t="shared" si="222"/>
        <v/>
      </c>
      <c r="AJ19" s="1120" t="str">
        <f t="shared" si="223"/>
        <v/>
      </c>
      <c r="AK19" s="1120" t="str">
        <f t="shared" si="224"/>
        <v/>
      </c>
      <c r="AL19" s="236" t="str">
        <f t="shared" si="225"/>
        <v/>
      </c>
      <c r="AM19" s="236" t="str">
        <f t="shared" si="226"/>
        <v/>
      </c>
      <c r="AN19" s="1112" t="str">
        <f t="shared" si="227"/>
        <v/>
      </c>
      <c r="AO19" s="236" t="str">
        <f t="shared" si="228"/>
        <v/>
      </c>
      <c r="AP19" s="327" t="str">
        <f>IF(A19=FALSE,"",INDEX(Rates!$Q$1:$Q$278,MATCH(CA19,colchoice,0)))</f>
        <v/>
      </c>
      <c r="AQ19" s="236" t="str">
        <f t="shared" si="229"/>
        <v/>
      </c>
      <c r="AR19" s="236" t="str">
        <f t="shared" si="230"/>
        <v/>
      </c>
      <c r="AS19" s="236" t="str">
        <f t="shared" si="117"/>
        <v/>
      </c>
      <c r="AT19" s="236" t="str">
        <f t="shared" si="118"/>
        <v/>
      </c>
      <c r="AU19" s="236" t="str">
        <f t="shared" si="231"/>
        <v/>
      </c>
      <c r="AV19" s="236" t="str">
        <f t="shared" si="232"/>
        <v/>
      </c>
      <c r="AW19" s="236" t="str">
        <f t="shared" si="233"/>
        <v/>
      </c>
      <c r="AX19" s="236" t="str">
        <f t="shared" si="234"/>
        <v/>
      </c>
      <c r="AY19" s="236" t="str">
        <f t="shared" si="235"/>
        <v/>
      </c>
      <c r="AZ19" s="236" t="str">
        <f t="shared" si="236"/>
        <v/>
      </c>
      <c r="BA19" s="236" t="str">
        <f t="shared" si="237"/>
        <v/>
      </c>
      <c r="BB19" s="467" t="str">
        <f t="shared" si="238"/>
        <v/>
      </c>
      <c r="BC19" s="329" t="str">
        <f t="shared" si="239"/>
        <v/>
      </c>
      <c r="BD19" s="237" t="str">
        <f t="shared" si="240"/>
        <v/>
      </c>
      <c r="BE19" s="237" t="str">
        <f>IF(A19=FALSE,"",IF(ED19&lt;&gt;$BC$7,0,INDEX(EA19:EZ19,1,MATCH(Structure!$J$16,$EA$14:$EZ$14,0))))</f>
        <v/>
      </c>
      <c r="BF19" s="237" t="str">
        <f>IF(A19=FALSE,"",IF(FD19&lt;&gt;$BC$7,0,INDEX(FA19:FZ19,1,MATCH(Structure!$J$16,$FA$14:$FZ$14,0))))</f>
        <v/>
      </c>
      <c r="BG19" s="237" t="str">
        <f>IF(A19=FALSE,"",IF(GD19&lt;&gt;$BC$7,0,INDEX(GA19:GZ19,1,MATCH(Structure!$J$16,$GA$14:$GZ$14,0))))</f>
        <v/>
      </c>
      <c r="BH19" s="237" t="str">
        <f>IF(A19=FALSE,"",IF(HD19&lt;&gt;$BC$7,0,INDEX(HA19:HZ19,1,MATCH(Structure!$J$16,$HA$14:$HZ$14,0))))</f>
        <v/>
      </c>
      <c r="BI19" s="621" t="str">
        <f>IF(A19=FALSE,"",IF(ID19&lt;&gt;$BC$7,0,INDEX(IA19:IZ19,1,MATCH(Structure!$C$12,$IA$14:$IZ$14,0)))+OL19)</f>
        <v/>
      </c>
      <c r="BJ19" s="237" t="str">
        <f>IF(A19=FALSE,"",IF(JD19&lt;&gt;$BC$7,0,INDEX(JA19:JZ19,1,MATCH(Structure!$C$12,$JA$14:$JZ$14,0))))</f>
        <v/>
      </c>
      <c r="BK19" s="621" t="str">
        <f>IF(A19=FALSE,"",IF(KD19&lt;&gt;$BC$7,0,INDEX(KA19:KZ19,1,MATCH(Structure!$C$12,$KA$14:$KZ$14,0)))+PL19)</f>
        <v/>
      </c>
      <c r="BL19" s="237" t="str">
        <f>IF(A19=FALSE,"",IF(LD19&lt;&gt;$BC$7,0,INDEX(LA19:LZ19,1,MATCH(Structure!$C$12,$LA$14:$LZ$14,0))))</f>
        <v/>
      </c>
      <c r="BM19" s="237" t="str">
        <f>IF(A19=FALSE,"",IF(MD19&lt;&gt;$BC$7,0,INDEX(MA19:MZ19,1,MATCH(Structure!$C$12,$MA$14:$MZ$14,0))))</f>
        <v/>
      </c>
      <c r="BN19" s="326" t="str">
        <f>IF(A19=FALSE,"",IF(ND19&lt;&gt;$BC$7,0,INDEX(NA19:OC19,1,MATCH(Structure!$C$12,$NA$14:$OC$14,0))))</f>
        <v/>
      </c>
      <c r="BO19" s="435" t="str">
        <f t="shared" si="241"/>
        <v/>
      </c>
      <c r="BP19" s="237" t="str">
        <f t="shared" si="242"/>
        <v/>
      </c>
      <c r="BQ19" s="237" t="str">
        <f>IF(A19=FALSE,"",IF(ED19&lt;&gt;$BO$7,0,INDEX(EA19:EZ19,1,MATCH(Structure!$C$12,$EA$14:$EZ$14,0))))</f>
        <v/>
      </c>
      <c r="BR19" s="237" t="str">
        <f>IF(A19=FALSE,"",IF(FD19&lt;&gt;$BO$7,0,INDEX(FA19:FZ19,1,MATCH(Structure!$C$12,$FA$14:$FZ$14,0))))</f>
        <v/>
      </c>
      <c r="BS19" s="237" t="str">
        <f>IF(A19=FALSE,"",IF(ID19&lt;&gt;$BO$7,0,INDEX(IA19:IZ19,1,MATCH(Structure!$C$13,$IA$14:$IZ$14,0))))</f>
        <v/>
      </c>
      <c r="BT19" s="237" t="str">
        <f>IF(A19=FALSE,"",IF(JD19&lt;&gt;$BO$7,0,INDEX(JA19:JZ19,1,MATCH(Structure!$C$13,$JA$14:$JZ$14,0))))</f>
        <v/>
      </c>
      <c r="BU19" s="237" t="str">
        <f>IF(A19=FALSE,"",IF(KD19&lt;&gt;$BO$7,0,INDEX(KA19:KZ19,1,MATCH(Structure!$C$13,$KA$14:$KZ$14,0))))</f>
        <v/>
      </c>
      <c r="BV19" s="237" t="str">
        <f>IF(A19=FALSE,"",IF(LD19&lt;&gt;$BO$7,0,INDEX(LA19:LZ19,1,MATCH(Structure!$C$13,$LA$14:$LZ$14,0))))</f>
        <v/>
      </c>
      <c r="BW19" s="237" t="str">
        <f>IF(A19=FALSE,"",IF(MD19&lt;&gt;$BO$7,0,INDEX(MA19:MZ19,1,MATCH(Structure!$C$13,$MA$14:$MZ$14,0))))</f>
        <v/>
      </c>
      <c r="BX19" s="326" t="str">
        <f>IF(A19=FALSE,"",IF(ND19&lt;&gt;$BO$7,0,INDEX(NA19:OC19,1,MATCH(Structure!$C$13,$NA$14:$OC$14,0))))</f>
        <v/>
      </c>
      <c r="BY19" s="412"/>
      <c r="BZ19" s="412"/>
      <c r="CA19" s="1255" t="str">
        <f>IF(A19=FALSE,"",IF(LISTES!$A$17=1,Cotations!AG19,Cotations!AH19))</f>
        <v/>
      </c>
      <c r="CB19" s="1266" t="str">
        <f t="shared" si="243"/>
        <v/>
      </c>
      <c r="CC19" s="1120" t="str">
        <f t="shared" si="244"/>
        <v/>
      </c>
      <c r="CD19" s="1120" t="str">
        <f t="shared" si="245"/>
        <v/>
      </c>
      <c r="CE19" s="1120" t="str">
        <f t="shared" si="246"/>
        <v/>
      </c>
      <c r="CF19" s="1120" t="str">
        <f t="shared" si="247"/>
        <v/>
      </c>
      <c r="CG19" s="1267"/>
      <c r="CH19" s="1267"/>
      <c r="CI19" s="1268" t="str">
        <f t="shared" si="248"/>
        <v/>
      </c>
      <c r="CJ19" s="286" t="str">
        <f t="shared" si="249"/>
        <v/>
      </c>
      <c r="CK19" s="286" t="str">
        <f t="shared" si="250"/>
        <v/>
      </c>
      <c r="CL19" s="1263"/>
      <c r="CM19" s="1263"/>
      <c r="CN19" s="1263"/>
      <c r="CO19" s="1263"/>
      <c r="CP19" s="319" t="str">
        <f t="shared" si="251"/>
        <v/>
      </c>
      <c r="CQ19" s="443" t="str">
        <f>IF(A19=FALSE,"",Cotations!AM19)</f>
        <v/>
      </c>
      <c r="CR19" s="443" t="str">
        <f>IF(A19=FALSE,"",IF(Cotations!AN19="","",Cotations!AN19))</f>
        <v/>
      </c>
      <c r="CS19" s="433" t="str">
        <f>IF(A19=FALSE,"",Cotations!AO19)</f>
        <v/>
      </c>
      <c r="CT19" s="443" t="str">
        <f>IF(A19=FALSE,"",IF(CQ19="N/A",0,IF(INDEX(LISTES!$F$105:$F$109,MATCH(CQ19,LISTES!$C$105:$C$109,0))="FIX",IF(INDEX(LISTES!$E$105:$E$109,MATCH(CQ19,LISTES!$C$105:$C$109,0))=12,CR19/12*L19,CR19/365*M19),CS19*EQ19)))</f>
        <v/>
      </c>
      <c r="CU19" s="434" t="str">
        <f>IF(A19=FALSE,"",(CJ19+CK19)*Cotations!AP19)</f>
        <v/>
      </c>
      <c r="CV19" s="434" t="str">
        <f>IF(A19=FALSE,"",(CJ19+CK19)*Cotations!AQ19)</f>
        <v/>
      </c>
      <c r="CX19" s="1127"/>
      <c r="CY19" s="1127"/>
      <c r="CZ19" s="1127"/>
      <c r="DA19" s="1253" t="str">
        <f>IF(A19=FALSE,"",IF(LISTES!$A$17=1,Cotations!AV19,Cotations!AW19))</f>
        <v/>
      </c>
      <c r="DB19" s="1271" t="str">
        <f t="shared" si="252"/>
        <v/>
      </c>
      <c r="DC19" s="1270" t="str">
        <f t="shared" si="253"/>
        <v/>
      </c>
      <c r="DD19" s="1270" t="str">
        <f t="shared" si="254"/>
        <v/>
      </c>
      <c r="DE19" s="1270" t="str">
        <f t="shared" si="255"/>
        <v/>
      </c>
      <c r="DF19" s="1270" t="str">
        <f t="shared" si="256"/>
        <v/>
      </c>
      <c r="DG19" s="1270" t="str">
        <f t="shared" si="257"/>
        <v/>
      </c>
      <c r="DH19" s="1270" t="str">
        <f t="shared" si="258"/>
        <v/>
      </c>
      <c r="DI19" s="1271" t="str">
        <f t="shared" si="259"/>
        <v/>
      </c>
      <c r="DJ19" s="286" t="str">
        <f t="shared" si="260"/>
        <v/>
      </c>
      <c r="DK19" s="286" t="str">
        <f t="shared" si="261"/>
        <v/>
      </c>
      <c r="DL19" s="1264" t="str">
        <f t="shared" si="262"/>
        <v/>
      </c>
      <c r="DM19" s="1264" t="str">
        <f t="shared" si="263"/>
        <v/>
      </c>
      <c r="DN19" s="1264" t="str">
        <f t="shared" si="264"/>
        <v/>
      </c>
      <c r="DO19" s="1264" t="str">
        <f t="shared" si="265"/>
        <v/>
      </c>
      <c r="DP19" s="323" t="str">
        <f t="shared" si="132"/>
        <v/>
      </c>
      <c r="DQ19" s="444" t="str">
        <f>IF(A19=FALSE,"",Cotations!BW19)</f>
        <v/>
      </c>
      <c r="DR19" s="444" t="str">
        <f>IF(A19=FALSE,"",Cotations!BX19)</f>
        <v/>
      </c>
      <c r="DS19" s="433" t="str">
        <f>IF(A19=FALSE,"",Cotations!BY19)</f>
        <v/>
      </c>
      <c r="DT19" s="830" t="str">
        <f>IF(A19=FALSE,"",IF(DQ19="N/A",0,IF(INDEX(LISTES!$F$105:$F$109,MATCH(DQ19,LISTES!$C$105:$C$109,0))="FIX",IF(INDEX(LISTES!$E$105:$E$109,MATCH(DQ19,LISTES!$C$105:$C$109,0))=12,DR19/12*L19,DR19/365*M19),DS19*(DN19+DO19))))</f>
        <v/>
      </c>
      <c r="DU19" s="434" t="str">
        <f>IF(A19=FALSE,"",DJ19*Cotations!BZ19)</f>
        <v/>
      </c>
      <c r="DV19" s="434" t="str">
        <f>IF(A19=FALSE,"",DJ19*Cotations!CA19)</f>
        <v/>
      </c>
      <c r="DX19" s="1127"/>
      <c r="DY19" s="1127"/>
      <c r="DZ19" s="1127"/>
      <c r="EA19" s="432" t="str">
        <f>IF(A19=FALSE,"",Cotations!AT19)</f>
        <v/>
      </c>
      <c r="EB19" s="1234" t="str">
        <f>IF(A19=FALSE,"",YEAR(Detail!F19)&amp;Detail!AG19&amp;Detail!AD19&amp;"-"&amp;Detail!$AD$13&amp;Detail!AE19)</f>
        <v/>
      </c>
      <c r="EC19" s="434" t="str">
        <f>IF(A19=FALSE,"",IF(LISTES!$A$17=1,EB19,INDEX(colMOD1,MATCH(Cotations!AH19,colchoice,0))))</f>
        <v/>
      </c>
      <c r="ED19" s="277" t="str">
        <f t="shared" si="133"/>
        <v/>
      </c>
      <c r="EE19" s="277" t="str">
        <f t="shared" si="134"/>
        <v/>
      </c>
      <c r="EF19" s="277"/>
      <c r="EG19" s="277"/>
      <c r="EH19" s="277" t="str">
        <f t="shared" si="135"/>
        <v/>
      </c>
      <c r="EI19" s="1104" t="str">
        <f t="shared" si="136"/>
        <v/>
      </c>
      <c r="EJ19" s="1104" t="str">
        <f t="shared" si="137"/>
        <v/>
      </c>
      <c r="EK19" s="443" t="str">
        <f>IF(A19=FALSE,"",IF(Cotations!AF19="monthly",EH19/12*L19,EH19/365*M19))</f>
        <v/>
      </c>
      <c r="EL19" s="1103" t="str">
        <f>IF(A19=FALSE,"",IF(Cotations!AF19="monthly",EJ19/12*L19,EJ19/365*M19))</f>
        <v/>
      </c>
      <c r="EM19" s="433" t="str">
        <f>IF(A19=FALSE,"",IF(Cotations!AI19="","",Cotations!AI19))</f>
        <v/>
      </c>
      <c r="EN19" s="277" t="str">
        <f t="shared" si="266"/>
        <v/>
      </c>
      <c r="EO19" s="277" t="str">
        <f t="shared" si="138"/>
        <v/>
      </c>
      <c r="EP19" s="1104" t="str">
        <f t="shared" si="139"/>
        <v/>
      </c>
      <c r="EQ19" s="277" t="str">
        <f t="shared" si="267"/>
        <v/>
      </c>
      <c r="ER19" s="759" t="str">
        <f>IF(A19=FALSE,"",((EH19*TAXE)-(EH19*TAXE*EM19)+EI19)+IF(CQ19="N/A",0,IF(INDEX(LISTES!$F$105:$F$109,MATCH(CQ19,LISTES!$C$105:$C$109,0))="FIX",CR19,CS19*EQ19)))</f>
        <v/>
      </c>
      <c r="ES19" s="383"/>
      <c r="ET19" s="422"/>
      <c r="EU19" s="422"/>
      <c r="EV19" s="422"/>
      <c r="EW19" s="422"/>
      <c r="EX19" s="422"/>
      <c r="EY19" s="422"/>
      <c r="EZ19" s="422"/>
      <c r="FA19" s="432" t="str">
        <f>IF(A19=FALSE,"",Cotations!AT19)</f>
        <v/>
      </c>
      <c r="FB19" s="1235" t="str">
        <f>IF(A19=FALSE,"",IF(Detail!AL19="","N/A",YEAR(Detail!F19)&amp;Detail!AO19&amp;Detail!AL19&amp;"-"&amp;Detail!$AL$13&amp;Detail!AM19))</f>
        <v/>
      </c>
      <c r="FC19" s="434" t="str">
        <f>IF(A19=FALSE,"",IF(LISTES!$A$17=1,FB19,INDEX(colMOD2,MATCH(Cotations!AH19,colchoice,0))))</f>
        <v/>
      </c>
      <c r="FD19" s="277" t="str">
        <f t="shared" si="140"/>
        <v/>
      </c>
      <c r="FE19" s="443" t="str">
        <f>IF(A19=FALSE,"",IF(Detail!AM19="","",Detail!AM19))</f>
        <v/>
      </c>
      <c r="FF19" s="277"/>
      <c r="FG19" s="277"/>
      <c r="FH19" s="277" t="str">
        <f t="shared" si="141"/>
        <v/>
      </c>
      <c r="FI19" s="1104"/>
      <c r="FJ19" s="1104"/>
      <c r="FK19" s="443" t="str">
        <f>IF(A19=FALSE,"",IF(Cotations!AF19="monthly",FH19/12*L19,FH19/365*M19))</f>
        <v/>
      </c>
      <c r="FL19" s="1103" t="str">
        <f>IF(A19=FALSE,"",IF(Cotations!AF19="monthly",FJ19/12*L19,FJ19/365*M19))</f>
        <v/>
      </c>
      <c r="FM19" s="433" t="str">
        <f>IF(A19=FALSE,"",IF(Cotations!AJ19="","",Cotations!AJ19))</f>
        <v/>
      </c>
      <c r="FN19" s="277" t="str">
        <f t="shared" si="268"/>
        <v/>
      </c>
      <c r="FO19" s="277" t="str">
        <f t="shared" si="269"/>
        <v/>
      </c>
      <c r="FP19" s="1104"/>
      <c r="FQ19" s="277" t="str">
        <f t="shared" si="270"/>
        <v/>
      </c>
      <c r="FR19" s="759" t="str">
        <f>IF(A19=FALSE,"",((FH19*TAXE)-(FH19*TAXE*FM19))+IF(#REF!="N/A",0,IF(INDEX(LISTES!$F$105:$F$109,MATCH(#REF!,LISTES!$C$105:$C$109,0))="FIX",#REF!,#REF!*FQ19)))</f>
        <v/>
      </c>
      <c r="FS19" s="422"/>
      <c r="FT19" s="422"/>
      <c r="FU19" s="422"/>
      <c r="FV19" s="422"/>
      <c r="FW19" s="422"/>
      <c r="FX19" s="422"/>
      <c r="FY19" s="422"/>
      <c r="FZ19" s="422"/>
      <c r="GA19" s="432" t="str">
        <f t="shared" si="145"/>
        <v/>
      </c>
      <c r="GB19" s="1234" t="str">
        <f>IF(A19=FALSE,"",IF(Detail!DF19="","N/A",YEAR(Detail!F19)&amp;Detail!DI19&amp;Detail!DF19&amp;"-"&amp;Detail!$DF$13))</f>
        <v/>
      </c>
      <c r="GC19" s="434" t="str">
        <f>IF(A19=FALSE,"",IF(LISTES!$A$17=1,GB19,INDEX(colMOD3,MATCH(Cotations!AH19,colchoice,0))))</f>
        <v/>
      </c>
      <c r="GD19" s="277" t="str">
        <f t="shared" si="146"/>
        <v/>
      </c>
      <c r="GE19" s="277" t="str">
        <f t="shared" si="147"/>
        <v/>
      </c>
      <c r="GF19" s="277"/>
      <c r="GG19" s="277"/>
      <c r="GH19" s="277" t="str">
        <f t="shared" si="271"/>
        <v/>
      </c>
      <c r="GI19" s="1104" t="str">
        <f t="shared" si="272"/>
        <v/>
      </c>
      <c r="GJ19" s="1104" t="str">
        <f t="shared" si="273"/>
        <v/>
      </c>
      <c r="GK19" s="443" t="str">
        <f>IF(A19=FALSE,"",IF(Cotations!AF19="monthly",GH19/12*L19,GH19/365*M19))</f>
        <v/>
      </c>
      <c r="GL19" s="1103" t="str">
        <f>IF(A19=FALSE,"",IF(Cotations!AF19="monthly",GJ19/12*L19,GJ19/365*M19))</f>
        <v/>
      </c>
      <c r="GM19" s="433" t="str">
        <f>IF(A19=FALSE,"",IF(Cotations!AK19="","",Cotations!AK19))</f>
        <v/>
      </c>
      <c r="GN19" s="277" t="str">
        <f t="shared" si="274"/>
        <v/>
      </c>
      <c r="GO19" s="277" t="str">
        <f t="shared" si="275"/>
        <v/>
      </c>
      <c r="GP19" s="1104" t="str">
        <f t="shared" si="276"/>
        <v/>
      </c>
      <c r="GQ19" s="277" t="str">
        <f t="shared" si="277"/>
        <v/>
      </c>
      <c r="GR19" s="759" t="str">
        <f>IF(A19=FALSE,"",((GH19*TAXE)-(GH19*TAXE*GM19)+GI19)+IF(CQ19="N/A",0,IF(INDEX(LISTES!$F$105:$F$109,MATCH(CQ19,LISTES!$C$105:$C$109,0))="FIX",CR19,CS19*GQ19)))</f>
        <v/>
      </c>
      <c r="GS19" s="412"/>
      <c r="GT19" s="412"/>
      <c r="GU19" s="412"/>
      <c r="GV19" s="412"/>
      <c r="GW19" s="412"/>
      <c r="GX19" s="412"/>
      <c r="GY19" s="412"/>
      <c r="GZ19" s="412"/>
      <c r="HA19" s="432" t="str">
        <f t="shared" si="155"/>
        <v/>
      </c>
      <c r="HB19" s="1234" t="str">
        <f>IF(A19=FALSE,"",IF(Detail!DF19="","N/A",YEAR(Detail!F19)&amp;Detail!DI19&amp;Detail!DF19&amp;"-"&amp;Detail!$DF$13))</f>
        <v/>
      </c>
      <c r="HC19" s="434" t="str">
        <f>IF(A19=FALSE,"",IF(LISTES!$A$17=1,HB19,INDEX(colMOD4,MATCH(Cotations!AH19,colchoice,0))))</f>
        <v/>
      </c>
      <c r="HD19" s="277" t="str">
        <f t="shared" si="278"/>
        <v/>
      </c>
      <c r="HE19" s="277" t="str">
        <f t="shared" si="279"/>
        <v/>
      </c>
      <c r="HF19" s="277"/>
      <c r="HG19" s="277"/>
      <c r="HH19" s="277" t="str">
        <f t="shared" si="280"/>
        <v/>
      </c>
      <c r="HI19" s="1104" t="str">
        <f t="shared" si="281"/>
        <v/>
      </c>
      <c r="HJ19" s="1104" t="str">
        <f t="shared" si="282"/>
        <v/>
      </c>
      <c r="HK19" s="443" t="str">
        <f>IF(A19=FALSE,"",IF(Cotations!AF19="monthly",HH19/12*L19,HH19/365*M19))</f>
        <v/>
      </c>
      <c r="HL19" s="1103" t="str">
        <f>IF(A19=FALSE,"",IF(Cotations!AF19="monthly",HJ19/12*L19,HJ19/365*M19))</f>
        <v/>
      </c>
      <c r="HM19" s="433" t="str">
        <f>IF(A19=FALSE,"",IF(Cotations!AL19="","",Cotations!AL19))</f>
        <v/>
      </c>
      <c r="HN19" s="277" t="str">
        <f t="shared" si="283"/>
        <v/>
      </c>
      <c r="HO19" s="277" t="str">
        <f t="shared" si="284"/>
        <v/>
      </c>
      <c r="HP19" s="1104" t="str">
        <f t="shared" si="285"/>
        <v/>
      </c>
      <c r="HQ19" s="277" t="str">
        <f t="shared" si="286"/>
        <v/>
      </c>
      <c r="HR19" s="759" t="str">
        <f>IF(A19=FALSE,"",((HH19*TAXE)-(HH19*TAXE*HM19)+HI19)+IF(CQ19="N/A",0,IF(INDEX(LISTES!$F$105:$F$109,MATCH(CQ19,LISTES!$C$105:$C$109,0))="FIX",CR19,CS19*HQ19)))</f>
        <v/>
      </c>
      <c r="HS19" s="412"/>
      <c r="HT19" s="412"/>
      <c r="HU19" s="412"/>
      <c r="HV19" s="412"/>
      <c r="HW19" s="412"/>
      <c r="HX19" s="412"/>
      <c r="HY19" s="412"/>
      <c r="HZ19" s="1254"/>
      <c r="IA19" s="432" t="str">
        <f>IF(A19=FALSE,"",Cotations!AT19)</f>
        <v/>
      </c>
      <c r="IB19" s="1253" t="str">
        <f>IF(A19=FALSE,"",IF(Detail!AT19="","N/A",YEAR(Detail!F19)&amp;Detail!AW19&amp;Detail!AT19&amp;"-"&amp;Detail!$AT$13&amp;Detail!AU19))</f>
        <v/>
      </c>
      <c r="IC19" s="431" t="str">
        <f>IF(A19=FALSE,"",IF(LISTES!$A$17=1,IB19,INDEX(colMOD1,MATCH(DA19,colchoice,0))))</f>
        <v/>
      </c>
      <c r="ID19" s="759" t="str">
        <f t="shared" si="287"/>
        <v/>
      </c>
      <c r="IE19" s="292" t="str">
        <f>IF(A19=FALSE,"",IF(LISTES!$A$17=1,Detail!AU19,INDEX(Rates!$M$1:$M$270,MATCH(IC19,colMOD1,0))))</f>
        <v/>
      </c>
      <c r="IF19" s="409" t="str">
        <f t="shared" si="165"/>
        <v/>
      </c>
      <c r="IG19" s="430" t="str">
        <f>IF(A19=FALSE,"",IF(IA19="POEA",Cotations!AY19,IF(IA19="FIXE",Cotations!AZ19,IF(Cotations!BA19*Y19&lt;50000,Z19,Cotations!BA19*Y19))))</f>
        <v/>
      </c>
      <c r="IH19" s="292" t="str">
        <f t="shared" si="166"/>
        <v/>
      </c>
      <c r="II19" s="446" t="str">
        <f>IF(A19=FALSE,"",IF(Cotations!AU19="monthly",IH19/12*L19,IH19/365*M19))</f>
        <v/>
      </c>
      <c r="IJ19" s="429" t="str">
        <f>IF(A19=FALSE,"",IF(Cotations!BB19="","",Cotations!BB19))</f>
        <v/>
      </c>
      <c r="IK19" s="292" t="str">
        <f t="shared" si="167"/>
        <v/>
      </c>
      <c r="IL19" s="292" t="str">
        <f t="shared" si="168"/>
        <v/>
      </c>
      <c r="IM19" s="759" t="str">
        <f t="shared" si="169"/>
        <v/>
      </c>
      <c r="IN19" s="759" t="str">
        <f>IF(A19=FALSE,"",((IH19*TAXE)-(IH19*TAXE*IJ19))+IF(DQ19="N/A",0,IF(INDEX(LISTES!$F$105:$F$109,MATCH(DQ19,LISTES!$C$105:$C$109,0))="FIX",DR19,DS19*IM19)))</f>
        <v/>
      </c>
      <c r="IO19" s="383"/>
      <c r="IP19" s="1127"/>
      <c r="IQ19" s="1127"/>
      <c r="IR19" s="1127"/>
      <c r="IS19" s="1127"/>
      <c r="IT19" s="1127"/>
      <c r="IU19" s="1127"/>
      <c r="IV19" s="1127"/>
      <c r="IW19" s="1127"/>
      <c r="IX19" s="1127"/>
      <c r="IY19" s="1127"/>
      <c r="JA19" s="432" t="str">
        <f>IF(A19=FALSE,"",Cotations!AT19)</f>
        <v/>
      </c>
      <c r="JB19" s="1234" t="str">
        <f>IF(A19=FALSE,"",IF(Detail!BB19="","N/A",YEAR(Detail!F19)&amp;Detail!BE19&amp;Detail!BB19&amp;"-"&amp;Detail!$BB$13&amp;Detail!BC19))</f>
        <v/>
      </c>
      <c r="JC19" s="431" t="str">
        <f>IF(A19=FALSE,"",IF(LISTES!$A$17=1,JB19,INDEX(colMOD2,MATCH(DA19,colchoice,0))))</f>
        <v/>
      </c>
      <c r="JD19" s="759" t="str">
        <f t="shared" si="170"/>
        <v/>
      </c>
      <c r="JE19" s="292"/>
      <c r="JF19" s="409" t="str">
        <f t="shared" si="171"/>
        <v/>
      </c>
      <c r="JG19" s="430" t="str">
        <f>IF(A19=FALSE,"",IF(JA19="POEA",Cotations!BC19,IF(JA19="FIXE",Cotations!BD19,IF(Cotations!BE19*Y19&lt;50000,Z19,Cotations!BE19*Y19))))</f>
        <v/>
      </c>
      <c r="JH19" s="292" t="str">
        <f t="shared" si="172"/>
        <v/>
      </c>
      <c r="JI19" s="446" t="str">
        <f>IF(A19=FALSE,"",IF(Cotations!AU19="monthly",JH19/12*L19,JH19/365*M19))</f>
        <v/>
      </c>
      <c r="JJ19" s="429" t="str">
        <f>IF(A19=FALSE,"",IF(Cotations!BF19="","",Cotations!BF19))</f>
        <v/>
      </c>
      <c r="JK19" s="292" t="str">
        <f t="shared" si="173"/>
        <v/>
      </c>
      <c r="JL19" s="292" t="str">
        <f t="shared" si="174"/>
        <v/>
      </c>
      <c r="JM19" s="759" t="str">
        <f t="shared" si="175"/>
        <v/>
      </c>
      <c r="JN19" s="759" t="str">
        <f>IF(A19=FALSE,"",((JH19*TAXE)-(JH19*TAXE*JJ19))+IF(#REF!="N/A",0,IF(INDEX(LISTES!$F$105:$F$109,MATCH(#REF!,LISTES!$C$105:$C$109,0))="FIX",#REF!,#REF!*JM19)))</f>
        <v/>
      </c>
      <c r="JQ19" s="383"/>
      <c r="JR19" s="1127"/>
      <c r="JS19" s="1127"/>
      <c r="JT19" s="1127"/>
      <c r="JU19" s="1127"/>
      <c r="JV19" s="1127"/>
      <c r="JW19" s="383"/>
      <c r="JX19" s="1127"/>
      <c r="JY19" s="1127"/>
      <c r="KA19" s="432" t="str">
        <f>IF(A19=FALSE,"",Cotations!AT19)</f>
        <v/>
      </c>
      <c r="KB19" s="1234" t="str">
        <f>IF(A19=FALSE,"",IF(Detail!BJ19="","N/A",YEAR(Detail!F19)&amp;Detail!BM19&amp;Detail!BJ19&amp;"-"&amp;Detail!$BJ$13&amp;Detail!BK19))</f>
        <v/>
      </c>
      <c r="KC19" s="431" t="str">
        <f>IF(A19=FALSE,"",IF(LISTES!$A$17=1,KB19,INDEX(colMOD3,MATCH(DA19,colchoice,0))))</f>
        <v/>
      </c>
      <c r="KD19" s="759" t="str">
        <f t="shared" si="176"/>
        <v/>
      </c>
      <c r="KE19" s="292"/>
      <c r="KF19" s="409" t="str">
        <f t="shared" si="177"/>
        <v/>
      </c>
      <c r="KG19" s="430" t="str">
        <f>IF(A19=FALSE,"",IF(KA19="POEA",Cotations!BG19,IF(KA19="FIXE",Cotations!BH19,IF(Cotations!BI19*Y19&lt;50000,Z19,Cotations!BI19*Y19))))</f>
        <v/>
      </c>
      <c r="KH19" s="292" t="str">
        <f t="shared" si="178"/>
        <v/>
      </c>
      <c r="KI19" s="446" t="str">
        <f>IF(A19=FALSE,"",IF(Cotations!AU19="monthly",KH19/12*L19,KH19/365*M19))</f>
        <v/>
      </c>
      <c r="KJ19" s="429" t="str">
        <f>IF(A19=FALSE,"",IF(Cotations!BJ19="","",Cotations!BJ19))</f>
        <v/>
      </c>
      <c r="KK19" s="292" t="str">
        <f t="shared" si="179"/>
        <v/>
      </c>
      <c r="KL19" s="292" t="str">
        <f t="shared" si="180"/>
        <v/>
      </c>
      <c r="KM19" s="759" t="str">
        <f t="shared" si="181"/>
        <v/>
      </c>
      <c r="KN19" s="759" t="str">
        <f>IF(A19=FALSE,"",((KH19*TAXE)-(KH19*TAXE*KJ19))+IF(#REF!="N/A",0,IF(INDEX(LISTES!$F$105:$F$109,MATCH(#REF!,LISTES!$C$105:$C$109,0))="FIX",#REF!,#REF!*KM19)))</f>
        <v/>
      </c>
      <c r="KR19" s="1127"/>
      <c r="KS19" s="1127"/>
      <c r="KT19" s="1127"/>
      <c r="KU19" s="1127"/>
      <c r="KV19" s="1127"/>
      <c r="KW19" s="1127"/>
      <c r="KX19" s="1127"/>
      <c r="KY19" s="1127"/>
      <c r="LA19" s="432" t="str">
        <f>IF(A19=FALSE,"",Cotations!AT19)</f>
        <v/>
      </c>
      <c r="LB19" s="1234" t="str">
        <f>IF(A19=FALSE,"",IF(Detail!BR19="","N/A",YEAR(Detail!F19)&amp;Detail!BU19&amp;Detail!BR19&amp;"-"&amp;Detail!$BR$13&amp;Detail!BS19))</f>
        <v/>
      </c>
      <c r="LC19" s="431" t="str">
        <f>IF(A19=FALSE,"",IF(LISTES!$A$17=1,LB19,INDEX(colMOD4,MATCH(DA19,colchoice,0))))</f>
        <v/>
      </c>
      <c r="LD19" s="759" t="str">
        <f t="shared" si="182"/>
        <v/>
      </c>
      <c r="LE19" s="292"/>
      <c r="LF19" s="409" t="str">
        <f t="shared" si="183"/>
        <v/>
      </c>
      <c r="LG19" s="430" t="str">
        <f>IF(A19=FALSE,"",IF(LA19="POEA",Cotations!BK19,IF(LA19="FIXE",Cotations!BL19,IF(Cotations!BM19*Y19&lt;50000,Z19,Cotations!BM19*Y19))))</f>
        <v/>
      </c>
      <c r="LH19" s="292" t="str">
        <f t="shared" si="184"/>
        <v/>
      </c>
      <c r="LI19" s="446" t="str">
        <f>IF(A19=FALSE,"",IF(Cotations!AU19="monthly",LH19/12*L19,LH19/365*M19))</f>
        <v/>
      </c>
      <c r="LJ19" s="429" t="str">
        <f>IF(A19=FALSE,"",IF(Cotations!BN19="","",Cotations!BN19))</f>
        <v/>
      </c>
      <c r="LK19" s="292" t="str">
        <f t="shared" si="185"/>
        <v/>
      </c>
      <c r="LL19" s="292" t="str">
        <f t="shared" si="186"/>
        <v/>
      </c>
      <c r="LM19" s="759" t="str">
        <f t="shared" si="187"/>
        <v/>
      </c>
      <c r="LN19" s="759" t="str">
        <f>IF(A19=FALSE,"",((LH19*TAXE)-(LH19*TAXE*LJ19))+IF(#REF!="N/A",0,IF(INDEX(LISTES!$F$105:$F$109,MATCH(#REF!,LISTES!$C$105:$C$109,0))="FIX",#REF!,#REF!*LM19)))</f>
        <v/>
      </c>
      <c r="LR19" s="1127"/>
      <c r="LS19" s="1127"/>
      <c r="LT19" s="1127"/>
      <c r="LU19" s="1127"/>
      <c r="LV19" s="1127"/>
      <c r="LW19" s="1127"/>
      <c r="LX19" s="1127"/>
      <c r="LY19" s="1127"/>
      <c r="MA19" s="432" t="str">
        <f t="shared" si="188"/>
        <v/>
      </c>
      <c r="MB19" s="1234" t="str">
        <f>IF(A19=FALSE,"",IF(Detail!BZ19="","N/A",YEAR(Detail!F19)&amp;Detail!CC19&amp;Detail!BZ19&amp;"-"&amp;Detail!$BZ$13&amp;" (100%/"&amp;Detail!CD19&amp;"/"&amp;Detail!CE19&amp;")"))</f>
        <v/>
      </c>
      <c r="MC19" s="431" t="str">
        <f>IF(A19=FALSE,"",IF(LISTES!$A$17=1,MB19,INDEX(colMOD5,MATCH(DA19,colchoice,0))))</f>
        <v/>
      </c>
      <c r="MD19" s="759" t="str">
        <f t="shared" si="189"/>
        <v/>
      </c>
      <c r="ME19" s="292"/>
      <c r="MF19" s="409" t="str">
        <f t="shared" si="190"/>
        <v/>
      </c>
      <c r="MG19" s="430" t="str">
        <f>IF(A19=FALSE,"",Cotations!BQ19*AA19)</f>
        <v/>
      </c>
      <c r="MH19" s="292" t="str">
        <f t="shared" si="191"/>
        <v/>
      </c>
      <c r="MI19" s="446" t="str">
        <f>IF(A19=FALSE,"",IF(Cotations!AU19="monthly",MH19/12*L19,MH19/365*M19))</f>
        <v/>
      </c>
      <c r="MJ19" s="429" t="str">
        <f>IF(A19=FALSE,"",IF(Cotations!BR19="","",Cotations!BR19))</f>
        <v/>
      </c>
      <c r="MK19" s="292" t="str">
        <f t="shared" si="192"/>
        <v/>
      </c>
      <c r="ML19" s="292" t="str">
        <f t="shared" si="193"/>
        <v/>
      </c>
      <c r="MM19" s="759" t="str">
        <f t="shared" si="194"/>
        <v/>
      </c>
      <c r="MN19" s="759" t="str">
        <f>IF(A19=FALSE,"",((MH19*TAXE)-(MH19*TAXE*MJ19))+IF(#REF!="N/A",0,IF(INDEX(LISTES!$F$105:$F$109,MATCH(#REF!,LISTES!$C$105:$C$109,0))="FIX",#REF!,#REF!*MM19)))</f>
        <v/>
      </c>
      <c r="MQ19" s="1127"/>
      <c r="MR19" s="1127"/>
      <c r="MS19" s="1127"/>
      <c r="MT19" s="1127"/>
      <c r="MU19" s="1127"/>
      <c r="MV19" s="1127"/>
      <c r="MW19" s="1127"/>
      <c r="MX19" s="1127"/>
      <c r="NA19" s="432" t="str">
        <f t="shared" si="195"/>
        <v/>
      </c>
      <c r="NB19" s="1234" t="str">
        <f>IF(A19=FALSE,"",IF(Detail!CH19="","N/A",YEAR(Detail!F19)&amp;Detail!CK19&amp;Detail!CH19&amp;"-"&amp;Detail!$CH$13&amp;" (100%/"&amp;Detail!CL19&amp;"/"&amp;Detail!CM19&amp;")"))</f>
        <v/>
      </c>
      <c r="NC19" s="431" t="str">
        <f>IF(A19=FALSE,"",IF(LISTES!$A$17=1,NB19,INDEX(colMOD6,MATCH(DA19,colchoice,0))))</f>
        <v/>
      </c>
      <c r="ND19" s="759" t="str">
        <f t="shared" si="196"/>
        <v/>
      </c>
      <c r="NE19" s="292"/>
      <c r="NF19" s="409" t="str">
        <f t="shared" si="197"/>
        <v/>
      </c>
      <c r="NG19" s="430" t="str">
        <f>IF(A19=FALSE,"",Cotations!BU19*AA19)</f>
        <v/>
      </c>
      <c r="NH19" s="292" t="str">
        <f t="shared" si="198"/>
        <v/>
      </c>
      <c r="NI19" s="446" t="str">
        <f>IF(A19=FALSE,"",IF(Cotations!AU19="monthly",NH19/12*L19,NH19/365*M19))</f>
        <v/>
      </c>
      <c r="NJ19" s="429" t="str">
        <f>IF(A19=FALSE,"",IF(Cotations!BV19="","",Cotations!BV19))</f>
        <v/>
      </c>
      <c r="NK19" s="292" t="str">
        <f t="shared" si="199"/>
        <v/>
      </c>
      <c r="NL19" s="292" t="str">
        <f t="shared" si="200"/>
        <v/>
      </c>
      <c r="NM19" s="759" t="str">
        <f t="shared" si="201"/>
        <v/>
      </c>
      <c r="NN19" s="759" t="str">
        <f>IF(A19=FALSE,"",((NH19*TAXE)-(NH19*TAXE*NJ19))+IF(#REF!="N/A",0,IF(INDEX(LISTES!$F$105:$F$109,MATCH(#REF!,LISTES!$C$105:$C$109,0))="FIX",#REF!,#REF!*NM19)))</f>
        <v/>
      </c>
      <c r="NR19" s="1127"/>
      <c r="NS19" s="1127"/>
      <c r="NT19" s="1127"/>
      <c r="NU19" s="1127"/>
      <c r="NV19" s="1127"/>
      <c r="NW19" s="1127"/>
      <c r="NX19" s="1127"/>
      <c r="NY19" s="1127"/>
      <c r="NZ19" s="1281" t="str">
        <f>IF(A19=FALSE,"",IF(Detail!CP19="","N/A",YEAR(Detail!F19)&amp;Detail!CS19&amp;Detail!CP19&amp;"-"&amp;Detail!CQ19))</f>
        <v/>
      </c>
      <c r="OA19" s="432" t="str">
        <f>IF(A19=FALSE,"",Cotations!CF19)</f>
        <v/>
      </c>
      <c r="OB19" s="1282" t="str">
        <f>IF(A19=FALSE,"",IF(Detail!CP19="","N/A",YEAR(Detail!F19)&amp;Detail!CS19&amp;Detail!CP19&amp;"-"&amp;Detail!$CP$13&amp;Detail!CQ19))</f>
        <v/>
      </c>
      <c r="OC19" s="1283" t="str">
        <f>IF(A19=FALSE,"",IF(LISTES!$A$17=1,OB19,INDEX(colMOD1,MATCH(Cotations!CE19,colchoice,0))))</f>
        <v/>
      </c>
      <c r="OD19" s="759" t="str">
        <f t="shared" si="202"/>
        <v/>
      </c>
      <c r="OE19" s="292" t="str">
        <f>IF(A19=FALSE,"",Detail!CQ19)</f>
        <v/>
      </c>
      <c r="OF19" s="409" t="str">
        <f t="shared" si="203"/>
        <v/>
      </c>
      <c r="OG19" s="430" t="str">
        <f>IF(A19=FALSE,"",IF(OA19="FIXE",Cotations!CM19,Cotations!CN19*AA19))</f>
        <v/>
      </c>
      <c r="OH19" s="292" t="str">
        <f t="shared" si="288"/>
        <v/>
      </c>
      <c r="OI19" s="446" t="str">
        <f>IF(A19=FALSE,"",IF(Cotations!CF19="monthly",OH19/12*L19,OH19/365*M19))</f>
        <v/>
      </c>
      <c r="OJ19" s="429" t="str">
        <f>IF(A19=FALSE,"",IF(Cotations!CO19="","",Cotations!CO19))</f>
        <v/>
      </c>
      <c r="OK19" s="292" t="str">
        <f t="shared" si="289"/>
        <v/>
      </c>
      <c r="OL19" s="292" t="str">
        <f t="shared" si="290"/>
        <v/>
      </c>
      <c r="OM19" s="759" t="str">
        <f t="shared" si="207"/>
        <v/>
      </c>
      <c r="ON19" s="759" t="str">
        <f>IF(A19=FALSE,"",((OH19*(1+TAXE)-(OH19*(1+TAXE)*OJ19))+IF(#REF!="N/A",0,IF(INDEX(LISTES!$F$105:$F$109,MATCH(#REF!,LISTES!$C$105:$C$109,0))="FIX",#REF!,#REF!*OM19))))</f>
        <v/>
      </c>
      <c r="PA19" s="432" t="str">
        <f>IF(A19=FALSE,"",Cotations!CF19)</f>
        <v/>
      </c>
      <c r="PB19" s="1282" t="str">
        <f>IF(A19=FALSE,"",IF(Detail!CX19="","N/A",YEAR(Detail!F19)&amp;Detail!DA19&amp;Detail!CX19&amp;"-"&amp;Detail!$CX$13&amp;Detail!CY19))</f>
        <v/>
      </c>
      <c r="PC19" s="1283" t="str">
        <f>IF(A19=FALSE,"",IF(LISTES!$A$17=1,PB19,INDEX(colMOD3,MATCH(Cotations!CE19,colchoice,0))))</f>
        <v/>
      </c>
      <c r="PD19" s="759" t="str">
        <f t="shared" si="208"/>
        <v/>
      </c>
      <c r="PE19" s="292" t="str">
        <f>IF(A19=FALSE,"",IF(Detail!CY19="","",Detail!CY19))</f>
        <v/>
      </c>
      <c r="PF19" s="409" t="str">
        <f t="shared" si="291"/>
        <v/>
      </c>
      <c r="PG19" s="430" t="str">
        <f>IF(A19=FALSE,"",IF(PA19="FIXE",Cotations!CP19,Cotations!CQ19*AA19))</f>
        <v/>
      </c>
      <c r="PH19" s="292" t="str">
        <f t="shared" si="292"/>
        <v/>
      </c>
      <c r="PI19" s="446" t="str">
        <f>IF(A19=FALSE,"",IF(Cotations!CG19="monthly",PH19/12*L19,PH19/365*M19))</f>
        <v/>
      </c>
      <c r="PJ19" s="429" t="str">
        <f>IF(A19=FALSE,"",IF(Cotations!DA19="",0,Cotations!DA19))</f>
        <v/>
      </c>
      <c r="PK19" s="292" t="str">
        <f t="shared" si="293"/>
        <v/>
      </c>
      <c r="PL19" s="292" t="str">
        <f t="shared" si="294"/>
        <v/>
      </c>
      <c r="PM19" s="759" t="str">
        <f t="shared" si="211"/>
        <v/>
      </c>
      <c r="PN19" s="759" t="str">
        <f>IF(A19=FALSE,"",((PH19*(1+TAXE)-(PH19*(1+TAXE)*PJ19))+IF(#REF!="N/A",0,IF(INDEX(LISTES!$F$105:$F$109,MATCH(#REF!,LISTES!$C$105:$C$109,0))="FIX",#REF!,#REF!*PM19))))</f>
        <v/>
      </c>
    </row>
    <row r="20" spans="1:430" s="288" customFormat="1">
      <c r="A20" s="779" t="b">
        <f t="shared" si="111"/>
        <v>0</v>
      </c>
      <c r="B20" s="779" t="b">
        <f>IF(NAMES!$B$9=TRUE,TRUE,FALSE)</f>
        <v>1</v>
      </c>
      <c r="C20" s="779" t="b">
        <f t="shared" si="212"/>
        <v>0</v>
      </c>
      <c r="D20" s="779" t="b">
        <f t="shared" si="213"/>
        <v>1</v>
      </c>
      <c r="E20" s="267" t="b">
        <f>IF(Cotations!C20="","",Cotations!C20)</f>
        <v>0</v>
      </c>
      <c r="F20" s="267" t="str">
        <f>IF(Cotations!AT20="","",Cotations!AT20)</f>
        <v>PROP</v>
      </c>
      <c r="G20" s="267" t="str">
        <f>IF(Cotations!D20="","",Cotations!D20)</f>
        <v>2016-2017!</v>
      </c>
      <c r="H20" s="267" t="str">
        <f>IF(Cotations!E20="","",Cotations!E20)</f>
        <v>SINGLE</v>
      </c>
      <c r="I20" s="267" t="str">
        <f>IF(Cotations!F20="","",Cotations!F20)</f>
        <v/>
      </c>
      <c r="J20" s="267" t="str">
        <f>IF(Cotations!G20="","",Cotations!G20)</f>
        <v/>
      </c>
      <c r="K20" s="267" t="str">
        <f>IF(Cotations!H20="","",Cotations!H20)</f>
        <v/>
      </c>
      <c r="L20" s="267" t="str">
        <f>IF(A20=FALSE,"",IF(Cotations!M20="","",Cotations!M20))</f>
        <v/>
      </c>
      <c r="M20" s="267" t="str">
        <f>IF(Cotations!O20="","",Cotations!O20)</f>
        <v/>
      </c>
      <c r="N20" s="588">
        <f>IF(NAMES!$B$10=TRUE,Cotations!I20,Cotations!K20)</f>
        <v>42675</v>
      </c>
      <c r="O20" s="588">
        <f>IF(NAMES!$B$10=TRUE,Cotations!J20,Cotations!L20)</f>
        <v>42749</v>
      </c>
      <c r="P20" s="780" t="str">
        <f t="shared" si="214"/>
        <v>novembre</v>
      </c>
      <c r="Q20" s="588" t="str">
        <f>IF(A20=FALSE,"",IF(Crewlist!Y20="","",Crewlist!Y20))</f>
        <v/>
      </c>
      <c r="R20" s="78" t="str">
        <f>IF(Cotations!T20="","",Cotations!T20)</f>
        <v/>
      </c>
      <c r="S20" s="780" t="str">
        <f t="shared" si="215"/>
        <v/>
      </c>
      <c r="T20" s="759" t="str">
        <f>IF(A20=FALSE,"",VLOOKUP($U$15:$U$120,Currency!$A$2:$D$10,4,0)*Crewlist!N20)</f>
        <v/>
      </c>
      <c r="U20" s="1097" t="str">
        <f>IF(A20=FALSE,"",IF(DP20=0,Crewlist!M20&amp;"/"&amp;CP20,Crewlist!M20&amp;"/"&amp;DP20))</f>
        <v/>
      </c>
      <c r="V20" s="759" t="str">
        <f>IF(A20=FALSE,"",VLOOKUP($U$15:$U$120,Currency!$A$2:$D$10,4,0)*Detail!Q20)</f>
        <v/>
      </c>
      <c r="W20" s="1097" t="str">
        <f>IF(A20=FALSE,"",IF(DP20=0,Detail!R20&amp;"/"&amp;CP20,Detail!R20&amp;"/"&amp;DP20))</f>
        <v/>
      </c>
      <c r="X20" s="759" t="str">
        <f>IF(A20=FALSE,"",IF(LISTES!$C$17="Crewlist",Calcul!T20,Calcul!V20))</f>
        <v/>
      </c>
      <c r="Y20" s="618" t="str">
        <f t="shared" si="216"/>
        <v/>
      </c>
      <c r="Z20" s="618" t="str">
        <f>IF(A20=FALSE,"",IF(X20=0,0,IF((Cotations!BA20*12*X20)&lt;50000,50000,(12*X20))))</f>
        <v/>
      </c>
      <c r="AA20" s="618" t="str">
        <f t="shared" si="217"/>
        <v/>
      </c>
      <c r="AB20" s="618" t="str">
        <f>IF(A20=FALSE,"",IF(Crewlist!O20=0,"",Crewlist!O20))</f>
        <v/>
      </c>
      <c r="AC20" s="618" t="str">
        <f>IF(I20="","",VLOOKUP($AB$15:$AB$120,Currency!$A$15:$B$34,2,0))</f>
        <v/>
      </c>
      <c r="AD20" s="618" t="str">
        <f t="shared" si="218"/>
        <v/>
      </c>
      <c r="AE20" s="618" t="str">
        <f t="shared" si="219"/>
        <v/>
      </c>
      <c r="AF20" s="618" t="str">
        <f t="shared" si="220"/>
        <v/>
      </c>
      <c r="AG20" s="618" t="str">
        <f t="shared" si="221"/>
        <v/>
      </c>
      <c r="AH20" s="1097" t="str">
        <f t="shared" si="112"/>
        <v/>
      </c>
      <c r="AI20" s="759" t="str">
        <f t="shared" si="222"/>
        <v/>
      </c>
      <c r="AJ20" s="1120" t="str">
        <f t="shared" si="223"/>
        <v/>
      </c>
      <c r="AK20" s="1120" t="str">
        <f t="shared" si="224"/>
        <v/>
      </c>
      <c r="AL20" s="236" t="str">
        <f t="shared" si="225"/>
        <v/>
      </c>
      <c r="AM20" s="236" t="str">
        <f t="shared" si="226"/>
        <v/>
      </c>
      <c r="AN20" s="1112" t="str">
        <f t="shared" si="227"/>
        <v/>
      </c>
      <c r="AO20" s="236" t="str">
        <f t="shared" si="228"/>
        <v/>
      </c>
      <c r="AP20" s="327" t="str">
        <f>IF(A20=FALSE,"",INDEX(Rates!$Q$1:$Q$278,MATCH(CA20,colchoice,0)))</f>
        <v/>
      </c>
      <c r="AQ20" s="236" t="str">
        <f t="shared" si="229"/>
        <v/>
      </c>
      <c r="AR20" s="236" t="str">
        <f t="shared" si="230"/>
        <v/>
      </c>
      <c r="AS20" s="236" t="str">
        <f t="shared" si="117"/>
        <v/>
      </c>
      <c r="AT20" s="236" t="str">
        <f t="shared" si="118"/>
        <v/>
      </c>
      <c r="AU20" s="236" t="str">
        <f t="shared" si="231"/>
        <v/>
      </c>
      <c r="AV20" s="236" t="str">
        <f t="shared" si="232"/>
        <v/>
      </c>
      <c r="AW20" s="236" t="str">
        <f t="shared" si="233"/>
        <v/>
      </c>
      <c r="AX20" s="236" t="str">
        <f t="shared" si="234"/>
        <v/>
      </c>
      <c r="AY20" s="236" t="str">
        <f t="shared" si="235"/>
        <v/>
      </c>
      <c r="AZ20" s="236" t="str">
        <f t="shared" si="236"/>
        <v/>
      </c>
      <c r="BA20" s="236" t="str">
        <f t="shared" si="237"/>
        <v/>
      </c>
      <c r="BB20" s="467" t="str">
        <f t="shared" si="238"/>
        <v/>
      </c>
      <c r="BC20" s="329" t="str">
        <f t="shared" si="239"/>
        <v/>
      </c>
      <c r="BD20" s="237" t="str">
        <f t="shared" si="240"/>
        <v/>
      </c>
      <c r="BE20" s="237" t="str">
        <f>IF(A20=FALSE,"",IF(ED20&lt;&gt;$BC$7,0,INDEX(EA20:EZ20,1,MATCH(Structure!$J$16,$EA$14:$EZ$14,0))))</f>
        <v/>
      </c>
      <c r="BF20" s="237" t="str">
        <f>IF(A20=FALSE,"",IF(FD20&lt;&gt;$BC$7,0,INDEX(FA20:FZ20,1,MATCH(Structure!$J$16,$FA$14:$FZ$14,0))))</f>
        <v/>
      </c>
      <c r="BG20" s="237" t="str">
        <f>IF(A20=FALSE,"",IF(GD20&lt;&gt;$BC$7,0,INDEX(GA20:GZ20,1,MATCH(Structure!$J$16,$GA$14:$GZ$14,0))))</f>
        <v/>
      </c>
      <c r="BH20" s="237" t="str">
        <f>IF(A20=FALSE,"",IF(HD20&lt;&gt;$BC$7,0,INDEX(HA20:HZ20,1,MATCH(Structure!$J$16,$HA$14:$HZ$14,0))))</f>
        <v/>
      </c>
      <c r="BI20" s="621" t="str">
        <f>IF(A20=FALSE,"",IF(ID20&lt;&gt;$BC$7,0,INDEX(IA20:IZ20,1,MATCH(Structure!$C$12,$IA$14:$IZ$14,0)))+OL20)</f>
        <v/>
      </c>
      <c r="BJ20" s="237" t="str">
        <f>IF(A20=FALSE,"",IF(JD20&lt;&gt;$BC$7,0,INDEX(JA20:JZ20,1,MATCH(Structure!$C$12,$JA$14:$JZ$14,0))))</f>
        <v/>
      </c>
      <c r="BK20" s="621" t="str">
        <f>IF(A20=FALSE,"",IF(KD20&lt;&gt;$BC$7,0,INDEX(KA20:KZ20,1,MATCH(Structure!$C$12,$KA$14:$KZ$14,0)))+PL20)</f>
        <v/>
      </c>
      <c r="BL20" s="237" t="str">
        <f>IF(A20=FALSE,"",IF(LD20&lt;&gt;$BC$7,0,INDEX(LA20:LZ20,1,MATCH(Structure!$C$12,$LA$14:$LZ$14,0))))</f>
        <v/>
      </c>
      <c r="BM20" s="237" t="str">
        <f>IF(A20=FALSE,"",IF(MD20&lt;&gt;$BC$7,0,INDEX(MA20:MZ20,1,MATCH(Structure!$C$12,$MA$14:$MZ$14,0))))</f>
        <v/>
      </c>
      <c r="BN20" s="326" t="str">
        <f>IF(A20=FALSE,"",IF(ND20&lt;&gt;$BC$7,0,INDEX(NA20:OC20,1,MATCH(Structure!$C$12,$NA$14:$OC$14,0))))</f>
        <v/>
      </c>
      <c r="BO20" s="435" t="str">
        <f t="shared" si="241"/>
        <v/>
      </c>
      <c r="BP20" s="237" t="str">
        <f t="shared" si="242"/>
        <v/>
      </c>
      <c r="BQ20" s="237" t="str">
        <f>IF(A20=FALSE,"",IF(ED20&lt;&gt;$BO$7,0,INDEX(EA20:EZ20,1,MATCH(Structure!$C$12,$EA$14:$EZ$14,0))))</f>
        <v/>
      </c>
      <c r="BR20" s="237" t="str">
        <f>IF(A20=FALSE,"",IF(FD20&lt;&gt;$BO$7,0,INDEX(FA20:FZ20,1,MATCH(Structure!$C$12,$FA$14:$FZ$14,0))))</f>
        <v/>
      </c>
      <c r="BS20" s="237" t="str">
        <f>IF(A20=FALSE,"",IF(ID20&lt;&gt;$BO$7,0,INDEX(IA20:IZ20,1,MATCH(Structure!$C$13,$IA$14:$IZ$14,0))))</f>
        <v/>
      </c>
      <c r="BT20" s="237" t="str">
        <f>IF(A20=FALSE,"",IF(JD20&lt;&gt;$BO$7,0,INDEX(JA20:JZ20,1,MATCH(Structure!$C$13,$JA$14:$JZ$14,0))))</f>
        <v/>
      </c>
      <c r="BU20" s="237" t="str">
        <f>IF(A20=FALSE,"",IF(KD20&lt;&gt;$BO$7,0,INDEX(KA20:KZ20,1,MATCH(Structure!$C$13,$KA$14:$KZ$14,0))))</f>
        <v/>
      </c>
      <c r="BV20" s="237" t="str">
        <f>IF(A20=FALSE,"",IF(LD20&lt;&gt;$BO$7,0,INDEX(LA20:LZ20,1,MATCH(Structure!$C$13,$LA$14:$LZ$14,0))))</f>
        <v/>
      </c>
      <c r="BW20" s="237" t="str">
        <f>IF(A20=FALSE,"",IF(MD20&lt;&gt;$BO$7,0,INDEX(MA20:MZ20,1,MATCH(Structure!$C$13,$MA$14:$MZ$14,0))))</f>
        <v/>
      </c>
      <c r="BX20" s="326" t="str">
        <f>IF(A20=FALSE,"",IF(ND20&lt;&gt;$BO$7,0,INDEX(NA20:OC20,1,MATCH(Structure!$C$13,$NA$14:$OC$14,0))))</f>
        <v/>
      </c>
      <c r="BY20" s="412"/>
      <c r="BZ20" s="412"/>
      <c r="CA20" s="1255" t="str">
        <f>IF(A20=FALSE,"",IF(LISTES!$A$17=1,Cotations!AG20,Cotations!AH20))</f>
        <v/>
      </c>
      <c r="CB20" s="1266" t="str">
        <f t="shared" si="243"/>
        <v/>
      </c>
      <c r="CC20" s="1120" t="str">
        <f t="shared" si="244"/>
        <v/>
      </c>
      <c r="CD20" s="1120" t="str">
        <f t="shared" si="245"/>
        <v/>
      </c>
      <c r="CE20" s="1120" t="str">
        <f t="shared" si="246"/>
        <v/>
      </c>
      <c r="CF20" s="1120" t="str">
        <f t="shared" si="247"/>
        <v/>
      </c>
      <c r="CG20" s="1267"/>
      <c r="CH20" s="1267"/>
      <c r="CI20" s="1268" t="str">
        <f t="shared" si="248"/>
        <v/>
      </c>
      <c r="CJ20" s="286" t="str">
        <f t="shared" si="249"/>
        <v/>
      </c>
      <c r="CK20" s="286" t="str">
        <f t="shared" si="250"/>
        <v/>
      </c>
      <c r="CL20" s="1263"/>
      <c r="CM20" s="1263"/>
      <c r="CN20" s="1263"/>
      <c r="CO20" s="1263"/>
      <c r="CP20" s="319" t="str">
        <f t="shared" si="251"/>
        <v/>
      </c>
      <c r="CQ20" s="443" t="str">
        <f>IF(A20=FALSE,"",Cotations!AM20)</f>
        <v/>
      </c>
      <c r="CR20" s="443" t="str">
        <f>IF(A20=FALSE,"",IF(Cotations!AN20="","",Cotations!AN20))</f>
        <v/>
      </c>
      <c r="CS20" s="433" t="str">
        <f>IF(A20=FALSE,"",Cotations!AO20)</f>
        <v/>
      </c>
      <c r="CT20" s="443" t="str">
        <f>IF(A20=FALSE,"",IF(CQ20="N/A",0,IF(INDEX(LISTES!$F$105:$F$109,MATCH(CQ20,LISTES!$C$105:$C$109,0))="FIX",IF(INDEX(LISTES!$E$105:$E$109,MATCH(CQ20,LISTES!$C$105:$C$109,0))=12,CR20/12*L20,CR20/365*M20),CS20*EQ20)))</f>
        <v/>
      </c>
      <c r="CU20" s="434" t="str">
        <f>IF(A20=FALSE,"",(CJ20+CK20)*Cotations!AP20)</f>
        <v/>
      </c>
      <c r="CV20" s="434" t="str">
        <f>IF(A20=FALSE,"",(CJ20+CK20)*Cotations!AQ20)</f>
        <v/>
      </c>
      <c r="CX20" s="1127"/>
      <c r="CY20" s="1127"/>
      <c r="CZ20" s="1127"/>
      <c r="DA20" s="1253" t="str">
        <f>IF(A20=FALSE,"",IF(LISTES!$A$17=1,Cotations!AV20,Cotations!AW20))</f>
        <v/>
      </c>
      <c r="DB20" s="1271" t="str">
        <f t="shared" si="252"/>
        <v/>
      </c>
      <c r="DC20" s="1270" t="str">
        <f t="shared" si="253"/>
        <v/>
      </c>
      <c r="DD20" s="1270" t="str">
        <f t="shared" si="254"/>
        <v/>
      </c>
      <c r="DE20" s="1270" t="str">
        <f t="shared" si="255"/>
        <v/>
      </c>
      <c r="DF20" s="1270" t="str">
        <f t="shared" si="256"/>
        <v/>
      </c>
      <c r="DG20" s="1270" t="str">
        <f t="shared" si="257"/>
        <v/>
      </c>
      <c r="DH20" s="1270" t="str">
        <f t="shared" si="258"/>
        <v/>
      </c>
      <c r="DI20" s="1271" t="str">
        <f t="shared" si="259"/>
        <v/>
      </c>
      <c r="DJ20" s="286" t="str">
        <f t="shared" si="260"/>
        <v/>
      </c>
      <c r="DK20" s="286" t="str">
        <f t="shared" si="261"/>
        <v/>
      </c>
      <c r="DL20" s="1264" t="str">
        <f t="shared" si="262"/>
        <v/>
      </c>
      <c r="DM20" s="1264" t="str">
        <f t="shared" si="263"/>
        <v/>
      </c>
      <c r="DN20" s="1264" t="str">
        <f t="shared" si="264"/>
        <v/>
      </c>
      <c r="DO20" s="1264" t="str">
        <f t="shared" si="265"/>
        <v/>
      </c>
      <c r="DP20" s="323" t="str">
        <f t="shared" si="132"/>
        <v/>
      </c>
      <c r="DQ20" s="444" t="str">
        <f>IF(A20=FALSE,"",Cotations!BW20)</f>
        <v/>
      </c>
      <c r="DR20" s="444" t="str">
        <f>IF(A20=FALSE,"",Cotations!BX20)</f>
        <v/>
      </c>
      <c r="DS20" s="433" t="str">
        <f>IF(A20=FALSE,"",Cotations!BY20)</f>
        <v/>
      </c>
      <c r="DT20" s="830" t="str">
        <f>IF(A20=FALSE,"",IF(DQ20="N/A",0,IF(INDEX(LISTES!$F$105:$F$109,MATCH(DQ20,LISTES!$C$105:$C$109,0))="FIX",IF(INDEX(LISTES!$E$105:$E$109,MATCH(DQ20,LISTES!$C$105:$C$109,0))=12,DR20/12*L20,DR20/365*M20),DS20*(DN20+DO20))))</f>
        <v/>
      </c>
      <c r="DU20" s="434" t="str">
        <f>IF(A20=FALSE,"",DJ20*Cotations!BZ20)</f>
        <v/>
      </c>
      <c r="DV20" s="434" t="str">
        <f>IF(A20=FALSE,"",DJ20*Cotations!CA20)</f>
        <v/>
      </c>
      <c r="DX20" s="1127"/>
      <c r="DY20" s="1127"/>
      <c r="DZ20" s="1127"/>
      <c r="EA20" s="432" t="str">
        <f>IF(A20=FALSE,"",Cotations!AT20)</f>
        <v/>
      </c>
      <c r="EB20" s="1234" t="str">
        <f>IF(A20=FALSE,"",YEAR(Detail!F20)&amp;Detail!AG20&amp;Detail!AD20&amp;"-"&amp;Detail!$AD$13&amp;Detail!AE20)</f>
        <v/>
      </c>
      <c r="EC20" s="434" t="str">
        <f>IF(A20=FALSE,"",IF(LISTES!$A$17=1,EB20,INDEX(colMOD1,MATCH(Cotations!AH20,colchoice,0))))</f>
        <v/>
      </c>
      <c r="ED20" s="277" t="str">
        <f t="shared" si="133"/>
        <v/>
      </c>
      <c r="EE20" s="277" t="str">
        <f t="shared" si="134"/>
        <v/>
      </c>
      <c r="EF20" s="277"/>
      <c r="EG20" s="277"/>
      <c r="EH20" s="277" t="str">
        <f t="shared" si="135"/>
        <v/>
      </c>
      <c r="EI20" s="1104" t="str">
        <f t="shared" si="136"/>
        <v/>
      </c>
      <c r="EJ20" s="1104" t="str">
        <f t="shared" si="137"/>
        <v/>
      </c>
      <c r="EK20" s="443" t="str">
        <f>IF(A20=FALSE,"",IF(Cotations!AF20="monthly",EH20/12*L20,EH20/365*M20))</f>
        <v/>
      </c>
      <c r="EL20" s="1103" t="str">
        <f>IF(A20=FALSE,"",IF(Cotations!AF20="monthly",EJ20/12*L20,EJ20/365*M20))</f>
        <v/>
      </c>
      <c r="EM20" s="433" t="str">
        <f>IF(A20=FALSE,"",IF(Cotations!AI20="","",Cotations!AI20))</f>
        <v/>
      </c>
      <c r="EN20" s="277" t="str">
        <f t="shared" si="266"/>
        <v/>
      </c>
      <c r="EO20" s="277" t="str">
        <f t="shared" si="138"/>
        <v/>
      </c>
      <c r="EP20" s="1104" t="str">
        <f t="shared" si="139"/>
        <v/>
      </c>
      <c r="EQ20" s="277" t="str">
        <f t="shared" si="267"/>
        <v/>
      </c>
      <c r="ER20" s="759" t="str">
        <f>IF(A20=FALSE,"",((EH20*TAXE)-(EH20*TAXE*EM20)+EI20)+IF(CQ20="N/A",0,IF(INDEX(LISTES!$F$105:$F$109,MATCH(CQ20,LISTES!$C$105:$C$109,0))="FIX",CR20,CS20*EQ20)))</f>
        <v/>
      </c>
      <c r="ES20" s="383"/>
      <c r="ET20" s="422"/>
      <c r="EU20" s="422"/>
      <c r="EV20" s="422"/>
      <c r="EW20" s="422"/>
      <c r="EX20" s="422"/>
      <c r="EY20" s="422"/>
      <c r="EZ20" s="422"/>
      <c r="FA20" s="432" t="str">
        <f>IF(A20=FALSE,"",Cotations!AT20)</f>
        <v/>
      </c>
      <c r="FB20" s="1235" t="str">
        <f>IF(A20=FALSE,"",IF(Detail!AL20="","N/A",YEAR(Detail!F20)&amp;Detail!AO20&amp;Detail!AL20&amp;"-"&amp;Detail!$AL$13&amp;Detail!AM20))</f>
        <v/>
      </c>
      <c r="FC20" s="434" t="str">
        <f>IF(A20=FALSE,"",IF(LISTES!$A$17=1,FB20,INDEX(colMOD2,MATCH(Cotations!AH20,colchoice,0))))</f>
        <v/>
      </c>
      <c r="FD20" s="277" t="str">
        <f t="shared" si="140"/>
        <v/>
      </c>
      <c r="FE20" s="443" t="str">
        <f>IF(A20=FALSE,"",IF(Detail!AM20="","",Detail!AM20))</f>
        <v/>
      </c>
      <c r="FF20" s="277"/>
      <c r="FG20" s="277"/>
      <c r="FH20" s="277" t="str">
        <f t="shared" si="141"/>
        <v/>
      </c>
      <c r="FI20" s="1104"/>
      <c r="FJ20" s="1104"/>
      <c r="FK20" s="443" t="str">
        <f>IF(A20=FALSE,"",IF(Cotations!AF20="monthly",FH20/12*L20,FH20/365*M20))</f>
        <v/>
      </c>
      <c r="FL20" s="1103" t="str">
        <f>IF(A20=FALSE,"",IF(Cotations!AF20="monthly",FJ20/12*L20,FJ20/365*M20))</f>
        <v/>
      </c>
      <c r="FM20" s="433" t="str">
        <f>IF(A20=FALSE,"",IF(Cotations!AJ20="","",Cotations!AJ20))</f>
        <v/>
      </c>
      <c r="FN20" s="277" t="str">
        <f t="shared" si="268"/>
        <v/>
      </c>
      <c r="FO20" s="277" t="str">
        <f t="shared" si="269"/>
        <v/>
      </c>
      <c r="FP20" s="1104"/>
      <c r="FQ20" s="277" t="str">
        <f t="shared" si="270"/>
        <v/>
      </c>
      <c r="FR20" s="759" t="str">
        <f>IF(A20=FALSE,"",((FH20*TAXE)-(FH20*TAXE*FM20))+IF(#REF!="N/A",0,IF(INDEX(LISTES!$F$105:$F$109,MATCH(#REF!,LISTES!$C$105:$C$109,0))="FIX",#REF!,#REF!*FQ20)))</f>
        <v/>
      </c>
      <c r="FS20" s="422"/>
      <c r="FT20" s="422"/>
      <c r="FU20" s="422"/>
      <c r="FV20" s="422"/>
      <c r="FW20" s="422"/>
      <c r="FX20" s="422"/>
      <c r="FY20" s="422"/>
      <c r="FZ20" s="422"/>
      <c r="GA20" s="432" t="str">
        <f t="shared" si="145"/>
        <v/>
      </c>
      <c r="GB20" s="1234" t="str">
        <f>IF(A20=FALSE,"",IF(Detail!DF20="","N/A",YEAR(Detail!F20)&amp;Detail!DI20&amp;Detail!DF20&amp;"-"&amp;Detail!$DF$13))</f>
        <v/>
      </c>
      <c r="GC20" s="434" t="str">
        <f>IF(A20=FALSE,"",IF(LISTES!$A$17=1,GB20,INDEX(colMOD3,MATCH(Cotations!AH20,colchoice,0))))</f>
        <v/>
      </c>
      <c r="GD20" s="277" t="str">
        <f t="shared" si="146"/>
        <v/>
      </c>
      <c r="GE20" s="277" t="str">
        <f t="shared" si="147"/>
        <v/>
      </c>
      <c r="GF20" s="277"/>
      <c r="GG20" s="277"/>
      <c r="GH20" s="277" t="str">
        <f t="shared" si="271"/>
        <v/>
      </c>
      <c r="GI20" s="1104" t="str">
        <f t="shared" si="272"/>
        <v/>
      </c>
      <c r="GJ20" s="1104" t="str">
        <f t="shared" si="273"/>
        <v/>
      </c>
      <c r="GK20" s="443" t="str">
        <f>IF(A20=FALSE,"",IF(Cotations!AF20="monthly",GH20/12*L20,GH20/365*M20))</f>
        <v/>
      </c>
      <c r="GL20" s="1103" t="str">
        <f>IF(A20=FALSE,"",IF(Cotations!AF20="monthly",GJ20/12*L20,GJ20/365*M20))</f>
        <v/>
      </c>
      <c r="GM20" s="433" t="str">
        <f>IF(A20=FALSE,"",IF(Cotations!AK20="","",Cotations!AK20))</f>
        <v/>
      </c>
      <c r="GN20" s="277" t="str">
        <f t="shared" si="274"/>
        <v/>
      </c>
      <c r="GO20" s="277" t="str">
        <f t="shared" si="275"/>
        <v/>
      </c>
      <c r="GP20" s="1104" t="str">
        <f t="shared" si="276"/>
        <v/>
      </c>
      <c r="GQ20" s="277" t="str">
        <f t="shared" si="277"/>
        <v/>
      </c>
      <c r="GR20" s="759" t="str">
        <f>IF(A20=FALSE,"",((GH20*TAXE)-(GH20*TAXE*GM20)+GI20)+IF(CQ20="N/A",0,IF(INDEX(LISTES!$F$105:$F$109,MATCH(CQ20,LISTES!$C$105:$C$109,0))="FIX",CR20,CS20*GQ20)))</f>
        <v/>
      </c>
      <c r="GS20" s="412"/>
      <c r="GT20" s="412"/>
      <c r="GU20" s="412"/>
      <c r="GV20" s="412"/>
      <c r="GW20" s="412"/>
      <c r="GX20" s="412"/>
      <c r="GY20" s="412"/>
      <c r="GZ20" s="412"/>
      <c r="HA20" s="432" t="str">
        <f t="shared" si="155"/>
        <v/>
      </c>
      <c r="HB20" s="1234" t="str">
        <f>IF(A20=FALSE,"",IF(Detail!DF20="","N/A",YEAR(Detail!F20)&amp;Detail!DI20&amp;Detail!DF20&amp;"-"&amp;Detail!$DF$13))</f>
        <v/>
      </c>
      <c r="HC20" s="434" t="str">
        <f>IF(A20=FALSE,"",IF(LISTES!$A$17=1,HB20,INDEX(colMOD4,MATCH(Cotations!AH20,colchoice,0))))</f>
        <v/>
      </c>
      <c r="HD20" s="277" t="str">
        <f t="shared" si="278"/>
        <v/>
      </c>
      <c r="HE20" s="277" t="str">
        <f t="shared" si="279"/>
        <v/>
      </c>
      <c r="HF20" s="277"/>
      <c r="HG20" s="277"/>
      <c r="HH20" s="277" t="str">
        <f t="shared" si="280"/>
        <v/>
      </c>
      <c r="HI20" s="1104" t="str">
        <f t="shared" si="281"/>
        <v/>
      </c>
      <c r="HJ20" s="1104" t="str">
        <f t="shared" si="282"/>
        <v/>
      </c>
      <c r="HK20" s="443" t="str">
        <f>IF(A20=FALSE,"",IF(Cotations!AF20="monthly",HH20/12*L20,HH20/365*M20))</f>
        <v/>
      </c>
      <c r="HL20" s="1103" t="str">
        <f>IF(A20=FALSE,"",IF(Cotations!AF20="monthly",HJ20/12*L20,HJ20/365*M20))</f>
        <v/>
      </c>
      <c r="HM20" s="433" t="str">
        <f>IF(A20=FALSE,"",IF(Cotations!AL20="","",Cotations!AL20))</f>
        <v/>
      </c>
      <c r="HN20" s="277" t="str">
        <f t="shared" si="283"/>
        <v/>
      </c>
      <c r="HO20" s="277" t="str">
        <f t="shared" si="284"/>
        <v/>
      </c>
      <c r="HP20" s="1104" t="str">
        <f t="shared" si="285"/>
        <v/>
      </c>
      <c r="HQ20" s="277" t="str">
        <f t="shared" si="286"/>
        <v/>
      </c>
      <c r="HR20" s="759" t="str">
        <f>IF(A20=FALSE,"",((HH20*TAXE)-(HH20*TAXE*HM20)+HI20)+IF(CQ20="N/A",0,IF(INDEX(LISTES!$F$105:$F$109,MATCH(CQ20,LISTES!$C$105:$C$109,0))="FIX",CR20,CS20*HQ20)))</f>
        <v/>
      </c>
      <c r="HS20" s="412"/>
      <c r="HT20" s="412"/>
      <c r="HU20" s="412"/>
      <c r="HV20" s="412"/>
      <c r="HW20" s="412"/>
      <c r="HX20" s="412"/>
      <c r="HY20" s="412"/>
      <c r="HZ20" s="1254"/>
      <c r="IA20" s="432" t="str">
        <f>IF(A20=FALSE,"",Cotations!AT20)</f>
        <v/>
      </c>
      <c r="IB20" s="1253" t="str">
        <f>IF(A20=FALSE,"",IF(Detail!AT20="","N/A",YEAR(Detail!F20)&amp;Detail!AW20&amp;Detail!AT20&amp;"-"&amp;Detail!$AT$13&amp;Detail!AU20))</f>
        <v/>
      </c>
      <c r="IC20" s="431" t="str">
        <f>IF(A20=FALSE,"",IF(LISTES!$A$17=1,IB20,INDEX(colMOD1,MATCH(DA20,colchoice,0))))</f>
        <v/>
      </c>
      <c r="ID20" s="759" t="str">
        <f t="shared" si="287"/>
        <v/>
      </c>
      <c r="IE20" s="292" t="str">
        <f>IF(A20=FALSE,"",IF(LISTES!$A$17=1,Detail!AU20,INDEX(Rates!$M$1:$M$270,MATCH(IC20,colMOD1,0))))</f>
        <v/>
      </c>
      <c r="IF20" s="409" t="str">
        <f t="shared" si="165"/>
        <v/>
      </c>
      <c r="IG20" s="430" t="str">
        <f>IF(A20=FALSE,"",IF(IA20="POEA",Cotations!AY20,IF(IA20="FIXE",Cotations!AZ20,IF(Cotations!BA20*Y20&lt;50000,Z20,Cotations!BA20*Y20))))</f>
        <v/>
      </c>
      <c r="IH20" s="292" t="str">
        <f t="shared" si="166"/>
        <v/>
      </c>
      <c r="II20" s="446" t="str">
        <f>IF(A20=FALSE,"",IF(Cotations!AU20="monthly",IH20/12*L20,IH20/365*M20))</f>
        <v/>
      </c>
      <c r="IJ20" s="429" t="str">
        <f>IF(A20=FALSE,"",IF(Cotations!BB20="","",Cotations!BB20))</f>
        <v/>
      </c>
      <c r="IK20" s="292" t="str">
        <f t="shared" si="167"/>
        <v/>
      </c>
      <c r="IL20" s="292" t="str">
        <f t="shared" si="168"/>
        <v/>
      </c>
      <c r="IM20" s="759" t="str">
        <f t="shared" si="169"/>
        <v/>
      </c>
      <c r="IN20" s="759" t="str">
        <f>IF(A20=FALSE,"",((IH20*TAXE)-(IH20*TAXE*IJ20))+IF(DQ20="N/A",0,IF(INDEX(LISTES!$F$105:$F$109,MATCH(DQ20,LISTES!$C$105:$C$109,0))="FIX",DR20,DS20*IM20)))</f>
        <v/>
      </c>
      <c r="IO20" s="383"/>
      <c r="IP20" s="1127"/>
      <c r="IQ20" s="1127"/>
      <c r="IR20" s="1127"/>
      <c r="IS20" s="1127"/>
      <c r="IT20" s="1127"/>
      <c r="IU20" s="1127"/>
      <c r="IV20" s="1127"/>
      <c r="IW20" s="1127"/>
      <c r="IX20" s="1127"/>
      <c r="IY20" s="1127"/>
      <c r="JA20" s="432" t="str">
        <f>IF(A20=FALSE,"",Cotations!AT20)</f>
        <v/>
      </c>
      <c r="JB20" s="1234" t="str">
        <f>IF(A20=FALSE,"",IF(Detail!BB20="","N/A",YEAR(Detail!F20)&amp;Detail!BE20&amp;Detail!BB20&amp;"-"&amp;Detail!$BB$13&amp;Detail!BC20))</f>
        <v/>
      </c>
      <c r="JC20" s="431" t="str">
        <f>IF(A20=FALSE,"",IF(LISTES!$A$17=1,JB20,INDEX(colMOD2,MATCH(DA20,colchoice,0))))</f>
        <v/>
      </c>
      <c r="JD20" s="759" t="str">
        <f t="shared" si="170"/>
        <v/>
      </c>
      <c r="JE20" s="292"/>
      <c r="JF20" s="409" t="str">
        <f t="shared" si="171"/>
        <v/>
      </c>
      <c r="JG20" s="430" t="str">
        <f>IF(A20=FALSE,"",IF(JA20="POEA",Cotations!BC20,IF(JA20="FIXE",Cotations!BD20,IF(Cotations!BE20*Y20&lt;50000,Z20,Cotations!BE20*Y20))))</f>
        <v/>
      </c>
      <c r="JH20" s="292" t="str">
        <f t="shared" si="172"/>
        <v/>
      </c>
      <c r="JI20" s="446" t="str">
        <f>IF(A20=FALSE,"",IF(Cotations!AU20="monthly",JH20/12*L20,JH20/365*M20))</f>
        <v/>
      </c>
      <c r="JJ20" s="429" t="str">
        <f>IF(A20=FALSE,"",IF(Cotations!BF20="","",Cotations!BF20))</f>
        <v/>
      </c>
      <c r="JK20" s="292" t="str">
        <f t="shared" si="173"/>
        <v/>
      </c>
      <c r="JL20" s="292" t="str">
        <f t="shared" si="174"/>
        <v/>
      </c>
      <c r="JM20" s="759" t="str">
        <f t="shared" si="175"/>
        <v/>
      </c>
      <c r="JN20" s="759" t="str">
        <f>IF(A20=FALSE,"",((JH20*TAXE)-(JH20*TAXE*JJ20))+IF(#REF!="N/A",0,IF(INDEX(LISTES!$F$105:$F$109,MATCH(#REF!,LISTES!$C$105:$C$109,0))="FIX",#REF!,#REF!*JM20)))</f>
        <v/>
      </c>
      <c r="JQ20" s="383"/>
      <c r="JR20" s="1127"/>
      <c r="JS20" s="1127"/>
      <c r="JT20" s="1127"/>
      <c r="JU20" s="1127"/>
      <c r="JV20" s="1127"/>
      <c r="JW20" s="383"/>
      <c r="JX20" s="1127"/>
      <c r="JY20" s="1127"/>
      <c r="KA20" s="432" t="str">
        <f>IF(A20=FALSE,"",Cotations!AT20)</f>
        <v/>
      </c>
      <c r="KB20" s="1234" t="str">
        <f>IF(A20=FALSE,"",IF(Detail!BJ20="","N/A",YEAR(Detail!F20)&amp;Detail!BM20&amp;Detail!BJ20&amp;"-"&amp;Detail!$BJ$13&amp;Detail!BK20))</f>
        <v/>
      </c>
      <c r="KC20" s="431" t="str">
        <f>IF(A20=FALSE,"",IF(LISTES!$A$17=1,KB20,INDEX(colMOD3,MATCH(DA20,colchoice,0))))</f>
        <v/>
      </c>
      <c r="KD20" s="759" t="str">
        <f t="shared" si="176"/>
        <v/>
      </c>
      <c r="KE20" s="292"/>
      <c r="KF20" s="409" t="str">
        <f t="shared" si="177"/>
        <v/>
      </c>
      <c r="KG20" s="430" t="str">
        <f>IF(A20=FALSE,"",IF(KA20="POEA",Cotations!BG20,IF(KA20="FIXE",Cotations!BH20,IF(Cotations!BI20*Y20&lt;50000,Z20,Cotations!BI20*Y20))))</f>
        <v/>
      </c>
      <c r="KH20" s="292" t="str">
        <f t="shared" si="178"/>
        <v/>
      </c>
      <c r="KI20" s="446" t="str">
        <f>IF(A20=FALSE,"",IF(Cotations!AU20="monthly",KH20/12*L20,KH20/365*M20))</f>
        <v/>
      </c>
      <c r="KJ20" s="429" t="str">
        <f>IF(A20=FALSE,"",IF(Cotations!BJ20="","",Cotations!BJ20))</f>
        <v/>
      </c>
      <c r="KK20" s="292" t="str">
        <f t="shared" si="179"/>
        <v/>
      </c>
      <c r="KL20" s="292" t="str">
        <f t="shared" si="180"/>
        <v/>
      </c>
      <c r="KM20" s="759" t="str">
        <f t="shared" si="181"/>
        <v/>
      </c>
      <c r="KN20" s="759" t="str">
        <f>IF(A20=FALSE,"",((KH20*TAXE)-(KH20*TAXE*KJ20))+IF(#REF!="N/A",0,IF(INDEX(LISTES!$F$105:$F$109,MATCH(#REF!,LISTES!$C$105:$C$109,0))="FIX",#REF!,#REF!*KM20)))</f>
        <v/>
      </c>
      <c r="KR20" s="1127"/>
      <c r="KS20" s="1127"/>
      <c r="KT20" s="1127"/>
      <c r="KU20" s="1127"/>
      <c r="KV20" s="1127"/>
      <c r="KW20" s="1127"/>
      <c r="KX20" s="1127"/>
      <c r="KY20" s="1127"/>
      <c r="LA20" s="432" t="str">
        <f>IF(A20=FALSE,"",Cotations!AT20)</f>
        <v/>
      </c>
      <c r="LB20" s="1234" t="str">
        <f>IF(A20=FALSE,"",IF(Detail!BR20="","N/A",YEAR(Detail!F20)&amp;Detail!BU20&amp;Detail!BR20&amp;"-"&amp;Detail!$BR$13&amp;Detail!BS20))</f>
        <v/>
      </c>
      <c r="LC20" s="431" t="str">
        <f>IF(A20=FALSE,"",IF(LISTES!$A$17=1,LB20,INDEX(colMOD4,MATCH(DA20,colchoice,0))))</f>
        <v/>
      </c>
      <c r="LD20" s="759" t="str">
        <f t="shared" si="182"/>
        <v/>
      </c>
      <c r="LE20" s="292"/>
      <c r="LF20" s="409" t="str">
        <f t="shared" si="183"/>
        <v/>
      </c>
      <c r="LG20" s="430" t="str">
        <f>IF(A20=FALSE,"",IF(LA20="POEA",Cotations!BK20,IF(LA20="FIXE",Cotations!BL20,IF(Cotations!BM20*Y20&lt;50000,Z20,Cotations!BM20*Y20))))</f>
        <v/>
      </c>
      <c r="LH20" s="292" t="str">
        <f t="shared" si="184"/>
        <v/>
      </c>
      <c r="LI20" s="446" t="str">
        <f>IF(A20=FALSE,"",IF(Cotations!AU20="monthly",LH20/12*L20,LH20/365*M20))</f>
        <v/>
      </c>
      <c r="LJ20" s="429" t="str">
        <f>IF(A20=FALSE,"",IF(Cotations!BN20="","",Cotations!BN20))</f>
        <v/>
      </c>
      <c r="LK20" s="292" t="str">
        <f t="shared" si="185"/>
        <v/>
      </c>
      <c r="LL20" s="292" t="str">
        <f t="shared" si="186"/>
        <v/>
      </c>
      <c r="LM20" s="759" t="str">
        <f t="shared" si="187"/>
        <v/>
      </c>
      <c r="LN20" s="759" t="str">
        <f>IF(A20=FALSE,"",((LH20*TAXE)-(LH20*TAXE*LJ20))+IF(#REF!="N/A",0,IF(INDEX(LISTES!$F$105:$F$109,MATCH(#REF!,LISTES!$C$105:$C$109,0))="FIX",#REF!,#REF!*LM20)))</f>
        <v/>
      </c>
      <c r="LR20" s="1127"/>
      <c r="LS20" s="1127"/>
      <c r="LT20" s="1127"/>
      <c r="LU20" s="1127"/>
      <c r="LV20" s="1127"/>
      <c r="LW20" s="1127"/>
      <c r="LX20" s="1127"/>
      <c r="LY20" s="1127"/>
      <c r="MA20" s="432" t="str">
        <f t="shared" si="188"/>
        <v/>
      </c>
      <c r="MB20" s="1234" t="str">
        <f>IF(A20=FALSE,"",IF(Detail!BZ20="","N/A",YEAR(Detail!F20)&amp;Detail!CC20&amp;Detail!BZ20&amp;"-"&amp;Detail!$BZ$13&amp;" (100%/"&amp;Detail!CD20&amp;"/"&amp;Detail!CE20&amp;")"))</f>
        <v/>
      </c>
      <c r="MC20" s="431" t="str">
        <f>IF(A20=FALSE,"",IF(LISTES!$A$17=1,MB20,INDEX(colMOD5,MATCH(DA20,colchoice,0))))</f>
        <v/>
      </c>
      <c r="MD20" s="759" t="str">
        <f t="shared" si="189"/>
        <v/>
      </c>
      <c r="ME20" s="292"/>
      <c r="MF20" s="409" t="str">
        <f t="shared" si="190"/>
        <v/>
      </c>
      <c r="MG20" s="430" t="str">
        <f>IF(A20=FALSE,"",Cotations!BQ20*AA20)</f>
        <v/>
      </c>
      <c r="MH20" s="292" t="str">
        <f t="shared" si="191"/>
        <v/>
      </c>
      <c r="MI20" s="446" t="str">
        <f>IF(A20=FALSE,"",IF(Cotations!AU20="monthly",MH20/12*L20,MH20/365*M20))</f>
        <v/>
      </c>
      <c r="MJ20" s="429" t="str">
        <f>IF(A20=FALSE,"",IF(Cotations!BR20="","",Cotations!BR20))</f>
        <v/>
      </c>
      <c r="MK20" s="292" t="str">
        <f t="shared" si="192"/>
        <v/>
      </c>
      <c r="ML20" s="292" t="str">
        <f t="shared" si="193"/>
        <v/>
      </c>
      <c r="MM20" s="759" t="str">
        <f t="shared" si="194"/>
        <v/>
      </c>
      <c r="MN20" s="759" t="str">
        <f>IF(A20=FALSE,"",((MH20*TAXE)-(MH20*TAXE*MJ20))+IF(#REF!="N/A",0,IF(INDEX(LISTES!$F$105:$F$109,MATCH(#REF!,LISTES!$C$105:$C$109,0))="FIX",#REF!,#REF!*MM20)))</f>
        <v/>
      </c>
      <c r="MQ20" s="1127"/>
      <c r="MR20" s="1127"/>
      <c r="MS20" s="1127"/>
      <c r="MT20" s="1127"/>
      <c r="MU20" s="1127"/>
      <c r="MV20" s="1127"/>
      <c r="MW20" s="1127"/>
      <c r="MX20" s="1127"/>
      <c r="NA20" s="432" t="str">
        <f t="shared" si="195"/>
        <v/>
      </c>
      <c r="NB20" s="1234" t="str">
        <f>IF(A20=FALSE,"",IF(Detail!CH20="","N/A",YEAR(Detail!F20)&amp;Detail!CK20&amp;Detail!CH20&amp;"-"&amp;Detail!$CH$13&amp;" (100%/"&amp;Detail!CL20&amp;"/"&amp;Detail!CM20&amp;")"))</f>
        <v/>
      </c>
      <c r="NC20" s="431" t="str">
        <f>IF(A20=FALSE,"",IF(LISTES!$A$17=1,NB20,INDEX(colMOD6,MATCH(DA20,colchoice,0))))</f>
        <v/>
      </c>
      <c r="ND20" s="759" t="str">
        <f t="shared" si="196"/>
        <v/>
      </c>
      <c r="NE20" s="292"/>
      <c r="NF20" s="409" t="str">
        <f t="shared" si="197"/>
        <v/>
      </c>
      <c r="NG20" s="430" t="str">
        <f>IF(A20=FALSE,"",Cotations!BU20*AA20)</f>
        <v/>
      </c>
      <c r="NH20" s="292" t="str">
        <f t="shared" si="198"/>
        <v/>
      </c>
      <c r="NI20" s="446" t="str">
        <f>IF(A20=FALSE,"",IF(Cotations!AU20="monthly",NH20/12*L20,NH20/365*M20))</f>
        <v/>
      </c>
      <c r="NJ20" s="429" t="str">
        <f>IF(A20=FALSE,"",IF(Cotations!BV20="","",Cotations!BV20))</f>
        <v/>
      </c>
      <c r="NK20" s="292" t="str">
        <f t="shared" si="199"/>
        <v/>
      </c>
      <c r="NL20" s="292" t="str">
        <f t="shared" si="200"/>
        <v/>
      </c>
      <c r="NM20" s="759" t="str">
        <f t="shared" si="201"/>
        <v/>
      </c>
      <c r="NN20" s="759" t="str">
        <f>IF(A20=FALSE,"",((NH20*TAXE)-(NH20*TAXE*NJ20))+IF(#REF!="N/A",0,IF(INDEX(LISTES!$F$105:$F$109,MATCH(#REF!,LISTES!$C$105:$C$109,0))="FIX",#REF!,#REF!*NM20)))</f>
        <v/>
      </c>
      <c r="NR20" s="1127"/>
      <c r="NS20" s="1127"/>
      <c r="NT20" s="1127"/>
      <c r="NU20" s="1127"/>
      <c r="NV20" s="1127"/>
      <c r="NW20" s="1127"/>
      <c r="NX20" s="1127"/>
      <c r="NY20" s="1127"/>
      <c r="NZ20" s="1281" t="str">
        <f>IF(A20=FALSE,"",IF(Detail!CP20="","N/A",YEAR(Detail!F20)&amp;Detail!CS20&amp;Detail!CP20&amp;"-"&amp;Detail!CQ20))</f>
        <v/>
      </c>
      <c r="OA20" s="432" t="str">
        <f>IF(A20=FALSE,"",Cotations!CF20)</f>
        <v/>
      </c>
      <c r="OB20" s="1282" t="str">
        <f>IF(A20=FALSE,"",IF(Detail!CP20="","N/A",YEAR(Detail!F20)&amp;Detail!CS20&amp;Detail!CP20&amp;"-"&amp;Detail!$CP$13&amp;Detail!CQ20))</f>
        <v/>
      </c>
      <c r="OC20" s="1283" t="str">
        <f>IF(A20=FALSE,"",IF(LISTES!$A$17=1,OB20,INDEX(colMOD1,MATCH(Cotations!CE20,colchoice,0))))</f>
        <v/>
      </c>
      <c r="OD20" s="759" t="str">
        <f t="shared" si="202"/>
        <v/>
      </c>
      <c r="OE20" s="292" t="str">
        <f>IF(A20=FALSE,"",Detail!CQ20)</f>
        <v/>
      </c>
      <c r="OF20" s="409" t="str">
        <f t="shared" si="203"/>
        <v/>
      </c>
      <c r="OG20" s="430" t="str">
        <f>IF(A20=FALSE,"",IF(OA20="FIXE",Cotations!CM20,Cotations!CN20*AA20))</f>
        <v/>
      </c>
      <c r="OH20" s="292" t="str">
        <f t="shared" si="288"/>
        <v/>
      </c>
      <c r="OI20" s="446" t="str">
        <f>IF(A20=FALSE,"",IF(Cotations!CF20="monthly",OH20/12*L20,OH20/365*M20))</f>
        <v/>
      </c>
      <c r="OJ20" s="429" t="str">
        <f>IF(A20=FALSE,"",IF(Cotations!CO20="","",Cotations!CO20))</f>
        <v/>
      </c>
      <c r="OK20" s="292" t="str">
        <f t="shared" si="289"/>
        <v/>
      </c>
      <c r="OL20" s="292" t="str">
        <f t="shared" si="290"/>
        <v/>
      </c>
      <c r="OM20" s="759" t="str">
        <f t="shared" si="207"/>
        <v/>
      </c>
      <c r="ON20" s="759" t="str">
        <f>IF(A20=FALSE,"",((OH20*(1+TAXE)-(OH20*(1+TAXE)*OJ20))+IF(#REF!="N/A",0,IF(INDEX(LISTES!$F$105:$F$109,MATCH(#REF!,LISTES!$C$105:$C$109,0))="FIX",#REF!,#REF!*OM20))))</f>
        <v/>
      </c>
      <c r="PA20" s="432" t="str">
        <f>IF(A20=FALSE,"",Cotations!CF20)</f>
        <v/>
      </c>
      <c r="PB20" s="1282" t="str">
        <f>IF(A20=FALSE,"",IF(Detail!CX20="","N/A",YEAR(Detail!F20)&amp;Detail!DA20&amp;Detail!CX20&amp;"-"&amp;Detail!$CX$13&amp;Detail!CY20))</f>
        <v/>
      </c>
      <c r="PC20" s="1283" t="str">
        <f>IF(A20=FALSE,"",IF(LISTES!$A$17=1,PB20,INDEX(colMOD3,MATCH(Cotations!CE20,colchoice,0))))</f>
        <v/>
      </c>
      <c r="PD20" s="759" t="str">
        <f t="shared" si="208"/>
        <v/>
      </c>
      <c r="PE20" s="292" t="str">
        <f>IF(A20=FALSE,"",IF(Detail!CY20="","",Detail!CY20))</f>
        <v/>
      </c>
      <c r="PF20" s="409" t="str">
        <f t="shared" si="291"/>
        <v/>
      </c>
      <c r="PG20" s="430" t="str">
        <f>IF(A20=FALSE,"",IF(PA20="FIXE",Cotations!CP20,Cotations!CQ20*AA20))</f>
        <v/>
      </c>
      <c r="PH20" s="292" t="str">
        <f t="shared" si="292"/>
        <v/>
      </c>
      <c r="PI20" s="446" t="str">
        <f>IF(A20=FALSE,"",IF(Cotations!CG20="monthly",PH20/12*L20,PH20/365*M20))</f>
        <v/>
      </c>
      <c r="PJ20" s="429" t="str">
        <f>IF(A20=FALSE,"",IF(Cotations!DA20="",0,Cotations!DA20))</f>
        <v/>
      </c>
      <c r="PK20" s="292" t="str">
        <f t="shared" si="293"/>
        <v/>
      </c>
      <c r="PL20" s="292" t="str">
        <f t="shared" si="294"/>
        <v/>
      </c>
      <c r="PM20" s="759" t="str">
        <f t="shared" si="211"/>
        <v/>
      </c>
      <c r="PN20" s="759" t="str">
        <f>IF(A20=FALSE,"",((PH20*(1+TAXE)-(PH20*(1+TAXE)*PJ20))+IF(#REF!="N/A",0,IF(INDEX(LISTES!$F$105:$F$109,MATCH(#REF!,LISTES!$C$105:$C$109,0))="FIX",#REF!,#REF!*PM20))))</f>
        <v/>
      </c>
    </row>
    <row r="21" spans="1:430" s="288" customFormat="1">
      <c r="A21" s="779" t="b">
        <f t="shared" si="111"/>
        <v>0</v>
      </c>
      <c r="B21" s="779" t="b">
        <f>IF(NAMES!$B$9=TRUE,TRUE,FALSE)</f>
        <v>1</v>
      </c>
      <c r="C21" s="779" t="b">
        <f t="shared" si="212"/>
        <v>0</v>
      </c>
      <c r="D21" s="779" t="b">
        <f t="shared" si="213"/>
        <v>1</v>
      </c>
      <c r="E21" s="267" t="b">
        <f>IF(Cotations!C21="","",Cotations!C21)</f>
        <v>0</v>
      </c>
      <c r="F21" s="267" t="str">
        <f>IF(Cotations!AT21="","",Cotations!AT21)</f>
        <v>PROP</v>
      </c>
      <c r="G21" s="267" t="str">
        <f>IF(Cotations!D21="","",Cotations!D21)</f>
        <v>2016-2017!</v>
      </c>
      <c r="H21" s="267" t="str">
        <f>IF(Cotations!E21="","",Cotations!E21)</f>
        <v>SINGLE</v>
      </c>
      <c r="I21" s="267" t="str">
        <f>IF(Cotations!F21="","",Cotations!F21)</f>
        <v/>
      </c>
      <c r="J21" s="267" t="str">
        <f>IF(Cotations!G21="","",Cotations!G21)</f>
        <v/>
      </c>
      <c r="K21" s="267" t="str">
        <f>IF(Cotations!H21="","",Cotations!H21)</f>
        <v/>
      </c>
      <c r="L21" s="267" t="str">
        <f>IF(A21=FALSE,"",IF(Cotations!M21="","",Cotations!M21))</f>
        <v/>
      </c>
      <c r="M21" s="267" t="str">
        <f>IF(Cotations!O21="","",Cotations!O21)</f>
        <v/>
      </c>
      <c r="N21" s="588">
        <f>IF(NAMES!$B$10=TRUE,Cotations!I21,Cotations!K21)</f>
        <v>42675</v>
      </c>
      <c r="O21" s="588">
        <f>IF(NAMES!$B$10=TRUE,Cotations!J21,Cotations!L21)</f>
        <v>42749</v>
      </c>
      <c r="P21" s="780" t="str">
        <f t="shared" si="214"/>
        <v>novembre</v>
      </c>
      <c r="Q21" s="588" t="str">
        <f>IF(A21=FALSE,"",IF(Crewlist!Y21="","",Crewlist!Y21))</f>
        <v/>
      </c>
      <c r="R21" s="78" t="str">
        <f>IF(Cotations!T21="","",Cotations!T21)</f>
        <v/>
      </c>
      <c r="S21" s="780" t="str">
        <f t="shared" si="215"/>
        <v/>
      </c>
      <c r="T21" s="759" t="str">
        <f>IF(A21=FALSE,"",VLOOKUP($U$15:$U$120,Currency!$A$2:$D$10,4,0)*Crewlist!N21)</f>
        <v/>
      </c>
      <c r="U21" s="1097" t="str">
        <f>IF(A21=FALSE,"",IF(DP21=0,Crewlist!M21&amp;"/"&amp;CP21,Crewlist!M21&amp;"/"&amp;DP21))</f>
        <v/>
      </c>
      <c r="V21" s="759" t="str">
        <f>IF(A21=FALSE,"",VLOOKUP($U$15:$U$120,Currency!$A$2:$D$10,4,0)*Detail!Q21)</f>
        <v/>
      </c>
      <c r="W21" s="1097" t="str">
        <f>IF(A21=FALSE,"",IF(DP21=0,Detail!R21&amp;"/"&amp;CP21,Detail!R21&amp;"/"&amp;DP21))</f>
        <v/>
      </c>
      <c r="X21" s="759" t="str">
        <f>IF(A21=FALSE,"",IF(LISTES!$C$17="Crewlist",Calcul!T21,Calcul!V21))</f>
        <v/>
      </c>
      <c r="Y21" s="618" t="str">
        <f t="shared" si="216"/>
        <v/>
      </c>
      <c r="Z21" s="618" t="str">
        <f>IF(A21=FALSE,"",IF(X21=0,0,IF((Cotations!BA21*12*X21)&lt;50000,50000,(12*X21))))</f>
        <v/>
      </c>
      <c r="AA21" s="618" t="str">
        <f t="shared" si="217"/>
        <v/>
      </c>
      <c r="AB21" s="618" t="str">
        <f>IF(A21=FALSE,"",IF(Crewlist!O21=0,"",Crewlist!O21))</f>
        <v/>
      </c>
      <c r="AC21" s="618" t="str">
        <f>IF(I21="","",VLOOKUP($AB$15:$AB$120,Currency!$A$15:$B$34,2,0))</f>
        <v/>
      </c>
      <c r="AD21" s="618" t="str">
        <f t="shared" si="218"/>
        <v/>
      </c>
      <c r="AE21" s="618" t="str">
        <f t="shared" si="219"/>
        <v/>
      </c>
      <c r="AF21" s="618" t="str">
        <f t="shared" si="220"/>
        <v/>
      </c>
      <c r="AG21" s="618" t="str">
        <f t="shared" si="221"/>
        <v/>
      </c>
      <c r="AH21" s="1097" t="str">
        <f t="shared" si="112"/>
        <v/>
      </c>
      <c r="AI21" s="759" t="str">
        <f t="shared" si="222"/>
        <v/>
      </c>
      <c r="AJ21" s="1120" t="str">
        <f t="shared" si="223"/>
        <v/>
      </c>
      <c r="AK21" s="1120" t="str">
        <f t="shared" si="224"/>
        <v/>
      </c>
      <c r="AL21" s="236" t="str">
        <f t="shared" si="225"/>
        <v/>
      </c>
      <c r="AM21" s="236" t="str">
        <f t="shared" si="226"/>
        <v/>
      </c>
      <c r="AN21" s="1112" t="str">
        <f t="shared" si="227"/>
        <v/>
      </c>
      <c r="AO21" s="236" t="str">
        <f t="shared" si="228"/>
        <v/>
      </c>
      <c r="AP21" s="327" t="str">
        <f>IF(A21=FALSE,"",INDEX(Rates!$Q$1:$Q$278,MATCH(CA21,colchoice,0)))</f>
        <v/>
      </c>
      <c r="AQ21" s="236" t="str">
        <f t="shared" si="229"/>
        <v/>
      </c>
      <c r="AR21" s="236" t="str">
        <f t="shared" si="230"/>
        <v/>
      </c>
      <c r="AS21" s="236" t="str">
        <f t="shared" si="117"/>
        <v/>
      </c>
      <c r="AT21" s="236" t="str">
        <f t="shared" si="118"/>
        <v/>
      </c>
      <c r="AU21" s="236" t="str">
        <f t="shared" si="231"/>
        <v/>
      </c>
      <c r="AV21" s="236" t="str">
        <f t="shared" si="232"/>
        <v/>
      </c>
      <c r="AW21" s="236" t="str">
        <f t="shared" si="233"/>
        <v/>
      </c>
      <c r="AX21" s="236" t="str">
        <f t="shared" si="234"/>
        <v/>
      </c>
      <c r="AY21" s="236" t="str">
        <f t="shared" si="235"/>
        <v/>
      </c>
      <c r="AZ21" s="236" t="str">
        <f t="shared" si="236"/>
        <v/>
      </c>
      <c r="BA21" s="236" t="str">
        <f t="shared" si="237"/>
        <v/>
      </c>
      <c r="BB21" s="467" t="str">
        <f t="shared" si="238"/>
        <v/>
      </c>
      <c r="BC21" s="329" t="str">
        <f t="shared" si="239"/>
        <v/>
      </c>
      <c r="BD21" s="237" t="str">
        <f t="shared" si="240"/>
        <v/>
      </c>
      <c r="BE21" s="237" t="str">
        <f>IF(A21=FALSE,"",IF(ED21&lt;&gt;$BC$7,0,INDEX(EA21:EZ21,1,MATCH(Structure!$J$16,$EA$14:$EZ$14,0))))</f>
        <v/>
      </c>
      <c r="BF21" s="237" t="str">
        <f>IF(A21=FALSE,"",IF(FD21&lt;&gt;$BC$7,0,INDEX(FA21:FZ21,1,MATCH(Structure!$J$16,$FA$14:$FZ$14,0))))</f>
        <v/>
      </c>
      <c r="BG21" s="237" t="str">
        <f>IF(A21=FALSE,"",IF(GD21&lt;&gt;$BC$7,0,INDEX(GA21:GZ21,1,MATCH(Structure!$J$16,$GA$14:$GZ$14,0))))</f>
        <v/>
      </c>
      <c r="BH21" s="237" t="str">
        <f>IF(A21=FALSE,"",IF(HD21&lt;&gt;$BC$7,0,INDEX(HA21:HZ21,1,MATCH(Structure!$J$16,$HA$14:$HZ$14,0))))</f>
        <v/>
      </c>
      <c r="BI21" s="621" t="str">
        <f>IF(A21=FALSE,"",IF(ID21&lt;&gt;$BC$7,0,INDEX(IA21:IZ21,1,MATCH(Structure!$C$12,$IA$14:$IZ$14,0)))+OL21)</f>
        <v/>
      </c>
      <c r="BJ21" s="237" t="str">
        <f>IF(A21=FALSE,"",IF(JD21&lt;&gt;$BC$7,0,INDEX(JA21:JZ21,1,MATCH(Structure!$C$12,$JA$14:$JZ$14,0))))</f>
        <v/>
      </c>
      <c r="BK21" s="621" t="str">
        <f>IF(A21=FALSE,"",IF(KD21&lt;&gt;$BC$7,0,INDEX(KA21:KZ21,1,MATCH(Structure!$C$12,$KA$14:$KZ$14,0)))+PL21)</f>
        <v/>
      </c>
      <c r="BL21" s="237" t="str">
        <f>IF(A21=FALSE,"",IF(LD21&lt;&gt;$BC$7,0,INDEX(LA21:LZ21,1,MATCH(Structure!$C$12,$LA$14:$LZ$14,0))))</f>
        <v/>
      </c>
      <c r="BM21" s="237" t="str">
        <f>IF(A21=FALSE,"",IF(MD21&lt;&gt;$BC$7,0,INDEX(MA21:MZ21,1,MATCH(Structure!$C$12,$MA$14:$MZ$14,0))))</f>
        <v/>
      </c>
      <c r="BN21" s="326" t="str">
        <f>IF(A21=FALSE,"",IF(ND21&lt;&gt;$BC$7,0,INDEX(NA21:OC21,1,MATCH(Structure!$C$12,$NA$14:$OC$14,0))))</f>
        <v/>
      </c>
      <c r="BO21" s="435" t="str">
        <f t="shared" si="241"/>
        <v/>
      </c>
      <c r="BP21" s="237" t="str">
        <f t="shared" si="242"/>
        <v/>
      </c>
      <c r="BQ21" s="237" t="str">
        <f>IF(A21=FALSE,"",IF(ED21&lt;&gt;$BO$7,0,INDEX(EA21:EZ21,1,MATCH(Structure!$C$12,$EA$14:$EZ$14,0))))</f>
        <v/>
      </c>
      <c r="BR21" s="237" t="str">
        <f>IF(A21=FALSE,"",IF(FD21&lt;&gt;$BO$7,0,INDEX(FA21:FZ21,1,MATCH(Structure!$C$12,$FA$14:$FZ$14,0))))</f>
        <v/>
      </c>
      <c r="BS21" s="237" t="str">
        <f>IF(A21=FALSE,"",IF(ID21&lt;&gt;$BO$7,0,INDEX(IA21:IZ21,1,MATCH(Structure!$C$13,$IA$14:$IZ$14,0))))</f>
        <v/>
      </c>
      <c r="BT21" s="237" t="str">
        <f>IF(A21=FALSE,"",IF(JD21&lt;&gt;$BO$7,0,INDEX(JA21:JZ21,1,MATCH(Structure!$C$13,$JA$14:$JZ$14,0))))</f>
        <v/>
      </c>
      <c r="BU21" s="237" t="str">
        <f>IF(A21=FALSE,"",IF(KD21&lt;&gt;$BO$7,0,INDEX(KA21:KZ21,1,MATCH(Structure!$C$13,$KA$14:$KZ$14,0))))</f>
        <v/>
      </c>
      <c r="BV21" s="237" t="str">
        <f>IF(A21=FALSE,"",IF(LD21&lt;&gt;$BO$7,0,INDEX(LA21:LZ21,1,MATCH(Structure!$C$13,$LA$14:$LZ$14,0))))</f>
        <v/>
      </c>
      <c r="BW21" s="237" t="str">
        <f>IF(A21=FALSE,"",IF(MD21&lt;&gt;$BO$7,0,INDEX(MA21:MZ21,1,MATCH(Structure!$C$13,$MA$14:$MZ$14,0))))</f>
        <v/>
      </c>
      <c r="BX21" s="326" t="str">
        <f>IF(A21=FALSE,"",IF(ND21&lt;&gt;$BO$7,0,INDEX(NA21:OC21,1,MATCH(Structure!$C$13,$NA$14:$OC$14,0))))</f>
        <v/>
      </c>
      <c r="BY21" s="412"/>
      <c r="BZ21" s="412"/>
      <c r="CA21" s="1255" t="str">
        <f>IF(A21=FALSE,"",IF(LISTES!$A$17=1,Cotations!AG21,Cotations!AH21))</f>
        <v/>
      </c>
      <c r="CB21" s="1266" t="str">
        <f t="shared" si="243"/>
        <v/>
      </c>
      <c r="CC21" s="1120" t="str">
        <f t="shared" si="244"/>
        <v/>
      </c>
      <c r="CD21" s="1120" t="str">
        <f t="shared" si="245"/>
        <v/>
      </c>
      <c r="CE21" s="1120" t="str">
        <f t="shared" si="246"/>
        <v/>
      </c>
      <c r="CF21" s="1120" t="str">
        <f t="shared" si="247"/>
        <v/>
      </c>
      <c r="CG21" s="1267"/>
      <c r="CH21" s="1267"/>
      <c r="CI21" s="1268" t="str">
        <f t="shared" si="248"/>
        <v/>
      </c>
      <c r="CJ21" s="286" t="str">
        <f t="shared" si="249"/>
        <v/>
      </c>
      <c r="CK21" s="286" t="str">
        <f t="shared" si="250"/>
        <v/>
      </c>
      <c r="CL21" s="1263"/>
      <c r="CM21" s="1263"/>
      <c r="CN21" s="1263"/>
      <c r="CO21" s="1263"/>
      <c r="CP21" s="319" t="str">
        <f t="shared" si="251"/>
        <v/>
      </c>
      <c r="CQ21" s="443" t="str">
        <f>IF(A21=FALSE,"",Cotations!AM21)</f>
        <v/>
      </c>
      <c r="CR21" s="443" t="str">
        <f>IF(A21=FALSE,"",IF(Cotations!AN21="","",Cotations!AN21))</f>
        <v/>
      </c>
      <c r="CS21" s="433" t="str">
        <f>IF(A21=FALSE,"",Cotations!AO21)</f>
        <v/>
      </c>
      <c r="CT21" s="443" t="str">
        <f>IF(A21=FALSE,"",IF(CQ21="N/A",0,IF(INDEX(LISTES!$F$105:$F$109,MATCH(CQ21,LISTES!$C$105:$C$109,0))="FIX",IF(INDEX(LISTES!$E$105:$E$109,MATCH(CQ21,LISTES!$C$105:$C$109,0))=12,CR21/12*L21,CR21/365*M21),CS21*EQ21)))</f>
        <v/>
      </c>
      <c r="CU21" s="434" t="str">
        <f>IF(A21=FALSE,"",(CJ21+CK21)*Cotations!AP21)</f>
        <v/>
      </c>
      <c r="CV21" s="434" t="str">
        <f>IF(A21=FALSE,"",(CJ21+CK21)*Cotations!AQ21)</f>
        <v/>
      </c>
      <c r="CX21" s="1127"/>
      <c r="CY21" s="1127"/>
      <c r="CZ21" s="1127"/>
      <c r="DA21" s="1253" t="str">
        <f>IF(A21=FALSE,"",IF(LISTES!$A$17=1,Cotations!AV21,Cotations!AW21))</f>
        <v/>
      </c>
      <c r="DB21" s="1271" t="str">
        <f t="shared" si="252"/>
        <v/>
      </c>
      <c r="DC21" s="1270" t="str">
        <f t="shared" si="253"/>
        <v/>
      </c>
      <c r="DD21" s="1270" t="str">
        <f t="shared" si="254"/>
        <v/>
      </c>
      <c r="DE21" s="1270" t="str">
        <f t="shared" si="255"/>
        <v/>
      </c>
      <c r="DF21" s="1270" t="str">
        <f t="shared" si="256"/>
        <v/>
      </c>
      <c r="DG21" s="1270" t="str">
        <f t="shared" si="257"/>
        <v/>
      </c>
      <c r="DH21" s="1270" t="str">
        <f t="shared" si="258"/>
        <v/>
      </c>
      <c r="DI21" s="1271" t="str">
        <f t="shared" si="259"/>
        <v/>
      </c>
      <c r="DJ21" s="286" t="str">
        <f t="shared" si="260"/>
        <v/>
      </c>
      <c r="DK21" s="286" t="str">
        <f t="shared" si="261"/>
        <v/>
      </c>
      <c r="DL21" s="1264" t="str">
        <f t="shared" si="262"/>
        <v/>
      </c>
      <c r="DM21" s="1264" t="str">
        <f t="shared" si="263"/>
        <v/>
      </c>
      <c r="DN21" s="1264" t="str">
        <f t="shared" si="264"/>
        <v/>
      </c>
      <c r="DO21" s="1264" t="str">
        <f t="shared" si="265"/>
        <v/>
      </c>
      <c r="DP21" s="323" t="str">
        <f t="shared" si="132"/>
        <v/>
      </c>
      <c r="DQ21" s="444" t="str">
        <f>IF(A21=FALSE,"",Cotations!BW21)</f>
        <v/>
      </c>
      <c r="DR21" s="444" t="str">
        <f>IF(A21=FALSE,"",Cotations!BX21)</f>
        <v/>
      </c>
      <c r="DS21" s="433" t="str">
        <f>IF(A21=FALSE,"",Cotations!BY21)</f>
        <v/>
      </c>
      <c r="DT21" s="830" t="str">
        <f>IF(A21=FALSE,"",IF(DQ21="N/A",0,IF(INDEX(LISTES!$F$105:$F$109,MATCH(DQ21,LISTES!$C$105:$C$109,0))="FIX",IF(INDEX(LISTES!$E$105:$E$109,MATCH(DQ21,LISTES!$C$105:$C$109,0))=12,DR21/12*L21,DR21/365*M21),DS21*(DN21+DO21))))</f>
        <v/>
      </c>
      <c r="DU21" s="434" t="str">
        <f>IF(A21=FALSE,"",DJ21*Cotations!BZ21)</f>
        <v/>
      </c>
      <c r="DV21" s="434" t="str">
        <f>IF(A21=FALSE,"",DJ21*Cotations!CA21)</f>
        <v/>
      </c>
      <c r="DX21" s="1127"/>
      <c r="DY21" s="1127"/>
      <c r="DZ21" s="1127"/>
      <c r="EA21" s="432" t="str">
        <f>IF(A21=FALSE,"",Cotations!AT21)</f>
        <v/>
      </c>
      <c r="EB21" s="1234" t="str">
        <f>IF(A21=FALSE,"",YEAR(Detail!F21)&amp;Detail!AG21&amp;Detail!AD21&amp;"-"&amp;Detail!$AD$13&amp;Detail!AE21)</f>
        <v/>
      </c>
      <c r="EC21" s="434" t="str">
        <f>IF(A21=FALSE,"",IF(LISTES!$A$17=1,EB21,INDEX(colMOD1,MATCH(Cotations!AH21,colchoice,0))))</f>
        <v/>
      </c>
      <c r="ED21" s="277" t="str">
        <f t="shared" si="133"/>
        <v/>
      </c>
      <c r="EE21" s="277" t="str">
        <f t="shared" si="134"/>
        <v/>
      </c>
      <c r="EF21" s="277"/>
      <c r="EG21" s="277"/>
      <c r="EH21" s="277" t="str">
        <f t="shared" si="135"/>
        <v/>
      </c>
      <c r="EI21" s="1104" t="str">
        <f t="shared" si="136"/>
        <v/>
      </c>
      <c r="EJ21" s="1104" t="str">
        <f t="shared" si="137"/>
        <v/>
      </c>
      <c r="EK21" s="443" t="str">
        <f>IF(A21=FALSE,"",IF(Cotations!AF21="monthly",EH21/12*L21,EH21/365*M21))</f>
        <v/>
      </c>
      <c r="EL21" s="1103" t="str">
        <f>IF(A21=FALSE,"",IF(Cotations!AF21="monthly",EJ21/12*L21,EJ21/365*M21))</f>
        <v/>
      </c>
      <c r="EM21" s="433" t="str">
        <f>IF(A21=FALSE,"",IF(Cotations!AI21="","",Cotations!AI21))</f>
        <v/>
      </c>
      <c r="EN21" s="277" t="str">
        <f t="shared" si="266"/>
        <v/>
      </c>
      <c r="EO21" s="277" t="str">
        <f t="shared" si="138"/>
        <v/>
      </c>
      <c r="EP21" s="1104" t="str">
        <f t="shared" si="139"/>
        <v/>
      </c>
      <c r="EQ21" s="277" t="str">
        <f t="shared" si="267"/>
        <v/>
      </c>
      <c r="ER21" s="759" t="str">
        <f>IF(A21=FALSE,"",((EH21*TAXE)-(EH21*TAXE*EM21)+EI21)+IF(CQ21="N/A",0,IF(INDEX(LISTES!$F$105:$F$109,MATCH(CQ21,LISTES!$C$105:$C$109,0))="FIX",CR21,CS21*EQ21)))</f>
        <v/>
      </c>
      <c r="ES21" s="383"/>
      <c r="ET21" s="422"/>
      <c r="EU21" s="422"/>
      <c r="EV21" s="422"/>
      <c r="EW21" s="422"/>
      <c r="EX21" s="422"/>
      <c r="EY21" s="422"/>
      <c r="EZ21" s="422"/>
      <c r="FA21" s="432" t="str">
        <f>IF(A21=FALSE,"",Cotations!AT21)</f>
        <v/>
      </c>
      <c r="FB21" s="1235" t="str">
        <f>IF(A21=FALSE,"",IF(Detail!AL21="","N/A",YEAR(Detail!F21)&amp;Detail!AO21&amp;Detail!AL21&amp;"-"&amp;Detail!$AL$13&amp;Detail!AM21))</f>
        <v/>
      </c>
      <c r="FC21" s="434" t="str">
        <f>IF(A21=FALSE,"",IF(LISTES!$A$17=1,FB21,INDEX(colMOD2,MATCH(Cotations!AH21,colchoice,0))))</f>
        <v/>
      </c>
      <c r="FD21" s="277" t="str">
        <f t="shared" si="140"/>
        <v/>
      </c>
      <c r="FE21" s="443" t="str">
        <f>IF(A21=FALSE,"",IF(Detail!AM21="","",Detail!AM21))</f>
        <v/>
      </c>
      <c r="FF21" s="277"/>
      <c r="FG21" s="277"/>
      <c r="FH21" s="277" t="str">
        <f t="shared" si="141"/>
        <v/>
      </c>
      <c r="FI21" s="1104"/>
      <c r="FJ21" s="1104"/>
      <c r="FK21" s="443" t="str">
        <f>IF(A21=FALSE,"",IF(Cotations!AF21="monthly",FH21/12*L21,FH21/365*M21))</f>
        <v/>
      </c>
      <c r="FL21" s="1103" t="str">
        <f>IF(A21=FALSE,"",IF(Cotations!AF21="monthly",FJ21/12*L21,FJ21/365*M21))</f>
        <v/>
      </c>
      <c r="FM21" s="433" t="str">
        <f>IF(A21=FALSE,"",IF(Cotations!AJ21="","",Cotations!AJ21))</f>
        <v/>
      </c>
      <c r="FN21" s="277" t="str">
        <f t="shared" si="268"/>
        <v/>
      </c>
      <c r="FO21" s="277" t="str">
        <f t="shared" si="269"/>
        <v/>
      </c>
      <c r="FP21" s="1104"/>
      <c r="FQ21" s="277" t="str">
        <f t="shared" si="270"/>
        <v/>
      </c>
      <c r="FR21" s="759" t="str">
        <f>IF(A21=FALSE,"",((FH21*TAXE)-(FH21*TAXE*FM21))+IF(#REF!="N/A",0,IF(INDEX(LISTES!$F$105:$F$109,MATCH(#REF!,LISTES!$C$105:$C$109,0))="FIX",#REF!,#REF!*FQ21)))</f>
        <v/>
      </c>
      <c r="FS21" s="422"/>
      <c r="FT21" s="422"/>
      <c r="FU21" s="422"/>
      <c r="FV21" s="422"/>
      <c r="FW21" s="422"/>
      <c r="FX21" s="422"/>
      <c r="FY21" s="422"/>
      <c r="FZ21" s="422"/>
      <c r="GA21" s="432" t="str">
        <f t="shared" si="145"/>
        <v/>
      </c>
      <c r="GB21" s="1234" t="str">
        <f>IF(A21=FALSE,"",IF(Detail!DF21="","N/A",YEAR(Detail!F21)&amp;Detail!DI21&amp;Detail!DF21&amp;"-"&amp;Detail!$DF$13))</f>
        <v/>
      </c>
      <c r="GC21" s="434" t="str">
        <f>IF(A21=FALSE,"",IF(LISTES!$A$17=1,GB21,INDEX(colMOD3,MATCH(Cotations!AH21,colchoice,0))))</f>
        <v/>
      </c>
      <c r="GD21" s="277" t="str">
        <f t="shared" si="146"/>
        <v/>
      </c>
      <c r="GE21" s="277" t="str">
        <f t="shared" si="147"/>
        <v/>
      </c>
      <c r="GF21" s="277"/>
      <c r="GG21" s="277"/>
      <c r="GH21" s="277" t="str">
        <f t="shared" si="271"/>
        <v/>
      </c>
      <c r="GI21" s="1104" t="str">
        <f t="shared" si="272"/>
        <v/>
      </c>
      <c r="GJ21" s="1104" t="str">
        <f t="shared" si="273"/>
        <v/>
      </c>
      <c r="GK21" s="443" t="str">
        <f>IF(A21=FALSE,"",IF(Cotations!AF21="monthly",GH21/12*L21,GH21/365*M21))</f>
        <v/>
      </c>
      <c r="GL21" s="1103" t="str">
        <f>IF(A21=FALSE,"",IF(Cotations!AF21="monthly",GJ21/12*L21,GJ21/365*M21))</f>
        <v/>
      </c>
      <c r="GM21" s="433" t="str">
        <f>IF(A21=FALSE,"",IF(Cotations!AK21="","",Cotations!AK21))</f>
        <v/>
      </c>
      <c r="GN21" s="277" t="str">
        <f t="shared" si="274"/>
        <v/>
      </c>
      <c r="GO21" s="277" t="str">
        <f t="shared" si="275"/>
        <v/>
      </c>
      <c r="GP21" s="1104" t="str">
        <f t="shared" si="276"/>
        <v/>
      </c>
      <c r="GQ21" s="277" t="str">
        <f t="shared" si="277"/>
        <v/>
      </c>
      <c r="GR21" s="759" t="str">
        <f>IF(A21=FALSE,"",((GH21*TAXE)-(GH21*TAXE*GM21)+GI21)+IF(CQ21="N/A",0,IF(INDEX(LISTES!$F$105:$F$109,MATCH(CQ21,LISTES!$C$105:$C$109,0))="FIX",CR21,CS21*GQ21)))</f>
        <v/>
      </c>
      <c r="GS21" s="412"/>
      <c r="GT21" s="412"/>
      <c r="GU21" s="412"/>
      <c r="GV21" s="412"/>
      <c r="GW21" s="412"/>
      <c r="GX21" s="412"/>
      <c r="GY21" s="412"/>
      <c r="GZ21" s="412"/>
      <c r="HA21" s="432" t="str">
        <f t="shared" si="155"/>
        <v/>
      </c>
      <c r="HB21" s="1234" t="str">
        <f>IF(A21=FALSE,"",IF(Detail!DF21="","N/A",YEAR(Detail!F21)&amp;Detail!DI21&amp;Detail!DF21&amp;"-"&amp;Detail!$DF$13))</f>
        <v/>
      </c>
      <c r="HC21" s="434" t="str">
        <f>IF(A21=FALSE,"",IF(LISTES!$A$17=1,HB21,INDEX(colMOD4,MATCH(Cotations!AH21,colchoice,0))))</f>
        <v/>
      </c>
      <c r="HD21" s="277" t="str">
        <f t="shared" si="278"/>
        <v/>
      </c>
      <c r="HE21" s="277" t="str">
        <f t="shared" si="279"/>
        <v/>
      </c>
      <c r="HF21" s="277"/>
      <c r="HG21" s="277"/>
      <c r="HH21" s="277" t="str">
        <f t="shared" si="280"/>
        <v/>
      </c>
      <c r="HI21" s="1104" t="str">
        <f t="shared" si="281"/>
        <v/>
      </c>
      <c r="HJ21" s="1104" t="str">
        <f t="shared" si="282"/>
        <v/>
      </c>
      <c r="HK21" s="443" t="str">
        <f>IF(A21=FALSE,"",IF(Cotations!AF21="monthly",HH21/12*L21,HH21/365*M21))</f>
        <v/>
      </c>
      <c r="HL21" s="1103" t="str">
        <f>IF(A21=FALSE,"",IF(Cotations!AF21="monthly",HJ21/12*L21,HJ21/365*M21))</f>
        <v/>
      </c>
      <c r="HM21" s="433" t="str">
        <f>IF(A21=FALSE,"",IF(Cotations!AL21="","",Cotations!AL21))</f>
        <v/>
      </c>
      <c r="HN21" s="277" t="str">
        <f t="shared" si="283"/>
        <v/>
      </c>
      <c r="HO21" s="277" t="str">
        <f t="shared" si="284"/>
        <v/>
      </c>
      <c r="HP21" s="1104" t="str">
        <f t="shared" si="285"/>
        <v/>
      </c>
      <c r="HQ21" s="277" t="str">
        <f t="shared" si="286"/>
        <v/>
      </c>
      <c r="HR21" s="759" t="str">
        <f>IF(A21=FALSE,"",((HH21*TAXE)-(HH21*TAXE*HM21)+HI21)+IF(CQ21="N/A",0,IF(INDEX(LISTES!$F$105:$F$109,MATCH(CQ21,LISTES!$C$105:$C$109,0))="FIX",CR21,CS21*HQ21)))</f>
        <v/>
      </c>
      <c r="HS21" s="412"/>
      <c r="HT21" s="412"/>
      <c r="HU21" s="412"/>
      <c r="HV21" s="412"/>
      <c r="HW21" s="412"/>
      <c r="HX21" s="412"/>
      <c r="HY21" s="412"/>
      <c r="HZ21" s="1262"/>
      <c r="IA21" s="432" t="str">
        <f>IF(A21=FALSE,"",Cotations!AT21)</f>
        <v/>
      </c>
      <c r="IB21" s="1253" t="str">
        <f>IF(A21=FALSE,"",IF(Detail!AT21="","N/A",YEAR(Detail!F21)&amp;Detail!AW21&amp;Detail!AT21&amp;"-"&amp;Detail!$AT$13&amp;Detail!AU21))</f>
        <v/>
      </c>
      <c r="IC21" s="431" t="str">
        <f>IF(A21=FALSE,"",IF(LISTES!$A$17=1,IB21,INDEX(colMOD1,MATCH(DA21,colchoice,0))))</f>
        <v/>
      </c>
      <c r="ID21" s="759" t="str">
        <f t="shared" si="287"/>
        <v/>
      </c>
      <c r="IE21" s="292" t="str">
        <f>IF(A21=FALSE,"",IF(LISTES!$A$17=1,Detail!AU21,INDEX(Rates!$M$1:$M$270,MATCH(IC21,colMOD1,0))))</f>
        <v/>
      </c>
      <c r="IF21" s="409" t="str">
        <f t="shared" si="165"/>
        <v/>
      </c>
      <c r="IG21" s="430" t="str">
        <f>IF(A21=FALSE,"",IF(IA21="POEA",Cotations!AY21,IF(IA21="FIXE",Cotations!AZ21,IF(Cotations!BA21*Y21&lt;50000,Z21,Cotations!BA21*Y21))))</f>
        <v/>
      </c>
      <c r="IH21" s="292" t="str">
        <f t="shared" si="166"/>
        <v/>
      </c>
      <c r="II21" s="446" t="str">
        <f>IF(A21=FALSE,"",IF(Cotations!AU21="monthly",IH21/12*L21,IH21/365*M21))</f>
        <v/>
      </c>
      <c r="IJ21" s="429" t="str">
        <f>IF(A21=FALSE,"",IF(Cotations!BB21="","",Cotations!BB21))</f>
        <v/>
      </c>
      <c r="IK21" s="292" t="str">
        <f t="shared" si="167"/>
        <v/>
      </c>
      <c r="IL21" s="292" t="str">
        <f t="shared" si="168"/>
        <v/>
      </c>
      <c r="IM21" s="759" t="str">
        <f t="shared" si="169"/>
        <v/>
      </c>
      <c r="IN21" s="759" t="str">
        <f>IF(A21=FALSE,"",((IH21*TAXE)-(IH21*TAXE*IJ21))+IF(DQ21="N/A",0,IF(INDEX(LISTES!$F$105:$F$109,MATCH(DQ21,LISTES!$C$105:$C$109,0))="FIX",DR21,DS21*IM21)))</f>
        <v/>
      </c>
      <c r="IO21" s="383"/>
      <c r="IP21" s="1127"/>
      <c r="IQ21" s="1127"/>
      <c r="IR21" s="1127"/>
      <c r="IS21" s="1127"/>
      <c r="IT21" s="1127"/>
      <c r="IU21" s="1127"/>
      <c r="IV21" s="1127"/>
      <c r="IW21" s="1127"/>
      <c r="IX21" s="1127"/>
      <c r="IY21" s="1127"/>
      <c r="JA21" s="432" t="str">
        <f>IF(A21=FALSE,"",Cotations!AT21)</f>
        <v/>
      </c>
      <c r="JB21" s="1234" t="str">
        <f>IF(A21=FALSE,"",IF(Detail!BB21="","N/A",YEAR(Detail!F21)&amp;Detail!BE21&amp;Detail!BB21&amp;"-"&amp;Detail!$BB$13&amp;Detail!BC21))</f>
        <v/>
      </c>
      <c r="JC21" s="431" t="str">
        <f>IF(A21=FALSE,"",IF(LISTES!$A$17=1,JB21,INDEX(colMOD2,MATCH(DA21,colchoice,0))))</f>
        <v/>
      </c>
      <c r="JD21" s="759" t="str">
        <f t="shared" si="170"/>
        <v/>
      </c>
      <c r="JE21" s="292"/>
      <c r="JF21" s="409" t="str">
        <f t="shared" si="171"/>
        <v/>
      </c>
      <c r="JG21" s="430" t="str">
        <f>IF(A21=FALSE,"",IF(JA21="POEA",Cotations!BC21,IF(JA21="FIXE",Cotations!BD21,IF(Cotations!BE21*Y21&lt;50000,Z21,Cotations!BE21*Y21))))</f>
        <v/>
      </c>
      <c r="JH21" s="292" t="str">
        <f t="shared" si="172"/>
        <v/>
      </c>
      <c r="JI21" s="446" t="str">
        <f>IF(A21=FALSE,"",IF(Cotations!AU21="monthly",JH21/12*L21,JH21/365*M21))</f>
        <v/>
      </c>
      <c r="JJ21" s="429" t="str">
        <f>IF(A21=FALSE,"",IF(Cotations!BF21="","",Cotations!BF21))</f>
        <v/>
      </c>
      <c r="JK21" s="292" t="str">
        <f t="shared" si="173"/>
        <v/>
      </c>
      <c r="JL21" s="292" t="str">
        <f t="shared" si="174"/>
        <v/>
      </c>
      <c r="JM21" s="759" t="str">
        <f t="shared" si="175"/>
        <v/>
      </c>
      <c r="JN21" s="759" t="str">
        <f>IF(A21=FALSE,"",((JH21*TAXE)-(JH21*TAXE*JJ21))+IF(#REF!="N/A",0,IF(INDEX(LISTES!$F$105:$F$109,MATCH(#REF!,LISTES!$C$105:$C$109,0))="FIX",#REF!,#REF!*JM21)))</f>
        <v/>
      </c>
      <c r="JQ21" s="383"/>
      <c r="JR21" s="1127"/>
      <c r="JS21" s="1127"/>
      <c r="JT21" s="1127"/>
      <c r="JU21" s="1127"/>
      <c r="JV21" s="1127"/>
      <c r="JW21" s="383"/>
      <c r="JX21" s="1127"/>
      <c r="JY21" s="1127"/>
      <c r="KA21" s="432" t="str">
        <f>IF(A21=FALSE,"",Cotations!AT21)</f>
        <v/>
      </c>
      <c r="KB21" s="1234" t="str">
        <f>IF(A21=FALSE,"",IF(Detail!BJ21="","N/A",YEAR(Detail!F21)&amp;Detail!BM21&amp;Detail!BJ21&amp;"-"&amp;Detail!$BJ$13&amp;Detail!BK21))</f>
        <v/>
      </c>
      <c r="KC21" s="431" t="str">
        <f>IF(A21=FALSE,"",IF(LISTES!$A$17=1,KB21,INDEX(colMOD3,MATCH(DA21,colchoice,0))))</f>
        <v/>
      </c>
      <c r="KD21" s="759" t="str">
        <f t="shared" si="176"/>
        <v/>
      </c>
      <c r="KE21" s="292"/>
      <c r="KF21" s="409" t="str">
        <f t="shared" si="177"/>
        <v/>
      </c>
      <c r="KG21" s="430" t="str">
        <f>IF(A21=FALSE,"",IF(KA21="POEA",Cotations!BG21,IF(KA21="FIXE",Cotations!BH21,IF(Cotations!BI21*Y21&lt;50000,Z21,Cotations!BI21*Y21))))</f>
        <v/>
      </c>
      <c r="KH21" s="292" t="str">
        <f t="shared" si="178"/>
        <v/>
      </c>
      <c r="KI21" s="446" t="str">
        <f>IF(A21=FALSE,"",IF(Cotations!AU21="monthly",KH21/12*L21,KH21/365*M21))</f>
        <v/>
      </c>
      <c r="KJ21" s="429" t="str">
        <f>IF(A21=FALSE,"",IF(Cotations!BJ21="","",Cotations!BJ21))</f>
        <v/>
      </c>
      <c r="KK21" s="292" t="str">
        <f t="shared" si="179"/>
        <v/>
      </c>
      <c r="KL21" s="292" t="str">
        <f t="shared" si="180"/>
        <v/>
      </c>
      <c r="KM21" s="759" t="str">
        <f t="shared" si="181"/>
        <v/>
      </c>
      <c r="KN21" s="759" t="str">
        <f>IF(A21=FALSE,"",((KH21*TAXE)-(KH21*TAXE*KJ21))+IF(#REF!="N/A",0,IF(INDEX(LISTES!$F$105:$F$109,MATCH(#REF!,LISTES!$C$105:$C$109,0))="FIX",#REF!,#REF!*KM21)))</f>
        <v/>
      </c>
      <c r="KR21" s="1127"/>
      <c r="KS21" s="1127"/>
      <c r="KT21" s="1127"/>
      <c r="KU21" s="1127"/>
      <c r="KV21" s="1127"/>
      <c r="KW21" s="1127"/>
      <c r="KX21" s="1127"/>
      <c r="KY21" s="1127"/>
      <c r="LA21" s="432" t="str">
        <f>IF(A21=FALSE,"",Cotations!AT21)</f>
        <v/>
      </c>
      <c r="LB21" s="1234" t="str">
        <f>IF(A21=FALSE,"",IF(Detail!BR21="","N/A",YEAR(Detail!F21)&amp;Detail!BU21&amp;Detail!BR21&amp;"-"&amp;Detail!$BR$13&amp;Detail!BS21))</f>
        <v/>
      </c>
      <c r="LC21" s="431" t="str">
        <f>IF(A21=FALSE,"",IF(LISTES!$A$17=1,LB21,INDEX(colMOD4,MATCH(DA21,colchoice,0))))</f>
        <v/>
      </c>
      <c r="LD21" s="759" t="str">
        <f t="shared" si="182"/>
        <v/>
      </c>
      <c r="LE21" s="292"/>
      <c r="LF21" s="409" t="str">
        <f t="shared" si="183"/>
        <v/>
      </c>
      <c r="LG21" s="430" t="str">
        <f>IF(A21=FALSE,"",IF(LA21="POEA",Cotations!BK21,IF(LA21="FIXE",Cotations!BL21,IF(Cotations!BM21*Y21&lt;50000,Z21,Cotations!BM21*Y21))))</f>
        <v/>
      </c>
      <c r="LH21" s="292" t="str">
        <f t="shared" si="184"/>
        <v/>
      </c>
      <c r="LI21" s="446" t="str">
        <f>IF(A21=FALSE,"",IF(Cotations!AU21="monthly",LH21/12*L21,LH21/365*M21))</f>
        <v/>
      </c>
      <c r="LJ21" s="429" t="str">
        <f>IF(A21=FALSE,"",IF(Cotations!BN21="","",Cotations!BN21))</f>
        <v/>
      </c>
      <c r="LK21" s="292" t="str">
        <f t="shared" si="185"/>
        <v/>
      </c>
      <c r="LL21" s="292" t="str">
        <f t="shared" si="186"/>
        <v/>
      </c>
      <c r="LM21" s="759" t="str">
        <f t="shared" si="187"/>
        <v/>
      </c>
      <c r="LN21" s="759" t="str">
        <f>IF(A21=FALSE,"",((LH21*TAXE)-(LH21*TAXE*LJ21))+IF(#REF!="N/A",0,IF(INDEX(LISTES!$F$105:$F$109,MATCH(#REF!,LISTES!$C$105:$C$109,0))="FIX",#REF!,#REF!*LM21)))</f>
        <v/>
      </c>
      <c r="LR21" s="1127"/>
      <c r="LS21" s="1127"/>
      <c r="LT21" s="1127"/>
      <c r="LU21" s="1127"/>
      <c r="LV21" s="1127"/>
      <c r="LW21" s="1127"/>
      <c r="LX21" s="1127"/>
      <c r="LY21" s="1127"/>
      <c r="MA21" s="432" t="str">
        <f t="shared" si="188"/>
        <v/>
      </c>
      <c r="MB21" s="1234" t="str">
        <f>IF(A21=FALSE,"",IF(Detail!BZ21="","N/A",YEAR(Detail!F21)&amp;Detail!CC21&amp;Detail!BZ21&amp;"-"&amp;Detail!$BZ$13&amp;" (100%/"&amp;Detail!CD21&amp;"/"&amp;Detail!CE21&amp;")"))</f>
        <v/>
      </c>
      <c r="MC21" s="431" t="str">
        <f>IF(A21=FALSE,"",IF(LISTES!$A$17=1,MB21,INDEX(colMOD5,MATCH(DA21,colchoice,0))))</f>
        <v/>
      </c>
      <c r="MD21" s="759" t="str">
        <f t="shared" si="189"/>
        <v/>
      </c>
      <c r="ME21" s="292"/>
      <c r="MF21" s="409" t="str">
        <f t="shared" si="190"/>
        <v/>
      </c>
      <c r="MG21" s="430" t="str">
        <f>IF(A21=FALSE,"",Cotations!BQ21*AA21)</f>
        <v/>
      </c>
      <c r="MH21" s="292" t="str">
        <f t="shared" si="191"/>
        <v/>
      </c>
      <c r="MI21" s="446" t="str">
        <f>IF(A21=FALSE,"",IF(Cotations!AU21="monthly",MH21/12*L21,MH21/365*M21))</f>
        <v/>
      </c>
      <c r="MJ21" s="429" t="str">
        <f>IF(A21=FALSE,"",IF(Cotations!BR21="","",Cotations!BR21))</f>
        <v/>
      </c>
      <c r="MK21" s="292" t="str">
        <f t="shared" si="192"/>
        <v/>
      </c>
      <c r="ML21" s="292" t="str">
        <f t="shared" si="193"/>
        <v/>
      </c>
      <c r="MM21" s="759" t="str">
        <f t="shared" si="194"/>
        <v/>
      </c>
      <c r="MN21" s="759" t="str">
        <f>IF(A21=FALSE,"",((MH21*TAXE)-(MH21*TAXE*MJ21))+IF(#REF!="N/A",0,IF(INDEX(LISTES!$F$105:$F$109,MATCH(#REF!,LISTES!$C$105:$C$109,0))="FIX",#REF!,#REF!*MM21)))</f>
        <v/>
      </c>
      <c r="MQ21" s="1127"/>
      <c r="MR21" s="1127"/>
      <c r="MS21" s="1127"/>
      <c r="MT21" s="1127"/>
      <c r="MU21" s="1127"/>
      <c r="MV21" s="1127"/>
      <c r="MW21" s="1127"/>
      <c r="MX21" s="1127"/>
      <c r="NA21" s="432" t="str">
        <f t="shared" si="195"/>
        <v/>
      </c>
      <c r="NB21" s="1234" t="str">
        <f>IF(A21=FALSE,"",IF(Detail!CH21="","N/A",YEAR(Detail!F21)&amp;Detail!CK21&amp;Detail!CH21&amp;"-"&amp;Detail!$CH$13&amp;" (100%/"&amp;Detail!CL21&amp;"/"&amp;Detail!CM21&amp;")"))</f>
        <v/>
      </c>
      <c r="NC21" s="431" t="str">
        <f>IF(A21=FALSE,"",IF(LISTES!$A$17=1,NB21,INDEX(colMOD6,MATCH(DA21,colchoice,0))))</f>
        <v/>
      </c>
      <c r="ND21" s="759" t="str">
        <f t="shared" si="196"/>
        <v/>
      </c>
      <c r="NE21" s="292"/>
      <c r="NF21" s="409" t="str">
        <f t="shared" si="197"/>
        <v/>
      </c>
      <c r="NG21" s="430" t="str">
        <f>IF(A21=FALSE,"",Cotations!BU21*AA21)</f>
        <v/>
      </c>
      <c r="NH21" s="292" t="str">
        <f t="shared" si="198"/>
        <v/>
      </c>
      <c r="NI21" s="446" t="str">
        <f>IF(A21=FALSE,"",IF(Cotations!AU21="monthly",NH21/12*L21,NH21/365*M21))</f>
        <v/>
      </c>
      <c r="NJ21" s="429" t="str">
        <f>IF(A21=FALSE,"",IF(Cotations!BV21="","",Cotations!BV21))</f>
        <v/>
      </c>
      <c r="NK21" s="292" t="str">
        <f t="shared" si="199"/>
        <v/>
      </c>
      <c r="NL21" s="292" t="str">
        <f t="shared" si="200"/>
        <v/>
      </c>
      <c r="NM21" s="759" t="str">
        <f t="shared" si="201"/>
        <v/>
      </c>
      <c r="NN21" s="759" t="str">
        <f>IF(A21=FALSE,"",((NH21*TAXE)-(NH21*TAXE*NJ21))+IF(#REF!="N/A",0,IF(INDEX(LISTES!$F$105:$F$109,MATCH(#REF!,LISTES!$C$105:$C$109,0))="FIX",#REF!,#REF!*NM21)))</f>
        <v/>
      </c>
      <c r="NR21" s="1127"/>
      <c r="NS21" s="1127"/>
      <c r="NT21" s="1127"/>
      <c r="NU21" s="1127"/>
      <c r="NV21" s="1127"/>
      <c r="NW21" s="1127"/>
      <c r="NX21" s="1127"/>
      <c r="NY21" s="1127"/>
      <c r="NZ21" s="1281" t="str">
        <f>IF(A21=FALSE,"",IF(Detail!CP21="","N/A",YEAR(Detail!F21)&amp;Detail!CS21&amp;Detail!CP21&amp;"-"&amp;Detail!CQ21))</f>
        <v/>
      </c>
      <c r="OA21" s="432" t="str">
        <f>IF(A21=FALSE,"",Cotations!CF21)</f>
        <v/>
      </c>
      <c r="OB21" s="1282" t="str">
        <f>IF(A21=FALSE,"",IF(Detail!CP21="","N/A",YEAR(Detail!F21)&amp;Detail!CS21&amp;Detail!CP21&amp;"-"&amp;Detail!$CP$13&amp;Detail!CQ21))</f>
        <v/>
      </c>
      <c r="OC21" s="1283" t="str">
        <f>IF(A21=FALSE,"",IF(LISTES!$A$17=1,OB21,INDEX(colMOD1,MATCH(Cotations!CE21,colchoice,0))))</f>
        <v/>
      </c>
      <c r="OD21" s="759" t="str">
        <f t="shared" si="202"/>
        <v/>
      </c>
      <c r="OE21" s="292" t="str">
        <f>IF(A21=FALSE,"",Detail!CQ21)</f>
        <v/>
      </c>
      <c r="OF21" s="409" t="str">
        <f t="shared" si="203"/>
        <v/>
      </c>
      <c r="OG21" s="430" t="str">
        <f>IF(A21=FALSE,"",IF(OA21="FIXE",Cotations!CM21,Cotations!CN21*AA21))</f>
        <v/>
      </c>
      <c r="OH21" s="292" t="str">
        <f t="shared" si="288"/>
        <v/>
      </c>
      <c r="OI21" s="446" t="str">
        <f>IF(A21=FALSE,"",IF(Cotations!CF21="monthly",OH21/12*L21,OH21/365*M21))</f>
        <v/>
      </c>
      <c r="OJ21" s="429" t="str">
        <f>IF(A21=FALSE,"",IF(Cotations!CO21="","",Cotations!CO21))</f>
        <v/>
      </c>
      <c r="OK21" s="292" t="str">
        <f t="shared" si="289"/>
        <v/>
      </c>
      <c r="OL21" s="292" t="str">
        <f t="shared" si="290"/>
        <v/>
      </c>
      <c r="OM21" s="759" t="str">
        <f t="shared" si="207"/>
        <v/>
      </c>
      <c r="ON21" s="759" t="str">
        <f>IF(A21=FALSE,"",((OH21*(1+TAXE)-(OH21*(1+TAXE)*OJ21))+IF(#REF!="N/A",0,IF(INDEX(LISTES!$F$105:$F$109,MATCH(#REF!,LISTES!$C$105:$C$109,0))="FIX",#REF!,#REF!*OM21))))</f>
        <v/>
      </c>
      <c r="PA21" s="432" t="str">
        <f>IF(A21=FALSE,"",Cotations!CF21)</f>
        <v/>
      </c>
      <c r="PB21" s="1282" t="str">
        <f>IF(A21=FALSE,"",IF(Detail!CX21="","N/A",YEAR(Detail!F21)&amp;Detail!DA21&amp;Detail!CX21&amp;"-"&amp;Detail!$CX$13&amp;Detail!CY21))</f>
        <v/>
      </c>
      <c r="PC21" s="1283" t="str">
        <f>IF(A21=FALSE,"",IF(LISTES!$A$17=1,PB21,INDEX(colMOD3,MATCH(Cotations!CE21,colchoice,0))))</f>
        <v/>
      </c>
      <c r="PD21" s="759" t="str">
        <f t="shared" si="208"/>
        <v/>
      </c>
      <c r="PE21" s="292" t="str">
        <f>IF(A21=FALSE,"",IF(Detail!CY21="","",Detail!CY21))</f>
        <v/>
      </c>
      <c r="PF21" s="409" t="str">
        <f t="shared" si="291"/>
        <v/>
      </c>
      <c r="PG21" s="430" t="str">
        <f>IF(A21=FALSE,"",IF(PA21="FIXE",Cotations!CP21,Cotations!CQ21*AA21))</f>
        <v/>
      </c>
      <c r="PH21" s="292" t="str">
        <f t="shared" si="292"/>
        <v/>
      </c>
      <c r="PI21" s="446" t="str">
        <f>IF(A21=FALSE,"",IF(Cotations!CG21="monthly",PH21/12*L21,PH21/365*M21))</f>
        <v/>
      </c>
      <c r="PJ21" s="429" t="str">
        <f>IF(A21=FALSE,"",IF(Cotations!DA21="",0,Cotations!DA21))</f>
        <v/>
      </c>
      <c r="PK21" s="292" t="str">
        <f t="shared" si="293"/>
        <v/>
      </c>
      <c r="PL21" s="292" t="str">
        <f t="shared" si="294"/>
        <v/>
      </c>
      <c r="PM21" s="759" t="str">
        <f t="shared" si="211"/>
        <v/>
      </c>
      <c r="PN21" s="759" t="str">
        <f>IF(A21=FALSE,"",((PH21*(1+TAXE)-(PH21*(1+TAXE)*PJ21))+IF(#REF!="N/A",0,IF(INDEX(LISTES!$F$105:$F$109,MATCH(#REF!,LISTES!$C$105:$C$109,0))="FIX",#REF!,#REF!*PM21))))</f>
        <v/>
      </c>
    </row>
    <row r="22" spans="1:430" s="288" customFormat="1">
      <c r="A22" s="779" t="b">
        <f t="shared" si="111"/>
        <v>0</v>
      </c>
      <c r="B22" s="779" t="b">
        <f>IF(NAMES!$B$9=TRUE,TRUE,FALSE)</f>
        <v>1</v>
      </c>
      <c r="C22" s="779" t="b">
        <f t="shared" si="212"/>
        <v>0</v>
      </c>
      <c r="D22" s="779" t="b">
        <f t="shared" si="213"/>
        <v>1</v>
      </c>
      <c r="E22" s="267" t="b">
        <f>IF(Cotations!C22="","",Cotations!C22)</f>
        <v>0</v>
      </c>
      <c r="F22" s="267" t="str">
        <f>IF(Cotations!AT22="","",Cotations!AT22)</f>
        <v>PROP</v>
      </c>
      <c r="G22" s="267" t="str">
        <f>IF(Cotations!D22="","",Cotations!D22)</f>
        <v>2016-2017!</v>
      </c>
      <c r="H22" s="267" t="str">
        <f>IF(Cotations!E22="","",Cotations!E22)</f>
        <v>SINGLE</v>
      </c>
      <c r="I22" s="267" t="str">
        <f>IF(Cotations!F22="","",Cotations!F22)</f>
        <v/>
      </c>
      <c r="J22" s="267" t="str">
        <f>IF(Cotations!G22="","",Cotations!G22)</f>
        <v/>
      </c>
      <c r="K22" s="267" t="str">
        <f>IF(Cotations!H22="","",Cotations!H22)</f>
        <v/>
      </c>
      <c r="L22" s="267" t="str">
        <f>IF(A22=FALSE,"",IF(Cotations!M22="","",Cotations!M22))</f>
        <v/>
      </c>
      <c r="M22" s="267" t="str">
        <f>IF(Cotations!O22="","",Cotations!O22)</f>
        <v/>
      </c>
      <c r="N22" s="588">
        <f>IF(NAMES!$B$10=TRUE,Cotations!I22,Cotations!K22)</f>
        <v>42566</v>
      </c>
      <c r="O22" s="588">
        <f>IF(NAMES!$B$10=TRUE,Cotations!J22,Cotations!L22)</f>
        <v>42675</v>
      </c>
      <c r="P22" s="780" t="str">
        <f t="shared" si="214"/>
        <v>juillet</v>
      </c>
      <c r="Q22" s="588" t="str">
        <f>IF(A22=FALSE,"",IF(Crewlist!Y22="","",Crewlist!Y22))</f>
        <v/>
      </c>
      <c r="R22" s="78" t="str">
        <f>IF(Cotations!T22="","",Cotations!T22)</f>
        <v/>
      </c>
      <c r="S22" s="780" t="str">
        <f t="shared" si="215"/>
        <v/>
      </c>
      <c r="T22" s="759" t="str">
        <f>IF(A22=FALSE,"",VLOOKUP($U$15:$U$120,Currency!$A$2:$D$10,4,0)*Crewlist!N22)</f>
        <v/>
      </c>
      <c r="U22" s="1097" t="str">
        <f>IF(A22=FALSE,"",IF(DP22=0,Crewlist!M22&amp;"/"&amp;CP22,Crewlist!M22&amp;"/"&amp;DP22))</f>
        <v/>
      </c>
      <c r="V22" s="759" t="str">
        <f>IF(A22=FALSE,"",VLOOKUP($U$15:$U$120,Currency!$A$2:$D$10,4,0)*Detail!Q22)</f>
        <v/>
      </c>
      <c r="W22" s="1097" t="str">
        <f>IF(A22=FALSE,"",IF(DP22=0,Detail!R22&amp;"/"&amp;CP22,Detail!R22&amp;"/"&amp;DP22))</f>
        <v/>
      </c>
      <c r="X22" s="759" t="str">
        <f>IF(A22=FALSE,"",IF(LISTES!$C$17="Crewlist",Calcul!T22,Calcul!V22))</f>
        <v/>
      </c>
      <c r="Y22" s="618" t="str">
        <f t="shared" si="216"/>
        <v/>
      </c>
      <c r="Z22" s="618" t="str">
        <f>IF(A22=FALSE,"",IF(X22=0,0,IF((Cotations!BA22*12*X22)&lt;50000,50000,(12*X22))))</f>
        <v/>
      </c>
      <c r="AA22" s="618" t="str">
        <f t="shared" si="217"/>
        <v/>
      </c>
      <c r="AB22" s="618" t="str">
        <f>IF(A22=FALSE,"",IF(Crewlist!O22=0,"",Crewlist!O22))</f>
        <v/>
      </c>
      <c r="AC22" s="618" t="str">
        <f>IF(I22="","",VLOOKUP($AB$15:$AB$120,Currency!$A$15:$B$34,2,0))</f>
        <v/>
      </c>
      <c r="AD22" s="618" t="str">
        <f t="shared" si="218"/>
        <v/>
      </c>
      <c r="AE22" s="618" t="str">
        <f t="shared" si="219"/>
        <v/>
      </c>
      <c r="AF22" s="618" t="str">
        <f t="shared" si="220"/>
        <v/>
      </c>
      <c r="AG22" s="618" t="str">
        <f t="shared" si="221"/>
        <v/>
      </c>
      <c r="AH22" s="1097" t="str">
        <f t="shared" si="112"/>
        <v/>
      </c>
      <c r="AI22" s="759" t="str">
        <f t="shared" si="222"/>
        <v/>
      </c>
      <c r="AJ22" s="1120" t="str">
        <f t="shared" si="223"/>
        <v/>
      </c>
      <c r="AK22" s="1120" t="str">
        <f t="shared" si="224"/>
        <v/>
      </c>
      <c r="AL22" s="236" t="str">
        <f t="shared" si="225"/>
        <v/>
      </c>
      <c r="AM22" s="236" t="str">
        <f t="shared" si="226"/>
        <v/>
      </c>
      <c r="AN22" s="1112" t="str">
        <f t="shared" si="227"/>
        <v/>
      </c>
      <c r="AO22" s="236" t="str">
        <f t="shared" si="228"/>
        <v/>
      </c>
      <c r="AP22" s="327" t="str">
        <f>IF(A22=FALSE,"",INDEX(Rates!$Q$1:$Q$278,MATCH(CA22,colchoice,0)))</f>
        <v/>
      </c>
      <c r="AQ22" s="236" t="str">
        <f t="shared" si="229"/>
        <v/>
      </c>
      <c r="AR22" s="236" t="str">
        <f t="shared" si="230"/>
        <v/>
      </c>
      <c r="AS22" s="236" t="str">
        <f t="shared" si="117"/>
        <v/>
      </c>
      <c r="AT22" s="236" t="str">
        <f t="shared" si="118"/>
        <v/>
      </c>
      <c r="AU22" s="236" t="str">
        <f t="shared" si="231"/>
        <v/>
      </c>
      <c r="AV22" s="236" t="str">
        <f t="shared" si="232"/>
        <v/>
      </c>
      <c r="AW22" s="236" t="str">
        <f t="shared" si="233"/>
        <v/>
      </c>
      <c r="AX22" s="236" t="str">
        <f t="shared" si="234"/>
        <v/>
      </c>
      <c r="AY22" s="236" t="str">
        <f t="shared" si="235"/>
        <v/>
      </c>
      <c r="AZ22" s="236" t="str">
        <f t="shared" si="236"/>
        <v/>
      </c>
      <c r="BA22" s="236" t="str">
        <f t="shared" si="237"/>
        <v/>
      </c>
      <c r="BB22" s="467" t="str">
        <f t="shared" si="238"/>
        <v/>
      </c>
      <c r="BC22" s="329" t="str">
        <f t="shared" si="239"/>
        <v/>
      </c>
      <c r="BD22" s="237" t="str">
        <f t="shared" si="240"/>
        <v/>
      </c>
      <c r="BE22" s="237" t="str">
        <f>IF(A22=FALSE,"",IF(ED22&lt;&gt;$BC$7,0,INDEX(EA22:EZ22,1,MATCH(Structure!$J$16,$EA$14:$EZ$14,0))))</f>
        <v/>
      </c>
      <c r="BF22" s="237" t="str">
        <f>IF(A22=FALSE,"",IF(FD22&lt;&gt;$BC$7,0,INDEX(FA22:FZ22,1,MATCH(Structure!$J$16,$FA$14:$FZ$14,0))))</f>
        <v/>
      </c>
      <c r="BG22" s="237" t="str">
        <f>IF(A22=FALSE,"",IF(GD22&lt;&gt;$BC$7,0,INDEX(GA22:GZ22,1,MATCH(Structure!$J$16,$GA$14:$GZ$14,0))))</f>
        <v/>
      </c>
      <c r="BH22" s="237" t="str">
        <f>IF(A22=FALSE,"",IF(HD22&lt;&gt;$BC$7,0,INDEX(HA22:HZ22,1,MATCH(Structure!$J$16,$HA$14:$HZ$14,0))))</f>
        <v/>
      </c>
      <c r="BI22" s="621" t="str">
        <f>IF(A22=FALSE,"",IF(ID22&lt;&gt;$BC$7,0,INDEX(IA22:IZ22,1,MATCH(Structure!$C$12,$IA$14:$IZ$14,0)))+OL22)</f>
        <v/>
      </c>
      <c r="BJ22" s="237" t="str">
        <f>IF(A22=FALSE,"",IF(JD22&lt;&gt;$BC$7,0,INDEX(JA22:JZ22,1,MATCH(Structure!$C$12,$JA$14:$JZ$14,0))))</f>
        <v/>
      </c>
      <c r="BK22" s="621" t="str">
        <f>IF(A22=FALSE,"",IF(KD22&lt;&gt;$BC$7,0,INDEX(KA22:KZ22,1,MATCH(Structure!$C$12,$KA$14:$KZ$14,0)))+PL22)</f>
        <v/>
      </c>
      <c r="BL22" s="237" t="str">
        <f>IF(A22=FALSE,"",IF(LD22&lt;&gt;$BC$7,0,INDEX(LA22:LZ22,1,MATCH(Structure!$C$12,$LA$14:$LZ$14,0))))</f>
        <v/>
      </c>
      <c r="BM22" s="237" t="str">
        <f>IF(A22=FALSE,"",IF(MD22&lt;&gt;$BC$7,0,INDEX(MA22:MZ22,1,MATCH(Structure!$C$12,$MA$14:$MZ$14,0))))</f>
        <v/>
      </c>
      <c r="BN22" s="326" t="str">
        <f>IF(A22=FALSE,"",IF(ND22&lt;&gt;$BC$7,0,INDEX(NA22:OC22,1,MATCH(Structure!$C$12,$NA$14:$OC$14,0))))</f>
        <v/>
      </c>
      <c r="BO22" s="435" t="str">
        <f t="shared" si="241"/>
        <v/>
      </c>
      <c r="BP22" s="237" t="str">
        <f t="shared" si="242"/>
        <v/>
      </c>
      <c r="BQ22" s="237" t="str">
        <f>IF(A22=FALSE,"",IF(ED22&lt;&gt;$BO$7,0,INDEX(EA22:EZ22,1,MATCH(Structure!$C$12,$EA$14:$EZ$14,0))))</f>
        <v/>
      </c>
      <c r="BR22" s="237" t="str">
        <f>IF(A22=FALSE,"",IF(FD22&lt;&gt;$BO$7,0,INDEX(FA22:FZ22,1,MATCH(Structure!$C$12,$FA$14:$FZ$14,0))))</f>
        <v/>
      </c>
      <c r="BS22" s="237" t="str">
        <f>IF(A22=FALSE,"",IF(ID22&lt;&gt;$BO$7,0,INDEX(IA22:IZ22,1,MATCH(Structure!$C$13,$IA$14:$IZ$14,0))))</f>
        <v/>
      </c>
      <c r="BT22" s="237" t="str">
        <f>IF(A22=FALSE,"",IF(JD22&lt;&gt;$BO$7,0,INDEX(JA22:JZ22,1,MATCH(Structure!$C$13,$JA$14:$JZ$14,0))))</f>
        <v/>
      </c>
      <c r="BU22" s="237" t="str">
        <f>IF(A22=FALSE,"",IF(KD22&lt;&gt;$BO$7,0,INDEX(KA22:KZ22,1,MATCH(Structure!$C$13,$KA$14:$KZ$14,0))))</f>
        <v/>
      </c>
      <c r="BV22" s="237" t="str">
        <f>IF(A22=FALSE,"",IF(LD22&lt;&gt;$BO$7,0,INDEX(LA22:LZ22,1,MATCH(Structure!$C$13,$LA$14:$LZ$14,0))))</f>
        <v/>
      </c>
      <c r="BW22" s="237" t="str">
        <f>IF(A22=FALSE,"",IF(MD22&lt;&gt;$BO$7,0,INDEX(MA22:MZ22,1,MATCH(Structure!$C$13,$MA$14:$MZ$14,0))))</f>
        <v/>
      </c>
      <c r="BX22" s="326" t="str">
        <f>IF(A22=FALSE,"",IF(ND22&lt;&gt;$BO$7,0,INDEX(NA22:OC22,1,MATCH(Structure!$C$13,$NA$14:$OC$14,0))))</f>
        <v/>
      </c>
      <c r="BY22" s="412"/>
      <c r="BZ22" s="412"/>
      <c r="CA22" s="1255" t="str">
        <f>IF(A22=FALSE,"",IF(LISTES!$A$17=1,Cotations!AG22,Cotations!AH22))</f>
        <v/>
      </c>
      <c r="CB22" s="1266" t="str">
        <f t="shared" si="243"/>
        <v/>
      </c>
      <c r="CC22" s="1120" t="str">
        <f t="shared" si="244"/>
        <v/>
      </c>
      <c r="CD22" s="1120" t="str">
        <f t="shared" si="245"/>
        <v/>
      </c>
      <c r="CE22" s="1120" t="str">
        <f t="shared" si="246"/>
        <v/>
      </c>
      <c r="CF22" s="1120" t="str">
        <f t="shared" si="247"/>
        <v/>
      </c>
      <c r="CG22" s="1267"/>
      <c r="CH22" s="1267"/>
      <c r="CI22" s="1268" t="str">
        <f t="shared" si="248"/>
        <v/>
      </c>
      <c r="CJ22" s="286" t="str">
        <f t="shared" si="249"/>
        <v/>
      </c>
      <c r="CK22" s="286" t="str">
        <f t="shared" si="250"/>
        <v/>
      </c>
      <c r="CL22" s="1263"/>
      <c r="CM22" s="1263"/>
      <c r="CN22" s="1263"/>
      <c r="CO22" s="1263"/>
      <c r="CP22" s="319" t="str">
        <f t="shared" si="251"/>
        <v/>
      </c>
      <c r="CQ22" s="443" t="str">
        <f>IF(A22=FALSE,"",Cotations!AM22)</f>
        <v/>
      </c>
      <c r="CR22" s="443" t="str">
        <f>IF(A22=FALSE,"",IF(Cotations!AN22="","",Cotations!AN22))</f>
        <v/>
      </c>
      <c r="CS22" s="433" t="str">
        <f>IF(A22=FALSE,"",Cotations!AO22)</f>
        <v/>
      </c>
      <c r="CT22" s="443" t="str">
        <f>IF(A22=FALSE,"",IF(CQ22="N/A",0,IF(INDEX(LISTES!$F$105:$F$109,MATCH(CQ22,LISTES!$C$105:$C$109,0))="FIX",IF(INDEX(LISTES!$E$105:$E$109,MATCH(CQ22,LISTES!$C$105:$C$109,0))=12,CR22/12*L22,CR22/365*M22),CS22*EQ22)))</f>
        <v/>
      </c>
      <c r="CU22" s="434" t="str">
        <f>IF(A22=FALSE,"",(CJ22+CK22)*Cotations!AP22)</f>
        <v/>
      </c>
      <c r="CV22" s="434" t="str">
        <f>IF(A22=FALSE,"",(CJ22+CK22)*Cotations!AQ22)</f>
        <v/>
      </c>
      <c r="CX22" s="1127"/>
      <c r="CY22" s="1127"/>
      <c r="CZ22" s="1127"/>
      <c r="DA22" s="1253" t="str">
        <f>IF(A22=FALSE,"",IF(LISTES!$A$17=1,Cotations!AV22,Cotations!AW22))</f>
        <v/>
      </c>
      <c r="DB22" s="1271" t="str">
        <f t="shared" si="252"/>
        <v/>
      </c>
      <c r="DC22" s="1270" t="str">
        <f t="shared" si="253"/>
        <v/>
      </c>
      <c r="DD22" s="1270" t="str">
        <f t="shared" si="254"/>
        <v/>
      </c>
      <c r="DE22" s="1270" t="str">
        <f t="shared" si="255"/>
        <v/>
      </c>
      <c r="DF22" s="1270" t="str">
        <f t="shared" si="256"/>
        <v/>
      </c>
      <c r="DG22" s="1270" t="str">
        <f t="shared" si="257"/>
        <v/>
      </c>
      <c r="DH22" s="1270" t="str">
        <f t="shared" si="258"/>
        <v/>
      </c>
      <c r="DI22" s="1271" t="str">
        <f t="shared" si="259"/>
        <v/>
      </c>
      <c r="DJ22" s="286" t="str">
        <f t="shared" si="260"/>
        <v/>
      </c>
      <c r="DK22" s="286" t="str">
        <f t="shared" si="261"/>
        <v/>
      </c>
      <c r="DL22" s="1264" t="str">
        <f t="shared" si="262"/>
        <v/>
      </c>
      <c r="DM22" s="1264" t="str">
        <f t="shared" si="263"/>
        <v/>
      </c>
      <c r="DN22" s="1264" t="str">
        <f t="shared" si="264"/>
        <v/>
      </c>
      <c r="DO22" s="1264" t="str">
        <f t="shared" si="265"/>
        <v/>
      </c>
      <c r="DP22" s="323" t="str">
        <f t="shared" si="132"/>
        <v/>
      </c>
      <c r="DQ22" s="444" t="str">
        <f>IF(A22=FALSE,"",Cotations!BW22)</f>
        <v/>
      </c>
      <c r="DR22" s="444" t="str">
        <f>IF(A22=FALSE,"",Cotations!BX22)</f>
        <v/>
      </c>
      <c r="DS22" s="433" t="str">
        <f>IF(A22=FALSE,"",Cotations!BY22)</f>
        <v/>
      </c>
      <c r="DT22" s="830" t="str">
        <f>IF(A22=FALSE,"",IF(DQ22="N/A",0,IF(INDEX(LISTES!$F$105:$F$109,MATCH(DQ22,LISTES!$C$105:$C$109,0))="FIX",IF(INDEX(LISTES!$E$105:$E$109,MATCH(DQ22,LISTES!$C$105:$C$109,0))=12,DR22/12*L22,DR22/365*M22),DS22*(DN22+DO22))))</f>
        <v/>
      </c>
      <c r="DU22" s="434" t="str">
        <f>IF(A22=FALSE,"",DJ22*Cotations!BZ22)</f>
        <v/>
      </c>
      <c r="DV22" s="434" t="str">
        <f>IF(A22=FALSE,"",DJ22*Cotations!CA22)</f>
        <v/>
      </c>
      <c r="DX22" s="1127"/>
      <c r="DY22" s="1127"/>
      <c r="DZ22" s="1127"/>
      <c r="EA22" s="432" t="str">
        <f>IF(A22=FALSE,"",Cotations!AT22)</f>
        <v/>
      </c>
      <c r="EB22" s="1234" t="str">
        <f>IF(A22=FALSE,"",YEAR(Detail!F22)&amp;Detail!AG22&amp;Detail!AD22&amp;"-"&amp;Detail!$AD$13&amp;Detail!AE22)</f>
        <v/>
      </c>
      <c r="EC22" s="434" t="str">
        <f>IF(A22=FALSE,"",IF(LISTES!$A$17=1,EB22,INDEX(colMOD1,MATCH(Cotations!AH22,colchoice,0))))</f>
        <v/>
      </c>
      <c r="ED22" s="277" t="str">
        <f t="shared" si="133"/>
        <v/>
      </c>
      <c r="EE22" s="277" t="str">
        <f t="shared" si="134"/>
        <v/>
      </c>
      <c r="EF22" s="277"/>
      <c r="EG22" s="277"/>
      <c r="EH22" s="277" t="str">
        <f t="shared" si="135"/>
        <v/>
      </c>
      <c r="EI22" s="1104" t="str">
        <f t="shared" si="136"/>
        <v/>
      </c>
      <c r="EJ22" s="1104" t="str">
        <f t="shared" si="137"/>
        <v/>
      </c>
      <c r="EK22" s="443" t="str">
        <f>IF(A22=FALSE,"",IF(Cotations!AF22="monthly",EH22/12*L22,EH22/365*M22))</f>
        <v/>
      </c>
      <c r="EL22" s="1103" t="str">
        <f>IF(A22=FALSE,"",IF(Cotations!AF22="monthly",EJ22/12*L22,EJ22/365*M22))</f>
        <v/>
      </c>
      <c r="EM22" s="433" t="str">
        <f>IF(A22=FALSE,"",IF(Cotations!AI22="","",Cotations!AI22))</f>
        <v/>
      </c>
      <c r="EN22" s="277" t="str">
        <f t="shared" si="266"/>
        <v/>
      </c>
      <c r="EO22" s="277" t="str">
        <f t="shared" si="138"/>
        <v/>
      </c>
      <c r="EP22" s="1104" t="str">
        <f t="shared" si="139"/>
        <v/>
      </c>
      <c r="EQ22" s="277" t="str">
        <f t="shared" si="267"/>
        <v/>
      </c>
      <c r="ER22" s="759" t="str">
        <f>IF(A22=FALSE,"",((EH22*TAXE)-(EH22*TAXE*EM22)+EI22)+IF(CQ22="N/A",0,IF(INDEX(LISTES!$F$105:$F$109,MATCH(CQ22,LISTES!$C$105:$C$109,0))="FIX",CR22,CS22*EQ22)))</f>
        <v/>
      </c>
      <c r="ES22" s="383"/>
      <c r="ET22" s="422"/>
      <c r="EU22" s="422"/>
      <c r="EV22" s="422"/>
      <c r="EW22" s="422"/>
      <c r="EX22" s="422"/>
      <c r="EY22" s="422"/>
      <c r="EZ22" s="422"/>
      <c r="FA22" s="432" t="str">
        <f>IF(A22=FALSE,"",Cotations!AT22)</f>
        <v/>
      </c>
      <c r="FB22" s="1235" t="str">
        <f>IF(A22=FALSE,"",IF(Detail!AL22="","N/A",YEAR(Detail!F22)&amp;Detail!AO22&amp;Detail!AL22&amp;"-"&amp;Detail!$AL$13&amp;Detail!AM22))</f>
        <v/>
      </c>
      <c r="FC22" s="434" t="str">
        <f>IF(A22=FALSE,"",IF(LISTES!$A$17=1,FB22,INDEX(colMOD2,MATCH(Cotations!AH22,colchoice,0))))</f>
        <v/>
      </c>
      <c r="FD22" s="277" t="str">
        <f t="shared" si="140"/>
        <v/>
      </c>
      <c r="FE22" s="443" t="str">
        <f>IF(A22=FALSE,"",IF(Detail!AM22="","",Detail!AM22))</f>
        <v/>
      </c>
      <c r="FF22" s="277"/>
      <c r="FG22" s="277"/>
      <c r="FH22" s="277" t="str">
        <f t="shared" si="141"/>
        <v/>
      </c>
      <c r="FI22" s="1104"/>
      <c r="FJ22" s="1104"/>
      <c r="FK22" s="443" t="str">
        <f>IF(A22=FALSE,"",IF(Cotations!AF22="monthly",FH22/12*L22,FH22/365*M22))</f>
        <v/>
      </c>
      <c r="FL22" s="1103" t="str">
        <f>IF(A22=FALSE,"",IF(Cotations!AF22="monthly",FJ22/12*L22,FJ22/365*M22))</f>
        <v/>
      </c>
      <c r="FM22" s="433" t="str">
        <f>IF(A22=FALSE,"",IF(Cotations!AJ22="","",Cotations!AJ22))</f>
        <v/>
      </c>
      <c r="FN22" s="277" t="str">
        <f t="shared" si="268"/>
        <v/>
      </c>
      <c r="FO22" s="277" t="str">
        <f t="shared" si="269"/>
        <v/>
      </c>
      <c r="FP22" s="1104"/>
      <c r="FQ22" s="277" t="str">
        <f t="shared" si="270"/>
        <v/>
      </c>
      <c r="FR22" s="759" t="str">
        <f>IF(A22=FALSE,"",((FH22*TAXE)-(FH22*TAXE*FM22))+IF(#REF!="N/A",0,IF(INDEX(LISTES!$F$105:$F$109,MATCH(#REF!,LISTES!$C$105:$C$109,0))="FIX",#REF!,#REF!*FQ22)))</f>
        <v/>
      </c>
      <c r="FS22" s="422"/>
      <c r="FT22" s="422"/>
      <c r="FU22" s="422"/>
      <c r="FV22" s="422"/>
      <c r="FW22" s="422"/>
      <c r="FX22" s="422"/>
      <c r="FY22" s="422"/>
      <c r="FZ22" s="422"/>
      <c r="GA22" s="432" t="str">
        <f t="shared" si="145"/>
        <v/>
      </c>
      <c r="GB22" s="1234" t="str">
        <f>IF(A22=FALSE,"",IF(Detail!DF22="","N/A",YEAR(Detail!F22)&amp;Detail!DI22&amp;Detail!DF22&amp;"-"&amp;Detail!$DF$13))</f>
        <v/>
      </c>
      <c r="GC22" s="434" t="str">
        <f>IF(A22=FALSE,"",IF(LISTES!$A$17=1,GB22,INDEX(colMOD3,MATCH(Cotations!AH22,colchoice,0))))</f>
        <v/>
      </c>
      <c r="GD22" s="277" t="str">
        <f t="shared" si="146"/>
        <v/>
      </c>
      <c r="GE22" s="277" t="str">
        <f t="shared" si="147"/>
        <v/>
      </c>
      <c r="GF22" s="277"/>
      <c r="GG22" s="277"/>
      <c r="GH22" s="277" t="str">
        <f t="shared" si="271"/>
        <v/>
      </c>
      <c r="GI22" s="1104" t="str">
        <f t="shared" si="272"/>
        <v/>
      </c>
      <c r="GJ22" s="1104" t="str">
        <f t="shared" si="273"/>
        <v/>
      </c>
      <c r="GK22" s="443" t="str">
        <f>IF(A22=FALSE,"",IF(Cotations!AF22="monthly",GH22/12*L22,GH22/365*M22))</f>
        <v/>
      </c>
      <c r="GL22" s="1103" t="str">
        <f>IF(A22=FALSE,"",IF(Cotations!AF22="monthly",GJ22/12*L22,GJ22/365*M22))</f>
        <v/>
      </c>
      <c r="GM22" s="433" t="str">
        <f>IF(A22=FALSE,"",IF(Cotations!AK22="","",Cotations!AK22))</f>
        <v/>
      </c>
      <c r="GN22" s="277" t="str">
        <f t="shared" si="274"/>
        <v/>
      </c>
      <c r="GO22" s="277" t="str">
        <f t="shared" si="275"/>
        <v/>
      </c>
      <c r="GP22" s="1104" t="str">
        <f t="shared" si="276"/>
        <v/>
      </c>
      <c r="GQ22" s="277" t="str">
        <f t="shared" si="277"/>
        <v/>
      </c>
      <c r="GR22" s="759" t="str">
        <f>IF(A22=FALSE,"",((GH22*TAXE)-(GH22*TAXE*GM22)+GI22)+IF(CQ22="N/A",0,IF(INDEX(LISTES!$F$105:$F$109,MATCH(CQ22,LISTES!$C$105:$C$109,0))="FIX",CR22,CS22*GQ22)))</f>
        <v/>
      </c>
      <c r="GS22" s="412"/>
      <c r="GT22" s="412"/>
      <c r="GU22" s="412"/>
      <c r="GV22" s="412"/>
      <c r="GW22" s="412"/>
      <c r="GX22" s="412"/>
      <c r="GY22" s="412"/>
      <c r="GZ22" s="412"/>
      <c r="HA22" s="432" t="str">
        <f t="shared" si="155"/>
        <v/>
      </c>
      <c r="HB22" s="1234" t="str">
        <f>IF(A22=FALSE,"",IF(Detail!DF22="","N/A",YEAR(Detail!F22)&amp;Detail!DI22&amp;Detail!DF22&amp;"-"&amp;Detail!$DF$13))</f>
        <v/>
      </c>
      <c r="HC22" s="434" t="str">
        <f>IF(A22=FALSE,"",IF(LISTES!$A$17=1,HB22,INDEX(colMOD4,MATCH(Cotations!AH22,colchoice,0))))</f>
        <v/>
      </c>
      <c r="HD22" s="277" t="str">
        <f t="shared" si="278"/>
        <v/>
      </c>
      <c r="HE22" s="277" t="str">
        <f t="shared" si="279"/>
        <v/>
      </c>
      <c r="HF22" s="277"/>
      <c r="HG22" s="277"/>
      <c r="HH22" s="277" t="str">
        <f t="shared" si="280"/>
        <v/>
      </c>
      <c r="HI22" s="1104" t="str">
        <f t="shared" si="281"/>
        <v/>
      </c>
      <c r="HJ22" s="1104" t="str">
        <f t="shared" si="282"/>
        <v/>
      </c>
      <c r="HK22" s="443" t="str">
        <f>IF(A22=FALSE,"",IF(Cotations!AF22="monthly",HH22/12*L22,HH22/365*M22))</f>
        <v/>
      </c>
      <c r="HL22" s="1103" t="str">
        <f>IF(A22=FALSE,"",IF(Cotations!AF22="monthly",HJ22/12*L22,HJ22/365*M22))</f>
        <v/>
      </c>
      <c r="HM22" s="433" t="str">
        <f>IF(A22=FALSE,"",IF(Cotations!AL22="","",Cotations!AL22))</f>
        <v/>
      </c>
      <c r="HN22" s="277" t="str">
        <f t="shared" si="283"/>
        <v/>
      </c>
      <c r="HO22" s="277" t="str">
        <f t="shared" si="284"/>
        <v/>
      </c>
      <c r="HP22" s="1104" t="str">
        <f t="shared" si="285"/>
        <v/>
      </c>
      <c r="HQ22" s="277" t="str">
        <f t="shared" si="286"/>
        <v/>
      </c>
      <c r="HR22" s="759" t="str">
        <f>IF(A22=FALSE,"",((HH22*TAXE)-(HH22*TAXE*HM22)+HI22)+IF(CQ22="N/A",0,IF(INDEX(LISTES!$F$105:$F$109,MATCH(CQ22,LISTES!$C$105:$C$109,0))="FIX",CR22,CS22*HQ22)))</f>
        <v/>
      </c>
      <c r="HS22" s="412"/>
      <c r="HT22" s="412"/>
      <c r="HU22" s="412"/>
      <c r="HV22" s="412"/>
      <c r="HW22" s="412"/>
      <c r="HX22" s="412"/>
      <c r="HY22" s="412"/>
      <c r="HZ22" s="1262"/>
      <c r="IA22" s="432" t="str">
        <f>IF(A22=FALSE,"",Cotations!AT22)</f>
        <v/>
      </c>
      <c r="IB22" s="1253" t="str">
        <f>IF(A22=FALSE,"",IF(Detail!AT22="","N/A",YEAR(Detail!F22)&amp;Detail!AW22&amp;Detail!AT22&amp;"-"&amp;Detail!$AT$13&amp;Detail!AU22))</f>
        <v/>
      </c>
      <c r="IC22" s="431" t="str">
        <f>IF(A22=FALSE,"",IF(LISTES!$A$17=1,IB22,INDEX(colMOD1,MATCH(DA22,colchoice,0))))</f>
        <v/>
      </c>
      <c r="ID22" s="759" t="str">
        <f t="shared" si="287"/>
        <v/>
      </c>
      <c r="IE22" s="292" t="str">
        <f>IF(A22=FALSE,"",IF(LISTES!$A$17=1,Detail!AU22,INDEX(Rates!$M$1:$M$270,MATCH(IC22,colMOD1,0))))</f>
        <v/>
      </c>
      <c r="IF22" s="409" t="str">
        <f t="shared" si="165"/>
        <v/>
      </c>
      <c r="IG22" s="430" t="str">
        <f>IF(A22=FALSE,"",IF(IA22="POEA",Cotations!AY22,IF(IA22="FIXE",Cotations!AZ22,IF(Cotations!BA22*Y22&lt;50000,Z22,Cotations!BA22*Y22))))</f>
        <v/>
      </c>
      <c r="IH22" s="292" t="str">
        <f t="shared" si="166"/>
        <v/>
      </c>
      <c r="II22" s="446" t="str">
        <f>IF(A22=FALSE,"",IF(Cotations!AU22="monthly",IH22/12*L22,IH22/365*M22))</f>
        <v/>
      </c>
      <c r="IJ22" s="429" t="str">
        <f>IF(A22=FALSE,"",IF(Cotations!BB22="","",Cotations!BB22))</f>
        <v/>
      </c>
      <c r="IK22" s="292" t="str">
        <f t="shared" si="167"/>
        <v/>
      </c>
      <c r="IL22" s="292" t="str">
        <f t="shared" si="168"/>
        <v/>
      </c>
      <c r="IM22" s="759" t="str">
        <f t="shared" si="169"/>
        <v/>
      </c>
      <c r="IN22" s="759" t="str">
        <f>IF(A22=FALSE,"",((IH22*TAXE)-(IH22*TAXE*IJ22))+IF(DQ22="N/A",0,IF(INDEX(LISTES!$F$105:$F$109,MATCH(DQ22,LISTES!$C$105:$C$109,0))="FIX",DR22,DS22*IM22)))</f>
        <v/>
      </c>
      <c r="IO22" s="383"/>
      <c r="IP22" s="1127"/>
      <c r="IQ22" s="1127"/>
      <c r="IR22" s="1127"/>
      <c r="IS22" s="1127"/>
      <c r="IT22" s="1127"/>
      <c r="IU22" s="1127"/>
      <c r="IV22" s="1127"/>
      <c r="IW22" s="1127"/>
      <c r="IX22" s="1127"/>
      <c r="IY22" s="1127"/>
      <c r="JA22" s="432" t="str">
        <f>IF(A22=FALSE,"",Cotations!AT22)</f>
        <v/>
      </c>
      <c r="JB22" s="1234" t="str">
        <f>IF(A22=FALSE,"",IF(Detail!BB22="","N/A",YEAR(Detail!F22)&amp;Detail!BE22&amp;Detail!BB22&amp;"-"&amp;Detail!$BB$13&amp;Detail!BC22))</f>
        <v/>
      </c>
      <c r="JC22" s="431" t="str">
        <f>IF(A22=FALSE,"",IF(LISTES!$A$17=1,JB22,INDEX(colMOD2,MATCH(DA22,colchoice,0))))</f>
        <v/>
      </c>
      <c r="JD22" s="759" t="str">
        <f t="shared" si="170"/>
        <v/>
      </c>
      <c r="JE22" s="292"/>
      <c r="JF22" s="409" t="str">
        <f t="shared" si="171"/>
        <v/>
      </c>
      <c r="JG22" s="430" t="str">
        <f>IF(A22=FALSE,"",IF(JA22="POEA",Cotations!BC22,IF(JA22="FIXE",Cotations!BD22,IF(Cotations!BE22*Y22&lt;50000,Z22,Cotations!BE22*Y22))))</f>
        <v/>
      </c>
      <c r="JH22" s="292" t="str">
        <f t="shared" si="172"/>
        <v/>
      </c>
      <c r="JI22" s="446" t="str">
        <f>IF(A22=FALSE,"",IF(Cotations!AU22="monthly",JH22/12*L22,JH22/365*M22))</f>
        <v/>
      </c>
      <c r="JJ22" s="429" t="str">
        <f>IF(A22=FALSE,"",IF(Cotations!BF22="","",Cotations!BF22))</f>
        <v/>
      </c>
      <c r="JK22" s="292" t="str">
        <f t="shared" si="173"/>
        <v/>
      </c>
      <c r="JL22" s="292" t="str">
        <f t="shared" si="174"/>
        <v/>
      </c>
      <c r="JM22" s="759" t="str">
        <f t="shared" si="175"/>
        <v/>
      </c>
      <c r="JN22" s="759" t="str">
        <f>IF(A22=FALSE,"",((JH22*TAXE)-(JH22*TAXE*JJ22))+IF(#REF!="N/A",0,IF(INDEX(LISTES!$F$105:$F$109,MATCH(#REF!,LISTES!$C$105:$C$109,0))="FIX",#REF!,#REF!*JM22)))</f>
        <v/>
      </c>
      <c r="JQ22" s="383"/>
      <c r="JR22" s="1127"/>
      <c r="JS22" s="1127"/>
      <c r="JT22" s="1127"/>
      <c r="JU22" s="1127"/>
      <c r="JV22" s="1127"/>
      <c r="JW22" s="383"/>
      <c r="JX22" s="1127"/>
      <c r="JY22" s="1127"/>
      <c r="KA22" s="432" t="str">
        <f>IF(A22=FALSE,"",Cotations!AT22)</f>
        <v/>
      </c>
      <c r="KB22" s="1234" t="str">
        <f>IF(A22=FALSE,"",IF(Detail!BJ22="","N/A",YEAR(Detail!F22)&amp;Detail!BM22&amp;Detail!BJ22&amp;"-"&amp;Detail!$BJ$13&amp;Detail!BK22))</f>
        <v/>
      </c>
      <c r="KC22" s="431" t="str">
        <f>IF(A22=FALSE,"",IF(LISTES!$A$17=1,KB22,INDEX(colMOD3,MATCH(DA22,colchoice,0))))</f>
        <v/>
      </c>
      <c r="KD22" s="759" t="str">
        <f t="shared" si="176"/>
        <v/>
      </c>
      <c r="KE22" s="292"/>
      <c r="KF22" s="409" t="str">
        <f t="shared" si="177"/>
        <v/>
      </c>
      <c r="KG22" s="430" t="str">
        <f>IF(A22=FALSE,"",IF(KA22="POEA",Cotations!BG22,IF(KA22="FIXE",Cotations!BH22,IF(Cotations!BI22*Y22&lt;50000,Z22,Cotations!BI22*Y22))))</f>
        <v/>
      </c>
      <c r="KH22" s="292" t="str">
        <f t="shared" si="178"/>
        <v/>
      </c>
      <c r="KI22" s="446" t="str">
        <f>IF(A22=FALSE,"",IF(Cotations!AU22="monthly",KH22/12*L22,KH22/365*M22))</f>
        <v/>
      </c>
      <c r="KJ22" s="429" t="str">
        <f>IF(A22=FALSE,"",IF(Cotations!BJ22="","",Cotations!BJ22))</f>
        <v/>
      </c>
      <c r="KK22" s="292" t="str">
        <f t="shared" si="179"/>
        <v/>
      </c>
      <c r="KL22" s="292" t="str">
        <f t="shared" si="180"/>
        <v/>
      </c>
      <c r="KM22" s="759" t="str">
        <f t="shared" si="181"/>
        <v/>
      </c>
      <c r="KN22" s="759" t="str">
        <f>IF(A22=FALSE,"",((KH22*TAXE)-(KH22*TAXE*KJ22))+IF(#REF!="N/A",0,IF(INDEX(LISTES!$F$105:$F$109,MATCH(#REF!,LISTES!$C$105:$C$109,0))="FIX",#REF!,#REF!*KM22)))</f>
        <v/>
      </c>
      <c r="KR22" s="1127"/>
      <c r="KS22" s="1127"/>
      <c r="KT22" s="1127"/>
      <c r="KU22" s="1127"/>
      <c r="KV22" s="1127"/>
      <c r="KW22" s="1127"/>
      <c r="KX22" s="1127"/>
      <c r="KY22" s="1127"/>
      <c r="LA22" s="432" t="str">
        <f>IF(A22=FALSE,"",Cotations!AT22)</f>
        <v/>
      </c>
      <c r="LB22" s="1234" t="str">
        <f>IF(A22=FALSE,"",IF(Detail!BR22="","N/A",YEAR(Detail!F22)&amp;Detail!BU22&amp;Detail!BR22&amp;"-"&amp;Detail!$BR$13&amp;Detail!BS22))</f>
        <v/>
      </c>
      <c r="LC22" s="431" t="str">
        <f>IF(A22=FALSE,"",IF(LISTES!$A$17=1,LB22,INDEX(colMOD4,MATCH(DA22,colchoice,0))))</f>
        <v/>
      </c>
      <c r="LD22" s="759" t="str">
        <f t="shared" si="182"/>
        <v/>
      </c>
      <c r="LE22" s="292"/>
      <c r="LF22" s="409" t="str">
        <f t="shared" si="183"/>
        <v/>
      </c>
      <c r="LG22" s="430" t="str">
        <f>IF(A22=FALSE,"",IF(LA22="POEA",Cotations!BK22,IF(LA22="FIXE",Cotations!BL22,IF(Cotations!BM22*Y22&lt;50000,Z22,Cotations!BM22*Y22))))</f>
        <v/>
      </c>
      <c r="LH22" s="292" t="str">
        <f t="shared" si="184"/>
        <v/>
      </c>
      <c r="LI22" s="446" t="str">
        <f>IF(A22=FALSE,"",IF(Cotations!AU22="monthly",LH22/12*L22,LH22/365*M22))</f>
        <v/>
      </c>
      <c r="LJ22" s="429" t="str">
        <f>IF(A22=FALSE,"",IF(Cotations!BN22="","",Cotations!BN22))</f>
        <v/>
      </c>
      <c r="LK22" s="292" t="str">
        <f t="shared" si="185"/>
        <v/>
      </c>
      <c r="LL22" s="292" t="str">
        <f t="shared" si="186"/>
        <v/>
      </c>
      <c r="LM22" s="759" t="str">
        <f t="shared" si="187"/>
        <v/>
      </c>
      <c r="LN22" s="759" t="str">
        <f>IF(A22=FALSE,"",((LH22*TAXE)-(LH22*TAXE*LJ22))+IF(#REF!="N/A",0,IF(INDEX(LISTES!$F$105:$F$109,MATCH(#REF!,LISTES!$C$105:$C$109,0))="FIX",#REF!,#REF!*LM22)))</f>
        <v/>
      </c>
      <c r="LR22" s="1127"/>
      <c r="LS22" s="1127"/>
      <c r="LT22" s="1127"/>
      <c r="LU22" s="1127"/>
      <c r="LV22" s="1127"/>
      <c r="LW22" s="1127"/>
      <c r="LX22" s="1127"/>
      <c r="LY22" s="1127"/>
      <c r="MA22" s="432" t="str">
        <f t="shared" si="188"/>
        <v/>
      </c>
      <c r="MB22" s="1234" t="str">
        <f>IF(A22=FALSE,"",IF(Detail!BZ22="","N/A",YEAR(Detail!F22)&amp;Detail!CC22&amp;Detail!BZ22&amp;"-"&amp;Detail!$BZ$13&amp;" (100%/"&amp;Detail!CD22&amp;"/"&amp;Detail!CE22&amp;")"))</f>
        <v/>
      </c>
      <c r="MC22" s="431" t="str">
        <f>IF(A22=FALSE,"",IF(LISTES!$A$17=1,MB22,INDEX(colMOD5,MATCH(DA22,colchoice,0))))</f>
        <v/>
      </c>
      <c r="MD22" s="759" t="str">
        <f t="shared" si="189"/>
        <v/>
      </c>
      <c r="ME22" s="292"/>
      <c r="MF22" s="409" t="str">
        <f t="shared" si="190"/>
        <v/>
      </c>
      <c r="MG22" s="430" t="str">
        <f>IF(A22=FALSE,"",Cotations!BQ22*AA22)</f>
        <v/>
      </c>
      <c r="MH22" s="292" t="str">
        <f t="shared" si="191"/>
        <v/>
      </c>
      <c r="MI22" s="446" t="str">
        <f>IF(A22=FALSE,"",IF(Cotations!AU22="monthly",MH22/12*L22,MH22/365*M22))</f>
        <v/>
      </c>
      <c r="MJ22" s="429" t="str">
        <f>IF(A22=FALSE,"",IF(Cotations!BR22="","",Cotations!BR22))</f>
        <v/>
      </c>
      <c r="MK22" s="292" t="str">
        <f t="shared" si="192"/>
        <v/>
      </c>
      <c r="ML22" s="292" t="str">
        <f t="shared" si="193"/>
        <v/>
      </c>
      <c r="MM22" s="759" t="str">
        <f t="shared" si="194"/>
        <v/>
      </c>
      <c r="MN22" s="759" t="str">
        <f>IF(A22=FALSE,"",((MH22*TAXE)-(MH22*TAXE*MJ22))+IF(#REF!="N/A",0,IF(INDEX(LISTES!$F$105:$F$109,MATCH(#REF!,LISTES!$C$105:$C$109,0))="FIX",#REF!,#REF!*MM22)))</f>
        <v/>
      </c>
      <c r="MQ22" s="1127"/>
      <c r="MR22" s="1127"/>
      <c r="MS22" s="1127"/>
      <c r="MT22" s="1127"/>
      <c r="MU22" s="1127"/>
      <c r="MV22" s="1127"/>
      <c r="MW22" s="1127"/>
      <c r="MX22" s="1127"/>
      <c r="NA22" s="432" t="str">
        <f t="shared" si="195"/>
        <v/>
      </c>
      <c r="NB22" s="1234" t="str">
        <f>IF(A22=FALSE,"",IF(Detail!CH22="","N/A",YEAR(Detail!F22)&amp;Detail!CK22&amp;Detail!CH22&amp;"-"&amp;Detail!$CH$13&amp;" (100%/"&amp;Detail!CL22&amp;"/"&amp;Detail!CM22&amp;")"))</f>
        <v/>
      </c>
      <c r="NC22" s="431" t="str">
        <f>IF(A22=FALSE,"",IF(LISTES!$A$17=1,NB22,INDEX(colMOD6,MATCH(DA22,colchoice,0))))</f>
        <v/>
      </c>
      <c r="ND22" s="759" t="str">
        <f t="shared" si="196"/>
        <v/>
      </c>
      <c r="NE22" s="292"/>
      <c r="NF22" s="409" t="str">
        <f t="shared" si="197"/>
        <v/>
      </c>
      <c r="NG22" s="430" t="str">
        <f>IF(A22=FALSE,"",Cotations!BU22*AA22)</f>
        <v/>
      </c>
      <c r="NH22" s="292" t="str">
        <f t="shared" si="198"/>
        <v/>
      </c>
      <c r="NI22" s="446" t="str">
        <f>IF(A22=FALSE,"",IF(Cotations!AU22="monthly",NH22/12*L22,NH22/365*M22))</f>
        <v/>
      </c>
      <c r="NJ22" s="429" t="str">
        <f>IF(A22=FALSE,"",IF(Cotations!BV22="","",Cotations!BV22))</f>
        <v/>
      </c>
      <c r="NK22" s="292" t="str">
        <f t="shared" si="199"/>
        <v/>
      </c>
      <c r="NL22" s="292" t="str">
        <f t="shared" si="200"/>
        <v/>
      </c>
      <c r="NM22" s="759" t="str">
        <f t="shared" si="201"/>
        <v/>
      </c>
      <c r="NN22" s="759" t="str">
        <f>IF(A22=FALSE,"",((NH22*TAXE)-(NH22*TAXE*NJ22))+IF(#REF!="N/A",0,IF(INDEX(LISTES!$F$105:$F$109,MATCH(#REF!,LISTES!$C$105:$C$109,0))="FIX",#REF!,#REF!*NM22)))</f>
        <v/>
      </c>
      <c r="NR22" s="1127"/>
      <c r="NS22" s="1127"/>
      <c r="NT22" s="1127"/>
      <c r="NU22" s="1127"/>
      <c r="NV22" s="1127"/>
      <c r="NW22" s="1127"/>
      <c r="NX22" s="1127"/>
      <c r="NY22" s="1127"/>
      <c r="NZ22" s="1281" t="str">
        <f>IF(A22=FALSE,"",IF(Detail!CP22="","N/A",YEAR(Detail!F22)&amp;Detail!CS22&amp;Detail!CP22&amp;"-"&amp;Detail!CQ22))</f>
        <v/>
      </c>
      <c r="OA22" s="432" t="str">
        <f>IF(A22=FALSE,"",Cotations!CF22)</f>
        <v/>
      </c>
      <c r="OB22" s="1282" t="str">
        <f>IF(A22=FALSE,"",IF(Detail!CP22="","N/A",YEAR(Detail!F22)&amp;Detail!CS22&amp;Detail!CP22&amp;"-"&amp;Detail!$CP$13&amp;Detail!CQ22))</f>
        <v/>
      </c>
      <c r="OC22" s="1283" t="str">
        <f>IF(A22=FALSE,"",IF(LISTES!$A$17=1,OB22,INDEX(colMOD1,MATCH(Cotations!CE22,colchoice,0))))</f>
        <v/>
      </c>
      <c r="OD22" s="759" t="str">
        <f t="shared" si="202"/>
        <v/>
      </c>
      <c r="OE22" s="292" t="str">
        <f>IF(A22=FALSE,"",Detail!CQ22)</f>
        <v/>
      </c>
      <c r="OF22" s="409" t="str">
        <f t="shared" si="203"/>
        <v/>
      </c>
      <c r="OG22" s="430" t="str">
        <f>IF(A22=FALSE,"",IF(OA22="FIXE",Cotations!CM22,Cotations!CN22*AA22))</f>
        <v/>
      </c>
      <c r="OH22" s="292" t="str">
        <f t="shared" si="288"/>
        <v/>
      </c>
      <c r="OI22" s="446" t="str">
        <f>IF(A22=FALSE,"",IF(Cotations!CF22="monthly",OH22/12*L22,OH22/365*M22))</f>
        <v/>
      </c>
      <c r="OJ22" s="429" t="str">
        <f>IF(A22=FALSE,"",IF(Cotations!CO22="","",Cotations!CO22))</f>
        <v/>
      </c>
      <c r="OK22" s="292" t="str">
        <f t="shared" si="289"/>
        <v/>
      </c>
      <c r="OL22" s="292" t="str">
        <f t="shared" si="290"/>
        <v/>
      </c>
      <c r="OM22" s="759" t="str">
        <f t="shared" si="207"/>
        <v/>
      </c>
      <c r="ON22" s="759" t="str">
        <f>IF(A22=FALSE,"",((OH22*(1+TAXE)-(OH22*(1+TAXE)*OJ22))+IF(#REF!="N/A",0,IF(INDEX(LISTES!$F$105:$F$109,MATCH(#REF!,LISTES!$C$105:$C$109,0))="FIX",#REF!,#REF!*OM22))))</f>
        <v/>
      </c>
      <c r="PA22" s="432" t="str">
        <f>IF(A22=FALSE,"",Cotations!CF22)</f>
        <v/>
      </c>
      <c r="PB22" s="1282" t="str">
        <f>IF(A22=FALSE,"",IF(Detail!CX22="","N/A",YEAR(Detail!F22)&amp;Detail!DA22&amp;Detail!CX22&amp;"-"&amp;Detail!$CX$13&amp;Detail!CY22))</f>
        <v/>
      </c>
      <c r="PC22" s="1283" t="str">
        <f>IF(A22=FALSE,"",IF(LISTES!$A$17=1,PB22,INDEX(colMOD3,MATCH(Cotations!CE22,colchoice,0))))</f>
        <v/>
      </c>
      <c r="PD22" s="759" t="str">
        <f t="shared" si="208"/>
        <v/>
      </c>
      <c r="PE22" s="292" t="str">
        <f>IF(A22=FALSE,"",IF(Detail!CY22="","",Detail!CY22))</f>
        <v/>
      </c>
      <c r="PF22" s="409" t="str">
        <f t="shared" si="291"/>
        <v/>
      </c>
      <c r="PG22" s="430" t="str">
        <f>IF(A22=FALSE,"",IF(PA22="FIXE",Cotations!CP22,Cotations!CQ22*AA22))</f>
        <v/>
      </c>
      <c r="PH22" s="292" t="str">
        <f t="shared" si="292"/>
        <v/>
      </c>
      <c r="PI22" s="446" t="str">
        <f>IF(A22=FALSE,"",IF(Cotations!CG22="monthly",PH22/12*L22,PH22/365*M22))</f>
        <v/>
      </c>
      <c r="PJ22" s="429" t="str">
        <f>IF(A22=FALSE,"",IF(Cotations!DA22="",0,Cotations!DA22))</f>
        <v/>
      </c>
      <c r="PK22" s="292" t="str">
        <f t="shared" si="293"/>
        <v/>
      </c>
      <c r="PL22" s="292" t="str">
        <f t="shared" si="294"/>
        <v/>
      </c>
      <c r="PM22" s="759" t="str">
        <f t="shared" si="211"/>
        <v/>
      </c>
      <c r="PN22" s="759" t="str">
        <f>IF(A22=FALSE,"",((PH22*(1+TAXE)-(PH22*(1+TAXE)*PJ22))+IF(#REF!="N/A",0,IF(INDEX(LISTES!$F$105:$F$109,MATCH(#REF!,LISTES!$C$105:$C$109,0))="FIX",#REF!,#REF!*PM22))))</f>
        <v/>
      </c>
    </row>
    <row r="23" spans="1:430" s="288" customFormat="1">
      <c r="A23" s="779" t="b">
        <f t="shared" si="111"/>
        <v>0</v>
      </c>
      <c r="B23" s="779" t="b">
        <f>IF(NAMES!$B$9=TRUE,TRUE,FALSE)</f>
        <v>1</v>
      </c>
      <c r="C23" s="779" t="b">
        <f t="shared" si="212"/>
        <v>0</v>
      </c>
      <c r="D23" s="779" t="b">
        <f t="shared" si="213"/>
        <v>1</v>
      </c>
      <c r="E23" s="267" t="b">
        <f>IF(Cotations!C23="","",Cotations!C23)</f>
        <v>0</v>
      </c>
      <c r="F23" s="267" t="str">
        <f>IF(Cotations!AT23="","",Cotations!AT23)</f>
        <v>PROP</v>
      </c>
      <c r="G23" s="267" t="str">
        <f>IF(Cotations!D23="","",Cotations!D23)</f>
        <v>2016-2017!</v>
      </c>
      <c r="H23" s="267" t="str">
        <f>IF(Cotations!E23="","",Cotations!E23)</f>
        <v>SINGLE</v>
      </c>
      <c r="I23" s="267" t="str">
        <f>IF(Cotations!F23="","",Cotations!F23)</f>
        <v/>
      </c>
      <c r="J23" s="267" t="str">
        <f>IF(Cotations!G23="","",Cotations!G23)</f>
        <v/>
      </c>
      <c r="K23" s="267" t="str">
        <f>IF(Cotations!H23="","",Cotations!H23)</f>
        <v/>
      </c>
      <c r="L23" s="267" t="str">
        <f>IF(A23=FALSE,"",IF(Cotations!M23="","",Cotations!M23))</f>
        <v/>
      </c>
      <c r="M23" s="267" t="str">
        <f>IF(Cotations!O23="","",Cotations!O23)</f>
        <v/>
      </c>
      <c r="N23" s="588">
        <f>IF(NAMES!$B$10=TRUE,Cotations!I23,Cotations!K23)</f>
        <v>42566</v>
      </c>
      <c r="O23" s="588">
        <f>IF(NAMES!$B$10=TRUE,Cotations!J23,Cotations!L23)</f>
        <v>42674</v>
      </c>
      <c r="P23" s="780" t="str">
        <f t="shared" si="214"/>
        <v>juillet</v>
      </c>
      <c r="Q23" s="588" t="str">
        <f>IF(A23=FALSE,"",IF(Crewlist!Y23="","",Crewlist!Y23))</f>
        <v/>
      </c>
      <c r="R23" s="78" t="str">
        <f>IF(Cotations!T23="","",Cotations!T23)</f>
        <v/>
      </c>
      <c r="S23" s="780" t="str">
        <f t="shared" si="215"/>
        <v/>
      </c>
      <c r="T23" s="759" t="str">
        <f>IF(A23=FALSE,"",VLOOKUP($U$15:$U$120,Currency!$A$2:$D$10,4,0)*Crewlist!N23)</f>
        <v/>
      </c>
      <c r="U23" s="1097" t="str">
        <f>IF(A23=FALSE,"",IF(DP23=0,Crewlist!M23&amp;"/"&amp;CP23,Crewlist!M23&amp;"/"&amp;DP23))</f>
        <v/>
      </c>
      <c r="V23" s="759" t="str">
        <f>IF(A23=FALSE,"",VLOOKUP($U$15:$U$120,Currency!$A$2:$D$10,4,0)*Detail!Q23)</f>
        <v/>
      </c>
      <c r="W23" s="1097" t="str">
        <f>IF(A23=FALSE,"",IF(DP23=0,Detail!R23&amp;"/"&amp;CP23,Detail!R23&amp;"/"&amp;DP23))</f>
        <v/>
      </c>
      <c r="X23" s="759" t="str">
        <f>IF(A23=FALSE,"",IF(LISTES!$C$17="Crewlist",Calcul!T23,Calcul!V23))</f>
        <v/>
      </c>
      <c r="Y23" s="618" t="str">
        <f t="shared" si="216"/>
        <v/>
      </c>
      <c r="Z23" s="618" t="str">
        <f>IF(A23=FALSE,"",IF(X23=0,0,IF((Cotations!BA23*12*X23)&lt;50000,50000,(12*X23))))</f>
        <v/>
      </c>
      <c r="AA23" s="618" t="str">
        <f t="shared" si="217"/>
        <v/>
      </c>
      <c r="AB23" s="618" t="str">
        <f>IF(A23=FALSE,"",IF(Crewlist!O23=0,"",Crewlist!O23))</f>
        <v/>
      </c>
      <c r="AC23" s="618" t="str">
        <f>IF(I23="","",VLOOKUP($AB$15:$AB$120,Currency!$A$15:$B$34,2,0))</f>
        <v/>
      </c>
      <c r="AD23" s="618" t="str">
        <f t="shared" si="218"/>
        <v/>
      </c>
      <c r="AE23" s="618" t="str">
        <f t="shared" si="219"/>
        <v/>
      </c>
      <c r="AF23" s="618" t="str">
        <f t="shared" si="220"/>
        <v/>
      </c>
      <c r="AG23" s="618" t="str">
        <f t="shared" si="221"/>
        <v/>
      </c>
      <c r="AH23" s="1097" t="str">
        <f t="shared" si="112"/>
        <v/>
      </c>
      <c r="AI23" s="759" t="str">
        <f t="shared" si="222"/>
        <v/>
      </c>
      <c r="AJ23" s="1120" t="str">
        <f t="shared" si="223"/>
        <v/>
      </c>
      <c r="AK23" s="1120" t="str">
        <f t="shared" si="224"/>
        <v/>
      </c>
      <c r="AL23" s="236" t="str">
        <f t="shared" si="225"/>
        <v/>
      </c>
      <c r="AM23" s="236" t="str">
        <f t="shared" si="226"/>
        <v/>
      </c>
      <c r="AN23" s="1112" t="str">
        <f t="shared" si="227"/>
        <v/>
      </c>
      <c r="AO23" s="236" t="str">
        <f t="shared" si="228"/>
        <v/>
      </c>
      <c r="AP23" s="327" t="str">
        <f>IF(A23=FALSE,"",INDEX(Rates!$Q$1:$Q$278,MATCH(CA23,colchoice,0)))</f>
        <v/>
      </c>
      <c r="AQ23" s="236" t="str">
        <f t="shared" si="229"/>
        <v/>
      </c>
      <c r="AR23" s="236" t="str">
        <f t="shared" si="230"/>
        <v/>
      </c>
      <c r="AS23" s="236" t="str">
        <f t="shared" si="117"/>
        <v/>
      </c>
      <c r="AT23" s="236" t="str">
        <f t="shared" si="118"/>
        <v/>
      </c>
      <c r="AU23" s="236" t="str">
        <f t="shared" si="231"/>
        <v/>
      </c>
      <c r="AV23" s="236" t="str">
        <f t="shared" si="232"/>
        <v/>
      </c>
      <c r="AW23" s="236" t="str">
        <f t="shared" si="233"/>
        <v/>
      </c>
      <c r="AX23" s="236" t="str">
        <f t="shared" si="234"/>
        <v/>
      </c>
      <c r="AY23" s="236" t="str">
        <f t="shared" si="235"/>
        <v/>
      </c>
      <c r="AZ23" s="236" t="str">
        <f t="shared" si="236"/>
        <v/>
      </c>
      <c r="BA23" s="236" t="str">
        <f t="shared" si="237"/>
        <v/>
      </c>
      <c r="BB23" s="467" t="str">
        <f t="shared" si="238"/>
        <v/>
      </c>
      <c r="BC23" s="329" t="str">
        <f t="shared" si="239"/>
        <v/>
      </c>
      <c r="BD23" s="237" t="str">
        <f t="shared" si="240"/>
        <v/>
      </c>
      <c r="BE23" s="237" t="str">
        <f>IF(A23=FALSE,"",IF(ED23&lt;&gt;$BC$7,0,INDEX(EA23:EZ23,1,MATCH(Structure!$J$16,$EA$14:$EZ$14,0))))</f>
        <v/>
      </c>
      <c r="BF23" s="237" t="str">
        <f>IF(A23=FALSE,"",IF(FD23&lt;&gt;$BC$7,0,INDEX(FA23:FZ23,1,MATCH(Structure!$J$16,$FA$14:$FZ$14,0))))</f>
        <v/>
      </c>
      <c r="BG23" s="237" t="str">
        <f>IF(A23=FALSE,"",IF(GD23&lt;&gt;$BC$7,0,INDEX(GA23:GZ23,1,MATCH(Structure!$J$16,$GA$14:$GZ$14,0))))</f>
        <v/>
      </c>
      <c r="BH23" s="237" t="str">
        <f>IF(A23=FALSE,"",IF(HD23&lt;&gt;$BC$7,0,INDEX(HA23:HZ23,1,MATCH(Structure!$J$16,$HA$14:$HZ$14,0))))</f>
        <v/>
      </c>
      <c r="BI23" s="621" t="str">
        <f>IF(A23=FALSE,"",IF(ID23&lt;&gt;$BC$7,0,INDEX(IA23:IZ23,1,MATCH(Structure!$C$12,$IA$14:$IZ$14,0)))+OL23)</f>
        <v/>
      </c>
      <c r="BJ23" s="237" t="str">
        <f>IF(A23=FALSE,"",IF(JD23&lt;&gt;$BC$7,0,INDEX(JA23:JZ23,1,MATCH(Structure!$C$12,$JA$14:$JZ$14,0))))</f>
        <v/>
      </c>
      <c r="BK23" s="621" t="str">
        <f>IF(A23=FALSE,"",IF(KD23&lt;&gt;$BC$7,0,INDEX(KA23:KZ23,1,MATCH(Structure!$C$12,$KA$14:$KZ$14,0)))+PL23)</f>
        <v/>
      </c>
      <c r="BL23" s="237" t="str">
        <f>IF(A23=FALSE,"",IF(LD23&lt;&gt;$BC$7,0,INDEX(LA23:LZ23,1,MATCH(Structure!$C$12,$LA$14:$LZ$14,0))))</f>
        <v/>
      </c>
      <c r="BM23" s="237" t="str">
        <f>IF(A23=FALSE,"",IF(MD23&lt;&gt;$BC$7,0,INDEX(MA23:MZ23,1,MATCH(Structure!$C$12,$MA$14:$MZ$14,0))))</f>
        <v/>
      </c>
      <c r="BN23" s="326" t="str">
        <f>IF(A23=FALSE,"",IF(ND23&lt;&gt;$BC$7,0,INDEX(NA23:OC23,1,MATCH(Structure!$C$12,$NA$14:$OC$14,0))))</f>
        <v/>
      </c>
      <c r="BO23" s="435" t="str">
        <f t="shared" si="241"/>
        <v/>
      </c>
      <c r="BP23" s="237" t="str">
        <f t="shared" si="242"/>
        <v/>
      </c>
      <c r="BQ23" s="237" t="str">
        <f>IF(A23=FALSE,"",IF(ED23&lt;&gt;$BO$7,0,INDEX(EA23:EZ23,1,MATCH(Structure!$C$12,$EA$14:$EZ$14,0))))</f>
        <v/>
      </c>
      <c r="BR23" s="237" t="str">
        <f>IF(A23=FALSE,"",IF(FD23&lt;&gt;$BO$7,0,INDEX(FA23:FZ23,1,MATCH(Structure!$C$12,$FA$14:$FZ$14,0))))</f>
        <v/>
      </c>
      <c r="BS23" s="237" t="str">
        <f>IF(A23=FALSE,"",IF(ID23&lt;&gt;$BO$7,0,INDEX(IA23:IZ23,1,MATCH(Structure!$C$13,$IA$14:$IZ$14,0))))</f>
        <v/>
      </c>
      <c r="BT23" s="237" t="str">
        <f>IF(A23=FALSE,"",IF(JD23&lt;&gt;$BO$7,0,INDEX(JA23:JZ23,1,MATCH(Structure!$C$13,$JA$14:$JZ$14,0))))</f>
        <v/>
      </c>
      <c r="BU23" s="237" t="str">
        <f>IF(A23=FALSE,"",IF(KD23&lt;&gt;$BO$7,0,INDEX(KA23:KZ23,1,MATCH(Structure!$C$13,$KA$14:$KZ$14,0))))</f>
        <v/>
      </c>
      <c r="BV23" s="237" t="str">
        <f>IF(A23=FALSE,"",IF(LD23&lt;&gt;$BO$7,0,INDEX(LA23:LZ23,1,MATCH(Structure!$C$13,$LA$14:$LZ$14,0))))</f>
        <v/>
      </c>
      <c r="BW23" s="237" t="str">
        <f>IF(A23=FALSE,"",IF(MD23&lt;&gt;$BO$7,0,INDEX(MA23:MZ23,1,MATCH(Structure!$C$13,$MA$14:$MZ$14,0))))</f>
        <v/>
      </c>
      <c r="BX23" s="326" t="str">
        <f>IF(A23=FALSE,"",IF(ND23&lt;&gt;$BO$7,0,INDEX(NA23:OC23,1,MATCH(Structure!$C$13,$NA$14:$OC$14,0))))</f>
        <v/>
      </c>
      <c r="BY23" s="412"/>
      <c r="BZ23" s="412"/>
      <c r="CA23" s="1255" t="str">
        <f>IF(A23=FALSE,"",IF(LISTES!$A$17=1,Cotations!AG23,Cotations!AH23))</f>
        <v/>
      </c>
      <c r="CB23" s="1266" t="str">
        <f t="shared" si="243"/>
        <v/>
      </c>
      <c r="CC23" s="1120" t="str">
        <f t="shared" si="244"/>
        <v/>
      </c>
      <c r="CD23" s="1120" t="str">
        <f t="shared" si="245"/>
        <v/>
      </c>
      <c r="CE23" s="1120" t="str">
        <f t="shared" si="246"/>
        <v/>
      </c>
      <c r="CF23" s="1120" t="str">
        <f t="shared" si="247"/>
        <v/>
      </c>
      <c r="CG23" s="1267"/>
      <c r="CH23" s="1267"/>
      <c r="CI23" s="1268" t="str">
        <f t="shared" si="248"/>
        <v/>
      </c>
      <c r="CJ23" s="286" t="str">
        <f t="shared" si="249"/>
        <v/>
      </c>
      <c r="CK23" s="286" t="str">
        <f t="shared" si="250"/>
        <v/>
      </c>
      <c r="CL23" s="1263"/>
      <c r="CM23" s="1263"/>
      <c r="CN23" s="1263"/>
      <c r="CO23" s="1263"/>
      <c r="CP23" s="319" t="str">
        <f t="shared" si="251"/>
        <v/>
      </c>
      <c r="CQ23" s="443" t="str">
        <f>IF(A23=FALSE,"",Cotations!AM23)</f>
        <v/>
      </c>
      <c r="CR23" s="443" t="str">
        <f>IF(A23=FALSE,"",IF(Cotations!AN23="","",Cotations!AN23))</f>
        <v/>
      </c>
      <c r="CS23" s="433" t="str">
        <f>IF(A23=FALSE,"",Cotations!AO23)</f>
        <v/>
      </c>
      <c r="CT23" s="443" t="str">
        <f>IF(A23=FALSE,"",IF(CQ23="N/A",0,IF(INDEX(LISTES!$F$105:$F$109,MATCH(CQ23,LISTES!$C$105:$C$109,0))="FIX",IF(INDEX(LISTES!$E$105:$E$109,MATCH(CQ23,LISTES!$C$105:$C$109,0))=12,CR23/12*L23,CR23/365*M23),CS23*EQ23)))</f>
        <v/>
      </c>
      <c r="CU23" s="434" t="str">
        <f>IF(A23=FALSE,"",(CJ23+CK23)*Cotations!AP23)</f>
        <v/>
      </c>
      <c r="CV23" s="434" t="str">
        <f>IF(A23=FALSE,"",(CJ23+CK23)*Cotations!AQ23)</f>
        <v/>
      </c>
      <c r="CX23" s="1127"/>
      <c r="CY23" s="1127"/>
      <c r="CZ23" s="1127"/>
      <c r="DA23" s="1253" t="str">
        <f>IF(A23=FALSE,"",IF(LISTES!$A$17=1,Cotations!AV23,Cotations!AW23))</f>
        <v/>
      </c>
      <c r="DB23" s="1271" t="str">
        <f t="shared" si="252"/>
        <v/>
      </c>
      <c r="DC23" s="1270" t="str">
        <f t="shared" si="253"/>
        <v/>
      </c>
      <c r="DD23" s="1270" t="str">
        <f t="shared" si="254"/>
        <v/>
      </c>
      <c r="DE23" s="1270" t="str">
        <f t="shared" si="255"/>
        <v/>
      </c>
      <c r="DF23" s="1270" t="str">
        <f t="shared" si="256"/>
        <v/>
      </c>
      <c r="DG23" s="1270" t="str">
        <f t="shared" si="257"/>
        <v/>
      </c>
      <c r="DH23" s="1270" t="str">
        <f t="shared" si="258"/>
        <v/>
      </c>
      <c r="DI23" s="1271" t="str">
        <f t="shared" si="259"/>
        <v/>
      </c>
      <c r="DJ23" s="286" t="str">
        <f t="shared" si="260"/>
        <v/>
      </c>
      <c r="DK23" s="286" t="str">
        <f t="shared" si="261"/>
        <v/>
      </c>
      <c r="DL23" s="1264" t="str">
        <f t="shared" si="262"/>
        <v/>
      </c>
      <c r="DM23" s="1264" t="str">
        <f t="shared" si="263"/>
        <v/>
      </c>
      <c r="DN23" s="1264" t="str">
        <f t="shared" si="264"/>
        <v/>
      </c>
      <c r="DO23" s="1264" t="str">
        <f t="shared" si="265"/>
        <v/>
      </c>
      <c r="DP23" s="323" t="str">
        <f t="shared" si="132"/>
        <v/>
      </c>
      <c r="DQ23" s="444" t="str">
        <f>IF(A23=FALSE,"",Cotations!BW23)</f>
        <v/>
      </c>
      <c r="DR23" s="444" t="str">
        <f>IF(A23=FALSE,"",Cotations!BX23)</f>
        <v/>
      </c>
      <c r="DS23" s="433" t="str">
        <f>IF(A23=FALSE,"",Cotations!BY23)</f>
        <v/>
      </c>
      <c r="DT23" s="830" t="str">
        <f>IF(A23=FALSE,"",IF(DQ23="N/A",0,IF(INDEX(LISTES!$F$105:$F$109,MATCH(DQ23,LISTES!$C$105:$C$109,0))="FIX",IF(INDEX(LISTES!$E$105:$E$109,MATCH(DQ23,LISTES!$C$105:$C$109,0))=12,DR23/12*L23,DR23/365*M23),DS23*(DN23+DO23))))</f>
        <v/>
      </c>
      <c r="DU23" s="434" t="str">
        <f>IF(A23=FALSE,"",DJ23*Cotations!BZ23)</f>
        <v/>
      </c>
      <c r="DV23" s="434" t="str">
        <f>IF(A23=FALSE,"",DJ23*Cotations!CA23)</f>
        <v/>
      </c>
      <c r="DX23" s="1127"/>
      <c r="DY23" s="1127"/>
      <c r="DZ23" s="1127"/>
      <c r="EA23" s="432" t="str">
        <f>IF(A23=FALSE,"",Cotations!AT23)</f>
        <v/>
      </c>
      <c r="EB23" s="1234" t="str">
        <f>IF(A23=FALSE,"",YEAR(Detail!F23)&amp;Detail!AG23&amp;Detail!AD23&amp;"-"&amp;Detail!$AD$13&amp;Detail!AE23)</f>
        <v/>
      </c>
      <c r="EC23" s="434" t="str">
        <f>IF(A23=FALSE,"",IF(LISTES!$A$17=1,EB23,INDEX(colMOD1,MATCH(Cotations!AH23,colchoice,0))))</f>
        <v/>
      </c>
      <c r="ED23" s="277" t="str">
        <f t="shared" si="133"/>
        <v/>
      </c>
      <c r="EE23" s="277" t="str">
        <f t="shared" si="134"/>
        <v/>
      </c>
      <c r="EF23" s="277"/>
      <c r="EG23" s="277"/>
      <c r="EH23" s="277" t="str">
        <f t="shared" si="135"/>
        <v/>
      </c>
      <c r="EI23" s="1104" t="str">
        <f t="shared" si="136"/>
        <v/>
      </c>
      <c r="EJ23" s="1104" t="str">
        <f t="shared" si="137"/>
        <v/>
      </c>
      <c r="EK23" s="443" t="str">
        <f>IF(A23=FALSE,"",IF(Cotations!AF23="monthly",EH23/12*L23,EH23/365*M23))</f>
        <v/>
      </c>
      <c r="EL23" s="1103" t="str">
        <f>IF(A23=FALSE,"",IF(Cotations!AF23="monthly",EJ23/12*L23,EJ23/365*M23))</f>
        <v/>
      </c>
      <c r="EM23" s="433" t="str">
        <f>IF(A23=FALSE,"",IF(Cotations!AI23="","",Cotations!AI23))</f>
        <v/>
      </c>
      <c r="EN23" s="277" t="str">
        <f t="shared" si="266"/>
        <v/>
      </c>
      <c r="EO23" s="277" t="str">
        <f t="shared" si="138"/>
        <v/>
      </c>
      <c r="EP23" s="1104" t="str">
        <f t="shared" si="139"/>
        <v/>
      </c>
      <c r="EQ23" s="277" t="str">
        <f t="shared" si="267"/>
        <v/>
      </c>
      <c r="ER23" s="759" t="str">
        <f>IF(A23=FALSE,"",((EH23*TAXE)-(EH23*TAXE*EM23)+EI23)+IF(CQ23="N/A",0,IF(INDEX(LISTES!$F$105:$F$109,MATCH(CQ23,LISTES!$C$105:$C$109,0))="FIX",CR23,CS23*EQ23)))</f>
        <v/>
      </c>
      <c r="ES23" s="383"/>
      <c r="ET23" s="422"/>
      <c r="EU23" s="422"/>
      <c r="EV23" s="422"/>
      <c r="EW23" s="422"/>
      <c r="EX23" s="422"/>
      <c r="EY23" s="422"/>
      <c r="EZ23" s="422"/>
      <c r="FA23" s="432" t="str">
        <f>IF(A23=FALSE,"",Cotations!AT23)</f>
        <v/>
      </c>
      <c r="FB23" s="1235" t="str">
        <f>IF(A23=FALSE,"",IF(Detail!AL23="","N/A",YEAR(Detail!F23)&amp;Detail!AO23&amp;Detail!AL23&amp;"-"&amp;Detail!$AL$13&amp;Detail!AM23))</f>
        <v/>
      </c>
      <c r="FC23" s="434" t="str">
        <f>IF(A23=FALSE,"",IF(LISTES!$A$17=1,FB23,INDEX(colMOD2,MATCH(Cotations!AH23,colchoice,0))))</f>
        <v/>
      </c>
      <c r="FD23" s="277" t="str">
        <f t="shared" si="140"/>
        <v/>
      </c>
      <c r="FE23" s="443" t="str">
        <f>IF(A23=FALSE,"",IF(Detail!AM23="","",Detail!AM23))</f>
        <v/>
      </c>
      <c r="FF23" s="277"/>
      <c r="FG23" s="277"/>
      <c r="FH23" s="277" t="str">
        <f t="shared" si="141"/>
        <v/>
      </c>
      <c r="FI23" s="1104"/>
      <c r="FJ23" s="1104"/>
      <c r="FK23" s="443" t="str">
        <f>IF(A23=FALSE,"",IF(Cotations!AF23="monthly",FH23/12*L23,FH23/365*M23))</f>
        <v/>
      </c>
      <c r="FL23" s="1103" t="str">
        <f>IF(A23=FALSE,"",IF(Cotations!AF23="monthly",FJ23/12*L23,FJ23/365*M23))</f>
        <v/>
      </c>
      <c r="FM23" s="433" t="str">
        <f>IF(A23=FALSE,"",IF(Cotations!AJ23="","",Cotations!AJ23))</f>
        <v/>
      </c>
      <c r="FN23" s="277" t="str">
        <f t="shared" si="268"/>
        <v/>
      </c>
      <c r="FO23" s="277" t="str">
        <f t="shared" si="269"/>
        <v/>
      </c>
      <c r="FP23" s="1104"/>
      <c r="FQ23" s="277" t="str">
        <f t="shared" si="270"/>
        <v/>
      </c>
      <c r="FR23" s="759" t="str">
        <f>IF(A23=FALSE,"",((FH23*TAXE)-(FH23*TAXE*FM23))+IF(#REF!="N/A",0,IF(INDEX(LISTES!$F$105:$F$109,MATCH(#REF!,LISTES!$C$105:$C$109,0))="FIX",#REF!,#REF!*FQ23)))</f>
        <v/>
      </c>
      <c r="FS23" s="422"/>
      <c r="FT23" s="422"/>
      <c r="FU23" s="422"/>
      <c r="FV23" s="422"/>
      <c r="FW23" s="422"/>
      <c r="FX23" s="422"/>
      <c r="FY23" s="422"/>
      <c r="FZ23" s="422"/>
      <c r="GA23" s="432" t="str">
        <f t="shared" si="145"/>
        <v/>
      </c>
      <c r="GB23" s="1234" t="str">
        <f>IF(A23=FALSE,"",IF(Detail!DF23="","N/A",YEAR(Detail!F23)&amp;Detail!DI23&amp;Detail!DF23&amp;"-"&amp;Detail!$DF$13))</f>
        <v/>
      </c>
      <c r="GC23" s="434" t="str">
        <f>IF(A23=FALSE,"",IF(LISTES!$A$17=1,GB23,INDEX(colMOD3,MATCH(Cotations!AH23,colchoice,0))))</f>
        <v/>
      </c>
      <c r="GD23" s="277" t="str">
        <f t="shared" si="146"/>
        <v/>
      </c>
      <c r="GE23" s="277" t="str">
        <f t="shared" si="147"/>
        <v/>
      </c>
      <c r="GF23" s="277"/>
      <c r="GG23" s="277"/>
      <c r="GH23" s="277" t="str">
        <f t="shared" si="271"/>
        <v/>
      </c>
      <c r="GI23" s="1104" t="str">
        <f t="shared" si="272"/>
        <v/>
      </c>
      <c r="GJ23" s="1104" t="str">
        <f t="shared" si="273"/>
        <v/>
      </c>
      <c r="GK23" s="443" t="str">
        <f>IF(A23=FALSE,"",IF(Cotations!AF23="monthly",GH23/12*L23,GH23/365*M23))</f>
        <v/>
      </c>
      <c r="GL23" s="1103" t="str">
        <f>IF(A23=FALSE,"",IF(Cotations!AF23="monthly",GJ23/12*L23,GJ23/365*M23))</f>
        <v/>
      </c>
      <c r="GM23" s="433" t="str">
        <f>IF(A23=FALSE,"",IF(Cotations!AK23="","",Cotations!AK23))</f>
        <v/>
      </c>
      <c r="GN23" s="277" t="str">
        <f t="shared" si="274"/>
        <v/>
      </c>
      <c r="GO23" s="277" t="str">
        <f t="shared" si="275"/>
        <v/>
      </c>
      <c r="GP23" s="1104" t="str">
        <f t="shared" si="276"/>
        <v/>
      </c>
      <c r="GQ23" s="277" t="str">
        <f t="shared" si="277"/>
        <v/>
      </c>
      <c r="GR23" s="759" t="str">
        <f>IF(A23=FALSE,"",((GH23*TAXE)-(GH23*TAXE*GM23)+GI23)+IF(CQ23="N/A",0,IF(INDEX(LISTES!$F$105:$F$109,MATCH(CQ23,LISTES!$C$105:$C$109,0))="FIX",CR23,CS23*GQ23)))</f>
        <v/>
      </c>
      <c r="GS23" s="412"/>
      <c r="GT23" s="412"/>
      <c r="GU23" s="412"/>
      <c r="GV23" s="412"/>
      <c r="GW23" s="412"/>
      <c r="GX23" s="412"/>
      <c r="GY23" s="412"/>
      <c r="GZ23" s="412"/>
      <c r="HA23" s="432" t="str">
        <f t="shared" si="155"/>
        <v/>
      </c>
      <c r="HB23" s="1234" t="str">
        <f>IF(A23=FALSE,"",IF(Detail!DF23="","N/A",YEAR(Detail!F23)&amp;Detail!DI23&amp;Detail!DF23&amp;"-"&amp;Detail!$DF$13))</f>
        <v/>
      </c>
      <c r="HC23" s="434" t="str">
        <f>IF(A23=FALSE,"",IF(LISTES!$A$17=1,HB23,INDEX(colMOD4,MATCH(Cotations!AH23,colchoice,0))))</f>
        <v/>
      </c>
      <c r="HD23" s="277" t="str">
        <f t="shared" si="278"/>
        <v/>
      </c>
      <c r="HE23" s="277" t="str">
        <f t="shared" si="279"/>
        <v/>
      </c>
      <c r="HF23" s="277"/>
      <c r="HG23" s="277"/>
      <c r="HH23" s="277" t="str">
        <f t="shared" si="280"/>
        <v/>
      </c>
      <c r="HI23" s="1104" t="str">
        <f t="shared" si="281"/>
        <v/>
      </c>
      <c r="HJ23" s="1104" t="str">
        <f t="shared" si="282"/>
        <v/>
      </c>
      <c r="HK23" s="443" t="str">
        <f>IF(A23=FALSE,"",IF(Cotations!AF23="monthly",HH23/12*L23,HH23/365*M23))</f>
        <v/>
      </c>
      <c r="HL23" s="1103" t="str">
        <f>IF(A23=FALSE,"",IF(Cotations!AF23="monthly",HJ23/12*L23,HJ23/365*M23))</f>
        <v/>
      </c>
      <c r="HM23" s="433" t="str">
        <f>IF(A23=FALSE,"",IF(Cotations!AL23="","",Cotations!AL23))</f>
        <v/>
      </c>
      <c r="HN23" s="277" t="str">
        <f t="shared" si="283"/>
        <v/>
      </c>
      <c r="HO23" s="277" t="str">
        <f t="shared" si="284"/>
        <v/>
      </c>
      <c r="HP23" s="1104" t="str">
        <f t="shared" si="285"/>
        <v/>
      </c>
      <c r="HQ23" s="277" t="str">
        <f t="shared" si="286"/>
        <v/>
      </c>
      <c r="HR23" s="759" t="str">
        <f>IF(A23=FALSE,"",((HH23*TAXE)-(HH23*TAXE*HM23)+HI23)+IF(CQ23="N/A",0,IF(INDEX(LISTES!$F$105:$F$109,MATCH(CQ23,LISTES!$C$105:$C$109,0))="FIX",CR23,CS23*HQ23)))</f>
        <v/>
      </c>
      <c r="HS23" s="412"/>
      <c r="HT23" s="412"/>
      <c r="HU23" s="412"/>
      <c r="HV23" s="412"/>
      <c r="HW23" s="412"/>
      <c r="HX23" s="412"/>
      <c r="HY23" s="412"/>
      <c r="HZ23" s="1262"/>
      <c r="IA23" s="432" t="str">
        <f>IF(A23=FALSE,"",Cotations!AT23)</f>
        <v/>
      </c>
      <c r="IB23" s="1253" t="str">
        <f>IF(A23=FALSE,"",IF(Detail!AT23="","N/A",YEAR(Detail!F23)&amp;Detail!AW23&amp;Detail!AT23&amp;"-"&amp;Detail!$AT$13&amp;Detail!AU23))</f>
        <v/>
      </c>
      <c r="IC23" s="431" t="str">
        <f>IF(A23=FALSE,"",IF(LISTES!$A$17=1,IB23,INDEX(colMOD1,MATCH(DA23,colchoice,0))))</f>
        <v/>
      </c>
      <c r="ID23" s="759" t="str">
        <f t="shared" si="287"/>
        <v/>
      </c>
      <c r="IE23" s="292" t="str">
        <f>IF(A23=FALSE,"",IF(LISTES!$A$17=1,Detail!AU23,INDEX(Rates!$M$1:$M$270,MATCH(IC23,colMOD1,0))))</f>
        <v/>
      </c>
      <c r="IF23" s="409" t="str">
        <f t="shared" si="165"/>
        <v/>
      </c>
      <c r="IG23" s="430" t="str">
        <f>IF(A23=FALSE,"",IF(IA23="POEA",Cotations!AY23,IF(IA23="FIXE",Cotations!AZ23,IF(Cotations!BA23*Y23&lt;50000,Z23,Cotations!BA23*Y23))))</f>
        <v/>
      </c>
      <c r="IH23" s="292" t="str">
        <f t="shared" si="166"/>
        <v/>
      </c>
      <c r="II23" s="446" t="str">
        <f>IF(A23=FALSE,"",IF(Cotations!AU23="monthly",IH23/12*L23,IH23/365*M23))</f>
        <v/>
      </c>
      <c r="IJ23" s="429" t="str">
        <f>IF(A23=FALSE,"",IF(Cotations!BB23="","",Cotations!BB23))</f>
        <v/>
      </c>
      <c r="IK23" s="292" t="str">
        <f t="shared" si="167"/>
        <v/>
      </c>
      <c r="IL23" s="292" t="str">
        <f t="shared" si="168"/>
        <v/>
      </c>
      <c r="IM23" s="759" t="str">
        <f t="shared" si="169"/>
        <v/>
      </c>
      <c r="IN23" s="759" t="str">
        <f>IF(A23=FALSE,"",((IH23*TAXE)-(IH23*TAXE*IJ23))+IF(DQ23="N/A",0,IF(INDEX(LISTES!$F$105:$F$109,MATCH(DQ23,LISTES!$C$105:$C$109,0))="FIX",DR23,DS23*IM23)))</f>
        <v/>
      </c>
      <c r="IO23" s="383"/>
      <c r="IP23" s="1127"/>
      <c r="IQ23" s="1127"/>
      <c r="IR23" s="1127"/>
      <c r="IS23" s="1127"/>
      <c r="IT23" s="1127"/>
      <c r="IU23" s="1127"/>
      <c r="IV23" s="1127"/>
      <c r="IW23" s="1127"/>
      <c r="IX23" s="1127"/>
      <c r="IY23" s="1127"/>
      <c r="JA23" s="432" t="str">
        <f>IF(A23=FALSE,"",Cotations!AT23)</f>
        <v/>
      </c>
      <c r="JB23" s="1234" t="str">
        <f>IF(A23=FALSE,"",IF(Detail!BB23="","N/A",YEAR(Detail!F23)&amp;Detail!BE23&amp;Detail!BB23&amp;"-"&amp;Detail!$BB$13&amp;Detail!BC23))</f>
        <v/>
      </c>
      <c r="JC23" s="431" t="str">
        <f>IF(A23=FALSE,"",IF(LISTES!$A$17=1,JB23,INDEX(colMOD2,MATCH(DA23,colchoice,0))))</f>
        <v/>
      </c>
      <c r="JD23" s="759" t="str">
        <f t="shared" si="170"/>
        <v/>
      </c>
      <c r="JE23" s="292"/>
      <c r="JF23" s="409" t="str">
        <f t="shared" si="171"/>
        <v/>
      </c>
      <c r="JG23" s="430" t="str">
        <f>IF(A23=FALSE,"",IF(JA23="POEA",Cotations!BC23,IF(JA23="FIXE",Cotations!BD23,IF(Cotations!BE23*Y23&lt;50000,Z23,Cotations!BE23*Y23))))</f>
        <v/>
      </c>
      <c r="JH23" s="292" t="str">
        <f t="shared" si="172"/>
        <v/>
      </c>
      <c r="JI23" s="446" t="str">
        <f>IF(A23=FALSE,"",IF(Cotations!AU23="monthly",JH23/12*L23,JH23/365*M23))</f>
        <v/>
      </c>
      <c r="JJ23" s="429" t="str">
        <f>IF(A23=FALSE,"",IF(Cotations!BF23="","",Cotations!BF23))</f>
        <v/>
      </c>
      <c r="JK23" s="292" t="str">
        <f t="shared" si="173"/>
        <v/>
      </c>
      <c r="JL23" s="292" t="str">
        <f t="shared" si="174"/>
        <v/>
      </c>
      <c r="JM23" s="759" t="str">
        <f t="shared" si="175"/>
        <v/>
      </c>
      <c r="JN23" s="759" t="str">
        <f>IF(A23=FALSE,"",((JH23*TAXE)-(JH23*TAXE*JJ23))+IF(#REF!="N/A",0,IF(INDEX(LISTES!$F$105:$F$109,MATCH(#REF!,LISTES!$C$105:$C$109,0))="FIX",#REF!,#REF!*JM23)))</f>
        <v/>
      </c>
      <c r="JQ23" s="383"/>
      <c r="JR23" s="1127"/>
      <c r="JS23" s="1127"/>
      <c r="JT23" s="1127"/>
      <c r="JU23" s="1127"/>
      <c r="JV23" s="1127"/>
      <c r="JW23" s="383"/>
      <c r="JX23" s="1127"/>
      <c r="JY23" s="1127"/>
      <c r="KA23" s="432" t="str">
        <f>IF(A23=FALSE,"",Cotations!AT23)</f>
        <v/>
      </c>
      <c r="KB23" s="1234" t="str">
        <f>IF(A23=FALSE,"",IF(Detail!BJ23="","N/A",YEAR(Detail!F23)&amp;Detail!BM23&amp;Detail!BJ23&amp;"-"&amp;Detail!$BJ$13&amp;Detail!BK23))</f>
        <v/>
      </c>
      <c r="KC23" s="431" t="str">
        <f>IF(A23=FALSE,"",IF(LISTES!$A$17=1,KB23,INDEX(colMOD3,MATCH(DA23,colchoice,0))))</f>
        <v/>
      </c>
      <c r="KD23" s="759" t="str">
        <f t="shared" si="176"/>
        <v/>
      </c>
      <c r="KE23" s="292"/>
      <c r="KF23" s="409" t="str">
        <f t="shared" si="177"/>
        <v/>
      </c>
      <c r="KG23" s="430" t="str">
        <f>IF(A23=FALSE,"",IF(KA23="POEA",Cotations!BG23,IF(KA23="FIXE",Cotations!BH23,IF(Cotations!BI23*Y23&lt;50000,Z23,Cotations!BI23*Y23))))</f>
        <v/>
      </c>
      <c r="KH23" s="292" t="str">
        <f t="shared" si="178"/>
        <v/>
      </c>
      <c r="KI23" s="446" t="str">
        <f>IF(A23=FALSE,"",IF(Cotations!AU23="monthly",KH23/12*L23,KH23/365*M23))</f>
        <v/>
      </c>
      <c r="KJ23" s="429" t="str">
        <f>IF(A23=FALSE,"",IF(Cotations!BJ23="","",Cotations!BJ23))</f>
        <v/>
      </c>
      <c r="KK23" s="292" t="str">
        <f t="shared" si="179"/>
        <v/>
      </c>
      <c r="KL23" s="292" t="str">
        <f t="shared" si="180"/>
        <v/>
      </c>
      <c r="KM23" s="759" t="str">
        <f t="shared" si="181"/>
        <v/>
      </c>
      <c r="KN23" s="759" t="str">
        <f>IF(A23=FALSE,"",((KH23*TAXE)-(KH23*TAXE*KJ23))+IF(#REF!="N/A",0,IF(INDEX(LISTES!$F$105:$F$109,MATCH(#REF!,LISTES!$C$105:$C$109,0))="FIX",#REF!,#REF!*KM23)))</f>
        <v/>
      </c>
      <c r="KR23" s="1127"/>
      <c r="KS23" s="1127"/>
      <c r="KT23" s="1127"/>
      <c r="KU23" s="1127"/>
      <c r="KV23" s="1127"/>
      <c r="KW23" s="1127"/>
      <c r="KX23" s="1127"/>
      <c r="KY23" s="1127"/>
      <c r="LA23" s="432" t="str">
        <f>IF(A23=FALSE,"",Cotations!AT23)</f>
        <v/>
      </c>
      <c r="LB23" s="1234" t="str">
        <f>IF(A23=FALSE,"",IF(Detail!BR23="","N/A",YEAR(Detail!F23)&amp;Detail!BU23&amp;Detail!BR23&amp;"-"&amp;Detail!$BR$13&amp;Detail!BS23))</f>
        <v/>
      </c>
      <c r="LC23" s="431" t="str">
        <f>IF(A23=FALSE,"",IF(LISTES!$A$17=1,LB23,INDEX(colMOD4,MATCH(DA23,colchoice,0))))</f>
        <v/>
      </c>
      <c r="LD23" s="759" t="str">
        <f t="shared" si="182"/>
        <v/>
      </c>
      <c r="LE23" s="292"/>
      <c r="LF23" s="409" t="str">
        <f t="shared" si="183"/>
        <v/>
      </c>
      <c r="LG23" s="430" t="str">
        <f>IF(A23=FALSE,"",IF(LA23="POEA",Cotations!BK23,IF(LA23="FIXE",Cotations!BL23,IF(Cotations!BM23*Y23&lt;50000,Z23,Cotations!BM23*Y23))))</f>
        <v/>
      </c>
      <c r="LH23" s="292" t="str">
        <f t="shared" si="184"/>
        <v/>
      </c>
      <c r="LI23" s="446" t="str">
        <f>IF(A23=FALSE,"",IF(Cotations!AU23="monthly",LH23/12*L23,LH23/365*M23))</f>
        <v/>
      </c>
      <c r="LJ23" s="429" t="str">
        <f>IF(A23=FALSE,"",IF(Cotations!BN23="","",Cotations!BN23))</f>
        <v/>
      </c>
      <c r="LK23" s="292" t="str">
        <f t="shared" si="185"/>
        <v/>
      </c>
      <c r="LL23" s="292" t="str">
        <f t="shared" si="186"/>
        <v/>
      </c>
      <c r="LM23" s="759" t="str">
        <f t="shared" si="187"/>
        <v/>
      </c>
      <c r="LN23" s="759" t="str">
        <f>IF(A23=FALSE,"",((LH23*TAXE)-(LH23*TAXE*LJ23))+IF(#REF!="N/A",0,IF(INDEX(LISTES!$F$105:$F$109,MATCH(#REF!,LISTES!$C$105:$C$109,0))="FIX",#REF!,#REF!*LM23)))</f>
        <v/>
      </c>
      <c r="LR23" s="1127"/>
      <c r="LS23" s="1127"/>
      <c r="LT23" s="1127"/>
      <c r="LU23" s="1127"/>
      <c r="LV23" s="1127"/>
      <c r="LW23" s="1127"/>
      <c r="LX23" s="1127"/>
      <c r="LY23" s="1127"/>
      <c r="MA23" s="432" t="str">
        <f t="shared" si="188"/>
        <v/>
      </c>
      <c r="MB23" s="1234" t="str">
        <f>IF(A23=FALSE,"",IF(Detail!BZ23="","N/A",YEAR(Detail!F23)&amp;Detail!CC23&amp;Detail!BZ23&amp;"-"&amp;Detail!$BZ$13&amp;" (100%/"&amp;Detail!CD23&amp;"/"&amp;Detail!CE23&amp;")"))</f>
        <v/>
      </c>
      <c r="MC23" s="431" t="str">
        <f>IF(A23=FALSE,"",IF(LISTES!$A$17=1,MB23,INDEX(colMOD5,MATCH(DA23,colchoice,0))))</f>
        <v/>
      </c>
      <c r="MD23" s="759" t="str">
        <f t="shared" si="189"/>
        <v/>
      </c>
      <c r="ME23" s="292"/>
      <c r="MF23" s="409" t="str">
        <f t="shared" si="190"/>
        <v/>
      </c>
      <c r="MG23" s="430" t="str">
        <f>IF(A23=FALSE,"",Cotations!BQ23*AA23)</f>
        <v/>
      </c>
      <c r="MH23" s="292" t="str">
        <f t="shared" si="191"/>
        <v/>
      </c>
      <c r="MI23" s="446" t="str">
        <f>IF(A23=FALSE,"",IF(Cotations!AU23="monthly",MH23/12*L23,MH23/365*M23))</f>
        <v/>
      </c>
      <c r="MJ23" s="429" t="str">
        <f>IF(A23=FALSE,"",IF(Cotations!BR23="","",Cotations!BR23))</f>
        <v/>
      </c>
      <c r="MK23" s="292" t="str">
        <f t="shared" si="192"/>
        <v/>
      </c>
      <c r="ML23" s="292" t="str">
        <f t="shared" si="193"/>
        <v/>
      </c>
      <c r="MM23" s="759" t="str">
        <f t="shared" si="194"/>
        <v/>
      </c>
      <c r="MN23" s="759" t="str">
        <f>IF(A23=FALSE,"",((MH23*TAXE)-(MH23*TAXE*MJ23))+IF(#REF!="N/A",0,IF(INDEX(LISTES!$F$105:$F$109,MATCH(#REF!,LISTES!$C$105:$C$109,0))="FIX",#REF!,#REF!*MM23)))</f>
        <v/>
      </c>
      <c r="MQ23" s="1127"/>
      <c r="MR23" s="1127"/>
      <c r="MS23" s="1127"/>
      <c r="MT23" s="1127"/>
      <c r="MU23" s="1127"/>
      <c r="MV23" s="1127"/>
      <c r="MW23" s="1127"/>
      <c r="MX23" s="1127"/>
      <c r="NA23" s="432" t="str">
        <f t="shared" si="195"/>
        <v/>
      </c>
      <c r="NB23" s="1234" t="str">
        <f>IF(A23=FALSE,"",IF(Detail!CH23="","N/A",YEAR(Detail!F23)&amp;Detail!CK23&amp;Detail!CH23&amp;"-"&amp;Detail!$CH$13&amp;" (100%/"&amp;Detail!CL23&amp;"/"&amp;Detail!CM23&amp;")"))</f>
        <v/>
      </c>
      <c r="NC23" s="431" t="str">
        <f>IF(A23=FALSE,"",IF(LISTES!$A$17=1,NB23,INDEX(colMOD6,MATCH(DA23,colchoice,0))))</f>
        <v/>
      </c>
      <c r="ND23" s="759" t="str">
        <f t="shared" si="196"/>
        <v/>
      </c>
      <c r="NE23" s="292"/>
      <c r="NF23" s="409" t="str">
        <f t="shared" si="197"/>
        <v/>
      </c>
      <c r="NG23" s="430" t="str">
        <f>IF(A23=FALSE,"",Cotations!BU23*AA23)</f>
        <v/>
      </c>
      <c r="NH23" s="292" t="str">
        <f t="shared" si="198"/>
        <v/>
      </c>
      <c r="NI23" s="446" t="str">
        <f>IF(A23=FALSE,"",IF(Cotations!AU23="monthly",NH23/12*L23,NH23/365*M23))</f>
        <v/>
      </c>
      <c r="NJ23" s="429" t="str">
        <f>IF(A23=FALSE,"",IF(Cotations!BV23="","",Cotations!BV23))</f>
        <v/>
      </c>
      <c r="NK23" s="292" t="str">
        <f t="shared" si="199"/>
        <v/>
      </c>
      <c r="NL23" s="292" t="str">
        <f t="shared" si="200"/>
        <v/>
      </c>
      <c r="NM23" s="759" t="str">
        <f t="shared" si="201"/>
        <v/>
      </c>
      <c r="NN23" s="759" t="str">
        <f>IF(A23=FALSE,"",((NH23*TAXE)-(NH23*TAXE*NJ23))+IF(#REF!="N/A",0,IF(INDEX(LISTES!$F$105:$F$109,MATCH(#REF!,LISTES!$C$105:$C$109,0))="FIX",#REF!,#REF!*NM23)))</f>
        <v/>
      </c>
      <c r="NR23" s="1127"/>
      <c r="NS23" s="1127"/>
      <c r="NT23" s="1127"/>
      <c r="NU23" s="1127"/>
      <c r="NV23" s="1127"/>
      <c r="NW23" s="1127"/>
      <c r="NX23" s="1127"/>
      <c r="NY23" s="1127"/>
      <c r="NZ23" s="1281" t="str">
        <f>IF(A23=FALSE,"",IF(Detail!CP23="","N/A",YEAR(Detail!F23)&amp;Detail!CS23&amp;Detail!CP23&amp;"-"&amp;Detail!CQ23))</f>
        <v/>
      </c>
      <c r="OA23" s="432" t="str">
        <f>IF(A23=FALSE,"",Cotations!CF23)</f>
        <v/>
      </c>
      <c r="OB23" s="1282" t="str">
        <f>IF(A23=FALSE,"",IF(Detail!CP23="","N/A",YEAR(Detail!F23)&amp;Detail!CS23&amp;Detail!CP23&amp;"-"&amp;Detail!$CP$13&amp;Detail!CQ23))</f>
        <v/>
      </c>
      <c r="OC23" s="1283" t="str">
        <f>IF(A23=FALSE,"",IF(LISTES!$A$17=1,OB23,INDEX(colMOD1,MATCH(Cotations!CE23,colchoice,0))))</f>
        <v/>
      </c>
      <c r="OD23" s="759" t="str">
        <f t="shared" si="202"/>
        <v/>
      </c>
      <c r="OE23" s="292" t="str">
        <f>IF(A23=FALSE,"",Detail!CQ23)</f>
        <v/>
      </c>
      <c r="OF23" s="409" t="str">
        <f t="shared" si="203"/>
        <v/>
      </c>
      <c r="OG23" s="430" t="str">
        <f>IF(A23=FALSE,"",IF(OA23="FIXE",Cotations!CM23,Cotations!CN23*AA23))</f>
        <v/>
      </c>
      <c r="OH23" s="292" t="str">
        <f t="shared" si="288"/>
        <v/>
      </c>
      <c r="OI23" s="446" t="str">
        <f>IF(A23=FALSE,"",IF(Cotations!CF23="monthly",OH23/12*L23,OH23/365*M23))</f>
        <v/>
      </c>
      <c r="OJ23" s="429" t="str">
        <f>IF(A23=FALSE,"",IF(Cotations!CO23="","",Cotations!CO23))</f>
        <v/>
      </c>
      <c r="OK23" s="292" t="str">
        <f t="shared" si="289"/>
        <v/>
      </c>
      <c r="OL23" s="292" t="str">
        <f t="shared" si="290"/>
        <v/>
      </c>
      <c r="OM23" s="759" t="str">
        <f t="shared" si="207"/>
        <v/>
      </c>
      <c r="ON23" s="759" t="str">
        <f>IF(A23=FALSE,"",((OH23*(1+TAXE)-(OH23*(1+TAXE)*OJ23))+IF(#REF!="N/A",0,IF(INDEX(LISTES!$F$105:$F$109,MATCH(#REF!,LISTES!$C$105:$C$109,0))="FIX",#REF!,#REF!*OM23))))</f>
        <v/>
      </c>
      <c r="PA23" s="432" t="str">
        <f>IF(A23=FALSE,"",Cotations!CF23)</f>
        <v/>
      </c>
      <c r="PB23" s="1282" t="str">
        <f>IF(A23=FALSE,"",IF(Detail!CX23="","N/A",YEAR(Detail!F23)&amp;Detail!DA23&amp;Detail!CX23&amp;"-"&amp;Detail!$CX$13&amp;Detail!CY23))</f>
        <v/>
      </c>
      <c r="PC23" s="1283" t="str">
        <f>IF(A23=FALSE,"",IF(LISTES!$A$17=1,PB23,INDEX(colMOD3,MATCH(Cotations!CE23,colchoice,0))))</f>
        <v/>
      </c>
      <c r="PD23" s="759" t="str">
        <f t="shared" si="208"/>
        <v/>
      </c>
      <c r="PE23" s="292" t="str">
        <f>IF(A23=FALSE,"",IF(Detail!CY23="","",Detail!CY23))</f>
        <v/>
      </c>
      <c r="PF23" s="409" t="str">
        <f t="shared" si="291"/>
        <v/>
      </c>
      <c r="PG23" s="430" t="str">
        <f>IF(A23=FALSE,"",IF(PA23="FIXE",Cotations!CP23,Cotations!CQ23*AA23))</f>
        <v/>
      </c>
      <c r="PH23" s="292" t="str">
        <f t="shared" si="292"/>
        <v/>
      </c>
      <c r="PI23" s="446" t="str">
        <f>IF(A23=FALSE,"",IF(Cotations!CG23="monthly",PH23/12*L23,PH23/365*M23))</f>
        <v/>
      </c>
      <c r="PJ23" s="429" t="str">
        <f>IF(A23=FALSE,"",IF(Cotations!DA23="",0,Cotations!DA23))</f>
        <v/>
      </c>
      <c r="PK23" s="292" t="str">
        <f t="shared" si="293"/>
        <v/>
      </c>
      <c r="PL23" s="292" t="str">
        <f t="shared" si="294"/>
        <v/>
      </c>
      <c r="PM23" s="759" t="str">
        <f t="shared" si="211"/>
        <v/>
      </c>
      <c r="PN23" s="759" t="str">
        <f>IF(A23=FALSE,"",((PH23*(1+TAXE)-(PH23*(1+TAXE)*PJ23))+IF(#REF!="N/A",0,IF(INDEX(LISTES!$F$105:$F$109,MATCH(#REF!,LISTES!$C$105:$C$109,0))="FIX",#REF!,#REF!*PM23))))</f>
        <v/>
      </c>
    </row>
    <row r="24" spans="1:430" s="288" customFormat="1">
      <c r="A24" s="779" t="b">
        <f t="shared" si="111"/>
        <v>0</v>
      </c>
      <c r="B24" s="779" t="b">
        <f>IF(NAMES!$B$9=TRUE,TRUE,FALSE)</f>
        <v>1</v>
      </c>
      <c r="C24" s="779" t="b">
        <f t="shared" si="212"/>
        <v>0</v>
      </c>
      <c r="D24" s="779" t="b">
        <f t="shared" si="213"/>
        <v>1</v>
      </c>
      <c r="E24" s="267" t="b">
        <f>IF(Cotations!C24="","",Cotations!C24)</f>
        <v>0</v>
      </c>
      <c r="F24" s="267" t="str">
        <f>IF(Cotations!AT24="","",Cotations!AT24)</f>
        <v>PROP</v>
      </c>
      <c r="G24" s="267" t="str">
        <f>IF(Cotations!D24="","",Cotations!D24)</f>
        <v>2016-2017!</v>
      </c>
      <c r="H24" s="267" t="str">
        <f>IF(Cotations!E24="","",Cotations!E24)</f>
        <v>SINGLE</v>
      </c>
      <c r="I24" s="267" t="str">
        <f>IF(Cotations!F24="","",Cotations!F24)</f>
        <v/>
      </c>
      <c r="J24" s="267" t="str">
        <f>IF(Cotations!G24="","",Cotations!G24)</f>
        <v/>
      </c>
      <c r="K24" s="267" t="str">
        <f>IF(Cotations!H24="","",Cotations!H24)</f>
        <v/>
      </c>
      <c r="L24" s="267" t="str">
        <f>IF(A24=FALSE,"",IF(Cotations!M24="","",Cotations!M24))</f>
        <v/>
      </c>
      <c r="M24" s="267" t="str">
        <f>IF(Cotations!O24="","",Cotations!O24)</f>
        <v/>
      </c>
      <c r="N24" s="588">
        <f>IF(NAMES!$B$10=TRUE,Cotations!I24,Cotations!K24)</f>
        <v>42675</v>
      </c>
      <c r="O24" s="588">
        <f>IF(NAMES!$B$10=TRUE,Cotations!J24,Cotations!L24)</f>
        <v>42749</v>
      </c>
      <c r="P24" s="780" t="str">
        <f t="shared" si="214"/>
        <v>novembre</v>
      </c>
      <c r="Q24" s="588" t="str">
        <f>IF(A24=FALSE,"",IF(Crewlist!Y24="","",Crewlist!Y24))</f>
        <v/>
      </c>
      <c r="R24" s="78" t="str">
        <f>IF(Cotations!T24="","",Cotations!T24)</f>
        <v/>
      </c>
      <c r="S24" s="780" t="str">
        <f t="shared" si="215"/>
        <v/>
      </c>
      <c r="T24" s="759" t="str">
        <f>IF(A24=FALSE,"",VLOOKUP($U$15:$U$120,Currency!$A$2:$D$10,4,0)*Crewlist!N24)</f>
        <v/>
      </c>
      <c r="U24" s="1097" t="str">
        <f>IF(A24=FALSE,"",IF(DP24=0,Crewlist!M24&amp;"/"&amp;CP24,Crewlist!M24&amp;"/"&amp;DP24))</f>
        <v/>
      </c>
      <c r="V24" s="759" t="str">
        <f>IF(A24=FALSE,"",VLOOKUP($U$15:$U$120,Currency!$A$2:$D$10,4,0)*Detail!Q24)</f>
        <v/>
      </c>
      <c r="W24" s="1097" t="str">
        <f>IF(A24=FALSE,"",IF(DP24=0,Detail!R24&amp;"/"&amp;CP24,Detail!R24&amp;"/"&amp;DP24))</f>
        <v/>
      </c>
      <c r="X24" s="759" t="str">
        <f>IF(A24=FALSE,"",IF(LISTES!$C$17="Crewlist",Calcul!T24,Calcul!V24))</f>
        <v/>
      </c>
      <c r="Y24" s="618" t="str">
        <f t="shared" si="216"/>
        <v/>
      </c>
      <c r="Z24" s="618" t="str">
        <f>IF(A24=FALSE,"",IF(X24=0,0,IF((Cotations!BA24*12*X24)&lt;50000,50000,(12*X24))))</f>
        <v/>
      </c>
      <c r="AA24" s="618" t="str">
        <f t="shared" si="217"/>
        <v/>
      </c>
      <c r="AB24" s="618" t="str">
        <f>IF(A24=FALSE,"",IF(Crewlist!O24=0,"",Crewlist!O24))</f>
        <v/>
      </c>
      <c r="AC24" s="618" t="str">
        <f>IF(I24="","",VLOOKUP($AB$15:$AB$120,Currency!$A$15:$B$34,2,0))</f>
        <v/>
      </c>
      <c r="AD24" s="618" t="str">
        <f t="shared" si="218"/>
        <v/>
      </c>
      <c r="AE24" s="618" t="str">
        <f t="shared" si="219"/>
        <v/>
      </c>
      <c r="AF24" s="618" t="str">
        <f t="shared" si="220"/>
        <v/>
      </c>
      <c r="AG24" s="618" t="str">
        <f t="shared" si="221"/>
        <v/>
      </c>
      <c r="AH24" s="1097" t="str">
        <f t="shared" si="112"/>
        <v/>
      </c>
      <c r="AI24" s="759" t="str">
        <f t="shared" si="222"/>
        <v/>
      </c>
      <c r="AJ24" s="1120" t="str">
        <f t="shared" si="223"/>
        <v/>
      </c>
      <c r="AK24" s="1120" t="str">
        <f t="shared" si="224"/>
        <v/>
      </c>
      <c r="AL24" s="236" t="str">
        <f t="shared" si="225"/>
        <v/>
      </c>
      <c r="AM24" s="236" t="str">
        <f t="shared" si="226"/>
        <v/>
      </c>
      <c r="AN24" s="1112" t="str">
        <f t="shared" si="227"/>
        <v/>
      </c>
      <c r="AO24" s="236" t="str">
        <f t="shared" si="228"/>
        <v/>
      </c>
      <c r="AP24" s="327" t="str">
        <f>IF(A24=FALSE,"",INDEX(Rates!$Q$1:$Q$278,MATCH(CA24,colchoice,0)))</f>
        <v/>
      </c>
      <c r="AQ24" s="236" t="str">
        <f t="shared" si="229"/>
        <v/>
      </c>
      <c r="AR24" s="236" t="str">
        <f t="shared" si="230"/>
        <v/>
      </c>
      <c r="AS24" s="236" t="str">
        <f t="shared" si="117"/>
        <v/>
      </c>
      <c r="AT24" s="236" t="str">
        <f t="shared" si="118"/>
        <v/>
      </c>
      <c r="AU24" s="236" t="str">
        <f t="shared" si="231"/>
        <v/>
      </c>
      <c r="AV24" s="236" t="str">
        <f t="shared" si="232"/>
        <v/>
      </c>
      <c r="AW24" s="236" t="str">
        <f t="shared" si="233"/>
        <v/>
      </c>
      <c r="AX24" s="236" t="str">
        <f t="shared" si="234"/>
        <v/>
      </c>
      <c r="AY24" s="236" t="str">
        <f t="shared" si="235"/>
        <v/>
      </c>
      <c r="AZ24" s="236" t="str">
        <f t="shared" si="236"/>
        <v/>
      </c>
      <c r="BA24" s="236" t="str">
        <f t="shared" si="237"/>
        <v/>
      </c>
      <c r="BB24" s="467" t="str">
        <f t="shared" si="238"/>
        <v/>
      </c>
      <c r="BC24" s="329" t="str">
        <f t="shared" si="239"/>
        <v/>
      </c>
      <c r="BD24" s="237" t="str">
        <f t="shared" si="240"/>
        <v/>
      </c>
      <c r="BE24" s="237" t="str">
        <f>IF(A24=FALSE,"",IF(ED24&lt;&gt;$BC$7,0,INDEX(EA24:EZ24,1,MATCH(Structure!$J$16,$EA$14:$EZ$14,0))))</f>
        <v/>
      </c>
      <c r="BF24" s="237" t="str">
        <f>IF(A24=FALSE,"",IF(FD24&lt;&gt;$BC$7,0,INDEX(FA24:FZ24,1,MATCH(Structure!$J$16,$FA$14:$FZ$14,0))))</f>
        <v/>
      </c>
      <c r="BG24" s="237" t="str">
        <f>IF(A24=FALSE,"",IF(GD24&lt;&gt;$BC$7,0,INDEX(GA24:GZ24,1,MATCH(Structure!$J$16,$GA$14:$GZ$14,0))))</f>
        <v/>
      </c>
      <c r="BH24" s="237" t="str">
        <f>IF(A24=FALSE,"",IF(HD24&lt;&gt;$BC$7,0,INDEX(HA24:HZ24,1,MATCH(Structure!$J$16,$HA$14:$HZ$14,0))))</f>
        <v/>
      </c>
      <c r="BI24" s="621" t="str">
        <f>IF(A24=FALSE,"",IF(ID24&lt;&gt;$BC$7,0,INDEX(IA24:IZ24,1,MATCH(Structure!$C$12,$IA$14:$IZ$14,0)))+OL24)</f>
        <v/>
      </c>
      <c r="BJ24" s="237" t="str">
        <f>IF(A24=FALSE,"",IF(JD24&lt;&gt;$BC$7,0,INDEX(JA24:JZ24,1,MATCH(Structure!$C$12,$JA$14:$JZ$14,0))))</f>
        <v/>
      </c>
      <c r="BK24" s="621" t="str">
        <f>IF(A24=FALSE,"",IF(KD24&lt;&gt;$BC$7,0,INDEX(KA24:KZ24,1,MATCH(Structure!$C$12,$KA$14:$KZ$14,0)))+PL24)</f>
        <v/>
      </c>
      <c r="BL24" s="237" t="str">
        <f>IF(A24=FALSE,"",IF(LD24&lt;&gt;$BC$7,0,INDEX(LA24:LZ24,1,MATCH(Structure!$C$12,$LA$14:$LZ$14,0))))</f>
        <v/>
      </c>
      <c r="BM24" s="237" t="str">
        <f>IF(A24=FALSE,"",IF(MD24&lt;&gt;$BC$7,0,INDEX(MA24:MZ24,1,MATCH(Structure!$C$12,$MA$14:$MZ$14,0))))</f>
        <v/>
      </c>
      <c r="BN24" s="326" t="str">
        <f>IF(A24=FALSE,"",IF(ND24&lt;&gt;$BC$7,0,INDEX(NA24:OC24,1,MATCH(Structure!$C$12,$NA$14:$OC$14,0))))</f>
        <v/>
      </c>
      <c r="BO24" s="435" t="str">
        <f t="shared" si="241"/>
        <v/>
      </c>
      <c r="BP24" s="237" t="str">
        <f t="shared" si="242"/>
        <v/>
      </c>
      <c r="BQ24" s="237" t="str">
        <f>IF(A24=FALSE,"",IF(ED24&lt;&gt;$BO$7,0,INDEX(EA24:EZ24,1,MATCH(Structure!$C$12,$EA$14:$EZ$14,0))))</f>
        <v/>
      </c>
      <c r="BR24" s="237" t="str">
        <f>IF(A24=FALSE,"",IF(FD24&lt;&gt;$BO$7,0,INDEX(FA24:FZ24,1,MATCH(Structure!$C$12,$FA$14:$FZ$14,0))))</f>
        <v/>
      </c>
      <c r="BS24" s="237" t="str">
        <f>IF(A24=FALSE,"",IF(ID24&lt;&gt;$BO$7,0,INDEX(IA24:IZ24,1,MATCH(Structure!$C$13,$IA$14:$IZ$14,0))))</f>
        <v/>
      </c>
      <c r="BT24" s="237" t="str">
        <f>IF(A24=FALSE,"",IF(JD24&lt;&gt;$BO$7,0,INDEX(JA24:JZ24,1,MATCH(Structure!$C$13,$JA$14:$JZ$14,0))))</f>
        <v/>
      </c>
      <c r="BU24" s="237" t="str">
        <f>IF(A24=FALSE,"",IF(KD24&lt;&gt;$BO$7,0,INDEX(KA24:KZ24,1,MATCH(Structure!$C$13,$KA$14:$KZ$14,0))))</f>
        <v/>
      </c>
      <c r="BV24" s="237" t="str">
        <f>IF(A24=FALSE,"",IF(LD24&lt;&gt;$BO$7,0,INDEX(LA24:LZ24,1,MATCH(Structure!$C$13,$LA$14:$LZ$14,0))))</f>
        <v/>
      </c>
      <c r="BW24" s="237" t="str">
        <f>IF(A24=FALSE,"",IF(MD24&lt;&gt;$BO$7,0,INDEX(MA24:MZ24,1,MATCH(Structure!$C$13,$MA$14:$MZ$14,0))))</f>
        <v/>
      </c>
      <c r="BX24" s="326" t="str">
        <f>IF(A24=FALSE,"",IF(ND24&lt;&gt;$BO$7,0,INDEX(NA24:OC24,1,MATCH(Structure!$C$13,$NA$14:$OC$14,0))))</f>
        <v/>
      </c>
      <c r="BY24" s="412"/>
      <c r="BZ24" s="412"/>
      <c r="CA24" s="1255" t="str">
        <f>IF(A24=FALSE,"",IF(LISTES!$A$17=1,Cotations!AG24,Cotations!AH24))</f>
        <v/>
      </c>
      <c r="CB24" s="1266" t="str">
        <f t="shared" si="243"/>
        <v/>
      </c>
      <c r="CC24" s="1120" t="str">
        <f t="shared" si="244"/>
        <v/>
      </c>
      <c r="CD24" s="1120" t="str">
        <f t="shared" si="245"/>
        <v/>
      </c>
      <c r="CE24" s="1120" t="str">
        <f t="shared" si="246"/>
        <v/>
      </c>
      <c r="CF24" s="1120" t="str">
        <f t="shared" si="247"/>
        <v/>
      </c>
      <c r="CG24" s="1267"/>
      <c r="CH24" s="1267"/>
      <c r="CI24" s="1268" t="str">
        <f t="shared" si="248"/>
        <v/>
      </c>
      <c r="CJ24" s="286" t="str">
        <f t="shared" si="249"/>
        <v/>
      </c>
      <c r="CK24" s="286" t="str">
        <f t="shared" si="250"/>
        <v/>
      </c>
      <c r="CL24" s="1263"/>
      <c r="CM24" s="1263"/>
      <c r="CN24" s="1263"/>
      <c r="CO24" s="1263"/>
      <c r="CP24" s="319" t="str">
        <f t="shared" si="251"/>
        <v/>
      </c>
      <c r="CQ24" s="443" t="str">
        <f>IF(A24=FALSE,"",Cotations!AM24)</f>
        <v/>
      </c>
      <c r="CR24" s="443" t="str">
        <f>IF(A24=FALSE,"",IF(Cotations!AN24="","",Cotations!AN24))</f>
        <v/>
      </c>
      <c r="CS24" s="433" t="str">
        <f>IF(A24=FALSE,"",Cotations!AO24)</f>
        <v/>
      </c>
      <c r="CT24" s="443" t="str">
        <f>IF(A24=FALSE,"",IF(CQ24="N/A",0,IF(INDEX(LISTES!$F$105:$F$109,MATCH(CQ24,LISTES!$C$105:$C$109,0))="FIX",IF(INDEX(LISTES!$E$105:$E$109,MATCH(CQ24,LISTES!$C$105:$C$109,0))=12,CR24/12*L24,CR24/365*M24),CS24*EQ24)))</f>
        <v/>
      </c>
      <c r="CU24" s="434" t="str">
        <f>IF(A24=FALSE,"",(CJ24+CK24)*Cotations!AP24)</f>
        <v/>
      </c>
      <c r="CV24" s="434" t="str">
        <f>IF(A24=FALSE,"",(CJ24+CK24)*Cotations!AQ24)</f>
        <v/>
      </c>
      <c r="CX24" s="1127"/>
      <c r="CY24" s="1127"/>
      <c r="CZ24" s="1127"/>
      <c r="DA24" s="1253" t="str">
        <f>IF(A24=FALSE,"",IF(LISTES!$A$17=1,Cotations!AV24,Cotations!AW24))</f>
        <v/>
      </c>
      <c r="DB24" s="1271" t="str">
        <f t="shared" si="252"/>
        <v/>
      </c>
      <c r="DC24" s="1270" t="str">
        <f t="shared" si="253"/>
        <v/>
      </c>
      <c r="DD24" s="1270" t="str">
        <f t="shared" si="254"/>
        <v/>
      </c>
      <c r="DE24" s="1270" t="str">
        <f t="shared" si="255"/>
        <v/>
      </c>
      <c r="DF24" s="1270" t="str">
        <f t="shared" si="256"/>
        <v/>
      </c>
      <c r="DG24" s="1270" t="str">
        <f t="shared" si="257"/>
        <v/>
      </c>
      <c r="DH24" s="1270" t="str">
        <f t="shared" si="258"/>
        <v/>
      </c>
      <c r="DI24" s="1271" t="str">
        <f t="shared" si="259"/>
        <v/>
      </c>
      <c r="DJ24" s="286" t="str">
        <f t="shared" si="260"/>
        <v/>
      </c>
      <c r="DK24" s="286" t="str">
        <f t="shared" si="261"/>
        <v/>
      </c>
      <c r="DL24" s="1264" t="str">
        <f t="shared" si="262"/>
        <v/>
      </c>
      <c r="DM24" s="1264" t="str">
        <f t="shared" si="263"/>
        <v/>
      </c>
      <c r="DN24" s="1264" t="str">
        <f t="shared" si="264"/>
        <v/>
      </c>
      <c r="DO24" s="1264" t="str">
        <f t="shared" si="265"/>
        <v/>
      </c>
      <c r="DP24" s="323" t="str">
        <f t="shared" si="132"/>
        <v/>
      </c>
      <c r="DQ24" s="444" t="str">
        <f>IF(A24=FALSE,"",Cotations!BW24)</f>
        <v/>
      </c>
      <c r="DR24" s="444" t="str">
        <f>IF(A24=FALSE,"",Cotations!BX24)</f>
        <v/>
      </c>
      <c r="DS24" s="433" t="str">
        <f>IF(A24=FALSE,"",Cotations!BY24)</f>
        <v/>
      </c>
      <c r="DT24" s="830" t="str">
        <f>IF(A24=FALSE,"",IF(DQ24="N/A",0,IF(INDEX(LISTES!$F$105:$F$109,MATCH(DQ24,LISTES!$C$105:$C$109,0))="FIX",IF(INDEX(LISTES!$E$105:$E$109,MATCH(DQ24,LISTES!$C$105:$C$109,0))=12,DR24/12*L24,DR24/365*M24),DS24*(DN24+DO24))))</f>
        <v/>
      </c>
      <c r="DU24" s="434" t="str">
        <f>IF(A24=FALSE,"",DJ24*Cotations!BZ24)</f>
        <v/>
      </c>
      <c r="DV24" s="434" t="str">
        <f>IF(A24=FALSE,"",DJ24*Cotations!CA24)</f>
        <v/>
      </c>
      <c r="DX24" s="1127"/>
      <c r="DY24" s="1127"/>
      <c r="DZ24" s="1127"/>
      <c r="EA24" s="432" t="str">
        <f>IF(A24=FALSE,"",Cotations!AT24)</f>
        <v/>
      </c>
      <c r="EB24" s="1234" t="str">
        <f>IF(A24=FALSE,"",YEAR(Detail!F24)&amp;Detail!AG24&amp;Detail!AD24&amp;"-"&amp;Detail!$AD$13&amp;Detail!AE24)</f>
        <v/>
      </c>
      <c r="EC24" s="434" t="str">
        <f>IF(A24=FALSE,"",IF(LISTES!$A$17=1,EB24,INDEX(colMOD1,MATCH(Cotations!AH24,colchoice,0))))</f>
        <v/>
      </c>
      <c r="ED24" s="277" t="str">
        <f t="shared" si="133"/>
        <v/>
      </c>
      <c r="EE24" s="277" t="str">
        <f t="shared" si="134"/>
        <v/>
      </c>
      <c r="EF24" s="277"/>
      <c r="EG24" s="277"/>
      <c r="EH24" s="277" t="str">
        <f t="shared" si="135"/>
        <v/>
      </c>
      <c r="EI24" s="1104" t="str">
        <f t="shared" si="136"/>
        <v/>
      </c>
      <c r="EJ24" s="1104" t="str">
        <f t="shared" si="137"/>
        <v/>
      </c>
      <c r="EK24" s="443" t="str">
        <f>IF(A24=FALSE,"",IF(Cotations!AF24="monthly",EH24/12*L24,EH24/365*M24))</f>
        <v/>
      </c>
      <c r="EL24" s="1103" t="str">
        <f>IF(A24=FALSE,"",IF(Cotations!AF24="monthly",EJ24/12*L24,EJ24/365*M24))</f>
        <v/>
      </c>
      <c r="EM24" s="433" t="str">
        <f>IF(A24=FALSE,"",IF(Cotations!AI24="","",Cotations!AI24))</f>
        <v/>
      </c>
      <c r="EN24" s="277" t="str">
        <f t="shared" si="266"/>
        <v/>
      </c>
      <c r="EO24" s="277" t="str">
        <f t="shared" si="138"/>
        <v/>
      </c>
      <c r="EP24" s="1104" t="str">
        <f t="shared" si="139"/>
        <v/>
      </c>
      <c r="EQ24" s="277" t="str">
        <f t="shared" si="267"/>
        <v/>
      </c>
      <c r="ER24" s="759" t="str">
        <f>IF(A24=FALSE,"",((EH24*TAXE)-(EH24*TAXE*EM24)+EI24)+IF(CQ24="N/A",0,IF(INDEX(LISTES!$F$105:$F$109,MATCH(CQ24,LISTES!$C$105:$C$109,0))="FIX",CR24,CS24*EQ24)))</f>
        <v/>
      </c>
      <c r="ES24" s="383"/>
      <c r="ET24" s="422"/>
      <c r="EU24" s="422"/>
      <c r="EV24" s="422"/>
      <c r="EW24" s="422"/>
      <c r="EX24" s="422"/>
      <c r="EY24" s="422"/>
      <c r="EZ24" s="422"/>
      <c r="FA24" s="432" t="str">
        <f>IF(A24=FALSE,"",Cotations!AT24)</f>
        <v/>
      </c>
      <c r="FB24" s="1235" t="str">
        <f>IF(A24=FALSE,"",IF(Detail!AL24="","N/A",YEAR(Detail!F24)&amp;Detail!AO24&amp;Detail!AL24&amp;"-"&amp;Detail!$AL$13&amp;Detail!AM24))</f>
        <v/>
      </c>
      <c r="FC24" s="434" t="str">
        <f>IF(A24=FALSE,"",IF(LISTES!$A$17=1,FB24,INDEX(colMOD2,MATCH(Cotations!AH24,colchoice,0))))</f>
        <v/>
      </c>
      <c r="FD24" s="277" t="str">
        <f t="shared" si="140"/>
        <v/>
      </c>
      <c r="FE24" s="443" t="str">
        <f>IF(A24=FALSE,"",IF(Detail!AM24="","",Detail!AM24))</f>
        <v/>
      </c>
      <c r="FF24" s="277"/>
      <c r="FG24" s="277"/>
      <c r="FH24" s="277" t="str">
        <f t="shared" si="141"/>
        <v/>
      </c>
      <c r="FI24" s="1104"/>
      <c r="FJ24" s="1104"/>
      <c r="FK24" s="443" t="str">
        <f>IF(A24=FALSE,"",IF(Cotations!AF24="monthly",FH24/12*L24,FH24/365*M24))</f>
        <v/>
      </c>
      <c r="FL24" s="1103" t="str">
        <f>IF(A24=FALSE,"",IF(Cotations!AF24="monthly",FJ24/12*L24,FJ24/365*M24))</f>
        <v/>
      </c>
      <c r="FM24" s="433" t="str">
        <f>IF(A24=FALSE,"",IF(Cotations!AJ24="","",Cotations!AJ24))</f>
        <v/>
      </c>
      <c r="FN24" s="277" t="str">
        <f t="shared" si="268"/>
        <v/>
      </c>
      <c r="FO24" s="277" t="str">
        <f t="shared" si="269"/>
        <v/>
      </c>
      <c r="FP24" s="1104"/>
      <c r="FQ24" s="277" t="str">
        <f t="shared" si="270"/>
        <v/>
      </c>
      <c r="FR24" s="759" t="str">
        <f>IF(A24=FALSE,"",((FH24*TAXE)-(FH24*TAXE*FM24))+IF(#REF!="N/A",0,IF(INDEX(LISTES!$F$105:$F$109,MATCH(#REF!,LISTES!$C$105:$C$109,0))="FIX",#REF!,#REF!*FQ24)))</f>
        <v/>
      </c>
      <c r="FS24" s="422"/>
      <c r="FT24" s="422"/>
      <c r="FU24" s="422"/>
      <c r="FV24" s="422"/>
      <c r="FW24" s="422"/>
      <c r="FX24" s="422"/>
      <c r="FY24" s="422"/>
      <c r="FZ24" s="422"/>
      <c r="GA24" s="432" t="str">
        <f t="shared" si="145"/>
        <v/>
      </c>
      <c r="GB24" s="1234" t="str">
        <f>IF(A24=FALSE,"",IF(Detail!DF24="","N/A",YEAR(Detail!F24)&amp;Detail!DI24&amp;Detail!DF24&amp;"-"&amp;Detail!$DF$13))</f>
        <v/>
      </c>
      <c r="GC24" s="434" t="str">
        <f>IF(A24=FALSE,"",IF(LISTES!$A$17=1,GB24,INDEX(colMOD3,MATCH(Cotations!AH24,colchoice,0))))</f>
        <v/>
      </c>
      <c r="GD24" s="277" t="str">
        <f t="shared" si="146"/>
        <v/>
      </c>
      <c r="GE24" s="277" t="str">
        <f t="shared" si="147"/>
        <v/>
      </c>
      <c r="GF24" s="277"/>
      <c r="GG24" s="277"/>
      <c r="GH24" s="277" t="str">
        <f t="shared" si="271"/>
        <v/>
      </c>
      <c r="GI24" s="1104" t="str">
        <f t="shared" si="272"/>
        <v/>
      </c>
      <c r="GJ24" s="1104" t="str">
        <f t="shared" si="273"/>
        <v/>
      </c>
      <c r="GK24" s="443" t="str">
        <f>IF(A24=FALSE,"",IF(Cotations!AF24="monthly",GH24/12*L24,GH24/365*M24))</f>
        <v/>
      </c>
      <c r="GL24" s="1103" t="str">
        <f>IF(A24=FALSE,"",IF(Cotations!AF24="monthly",GJ24/12*L24,GJ24/365*M24))</f>
        <v/>
      </c>
      <c r="GM24" s="433" t="str">
        <f>IF(A24=FALSE,"",IF(Cotations!AK24="","",Cotations!AK24))</f>
        <v/>
      </c>
      <c r="GN24" s="277" t="str">
        <f t="shared" si="274"/>
        <v/>
      </c>
      <c r="GO24" s="277" t="str">
        <f t="shared" si="275"/>
        <v/>
      </c>
      <c r="GP24" s="1104" t="str">
        <f t="shared" si="276"/>
        <v/>
      </c>
      <c r="GQ24" s="277" t="str">
        <f t="shared" si="277"/>
        <v/>
      </c>
      <c r="GR24" s="759" t="str">
        <f>IF(A24=FALSE,"",((GH24*TAXE)-(GH24*TAXE*GM24)+GI24)+IF(CQ24="N/A",0,IF(INDEX(LISTES!$F$105:$F$109,MATCH(CQ24,LISTES!$C$105:$C$109,0))="FIX",CR24,CS24*GQ24)))</f>
        <v/>
      </c>
      <c r="GS24" s="412"/>
      <c r="GT24" s="412"/>
      <c r="GU24" s="412"/>
      <c r="GV24" s="412"/>
      <c r="GW24" s="412"/>
      <c r="GX24" s="412"/>
      <c r="GY24" s="412"/>
      <c r="GZ24" s="412"/>
      <c r="HA24" s="432" t="str">
        <f t="shared" si="155"/>
        <v/>
      </c>
      <c r="HB24" s="1234" t="str">
        <f>IF(A24=FALSE,"",IF(Detail!DF24="","N/A",YEAR(Detail!F24)&amp;Detail!DI24&amp;Detail!DF24&amp;"-"&amp;Detail!$DF$13))</f>
        <v/>
      </c>
      <c r="HC24" s="434" t="str">
        <f>IF(A24=FALSE,"",IF(LISTES!$A$17=1,HB24,INDEX(colMOD4,MATCH(Cotations!AH24,colchoice,0))))</f>
        <v/>
      </c>
      <c r="HD24" s="277" t="str">
        <f t="shared" si="278"/>
        <v/>
      </c>
      <c r="HE24" s="277" t="str">
        <f t="shared" si="279"/>
        <v/>
      </c>
      <c r="HF24" s="277"/>
      <c r="HG24" s="277"/>
      <c r="HH24" s="277" t="str">
        <f t="shared" si="280"/>
        <v/>
      </c>
      <c r="HI24" s="1104" t="str">
        <f t="shared" si="281"/>
        <v/>
      </c>
      <c r="HJ24" s="1104" t="str">
        <f t="shared" si="282"/>
        <v/>
      </c>
      <c r="HK24" s="443" t="str">
        <f>IF(A24=FALSE,"",IF(Cotations!AF24="monthly",HH24/12*L24,HH24/365*M24))</f>
        <v/>
      </c>
      <c r="HL24" s="1103" t="str">
        <f>IF(A24=FALSE,"",IF(Cotations!AF24="monthly",HJ24/12*L24,HJ24/365*M24))</f>
        <v/>
      </c>
      <c r="HM24" s="433" t="str">
        <f>IF(A24=FALSE,"",IF(Cotations!AL24="","",Cotations!AL24))</f>
        <v/>
      </c>
      <c r="HN24" s="277" t="str">
        <f t="shared" si="283"/>
        <v/>
      </c>
      <c r="HO24" s="277" t="str">
        <f t="shared" si="284"/>
        <v/>
      </c>
      <c r="HP24" s="1104" t="str">
        <f t="shared" si="285"/>
        <v/>
      </c>
      <c r="HQ24" s="277" t="str">
        <f t="shared" si="286"/>
        <v/>
      </c>
      <c r="HR24" s="759" t="str">
        <f>IF(A24=FALSE,"",((HH24*TAXE)-(HH24*TAXE*HM24)+HI24)+IF(CQ24="N/A",0,IF(INDEX(LISTES!$F$105:$F$109,MATCH(CQ24,LISTES!$C$105:$C$109,0))="FIX",CR24,CS24*HQ24)))</f>
        <v/>
      </c>
      <c r="HS24" s="412"/>
      <c r="HT24" s="412"/>
      <c r="HU24" s="412"/>
      <c r="HV24" s="412"/>
      <c r="HW24" s="412"/>
      <c r="HX24" s="412"/>
      <c r="HY24" s="412"/>
      <c r="HZ24" s="1262"/>
      <c r="IA24" s="432" t="str">
        <f>IF(A24=FALSE,"",Cotations!AT24)</f>
        <v/>
      </c>
      <c r="IB24" s="1253" t="str">
        <f>IF(A24=FALSE,"",IF(Detail!AT24="","N/A",YEAR(Detail!F24)&amp;Detail!AW24&amp;Detail!AT24&amp;"-"&amp;Detail!$AT$13&amp;Detail!AU24))</f>
        <v/>
      </c>
      <c r="IC24" s="431" t="str">
        <f>IF(A24=FALSE,"",IF(LISTES!$A$17=1,IB24,INDEX(colMOD1,MATCH(DA24,colchoice,0))))</f>
        <v/>
      </c>
      <c r="ID24" s="759" t="str">
        <f t="shared" si="287"/>
        <v/>
      </c>
      <c r="IE24" s="292" t="str">
        <f>IF(A24=FALSE,"",IF(LISTES!$A$17=1,Detail!AU24,INDEX(Rates!$M$1:$M$270,MATCH(IC24,colMOD1,0))))</f>
        <v/>
      </c>
      <c r="IF24" s="409" t="str">
        <f t="shared" si="165"/>
        <v/>
      </c>
      <c r="IG24" s="430" t="str">
        <f>IF(A24=FALSE,"",IF(IA24="POEA",Cotations!AY24,IF(IA24="FIXE",Cotations!AZ24,IF(Cotations!BA24*Y24&lt;50000,Z24,Cotations!BA24*Y24))))</f>
        <v/>
      </c>
      <c r="IH24" s="292" t="str">
        <f t="shared" si="166"/>
        <v/>
      </c>
      <c r="II24" s="446" t="str">
        <f>IF(A24=FALSE,"",IF(Cotations!AU24="monthly",IH24/12*L24,IH24/365*M24))</f>
        <v/>
      </c>
      <c r="IJ24" s="429" t="str">
        <f>IF(A24=FALSE,"",IF(Cotations!BB24="","",Cotations!BB24))</f>
        <v/>
      </c>
      <c r="IK24" s="292" t="str">
        <f t="shared" si="167"/>
        <v/>
      </c>
      <c r="IL24" s="292" t="str">
        <f t="shared" si="168"/>
        <v/>
      </c>
      <c r="IM24" s="759" t="str">
        <f t="shared" si="169"/>
        <v/>
      </c>
      <c r="IN24" s="759" t="str">
        <f>IF(A24=FALSE,"",((IH24*TAXE)-(IH24*TAXE*IJ24))+IF(DQ24="N/A",0,IF(INDEX(LISTES!$F$105:$F$109,MATCH(DQ24,LISTES!$C$105:$C$109,0))="FIX",DR24,DS24*IM24)))</f>
        <v/>
      </c>
      <c r="IO24" s="383"/>
      <c r="IP24" s="1127"/>
      <c r="IQ24" s="1127"/>
      <c r="IR24" s="1127"/>
      <c r="IS24" s="1127"/>
      <c r="IT24" s="1127"/>
      <c r="IU24" s="1127"/>
      <c r="IV24" s="1127"/>
      <c r="IW24" s="1127"/>
      <c r="IX24" s="1127"/>
      <c r="IY24" s="1127"/>
      <c r="JA24" s="432" t="str">
        <f>IF(A24=FALSE,"",Cotations!AT24)</f>
        <v/>
      </c>
      <c r="JB24" s="1234" t="str">
        <f>IF(A24=FALSE,"",IF(Detail!BB24="","N/A",YEAR(Detail!F24)&amp;Detail!BE24&amp;Detail!BB24&amp;"-"&amp;Detail!$BB$13&amp;Detail!BC24))</f>
        <v/>
      </c>
      <c r="JC24" s="431" t="str">
        <f>IF(A24=FALSE,"",IF(LISTES!$A$17=1,JB24,INDEX(colMOD2,MATCH(DA24,colchoice,0))))</f>
        <v/>
      </c>
      <c r="JD24" s="759" t="str">
        <f t="shared" si="170"/>
        <v/>
      </c>
      <c r="JE24" s="292"/>
      <c r="JF24" s="409" t="str">
        <f t="shared" si="171"/>
        <v/>
      </c>
      <c r="JG24" s="430" t="str">
        <f>IF(A24=FALSE,"",IF(JA24="POEA",Cotations!BC24,IF(JA24="FIXE",Cotations!BD24,IF(Cotations!BE24*Y24&lt;50000,Z24,Cotations!BE24*Y24))))</f>
        <v/>
      </c>
      <c r="JH24" s="292" t="str">
        <f t="shared" si="172"/>
        <v/>
      </c>
      <c r="JI24" s="446" t="str">
        <f>IF(A24=FALSE,"",IF(Cotations!AU24="monthly",JH24/12*L24,JH24/365*M24))</f>
        <v/>
      </c>
      <c r="JJ24" s="429" t="str">
        <f>IF(A24=FALSE,"",IF(Cotations!BF24="","",Cotations!BF24))</f>
        <v/>
      </c>
      <c r="JK24" s="292" t="str">
        <f t="shared" si="173"/>
        <v/>
      </c>
      <c r="JL24" s="292" t="str">
        <f t="shared" si="174"/>
        <v/>
      </c>
      <c r="JM24" s="759" t="str">
        <f t="shared" si="175"/>
        <v/>
      </c>
      <c r="JN24" s="759" t="str">
        <f>IF(A24=FALSE,"",((JH24*TAXE)-(JH24*TAXE*JJ24))+IF(#REF!="N/A",0,IF(INDEX(LISTES!$F$105:$F$109,MATCH(#REF!,LISTES!$C$105:$C$109,0))="FIX",#REF!,#REF!*JM24)))</f>
        <v/>
      </c>
      <c r="JQ24" s="383"/>
      <c r="JR24" s="1127"/>
      <c r="JS24" s="1127"/>
      <c r="JT24" s="1127"/>
      <c r="JU24" s="1127"/>
      <c r="JV24" s="1127"/>
      <c r="JW24" s="383"/>
      <c r="JX24" s="1127"/>
      <c r="JY24" s="1127"/>
      <c r="KA24" s="432" t="str">
        <f>IF(A24=FALSE,"",Cotations!AT24)</f>
        <v/>
      </c>
      <c r="KB24" s="1234" t="str">
        <f>IF(A24=FALSE,"",IF(Detail!BJ24="","N/A",YEAR(Detail!F24)&amp;Detail!BM24&amp;Detail!BJ24&amp;"-"&amp;Detail!$BJ$13&amp;Detail!BK24))</f>
        <v/>
      </c>
      <c r="KC24" s="431" t="str">
        <f>IF(A24=FALSE,"",IF(LISTES!$A$17=1,KB24,INDEX(colMOD3,MATCH(DA24,colchoice,0))))</f>
        <v/>
      </c>
      <c r="KD24" s="759" t="str">
        <f t="shared" si="176"/>
        <v/>
      </c>
      <c r="KE24" s="292"/>
      <c r="KF24" s="409" t="str">
        <f t="shared" si="177"/>
        <v/>
      </c>
      <c r="KG24" s="430" t="str">
        <f>IF(A24=FALSE,"",IF(KA24="POEA",Cotations!BG24,IF(KA24="FIXE",Cotations!BH24,IF(Cotations!BI24*Y24&lt;50000,Z24,Cotations!BI24*Y24))))</f>
        <v/>
      </c>
      <c r="KH24" s="292" t="str">
        <f t="shared" si="178"/>
        <v/>
      </c>
      <c r="KI24" s="446" t="str">
        <f>IF(A24=FALSE,"",IF(Cotations!AU24="monthly",KH24/12*L24,KH24/365*M24))</f>
        <v/>
      </c>
      <c r="KJ24" s="429" t="str">
        <f>IF(A24=FALSE,"",IF(Cotations!BJ24="","",Cotations!BJ24))</f>
        <v/>
      </c>
      <c r="KK24" s="292" t="str">
        <f t="shared" si="179"/>
        <v/>
      </c>
      <c r="KL24" s="292" t="str">
        <f t="shared" si="180"/>
        <v/>
      </c>
      <c r="KM24" s="759" t="str">
        <f t="shared" si="181"/>
        <v/>
      </c>
      <c r="KN24" s="759" t="str">
        <f>IF(A24=FALSE,"",((KH24*TAXE)-(KH24*TAXE*KJ24))+IF(#REF!="N/A",0,IF(INDEX(LISTES!$F$105:$F$109,MATCH(#REF!,LISTES!$C$105:$C$109,0))="FIX",#REF!,#REF!*KM24)))</f>
        <v/>
      </c>
      <c r="KR24" s="1127"/>
      <c r="KS24" s="1127"/>
      <c r="KT24" s="1127"/>
      <c r="KU24" s="1127"/>
      <c r="KV24" s="1127"/>
      <c r="KW24" s="1127"/>
      <c r="KX24" s="1127"/>
      <c r="KY24" s="1127"/>
      <c r="LA24" s="432" t="str">
        <f>IF(A24=FALSE,"",Cotations!AT24)</f>
        <v/>
      </c>
      <c r="LB24" s="1234" t="str">
        <f>IF(A24=FALSE,"",IF(Detail!BR24="","N/A",YEAR(Detail!F24)&amp;Detail!BU24&amp;Detail!BR24&amp;"-"&amp;Detail!$BR$13&amp;Detail!BS24))</f>
        <v/>
      </c>
      <c r="LC24" s="431" t="str">
        <f>IF(A24=FALSE,"",IF(LISTES!$A$17=1,LB24,INDEX(colMOD4,MATCH(DA24,colchoice,0))))</f>
        <v/>
      </c>
      <c r="LD24" s="759" t="str">
        <f t="shared" si="182"/>
        <v/>
      </c>
      <c r="LE24" s="292"/>
      <c r="LF24" s="409" t="str">
        <f t="shared" si="183"/>
        <v/>
      </c>
      <c r="LG24" s="430" t="str">
        <f>IF(A24=FALSE,"",IF(LA24="POEA",Cotations!BK24,IF(LA24="FIXE",Cotations!BL24,IF(Cotations!BM24*Y24&lt;50000,Z24,Cotations!BM24*Y24))))</f>
        <v/>
      </c>
      <c r="LH24" s="292" t="str">
        <f t="shared" si="184"/>
        <v/>
      </c>
      <c r="LI24" s="446" t="str">
        <f>IF(A24=FALSE,"",IF(Cotations!AU24="monthly",LH24/12*L24,LH24/365*M24))</f>
        <v/>
      </c>
      <c r="LJ24" s="429" t="str">
        <f>IF(A24=FALSE,"",IF(Cotations!BN24="","",Cotations!BN24))</f>
        <v/>
      </c>
      <c r="LK24" s="292" t="str">
        <f t="shared" si="185"/>
        <v/>
      </c>
      <c r="LL24" s="292" t="str">
        <f t="shared" si="186"/>
        <v/>
      </c>
      <c r="LM24" s="759" t="str">
        <f t="shared" si="187"/>
        <v/>
      </c>
      <c r="LN24" s="759" t="str">
        <f>IF(A24=FALSE,"",((LH24*TAXE)-(LH24*TAXE*LJ24))+IF(#REF!="N/A",0,IF(INDEX(LISTES!$F$105:$F$109,MATCH(#REF!,LISTES!$C$105:$C$109,0))="FIX",#REF!,#REF!*LM24)))</f>
        <v/>
      </c>
      <c r="LR24" s="1127"/>
      <c r="LS24" s="1127"/>
      <c r="LT24" s="1127"/>
      <c r="LU24" s="1127"/>
      <c r="LV24" s="1127"/>
      <c r="LW24" s="1127"/>
      <c r="LX24" s="1127"/>
      <c r="LY24" s="1127"/>
      <c r="MA24" s="432" t="str">
        <f t="shared" si="188"/>
        <v/>
      </c>
      <c r="MB24" s="1234" t="str">
        <f>IF(A24=FALSE,"",IF(Detail!BZ24="","N/A",YEAR(Detail!F24)&amp;Detail!CC24&amp;Detail!BZ24&amp;"-"&amp;Detail!$BZ$13&amp;" (100%/"&amp;Detail!CD24&amp;"/"&amp;Detail!CE24&amp;")"))</f>
        <v/>
      </c>
      <c r="MC24" s="431" t="str">
        <f>IF(A24=FALSE,"",IF(LISTES!$A$17=1,MB24,INDEX(colMOD5,MATCH(DA24,colchoice,0))))</f>
        <v/>
      </c>
      <c r="MD24" s="759" t="str">
        <f t="shared" si="189"/>
        <v/>
      </c>
      <c r="ME24" s="292"/>
      <c r="MF24" s="409" t="str">
        <f t="shared" si="190"/>
        <v/>
      </c>
      <c r="MG24" s="430" t="str">
        <f>IF(A24=FALSE,"",Cotations!BQ24*AA24)</f>
        <v/>
      </c>
      <c r="MH24" s="292" t="str">
        <f t="shared" si="191"/>
        <v/>
      </c>
      <c r="MI24" s="446" t="str">
        <f>IF(A24=FALSE,"",IF(Cotations!AU24="monthly",MH24/12*L24,MH24/365*M24))</f>
        <v/>
      </c>
      <c r="MJ24" s="429" t="str">
        <f>IF(A24=FALSE,"",IF(Cotations!BR24="","",Cotations!BR24))</f>
        <v/>
      </c>
      <c r="MK24" s="292" t="str">
        <f t="shared" si="192"/>
        <v/>
      </c>
      <c r="ML24" s="292" t="str">
        <f t="shared" si="193"/>
        <v/>
      </c>
      <c r="MM24" s="759" t="str">
        <f t="shared" si="194"/>
        <v/>
      </c>
      <c r="MN24" s="759" t="str">
        <f>IF(A24=FALSE,"",((MH24*TAXE)-(MH24*TAXE*MJ24))+IF(#REF!="N/A",0,IF(INDEX(LISTES!$F$105:$F$109,MATCH(#REF!,LISTES!$C$105:$C$109,0))="FIX",#REF!,#REF!*MM24)))</f>
        <v/>
      </c>
      <c r="MQ24" s="1127"/>
      <c r="MR24" s="1127"/>
      <c r="MS24" s="1127"/>
      <c r="MT24" s="1127"/>
      <c r="MU24" s="1127"/>
      <c r="MV24" s="1127"/>
      <c r="MW24" s="1127"/>
      <c r="MX24" s="1127"/>
      <c r="NA24" s="432" t="str">
        <f t="shared" si="195"/>
        <v/>
      </c>
      <c r="NB24" s="1234" t="str">
        <f>IF(A24=FALSE,"",IF(Detail!CH24="","N/A",YEAR(Detail!F24)&amp;Detail!CK24&amp;Detail!CH24&amp;"-"&amp;Detail!$CH$13&amp;" (100%/"&amp;Detail!CL24&amp;"/"&amp;Detail!CM24&amp;")"))</f>
        <v/>
      </c>
      <c r="NC24" s="431" t="str">
        <f>IF(A24=FALSE,"",IF(LISTES!$A$17=1,NB24,INDEX(colMOD6,MATCH(DA24,colchoice,0))))</f>
        <v/>
      </c>
      <c r="ND24" s="759" t="str">
        <f t="shared" si="196"/>
        <v/>
      </c>
      <c r="NE24" s="292"/>
      <c r="NF24" s="409" t="str">
        <f t="shared" si="197"/>
        <v/>
      </c>
      <c r="NG24" s="430" t="str">
        <f>IF(A24=FALSE,"",Cotations!BU24*AA24)</f>
        <v/>
      </c>
      <c r="NH24" s="292" t="str">
        <f t="shared" si="198"/>
        <v/>
      </c>
      <c r="NI24" s="446" t="str">
        <f>IF(A24=FALSE,"",IF(Cotations!AU24="monthly",NH24/12*L24,NH24/365*M24))</f>
        <v/>
      </c>
      <c r="NJ24" s="429" t="str">
        <f>IF(A24=FALSE,"",IF(Cotations!BV24="","",Cotations!BV24))</f>
        <v/>
      </c>
      <c r="NK24" s="292" t="str">
        <f t="shared" si="199"/>
        <v/>
      </c>
      <c r="NL24" s="292" t="str">
        <f t="shared" si="200"/>
        <v/>
      </c>
      <c r="NM24" s="759" t="str">
        <f t="shared" si="201"/>
        <v/>
      </c>
      <c r="NN24" s="759" t="str">
        <f>IF(A24=FALSE,"",((NH24*TAXE)-(NH24*TAXE*NJ24))+IF(#REF!="N/A",0,IF(INDEX(LISTES!$F$105:$F$109,MATCH(#REF!,LISTES!$C$105:$C$109,0))="FIX",#REF!,#REF!*NM24)))</f>
        <v/>
      </c>
      <c r="NR24" s="1127"/>
      <c r="NS24" s="1127"/>
      <c r="NT24" s="1127"/>
      <c r="NU24" s="1127"/>
      <c r="NV24" s="1127"/>
      <c r="NW24" s="1127"/>
      <c r="NX24" s="1127"/>
      <c r="NY24" s="1127"/>
      <c r="NZ24" s="1281" t="str">
        <f>IF(A24=FALSE,"",IF(Detail!CP24="","N/A",YEAR(Detail!F24)&amp;Detail!CS24&amp;Detail!CP24&amp;"-"&amp;Detail!CQ24))</f>
        <v/>
      </c>
      <c r="OA24" s="432" t="str">
        <f>IF(A24=FALSE,"",Cotations!CF24)</f>
        <v/>
      </c>
      <c r="OB24" s="1282" t="str">
        <f>IF(A24=FALSE,"",IF(Detail!CP24="","N/A",YEAR(Detail!F24)&amp;Detail!CS24&amp;Detail!CP24&amp;"-"&amp;Detail!$CP$13&amp;Detail!CQ24))</f>
        <v/>
      </c>
      <c r="OC24" s="1283" t="str">
        <f>IF(A24=FALSE,"",IF(LISTES!$A$17=1,OB24,INDEX(colMOD1,MATCH(Cotations!CE24,colchoice,0))))</f>
        <v/>
      </c>
      <c r="OD24" s="759" t="str">
        <f t="shared" si="202"/>
        <v/>
      </c>
      <c r="OE24" s="292" t="str">
        <f>IF(A24=FALSE,"",Detail!CQ24)</f>
        <v/>
      </c>
      <c r="OF24" s="409" t="str">
        <f t="shared" si="203"/>
        <v/>
      </c>
      <c r="OG24" s="430" t="str">
        <f>IF(A24=FALSE,"",IF(OA24="FIXE",Cotations!CM24,Cotations!CN24*AA24))</f>
        <v/>
      </c>
      <c r="OH24" s="292" t="str">
        <f t="shared" si="288"/>
        <v/>
      </c>
      <c r="OI24" s="446" t="str">
        <f>IF(A24=FALSE,"",IF(Cotations!CF24="monthly",OH24/12*L24,OH24/365*M24))</f>
        <v/>
      </c>
      <c r="OJ24" s="429" t="str">
        <f>IF(A24=FALSE,"",IF(Cotations!CO24="","",Cotations!CO24))</f>
        <v/>
      </c>
      <c r="OK24" s="292" t="str">
        <f t="shared" si="289"/>
        <v/>
      </c>
      <c r="OL24" s="292" t="str">
        <f t="shared" si="290"/>
        <v/>
      </c>
      <c r="OM24" s="759" t="str">
        <f t="shared" si="207"/>
        <v/>
      </c>
      <c r="ON24" s="759" t="str">
        <f>IF(A24=FALSE,"",((OH24*(1+TAXE)-(OH24*(1+TAXE)*OJ24))+IF(#REF!="N/A",0,IF(INDEX(LISTES!$F$105:$F$109,MATCH(#REF!,LISTES!$C$105:$C$109,0))="FIX",#REF!,#REF!*OM24))))</f>
        <v/>
      </c>
      <c r="PA24" s="432" t="str">
        <f>IF(A24=FALSE,"",Cotations!CF24)</f>
        <v/>
      </c>
      <c r="PB24" s="1282" t="str">
        <f>IF(A24=FALSE,"",IF(Detail!CT22="","N/A",YEAR(Detail!F24)&amp;Detail!DA24&amp;Detail!CT22&amp;"-"&amp;Detail!$CX$13&amp;Detail!CY24))</f>
        <v/>
      </c>
      <c r="PC24" s="1283" t="str">
        <f>IF(A24=FALSE,"",IF(LISTES!$A$17=1,PB24,INDEX(colMOD3,MATCH(Cotations!CE24,colchoice,0))))</f>
        <v/>
      </c>
      <c r="PD24" s="759" t="str">
        <f t="shared" si="208"/>
        <v/>
      </c>
      <c r="PE24" s="292" t="str">
        <f>IF(A24=FALSE,"",IF(Detail!CY24="","",Detail!CY24))</f>
        <v/>
      </c>
      <c r="PF24" s="409" t="str">
        <f t="shared" si="291"/>
        <v/>
      </c>
      <c r="PG24" s="430" t="str">
        <f>IF(A24=FALSE,"",IF(PA24="FIXE",Cotations!CP24,Cotations!CQ24*AA24))</f>
        <v/>
      </c>
      <c r="PH24" s="292" t="str">
        <f t="shared" si="292"/>
        <v/>
      </c>
      <c r="PI24" s="446" t="str">
        <f>IF(A24=FALSE,"",IF(Cotations!CG24="monthly",PH24/12*L24,PH24/365*M24))</f>
        <v/>
      </c>
      <c r="PJ24" s="429" t="str">
        <f>IF(A24=FALSE,"",IF(Cotations!DA24="",0,Cotations!DA24))</f>
        <v/>
      </c>
      <c r="PK24" s="292" t="str">
        <f t="shared" si="293"/>
        <v/>
      </c>
      <c r="PL24" s="292" t="str">
        <f t="shared" si="294"/>
        <v/>
      </c>
      <c r="PM24" s="759" t="str">
        <f t="shared" si="211"/>
        <v/>
      </c>
      <c r="PN24" s="759" t="str">
        <f>IF(A24=FALSE,"",((PH24*(1+TAXE)-(PH24*(1+TAXE)*PJ24))+IF(#REF!="N/A",0,IF(INDEX(LISTES!$F$105:$F$109,MATCH(#REF!,LISTES!$C$105:$C$109,0))="FIX",#REF!,#REF!*PM24))))</f>
        <v/>
      </c>
    </row>
    <row r="25" spans="1:430" s="1127" customFormat="1">
      <c r="A25" s="1129" t="b">
        <f t="shared" si="111"/>
        <v>0</v>
      </c>
      <c r="B25" s="1129" t="b">
        <f>IF(NAMES!$B$9=TRUE,TRUE,FALSE)</f>
        <v>1</v>
      </c>
      <c r="C25" s="1129" t="b">
        <f t="shared" si="212"/>
        <v>0</v>
      </c>
      <c r="D25" s="1129" t="b">
        <f t="shared" si="213"/>
        <v>1</v>
      </c>
      <c r="E25" s="1129" t="b">
        <f>IF(Cotations!C25="","",Cotations!C25)</f>
        <v>0</v>
      </c>
      <c r="F25" s="1129" t="str">
        <f>IF(Cotations!AT25="","",Cotations!AT25)</f>
        <v>PROP</v>
      </c>
      <c r="G25" s="1129" t="str">
        <f>IF(Cotations!D25="","",Cotations!D25)</f>
        <v>2016-2017!</v>
      </c>
      <c r="H25" s="1129" t="str">
        <f>IF(Cotations!E25="","",Cotations!E25)</f>
        <v>SINGLE</v>
      </c>
      <c r="I25" s="1129" t="str">
        <f>IF(Cotations!F25="","",Cotations!F25)</f>
        <v/>
      </c>
      <c r="J25" s="1129" t="str">
        <f>IF(Cotations!G25="","",Cotations!G25)</f>
        <v/>
      </c>
      <c r="K25" s="1129" t="str">
        <f>IF(Cotations!H25="","",Cotations!H25)</f>
        <v/>
      </c>
      <c r="L25" s="1129" t="str">
        <f>IF(A25=FALSE,"",IF(Cotations!M25="","",Cotations!M25))</f>
        <v/>
      </c>
      <c r="M25" s="1129" t="str">
        <f>IF(Cotations!O25="","",Cotations!O25)</f>
        <v/>
      </c>
      <c r="N25" s="1097">
        <f>IF(NAMES!$B$10=TRUE,Cotations!I25,Cotations!K25)</f>
        <v>42566</v>
      </c>
      <c r="O25" s="1097">
        <f>IF(NAMES!$B$10=TRUE,Cotations!J25,Cotations!L25)</f>
        <v>42675</v>
      </c>
      <c r="P25" s="1097" t="str">
        <f t="shared" si="214"/>
        <v>juillet</v>
      </c>
      <c r="Q25" s="1097" t="str">
        <f>IF(A25=FALSE,"",IF(Crewlist!Y25="","",Crewlist!Y25))</f>
        <v/>
      </c>
      <c r="R25" s="618" t="str">
        <f>IF(Cotations!T25="","",Cotations!T25)</f>
        <v/>
      </c>
      <c r="S25" s="1097" t="str">
        <f t="shared" si="215"/>
        <v/>
      </c>
      <c r="T25" s="759" t="str">
        <f>IF(A25=FALSE,"",VLOOKUP($U$15:$U$120,Currency!$A$2:$D$10,4,0)*Crewlist!N25)</f>
        <v/>
      </c>
      <c r="U25" s="1097" t="str">
        <f>IF(A25=FALSE,"",IF(DP25=0,Crewlist!M25&amp;"/"&amp;CP25,Crewlist!M25&amp;"/"&amp;DP25))</f>
        <v/>
      </c>
      <c r="V25" s="759" t="str">
        <f>IF(A25=FALSE,"",VLOOKUP($U$15:$U$120,Currency!$A$2:$D$10,4,0)*Detail!Q25)</f>
        <v/>
      </c>
      <c r="W25" s="1097" t="str">
        <f>IF(A25=FALSE,"",IF(DP25=0,Detail!R25&amp;"/"&amp;CP25,Detail!R25&amp;"/"&amp;DP25))</f>
        <v/>
      </c>
      <c r="X25" s="759" t="str">
        <f>IF(A25=FALSE,"",IF(LISTES!$C$17="Crewlist",Calcul!T25,Calcul!V25))</f>
        <v/>
      </c>
      <c r="Y25" s="618" t="str">
        <f t="shared" si="216"/>
        <v/>
      </c>
      <c r="Z25" s="618" t="str">
        <f>IF(A25=FALSE,"",IF(X25=0,0,IF((Cotations!BA25*12*X25)&lt;50000,50000,(12*X25))))</f>
        <v/>
      </c>
      <c r="AA25" s="618" t="str">
        <f t="shared" si="217"/>
        <v/>
      </c>
      <c r="AB25" s="618" t="str">
        <f>IF(A25=FALSE,"",IF(Crewlist!O25=0,"",Crewlist!O25))</f>
        <v/>
      </c>
      <c r="AC25" s="618" t="str">
        <f>IF(I25="","",VLOOKUP($AB$15:$AB$120,Currency!$A$15:$B$34,2,0))</f>
        <v/>
      </c>
      <c r="AD25" s="618" t="str">
        <f t="shared" si="218"/>
        <v/>
      </c>
      <c r="AE25" s="618" t="str">
        <f t="shared" si="219"/>
        <v/>
      </c>
      <c r="AF25" s="618" t="str">
        <f t="shared" si="220"/>
        <v/>
      </c>
      <c r="AG25" s="618" t="str">
        <f t="shared" si="221"/>
        <v/>
      </c>
      <c r="AH25" s="1097" t="str">
        <f t="shared" si="112"/>
        <v/>
      </c>
      <c r="AI25" s="759" t="str">
        <f t="shared" si="222"/>
        <v/>
      </c>
      <c r="AJ25" s="1120" t="str">
        <f t="shared" si="223"/>
        <v/>
      </c>
      <c r="AK25" s="1120" t="str">
        <f t="shared" si="224"/>
        <v/>
      </c>
      <c r="AL25" s="236" t="str">
        <f t="shared" si="225"/>
        <v/>
      </c>
      <c r="AM25" s="236" t="str">
        <f t="shared" si="226"/>
        <v/>
      </c>
      <c r="AN25" s="1112" t="str">
        <f t="shared" si="227"/>
        <v/>
      </c>
      <c r="AO25" s="236" t="str">
        <f t="shared" si="228"/>
        <v/>
      </c>
      <c r="AP25" s="327" t="str">
        <f>IF(A25=FALSE,"",INDEX(Rates!$Q$1:$Q$278,MATCH(CA25,colchoice,0)))</f>
        <v/>
      </c>
      <c r="AQ25" s="236" t="str">
        <f t="shared" si="229"/>
        <v/>
      </c>
      <c r="AR25" s="236" t="str">
        <f t="shared" si="230"/>
        <v/>
      </c>
      <c r="AS25" s="236" t="str">
        <f t="shared" si="117"/>
        <v/>
      </c>
      <c r="AT25" s="236" t="str">
        <f t="shared" si="118"/>
        <v/>
      </c>
      <c r="AU25" s="236" t="str">
        <f t="shared" si="231"/>
        <v/>
      </c>
      <c r="AV25" s="236" t="str">
        <f t="shared" si="232"/>
        <v/>
      </c>
      <c r="AW25" s="236" t="str">
        <f t="shared" si="233"/>
        <v/>
      </c>
      <c r="AX25" s="236" t="str">
        <f t="shared" si="234"/>
        <v/>
      </c>
      <c r="AY25" s="236" t="str">
        <f t="shared" si="235"/>
        <v/>
      </c>
      <c r="AZ25" s="236" t="str">
        <f t="shared" si="236"/>
        <v/>
      </c>
      <c r="BA25" s="236" t="str">
        <f t="shared" si="237"/>
        <v/>
      </c>
      <c r="BB25" s="467" t="str">
        <f t="shared" si="238"/>
        <v/>
      </c>
      <c r="BC25" s="329" t="str">
        <f t="shared" si="239"/>
        <v/>
      </c>
      <c r="BD25" s="237" t="str">
        <f t="shared" si="240"/>
        <v/>
      </c>
      <c r="BE25" s="237" t="str">
        <f>IF(A25=FALSE,"",IF(ED25&lt;&gt;$BC$7,0,INDEX(EA25:EZ25,1,MATCH(Structure!$J$16,$EA$14:$EZ$14,0))))</f>
        <v/>
      </c>
      <c r="BF25" s="237" t="str">
        <f>IF(A25=FALSE,"",IF(FD25&lt;&gt;$BC$7,0,INDEX(FA25:FZ25,1,MATCH(Structure!$J$16,$FA$14:$FZ$14,0))))</f>
        <v/>
      </c>
      <c r="BG25" s="237" t="str">
        <f>IF(A25=FALSE,"",IF(GD25&lt;&gt;$BC$7,0,INDEX(GA25:GZ25,1,MATCH(Structure!$J$16,$GA$14:$GZ$14,0))))</f>
        <v/>
      </c>
      <c r="BH25" s="237" t="str">
        <f>IF(A25=FALSE,"",IF(HD25&lt;&gt;$BC$7,0,INDEX(HA25:HZ25,1,MATCH(Structure!$J$16,$HA$14:$HZ$14,0))))</f>
        <v/>
      </c>
      <c r="BI25" s="621" t="str">
        <f>IF(A25=FALSE,"",IF(ID25&lt;&gt;$BC$7,0,INDEX(IA25:IZ25,1,MATCH(Structure!$C$12,$IA$14:$IZ$14,0)))+OL25)</f>
        <v/>
      </c>
      <c r="BJ25" s="237" t="str">
        <f>IF(A25=FALSE,"",IF(JD25&lt;&gt;$BC$7,0,INDEX(JA25:JZ25,1,MATCH(Structure!$C$12,$JA$14:$JZ$14,0))))</f>
        <v/>
      </c>
      <c r="BK25" s="621" t="str">
        <f>IF(A25=FALSE,"",IF(KD25&lt;&gt;$BC$7,0,INDEX(KA25:KZ25,1,MATCH(Structure!$C$12,$KA$14:$KZ$14,0)))+PL25)</f>
        <v/>
      </c>
      <c r="BL25" s="237" t="str">
        <f>IF(A25=FALSE,"",IF(LD25&lt;&gt;$BC$7,0,INDEX(LA25:LZ25,1,MATCH(Structure!$C$12,$LA$14:$LZ$14,0))))</f>
        <v/>
      </c>
      <c r="BM25" s="237" t="str">
        <f>IF(A25=FALSE,"",IF(MD25&lt;&gt;$BC$7,0,INDEX(MA25:MZ25,1,MATCH(Structure!$C$12,$MA$14:$MZ$14,0))))</f>
        <v/>
      </c>
      <c r="BN25" s="326" t="str">
        <f>IF(A25=FALSE,"",IF(ND25&lt;&gt;$BC$7,0,INDEX(NA25:OC25,1,MATCH(Structure!$C$12,$NA$14:$OC$14,0))))</f>
        <v/>
      </c>
      <c r="BO25" s="435" t="str">
        <f t="shared" si="241"/>
        <v/>
      </c>
      <c r="BP25" s="237" t="str">
        <f t="shared" si="242"/>
        <v/>
      </c>
      <c r="BQ25" s="237" t="str">
        <f>IF(A25=FALSE,"",IF(ED25&lt;&gt;$BO$7,0,INDEX(EA25:EZ25,1,MATCH(Structure!$C$12,$EA$14:$EZ$14,0))))</f>
        <v/>
      </c>
      <c r="BR25" s="237" t="str">
        <f>IF(A25=FALSE,"",IF(FD25&lt;&gt;$BO$7,0,INDEX(FA25:FZ25,1,MATCH(Structure!$C$12,$FA$14:$FZ$14,0))))</f>
        <v/>
      </c>
      <c r="BS25" s="237" t="str">
        <f>IF(A25=FALSE,"",IF(ID25&lt;&gt;$BO$7,0,INDEX(IA25:IZ25,1,MATCH(Structure!$C$13,$IA$14:$IZ$14,0))))</f>
        <v/>
      </c>
      <c r="BT25" s="237" t="str">
        <f>IF(A25=FALSE,"",IF(JD25&lt;&gt;$BO$7,0,INDEX(JA25:JZ25,1,MATCH(Structure!$C$13,$JA$14:$JZ$14,0))))</f>
        <v/>
      </c>
      <c r="BU25" s="237" t="str">
        <f>IF(A25=FALSE,"",IF(KD25&lt;&gt;$BO$7,0,INDEX(KA25:KZ25,1,MATCH(Structure!$C$13,$KA$14:$KZ$14,0))))</f>
        <v/>
      </c>
      <c r="BV25" s="237" t="str">
        <f>IF(A25=FALSE,"",IF(LD25&lt;&gt;$BO$7,0,INDEX(LA25:LZ25,1,MATCH(Structure!$C$13,$LA$14:$LZ$14,0))))</f>
        <v/>
      </c>
      <c r="BW25" s="237" t="str">
        <f>IF(A25=FALSE,"",IF(MD25&lt;&gt;$BO$7,0,INDEX(MA25:MZ25,1,MATCH(Structure!$C$13,$MA$14:$MZ$14,0))))</f>
        <v/>
      </c>
      <c r="BX25" s="326" t="str">
        <f>IF(A25=FALSE,"",IF(ND25&lt;&gt;$BO$7,0,INDEX(NA25:OC25,1,MATCH(Structure!$C$13,$NA$14:$OC$14,0))))</f>
        <v/>
      </c>
      <c r="BY25" s="412"/>
      <c r="BZ25" s="412"/>
      <c r="CA25" s="1255" t="str">
        <f>IF(A25=FALSE,"",IF(LISTES!$A$17=1,Cotations!AG25,Cotations!AH25))</f>
        <v/>
      </c>
      <c r="CB25" s="1266" t="str">
        <f t="shared" si="243"/>
        <v/>
      </c>
      <c r="CC25" s="1120" t="str">
        <f t="shared" si="244"/>
        <v/>
      </c>
      <c r="CD25" s="1120" t="str">
        <f t="shared" si="245"/>
        <v/>
      </c>
      <c r="CE25" s="1120" t="str">
        <f t="shared" si="246"/>
        <v/>
      </c>
      <c r="CF25" s="1120" t="str">
        <f t="shared" si="247"/>
        <v/>
      </c>
      <c r="CG25" s="1267"/>
      <c r="CH25" s="1267"/>
      <c r="CI25" s="1268" t="str">
        <f t="shared" si="248"/>
        <v/>
      </c>
      <c r="CJ25" s="286" t="str">
        <f t="shared" si="249"/>
        <v/>
      </c>
      <c r="CK25" s="286" t="str">
        <f t="shared" si="250"/>
        <v/>
      </c>
      <c r="CL25" s="1263"/>
      <c r="CM25" s="1263"/>
      <c r="CN25" s="1263"/>
      <c r="CO25" s="1263"/>
      <c r="CP25" s="319" t="str">
        <f t="shared" si="251"/>
        <v/>
      </c>
      <c r="CQ25" s="443" t="str">
        <f>IF(A25=FALSE,"",Cotations!AM25)</f>
        <v/>
      </c>
      <c r="CR25" s="443" t="str">
        <f>IF(A25=FALSE,"",IF(Cotations!AN25="","",Cotations!AN25))</f>
        <v/>
      </c>
      <c r="CS25" s="433" t="str">
        <f>IF(A25=FALSE,"",Cotations!AO25)</f>
        <v/>
      </c>
      <c r="CT25" s="443" t="str">
        <f>IF(A25=FALSE,"",IF(CQ25="N/A",0,IF(INDEX(LISTES!$F$105:$F$109,MATCH(CQ25,LISTES!$C$105:$C$109,0))="FIX",IF(INDEX(LISTES!$E$105:$E$109,MATCH(CQ25,LISTES!$C$105:$C$109,0))=12,CR25/12*L25,CR25/365*M25),CS25*EQ25)))</f>
        <v/>
      </c>
      <c r="CU25" s="434" t="str">
        <f>IF(A25=FALSE,"",(CJ25+CK25)*Cotations!AP25)</f>
        <v/>
      </c>
      <c r="CV25" s="434" t="str">
        <f>IF(A25=FALSE,"",(CJ25+CK25)*Cotations!AQ25)</f>
        <v/>
      </c>
      <c r="DA25" s="1253" t="str">
        <f>IF(A25=FALSE,"",IF(LISTES!$A$17=1,Cotations!AV25,Cotations!AW25))</f>
        <v/>
      </c>
      <c r="DB25" s="1271" t="str">
        <f t="shared" si="252"/>
        <v/>
      </c>
      <c r="DC25" s="1270" t="str">
        <f t="shared" si="253"/>
        <v/>
      </c>
      <c r="DD25" s="1270" t="str">
        <f t="shared" si="254"/>
        <v/>
      </c>
      <c r="DE25" s="1270" t="str">
        <f t="shared" si="255"/>
        <v/>
      </c>
      <c r="DF25" s="1270" t="str">
        <f t="shared" si="256"/>
        <v/>
      </c>
      <c r="DG25" s="1270" t="str">
        <f t="shared" si="257"/>
        <v/>
      </c>
      <c r="DH25" s="1270" t="str">
        <f t="shared" si="258"/>
        <v/>
      </c>
      <c r="DI25" s="1271" t="str">
        <f t="shared" si="259"/>
        <v/>
      </c>
      <c r="DJ25" s="286" t="str">
        <f t="shared" si="260"/>
        <v/>
      </c>
      <c r="DK25" s="286" t="str">
        <f t="shared" si="261"/>
        <v/>
      </c>
      <c r="DL25" s="1264" t="str">
        <f t="shared" si="262"/>
        <v/>
      </c>
      <c r="DM25" s="1264" t="str">
        <f t="shared" si="263"/>
        <v/>
      </c>
      <c r="DN25" s="1264" t="str">
        <f t="shared" si="264"/>
        <v/>
      </c>
      <c r="DO25" s="1264" t="str">
        <f t="shared" si="265"/>
        <v/>
      </c>
      <c r="DP25" s="323" t="str">
        <f t="shared" si="132"/>
        <v/>
      </c>
      <c r="DQ25" s="759" t="str">
        <f>IF(A25=FALSE,"",Cotations!BW25)</f>
        <v/>
      </c>
      <c r="DR25" s="759" t="str">
        <f>IF(A25=FALSE,"",Cotations!BX25)</f>
        <v/>
      </c>
      <c r="DS25" s="538" t="str">
        <f>IF(A25=FALSE,"",Cotations!BY25)</f>
        <v/>
      </c>
      <c r="DT25" s="830" t="str">
        <f>IF(A25=FALSE,"",IF(DQ25="N/A",0,IF(INDEX(LISTES!$F$105:$F$109,MATCH(DQ25,LISTES!$C$105:$C$109,0))="FIX",IF(INDEX(LISTES!$E$105:$E$109,MATCH(DQ25,LISTES!$C$105:$C$109,0))=12,DR25/12*L25,DR25/365*M25),DS25*(DN25+DO25))))</f>
        <v/>
      </c>
      <c r="DU25" s="286" t="str">
        <f>IF(A25=FALSE,"",DJ25*Cotations!BZ25)</f>
        <v/>
      </c>
      <c r="DV25" s="286" t="str">
        <f>IF(A25=FALSE,"",DJ25*Cotations!CA25)</f>
        <v/>
      </c>
      <c r="EA25" s="432" t="str">
        <f>IF(A25=FALSE,"",Cotations!AT25)</f>
        <v/>
      </c>
      <c r="EB25" s="1234" t="str">
        <f>IF(A25=FALSE,"",YEAR(Detail!F25)&amp;Detail!AG25&amp;Detail!AD25&amp;"-"&amp;Detail!$AD$13&amp;Detail!AE25)</f>
        <v/>
      </c>
      <c r="EC25" s="434" t="str">
        <f>IF(A25=FALSE,"",IF(LISTES!$A$17=1,EB25,INDEX(colMOD1,MATCH(Cotations!AH25,colchoice,0))))</f>
        <v/>
      </c>
      <c r="ED25" s="277" t="str">
        <f t="shared" si="133"/>
        <v/>
      </c>
      <c r="EE25" s="277" t="str">
        <f t="shared" si="134"/>
        <v/>
      </c>
      <c r="EF25" s="277"/>
      <c r="EG25" s="277"/>
      <c r="EH25" s="277" t="str">
        <f t="shared" si="135"/>
        <v/>
      </c>
      <c r="EI25" s="1104" t="str">
        <f t="shared" si="136"/>
        <v/>
      </c>
      <c r="EJ25" s="1104" t="str">
        <f t="shared" si="137"/>
        <v/>
      </c>
      <c r="EK25" s="443" t="str">
        <f>IF(A25=FALSE,"",IF(Cotations!AF25="monthly",EH25/12*L25,EH25/365*M25))</f>
        <v/>
      </c>
      <c r="EL25" s="1103" t="str">
        <f>IF(A25=FALSE,"",IF(Cotations!AF25="monthly",EJ25/12*L25,EJ25/365*M25))</f>
        <v/>
      </c>
      <c r="EM25" s="433" t="str">
        <f>IF(A25=FALSE,"",IF(Cotations!AI25="","",Cotations!AI25))</f>
        <v/>
      </c>
      <c r="EN25" s="277" t="str">
        <f t="shared" si="266"/>
        <v/>
      </c>
      <c r="EO25" s="277" t="str">
        <f t="shared" si="138"/>
        <v/>
      </c>
      <c r="EP25" s="1104" t="str">
        <f t="shared" si="139"/>
        <v/>
      </c>
      <c r="EQ25" s="277" t="str">
        <f t="shared" si="267"/>
        <v/>
      </c>
      <c r="ER25" s="759" t="str">
        <f>IF(A25=FALSE,"",((EH25*TAXE)-(EH25*TAXE*EM25)+EI25)+IF(CQ25="N/A",0,IF(INDEX(LISTES!$F$105:$F$109,MATCH(CQ25,LISTES!$C$105:$C$109,0))="FIX",CR25,CS25*EQ25)))</f>
        <v/>
      </c>
      <c r="ET25" s="422"/>
      <c r="EU25" s="422"/>
      <c r="EV25" s="422"/>
      <c r="EW25" s="422"/>
      <c r="EX25" s="422"/>
      <c r="EY25" s="422"/>
      <c r="EZ25" s="422"/>
      <c r="FA25" s="802" t="str">
        <f>IF(A25=FALSE,"",Cotations!AT25)</f>
        <v/>
      </c>
      <c r="FB25" s="1235" t="str">
        <f>IF(A25=FALSE,"",IF(Detail!AL25="","N/A",YEAR(Detail!F25)&amp;Detail!AO25&amp;Detail!AL25&amp;"-"&amp;Detail!$AL$13&amp;Detail!AM25))</f>
        <v/>
      </c>
      <c r="FC25" s="434" t="str">
        <f>IF(A25=FALSE,"",IF(LISTES!$A$17=1,FB25,INDEX(colMOD2,MATCH(Cotations!AH25,colchoice,0))))</f>
        <v/>
      </c>
      <c r="FD25" s="277" t="str">
        <f t="shared" si="140"/>
        <v/>
      </c>
      <c r="FE25" s="277" t="str">
        <f>IF(A25=FALSE,"",IF(Detail!AM25="","",Detail!AM25))</f>
        <v/>
      </c>
      <c r="FF25" s="277"/>
      <c r="FG25" s="277"/>
      <c r="FH25" s="277" t="str">
        <f t="shared" si="141"/>
        <v/>
      </c>
      <c r="FI25" s="1104"/>
      <c r="FJ25" s="1104"/>
      <c r="FK25" s="443" t="str">
        <f>IF(A25=FALSE,"",IF(Cotations!AF25="monthly",FH25/12*L25,FH25/365*M25))</f>
        <v/>
      </c>
      <c r="FL25" s="1103" t="str">
        <f>IF(A25=FALSE,"",IF(Cotations!AF25="monthly",FJ25/12*L25,FJ25/365*M25))</f>
        <v/>
      </c>
      <c r="FM25" s="433" t="str">
        <f>IF(A25=FALSE,"",IF(Cotations!AJ25="","",Cotations!AJ25))</f>
        <v/>
      </c>
      <c r="FN25" s="277" t="str">
        <f t="shared" si="268"/>
        <v/>
      </c>
      <c r="FO25" s="277" t="str">
        <f t="shared" si="269"/>
        <v/>
      </c>
      <c r="FP25" s="1104"/>
      <c r="FQ25" s="277" t="str">
        <f t="shared" si="270"/>
        <v/>
      </c>
      <c r="FR25" s="759" t="str">
        <f>IF(A25=FALSE,"",((FH25*TAXE)-(FH25*TAXE*FM25))+IF(#REF!="N/A",0,IF(INDEX(LISTES!$F$105:$F$109,MATCH(#REF!,LISTES!$C$105:$C$109,0))="FIX",#REF!,#REF!*FQ25)))</f>
        <v/>
      </c>
      <c r="FS25" s="422"/>
      <c r="FT25" s="422"/>
      <c r="FU25" s="422"/>
      <c r="FV25" s="422"/>
      <c r="FW25" s="422"/>
      <c r="FX25" s="422"/>
      <c r="FY25" s="422"/>
      <c r="FZ25" s="422"/>
      <c r="GA25" s="432" t="str">
        <f t="shared" si="145"/>
        <v/>
      </c>
      <c r="GB25" s="1234" t="str">
        <f>IF(A25=FALSE,"",IF(Detail!DF25="","N/A",YEAR(Detail!F25)&amp;Detail!DI25&amp;Detail!DF25&amp;"-"&amp;Detail!$DF$13))</f>
        <v/>
      </c>
      <c r="GC25" s="434" t="str">
        <f>IF(A25=FALSE,"",IF(LISTES!$A$17=1,GB25,INDEX(colMOD3,MATCH(Cotations!AH25,colchoice,0))))</f>
        <v/>
      </c>
      <c r="GD25" s="277" t="str">
        <f t="shared" si="146"/>
        <v/>
      </c>
      <c r="GE25" s="277" t="str">
        <f t="shared" si="147"/>
        <v/>
      </c>
      <c r="GF25" s="277"/>
      <c r="GG25" s="277"/>
      <c r="GH25" s="277" t="str">
        <f t="shared" si="271"/>
        <v/>
      </c>
      <c r="GI25" s="1104" t="str">
        <f t="shared" si="272"/>
        <v/>
      </c>
      <c r="GJ25" s="1104" t="str">
        <f t="shared" si="273"/>
        <v/>
      </c>
      <c r="GK25" s="443" t="str">
        <f>IF(A25=FALSE,"",IF(Cotations!AF25="monthly",GH25/12*L25,GH25/365*M25))</f>
        <v/>
      </c>
      <c r="GL25" s="1103" t="str">
        <f>IF(A25=FALSE,"",IF(Cotations!AF25="monthly",GJ25/12*L25,GJ25/365*M25))</f>
        <v/>
      </c>
      <c r="GM25" s="433" t="str">
        <f>IF(A25=FALSE,"",IF(Cotations!AK25="","",Cotations!AK25))</f>
        <v/>
      </c>
      <c r="GN25" s="277" t="str">
        <f t="shared" si="274"/>
        <v/>
      </c>
      <c r="GO25" s="277" t="str">
        <f t="shared" si="275"/>
        <v/>
      </c>
      <c r="GP25" s="1104" t="str">
        <f t="shared" si="276"/>
        <v/>
      </c>
      <c r="GQ25" s="277" t="str">
        <f t="shared" si="277"/>
        <v/>
      </c>
      <c r="GR25" s="759" t="str">
        <f>IF(A25=FALSE,"",((GH25*TAXE)-(GH25*TAXE*GM25)+GI25)+IF(CQ25="N/A",0,IF(INDEX(LISTES!$F$105:$F$109,MATCH(CQ25,LISTES!$C$105:$C$109,0))="FIX",CR25,CS25*GQ25)))</f>
        <v/>
      </c>
      <c r="GS25" s="412"/>
      <c r="GT25" s="412"/>
      <c r="GU25" s="412"/>
      <c r="GV25" s="412"/>
      <c r="GW25" s="412"/>
      <c r="GX25" s="412"/>
      <c r="GY25" s="412"/>
      <c r="GZ25" s="412"/>
      <c r="HA25" s="432" t="str">
        <f t="shared" si="155"/>
        <v/>
      </c>
      <c r="HB25" s="1234" t="str">
        <f>IF(A25=FALSE,"",IF(Detail!DF25="","N/A",YEAR(Detail!F25)&amp;Detail!DI25&amp;Detail!DF25&amp;"-"&amp;Detail!$DF$13))</f>
        <v/>
      </c>
      <c r="HC25" s="434" t="str">
        <f>IF(A25=FALSE,"",IF(LISTES!$A$17=1,HB25,INDEX(colMOD4,MATCH(Cotations!AH25,colchoice,0))))</f>
        <v/>
      </c>
      <c r="HD25" s="277" t="str">
        <f t="shared" si="278"/>
        <v/>
      </c>
      <c r="HE25" s="277" t="str">
        <f t="shared" si="279"/>
        <v/>
      </c>
      <c r="HF25" s="277"/>
      <c r="HG25" s="277"/>
      <c r="HH25" s="277" t="str">
        <f t="shared" si="280"/>
        <v/>
      </c>
      <c r="HI25" s="1104" t="str">
        <f t="shared" si="281"/>
        <v/>
      </c>
      <c r="HJ25" s="1104" t="str">
        <f t="shared" si="282"/>
        <v/>
      </c>
      <c r="HK25" s="443" t="str">
        <f>IF(A25=FALSE,"",IF(Cotations!AF25="monthly",HH25/12*L25,HH25/365*M25))</f>
        <v/>
      </c>
      <c r="HL25" s="1103" t="str">
        <f>IF(A25=FALSE,"",IF(Cotations!AF25="monthly",HJ25/12*L25,HJ25/365*M25))</f>
        <v/>
      </c>
      <c r="HM25" s="433" t="str">
        <f>IF(A25=FALSE,"",IF(Cotations!AL25="","",Cotations!AL25))</f>
        <v/>
      </c>
      <c r="HN25" s="277" t="str">
        <f t="shared" si="283"/>
        <v/>
      </c>
      <c r="HO25" s="277" t="str">
        <f t="shared" si="284"/>
        <v/>
      </c>
      <c r="HP25" s="1104" t="str">
        <f t="shared" si="285"/>
        <v/>
      </c>
      <c r="HQ25" s="277" t="str">
        <f t="shared" si="286"/>
        <v/>
      </c>
      <c r="HR25" s="759" t="str">
        <f>IF(A25=FALSE,"",((HH25*TAXE)-(HH25*TAXE*HM25)+HI25)+IF(CQ25="N/A",0,IF(INDEX(LISTES!$F$105:$F$109,MATCH(CQ25,LISTES!$C$105:$C$109,0))="FIX",CR25,CS25*HQ25)))</f>
        <v/>
      </c>
      <c r="HS25" s="412"/>
      <c r="HT25" s="412"/>
      <c r="HU25" s="412"/>
      <c r="HV25" s="412"/>
      <c r="HW25" s="412"/>
      <c r="HX25" s="412"/>
      <c r="HY25" s="412"/>
      <c r="HZ25" s="1262"/>
      <c r="IA25" s="802" t="str">
        <f>IF(A25=FALSE,"",Cotations!AT25)</f>
        <v/>
      </c>
      <c r="IB25" s="1253" t="str">
        <f>IF(A25=FALSE,"",IF(Detail!AT25="","N/A",YEAR(Detail!F25)&amp;Detail!AW25&amp;Detail!AT25&amp;"-"&amp;Detail!$AT$13&amp;Detail!AU25))</f>
        <v/>
      </c>
      <c r="IC25" s="431" t="str">
        <f>IF(A25=FALSE,"",IF(LISTES!$A$17=1,IB25,INDEX(colMOD1,MATCH(DA25,colchoice,0))))</f>
        <v/>
      </c>
      <c r="ID25" s="759" t="str">
        <f t="shared" si="287"/>
        <v/>
      </c>
      <c r="IE25" s="292" t="str">
        <f>IF(A25=FALSE,"",IF(LISTES!$A$17=1,Detail!AU25,INDEX(Rates!$M$1:$M$270,MATCH(IC25,colMOD1,0))))</f>
        <v/>
      </c>
      <c r="IF25" s="409" t="str">
        <f t="shared" si="165"/>
        <v/>
      </c>
      <c r="IG25" s="430" t="str">
        <f>IF(A25=FALSE,"",IF(IA25="POEA",Cotations!AY25,IF(IA25="FIXE",Cotations!AZ25,IF(Cotations!BA25*Y25&lt;50000,Z25,Cotations!BA25*Y25))))</f>
        <v/>
      </c>
      <c r="IH25" s="292" t="str">
        <f t="shared" si="166"/>
        <v/>
      </c>
      <c r="II25" s="292" t="str">
        <f>IF(A25=FALSE,"",IF(Cotations!AU25="monthly",IH25/12*L25,IH25/365*M25))</f>
        <v/>
      </c>
      <c r="IJ25" s="405" t="str">
        <f>IF(A25=FALSE,"",IF(Cotations!BB25="","",Cotations!BB25))</f>
        <v/>
      </c>
      <c r="IK25" s="292" t="str">
        <f t="shared" si="167"/>
        <v/>
      </c>
      <c r="IL25" s="292" t="str">
        <f t="shared" si="168"/>
        <v/>
      </c>
      <c r="IM25" s="759" t="str">
        <f t="shared" si="169"/>
        <v/>
      </c>
      <c r="IN25" s="759" t="str">
        <f>IF(A25=FALSE,"",((IH25*TAXE)-(IH25*TAXE*IJ25))+IF(DQ25="N/A",0,IF(INDEX(LISTES!$F$105:$F$109,MATCH(DQ25,LISTES!$C$105:$C$109,0))="FIX",DR25,DS25*IM25)))</f>
        <v/>
      </c>
      <c r="JA25" s="432" t="str">
        <f>IF(A25=FALSE,"",Cotations!AT25)</f>
        <v/>
      </c>
      <c r="JB25" s="1234" t="str">
        <f>IF(A25=FALSE,"",IF(Detail!BB25="","N/A",YEAR(Detail!F25)&amp;Detail!BE25&amp;Detail!BB25&amp;"-"&amp;Detail!$BB$13&amp;Detail!BC25))</f>
        <v/>
      </c>
      <c r="JC25" s="431" t="str">
        <f>IF(A25=FALSE,"",IF(LISTES!$A$17=1,JB25,INDEX(colMOD2,MATCH(DA25,colchoice,0))))</f>
        <v/>
      </c>
      <c r="JD25" s="759" t="str">
        <f t="shared" si="170"/>
        <v/>
      </c>
      <c r="JE25" s="292"/>
      <c r="JF25" s="409" t="str">
        <f t="shared" si="171"/>
        <v/>
      </c>
      <c r="JG25" s="810" t="str">
        <f>IF(A25=FALSE,"",IF(JA25="POEA",Cotations!BC25,IF(JA25="FIXE",Cotations!BD25,IF(Cotations!BE25*Y25&lt;50000,Z25,Cotations!BE25*Y25))))</f>
        <v/>
      </c>
      <c r="JH25" s="292" t="str">
        <f t="shared" si="172"/>
        <v/>
      </c>
      <c r="JI25" s="446" t="str">
        <f>IF(A25=FALSE,"",IF(Cotations!AU25="monthly",JH25/12*L25,JH25/365*M25))</f>
        <v/>
      </c>
      <c r="JJ25" s="405" t="str">
        <f>IF(A25=FALSE,"",IF(Cotations!BF25="","",Cotations!BF25))</f>
        <v/>
      </c>
      <c r="JK25" s="292" t="str">
        <f t="shared" si="173"/>
        <v/>
      </c>
      <c r="JL25" s="292" t="str">
        <f t="shared" si="174"/>
        <v/>
      </c>
      <c r="JM25" s="759" t="str">
        <f t="shared" si="175"/>
        <v/>
      </c>
      <c r="JN25" s="759" t="str">
        <f>IF(A25=FALSE,"",((JH25*TAXE)-(JH25*TAXE*JJ25))+IF(#REF!="N/A",0,IF(INDEX(LISTES!$F$105:$F$109,MATCH(#REF!,LISTES!$C$105:$C$109,0))="FIX",#REF!,#REF!*JM25)))</f>
        <v/>
      </c>
      <c r="KA25" s="802" t="str">
        <f>IF(A25=FALSE,"",Cotations!AT25)</f>
        <v/>
      </c>
      <c r="KB25" s="1234" t="str">
        <f>IF(A25=FALSE,"",IF(Detail!BJ25="","N/A",YEAR(Detail!F25)&amp;Detail!BM25&amp;Detail!BJ25&amp;"-"&amp;Detail!$BJ$13&amp;Detail!BK25))</f>
        <v/>
      </c>
      <c r="KC25" s="431" t="str">
        <f>IF(A25=FALSE,"",IF(LISTES!$A$17=1,KB25,INDEX(colMOD3,MATCH(DA25,colchoice,0))))</f>
        <v/>
      </c>
      <c r="KD25" s="759" t="str">
        <f t="shared" si="176"/>
        <v/>
      </c>
      <c r="KE25" s="292"/>
      <c r="KF25" s="409" t="str">
        <f t="shared" si="177"/>
        <v/>
      </c>
      <c r="KG25" s="810" t="str">
        <f>IF(A25=FALSE,"",IF(KA25="POEA",Cotations!BG25,IF(KA25="FIXE",Cotations!BH25,IF(Cotations!BI25*Y25&lt;50000,Z25,Cotations!BI25*Y25))))</f>
        <v/>
      </c>
      <c r="KH25" s="292" t="str">
        <f t="shared" si="178"/>
        <v/>
      </c>
      <c r="KI25" s="446" t="str">
        <f>IF(A25=FALSE,"",IF(Cotations!AU25="monthly",KH25/12*L25,KH25/365*M25))</f>
        <v/>
      </c>
      <c r="KJ25" s="405" t="str">
        <f>IF(A25=FALSE,"",IF(Cotations!BJ25="","",Cotations!BJ25))</f>
        <v/>
      </c>
      <c r="KK25" s="292" t="str">
        <f t="shared" si="179"/>
        <v/>
      </c>
      <c r="KL25" s="292" t="str">
        <f t="shared" si="180"/>
        <v/>
      </c>
      <c r="KM25" s="759" t="str">
        <f t="shared" si="181"/>
        <v/>
      </c>
      <c r="KN25" s="759" t="str">
        <f>IF(A25=FALSE,"",((KH25*TAXE)-(KH25*TAXE*KJ25))+IF(#REF!="N/A",0,IF(INDEX(LISTES!$F$105:$F$109,MATCH(#REF!,LISTES!$C$105:$C$109,0))="FIX",#REF!,#REF!*KM25)))</f>
        <v/>
      </c>
      <c r="LA25" s="432" t="str">
        <f>IF(A25=FALSE,"",Cotations!AT25)</f>
        <v/>
      </c>
      <c r="LB25" s="1234" t="str">
        <f>IF(A25=FALSE,"",IF(Detail!BR25="","N/A",YEAR(Detail!F25)&amp;Detail!BU25&amp;Detail!BR25&amp;"-"&amp;Detail!$BR$13&amp;Detail!BS25))</f>
        <v/>
      </c>
      <c r="LC25" s="431" t="str">
        <f>IF(A25=FALSE,"",IF(LISTES!$A$17=1,LB25,INDEX(colMOD4,MATCH(DA25,colchoice,0))))</f>
        <v/>
      </c>
      <c r="LD25" s="759" t="str">
        <f t="shared" si="182"/>
        <v/>
      </c>
      <c r="LE25" s="292"/>
      <c r="LF25" s="409" t="str">
        <f t="shared" si="183"/>
        <v/>
      </c>
      <c r="LG25" s="810" t="str">
        <f>IF(A25=FALSE,"",IF(LA25="POEA",Cotations!BK25,IF(LA25="FIXE",Cotations!BL25,IF(Cotations!BM25*Y25&lt;50000,Z25,Cotations!BM25*Y25))))</f>
        <v/>
      </c>
      <c r="LH25" s="292" t="str">
        <f t="shared" si="184"/>
        <v/>
      </c>
      <c r="LI25" s="446" t="str">
        <f>IF(A25=FALSE,"",IF(Cotations!AU25="monthly",LH25/12*L25,LH25/365*M25))</f>
        <v/>
      </c>
      <c r="LJ25" s="405" t="str">
        <f>IF(A25=FALSE,"",IF(Cotations!BN25="","",Cotations!BN25))</f>
        <v/>
      </c>
      <c r="LK25" s="292" t="str">
        <f t="shared" si="185"/>
        <v/>
      </c>
      <c r="LL25" s="292" t="str">
        <f t="shared" si="186"/>
        <v/>
      </c>
      <c r="LM25" s="759" t="str">
        <f t="shared" si="187"/>
        <v/>
      </c>
      <c r="LN25" s="759" t="str">
        <f>IF(A25=FALSE,"",((LH25*TAXE)-(LH25*TAXE*LJ25))+IF(#REF!="N/A",0,IF(INDEX(LISTES!$F$105:$F$109,MATCH(#REF!,LISTES!$C$105:$C$109,0))="FIX",#REF!,#REF!*LM25)))</f>
        <v/>
      </c>
      <c r="MA25" s="802" t="str">
        <f t="shared" si="188"/>
        <v/>
      </c>
      <c r="MB25" s="1234" t="str">
        <f>IF(A25=FALSE,"",IF(Detail!BZ25="","N/A",YEAR(Detail!F25)&amp;Detail!CC25&amp;Detail!BZ25&amp;"-"&amp;Detail!$BZ$13&amp;" (100%/"&amp;Detail!CD25&amp;"/"&amp;Detail!CE25&amp;")"))</f>
        <v/>
      </c>
      <c r="MC25" s="431" t="str">
        <f>IF(A25=FALSE,"",IF(LISTES!$A$17=1,MB25,INDEX(colMOD5,MATCH(DA25,colchoice,0))))</f>
        <v/>
      </c>
      <c r="MD25" s="759" t="str">
        <f t="shared" si="189"/>
        <v/>
      </c>
      <c r="ME25" s="292"/>
      <c r="MF25" s="409" t="str">
        <f t="shared" si="190"/>
        <v/>
      </c>
      <c r="MG25" s="810" t="str">
        <f>IF(A25=FALSE,"",Cotations!BQ25*AA25)</f>
        <v/>
      </c>
      <c r="MH25" s="292" t="str">
        <f t="shared" si="191"/>
        <v/>
      </c>
      <c r="MI25" s="446" t="str">
        <f>IF(A25=FALSE,"",IF(Cotations!AU25="monthly",MH25/12*L25,MH25/365*M25))</f>
        <v/>
      </c>
      <c r="MJ25" s="405" t="str">
        <f>IF(A25=FALSE,"",IF(Cotations!BR25="","",Cotations!BR25))</f>
        <v/>
      </c>
      <c r="MK25" s="292" t="str">
        <f t="shared" si="192"/>
        <v/>
      </c>
      <c r="ML25" s="292" t="str">
        <f t="shared" si="193"/>
        <v/>
      </c>
      <c r="MM25" s="759" t="str">
        <f t="shared" si="194"/>
        <v/>
      </c>
      <c r="MN25" s="759" t="str">
        <f>IF(A25=FALSE,"",((MH25*TAXE)-(MH25*TAXE*MJ25))+IF(#REF!="N/A",0,IF(INDEX(LISTES!$F$105:$F$109,MATCH(#REF!,LISTES!$C$105:$C$109,0))="FIX",#REF!,#REF!*MM25)))</f>
        <v/>
      </c>
      <c r="NA25" s="432" t="str">
        <f t="shared" si="195"/>
        <v/>
      </c>
      <c r="NB25" s="1234" t="str">
        <f>IF(A25=FALSE,"",IF(Detail!CH25="","N/A",YEAR(Detail!F25)&amp;Detail!CK25&amp;Detail!CH25&amp;"-"&amp;Detail!$CH$13&amp;" (100%/"&amp;Detail!CL25&amp;"/"&amp;Detail!CM25&amp;")"))</f>
        <v/>
      </c>
      <c r="NC25" s="431" t="str">
        <f>IF(A25=FALSE,"",IF(LISTES!$A$17=1,NB25,INDEX(colMOD6,MATCH(DA25,colchoice,0))))</f>
        <v/>
      </c>
      <c r="ND25" s="759" t="str">
        <f t="shared" si="196"/>
        <v/>
      </c>
      <c r="NE25" s="292"/>
      <c r="NF25" s="409" t="str">
        <f t="shared" si="197"/>
        <v/>
      </c>
      <c r="NG25" s="810" t="str">
        <f>IF(A25=FALSE,"",Cotations!BU25*AA25)</f>
        <v/>
      </c>
      <c r="NH25" s="292" t="str">
        <f t="shared" si="198"/>
        <v/>
      </c>
      <c r="NI25" s="446" t="str">
        <f>IF(A25=FALSE,"",IF(Cotations!AU25="monthly",NH25/12*L25,NH25/365*M25))</f>
        <v/>
      </c>
      <c r="NJ25" s="405" t="str">
        <f>IF(A25=FALSE,"",IF(Cotations!BV25="","",Cotations!BV25))</f>
        <v/>
      </c>
      <c r="NK25" s="292" t="str">
        <f t="shared" si="199"/>
        <v/>
      </c>
      <c r="NL25" s="292" t="str">
        <f t="shared" si="200"/>
        <v/>
      </c>
      <c r="NM25" s="759" t="str">
        <f t="shared" si="201"/>
        <v/>
      </c>
      <c r="NN25" s="759" t="str">
        <f>IF(A25=FALSE,"",((NH25*TAXE)-(NH25*TAXE*NJ25))+IF(#REF!="N/A",0,IF(INDEX(LISTES!$F$105:$F$109,MATCH(#REF!,LISTES!$C$105:$C$109,0))="FIX",#REF!,#REF!*NM25)))</f>
        <v/>
      </c>
      <c r="NZ25" s="1281" t="str">
        <f>IF(A25=FALSE,"",IF(Detail!CP25="","N/A",YEAR(Detail!F25)&amp;Detail!CS25&amp;Detail!CP25&amp;"-"&amp;Detail!CQ25))</f>
        <v/>
      </c>
      <c r="OA25" s="432" t="str">
        <f>IF(A25=FALSE,"",Cotations!CF25)</f>
        <v/>
      </c>
      <c r="OB25" s="1282" t="str">
        <f>IF(A25=FALSE,"",IF(Detail!CP25="","N/A",YEAR(Detail!F25)&amp;Detail!CS25&amp;Detail!CP25&amp;"-"&amp;Detail!$CP$13&amp;Detail!CQ25))</f>
        <v/>
      </c>
      <c r="OC25" s="1283" t="str">
        <f>IF(A25=FALSE,"",IF(LISTES!$A$17=1,OB25,INDEX(colMOD1,MATCH(Cotations!CE25,colchoice,0))))</f>
        <v/>
      </c>
      <c r="OD25" s="759" t="str">
        <f t="shared" si="202"/>
        <v/>
      </c>
      <c r="OE25" s="292" t="str">
        <f>IF(A25=FALSE,"",Detail!CQ25)</f>
        <v/>
      </c>
      <c r="OF25" s="409" t="str">
        <f t="shared" si="203"/>
        <v/>
      </c>
      <c r="OG25" s="430" t="str">
        <f>IF(A25=FALSE,"",IF(OA25="FIXE",Cotations!CM25,Cotations!CN25*AA25))</f>
        <v/>
      </c>
      <c r="OH25" s="292" t="str">
        <f t="shared" si="288"/>
        <v/>
      </c>
      <c r="OI25" s="446" t="str">
        <f>IF(A25=FALSE,"",IF(Cotations!CF25="monthly",OH25/12*L25,OH25/365*M25))</f>
        <v/>
      </c>
      <c r="OJ25" s="429" t="str">
        <f>IF(A25=FALSE,"",IF(Cotations!CO25="","",Cotations!CO25))</f>
        <v/>
      </c>
      <c r="OK25" s="292" t="str">
        <f t="shared" si="289"/>
        <v/>
      </c>
      <c r="OL25" s="292" t="str">
        <f t="shared" si="290"/>
        <v/>
      </c>
      <c r="OM25" s="759" t="str">
        <f t="shared" si="207"/>
        <v/>
      </c>
      <c r="ON25" s="759" t="str">
        <f>IF(A25=FALSE,"",((OH25*(1+TAXE)-(OH25*(1+TAXE)*OJ25))+IF(#REF!="N/A",0,IF(INDEX(LISTES!$F$105:$F$109,MATCH(#REF!,LISTES!$C$105:$C$109,0))="FIX",#REF!,#REF!*OM25))))</f>
        <v/>
      </c>
      <c r="PA25" s="432" t="str">
        <f>IF(A25=FALSE,"",Cotations!CF25)</f>
        <v/>
      </c>
      <c r="PB25" s="1282" t="str">
        <f>IF(A25=FALSE,"",IF(Detail!CX25="","N/A",YEAR(Detail!F25)&amp;Detail!DA25&amp;Detail!CX25&amp;"-"&amp;Detail!$CX$13&amp;Detail!CY25))</f>
        <v/>
      </c>
      <c r="PC25" s="1283" t="str">
        <f>IF(A25=FALSE,"",IF(LISTES!$A$17=1,PB25,INDEX(colMOD3,MATCH(Cotations!CE25,colchoice,0))))</f>
        <v/>
      </c>
      <c r="PD25" s="759" t="str">
        <f t="shared" si="208"/>
        <v/>
      </c>
      <c r="PE25" s="292" t="str">
        <f>IF(A25=FALSE,"",IF(Detail!CY25="","",Detail!CY25))</f>
        <v/>
      </c>
      <c r="PF25" s="409" t="str">
        <f t="shared" si="291"/>
        <v/>
      </c>
      <c r="PG25" s="430" t="str">
        <f>IF(A25=FALSE,"",IF(PA25="FIXE",Cotations!CP25,Cotations!CQ25*AA25))</f>
        <v/>
      </c>
      <c r="PH25" s="292" t="str">
        <f t="shared" si="292"/>
        <v/>
      </c>
      <c r="PI25" s="446" t="str">
        <f>IF(A25=FALSE,"",IF(Cotations!CG25="monthly",PH25/12*L25,PH25/365*M25))</f>
        <v/>
      </c>
      <c r="PJ25" s="429" t="str">
        <f>IF(A25=FALSE,"",IF(Cotations!DA25="",0,Cotations!DA25))</f>
        <v/>
      </c>
      <c r="PK25" s="292" t="str">
        <f t="shared" si="293"/>
        <v/>
      </c>
      <c r="PL25" s="292" t="str">
        <f t="shared" si="294"/>
        <v/>
      </c>
      <c r="PM25" s="759" t="str">
        <f t="shared" si="211"/>
        <v/>
      </c>
      <c r="PN25" s="759" t="str">
        <f>IF(A25=FALSE,"",((PH25*(1+TAXE)-(PH25*(1+TAXE)*PJ25))+IF(#REF!="N/A",0,IF(INDEX(LISTES!$F$105:$F$109,MATCH(#REF!,LISTES!$C$105:$C$109,0))="FIX",#REF!,#REF!*PM25))))</f>
        <v/>
      </c>
    </row>
    <row r="26" spans="1:430" s="1127" customFormat="1">
      <c r="A26" s="1129" t="b">
        <f t="shared" si="111"/>
        <v>0</v>
      </c>
      <c r="B26" s="1129" t="b">
        <f>IF(NAMES!$B$9=TRUE,TRUE,FALSE)</f>
        <v>1</v>
      </c>
      <c r="C26" s="1129" t="b">
        <f t="shared" si="212"/>
        <v>0</v>
      </c>
      <c r="D26" s="1129" t="b">
        <f t="shared" si="213"/>
        <v>1</v>
      </c>
      <c r="E26" s="1129" t="b">
        <f>IF(Cotations!C26="","",Cotations!C26)</f>
        <v>0</v>
      </c>
      <c r="F26" s="1129" t="str">
        <f>IF(Cotations!AT26="","",Cotations!AT26)</f>
        <v>PROP</v>
      </c>
      <c r="G26" s="1129" t="str">
        <f>IF(Cotations!D26="","",Cotations!D26)</f>
        <v>2016-2017!</v>
      </c>
      <c r="H26" s="1129" t="str">
        <f>IF(Cotations!E26="","",Cotations!E26)</f>
        <v>SINGLE</v>
      </c>
      <c r="I26" s="1129" t="str">
        <f>IF(Cotations!F26="","",Cotations!F26)</f>
        <v/>
      </c>
      <c r="J26" s="1129" t="str">
        <f>IF(Cotations!G26="","",Cotations!G26)</f>
        <v/>
      </c>
      <c r="K26" s="1129" t="str">
        <f>IF(Cotations!H26="","",Cotations!H26)</f>
        <v/>
      </c>
      <c r="L26" s="1129" t="str">
        <f>IF(A26=FALSE,"",IF(Cotations!M26="","",Cotations!M26))</f>
        <v/>
      </c>
      <c r="M26" s="1129" t="str">
        <f>IF(Cotations!O26="","",Cotations!O26)</f>
        <v/>
      </c>
      <c r="N26" s="1097">
        <f>IF(NAMES!$B$10=TRUE,Cotations!I26,Cotations!K26)</f>
        <v>42675</v>
      </c>
      <c r="O26" s="1097">
        <f>IF(NAMES!$B$10=TRUE,Cotations!J26,Cotations!L26)</f>
        <v>42749</v>
      </c>
      <c r="P26" s="1097" t="str">
        <f t="shared" si="214"/>
        <v>novembre</v>
      </c>
      <c r="Q26" s="1097" t="str">
        <f>IF(A26=FALSE,"",IF(Crewlist!Y26="","",Crewlist!Y26))</f>
        <v/>
      </c>
      <c r="R26" s="618" t="str">
        <f>IF(Cotations!T26="","",Cotations!T26)</f>
        <v/>
      </c>
      <c r="S26" s="1097" t="str">
        <f t="shared" si="215"/>
        <v/>
      </c>
      <c r="T26" s="759" t="str">
        <f>IF(A26=FALSE,"",VLOOKUP($U$15:$U$120,Currency!$A$2:$D$10,4,0)*Crewlist!N26)</f>
        <v/>
      </c>
      <c r="U26" s="1097" t="str">
        <f>IF(A26=FALSE,"",IF(DP26=0,Crewlist!M26&amp;"/"&amp;CP26,Crewlist!M26&amp;"/"&amp;DP26))</f>
        <v/>
      </c>
      <c r="V26" s="759" t="str">
        <f>IF(A26=FALSE,"",VLOOKUP($U$15:$U$120,Currency!$A$2:$D$10,4,0)*Detail!Q26)</f>
        <v/>
      </c>
      <c r="W26" s="1097" t="str">
        <f>IF(A26=FALSE,"",IF(DP26=0,Detail!R26&amp;"/"&amp;CP26,Detail!R26&amp;"/"&amp;DP26))</f>
        <v/>
      </c>
      <c r="X26" s="759" t="str">
        <f>IF(A26=FALSE,"",IF(LISTES!$C$17="Crewlist",Calcul!T26,Calcul!V26))</f>
        <v/>
      </c>
      <c r="Y26" s="618" t="str">
        <f t="shared" si="216"/>
        <v/>
      </c>
      <c r="Z26" s="618" t="str">
        <f>IF(A26=FALSE,"",IF(X26=0,0,IF((Cotations!BA26*12*X26)&lt;50000,50000,(12*X26))))</f>
        <v/>
      </c>
      <c r="AA26" s="618" t="str">
        <f t="shared" si="217"/>
        <v/>
      </c>
      <c r="AB26" s="618" t="str">
        <f>IF(A26=FALSE,"",IF(Crewlist!O26=0,"",Crewlist!O26))</f>
        <v/>
      </c>
      <c r="AC26" s="618" t="str">
        <f>IF(I26="","",VLOOKUP($AB$15:$AB$120,Currency!$A$15:$B$34,2,0))</f>
        <v/>
      </c>
      <c r="AD26" s="618" t="str">
        <f t="shared" si="218"/>
        <v/>
      </c>
      <c r="AE26" s="618" t="str">
        <f t="shared" si="219"/>
        <v/>
      </c>
      <c r="AF26" s="618" t="str">
        <f t="shared" si="220"/>
        <v/>
      </c>
      <c r="AG26" s="618" t="str">
        <f t="shared" si="221"/>
        <v/>
      </c>
      <c r="AH26" s="1097" t="str">
        <f t="shared" si="112"/>
        <v/>
      </c>
      <c r="AI26" s="759" t="str">
        <f t="shared" si="222"/>
        <v/>
      </c>
      <c r="AJ26" s="1120" t="str">
        <f t="shared" si="223"/>
        <v/>
      </c>
      <c r="AK26" s="1120" t="str">
        <f t="shared" si="224"/>
        <v/>
      </c>
      <c r="AL26" s="236" t="str">
        <f t="shared" si="225"/>
        <v/>
      </c>
      <c r="AM26" s="236" t="str">
        <f t="shared" si="226"/>
        <v/>
      </c>
      <c r="AN26" s="1112" t="str">
        <f t="shared" si="227"/>
        <v/>
      </c>
      <c r="AO26" s="236" t="str">
        <f t="shared" si="228"/>
        <v/>
      </c>
      <c r="AP26" s="327" t="str">
        <f>IF(A26=FALSE,"",INDEX(Rates!$Q$1:$Q$278,MATCH(CA26,colchoice,0)))</f>
        <v/>
      </c>
      <c r="AQ26" s="236" t="str">
        <f t="shared" si="229"/>
        <v/>
      </c>
      <c r="AR26" s="236" t="str">
        <f t="shared" si="230"/>
        <v/>
      </c>
      <c r="AS26" s="236" t="str">
        <f t="shared" si="117"/>
        <v/>
      </c>
      <c r="AT26" s="236" t="str">
        <f t="shared" si="118"/>
        <v/>
      </c>
      <c r="AU26" s="236" t="str">
        <f t="shared" si="231"/>
        <v/>
      </c>
      <c r="AV26" s="236" t="str">
        <f t="shared" si="232"/>
        <v/>
      </c>
      <c r="AW26" s="236" t="str">
        <f t="shared" si="233"/>
        <v/>
      </c>
      <c r="AX26" s="236" t="str">
        <f t="shared" si="234"/>
        <v/>
      </c>
      <c r="AY26" s="236" t="str">
        <f t="shared" si="235"/>
        <v/>
      </c>
      <c r="AZ26" s="236" t="str">
        <f t="shared" si="236"/>
        <v/>
      </c>
      <c r="BA26" s="236" t="str">
        <f t="shared" si="237"/>
        <v/>
      </c>
      <c r="BB26" s="467" t="str">
        <f t="shared" si="238"/>
        <v/>
      </c>
      <c r="BC26" s="329" t="str">
        <f t="shared" si="239"/>
        <v/>
      </c>
      <c r="BD26" s="237" t="str">
        <f t="shared" si="240"/>
        <v/>
      </c>
      <c r="BE26" s="237" t="str">
        <f>IF(A26=FALSE,"",IF(ED26&lt;&gt;$BC$7,0,INDEX(EA26:EZ26,1,MATCH(Structure!$J$16,$EA$14:$EZ$14,0))))</f>
        <v/>
      </c>
      <c r="BF26" s="237" t="str">
        <f>IF(A26=FALSE,"",IF(FD26&lt;&gt;$BC$7,0,INDEX(FA26:FZ26,1,MATCH(Structure!$J$16,$FA$14:$FZ$14,0))))</f>
        <v/>
      </c>
      <c r="BG26" s="237" t="str">
        <f>IF(A26=FALSE,"",IF(GD26&lt;&gt;$BC$7,0,INDEX(GA26:GZ26,1,MATCH(Structure!$J$16,$GA$14:$GZ$14,0))))</f>
        <v/>
      </c>
      <c r="BH26" s="237" t="str">
        <f>IF(A26=FALSE,"",IF(HD26&lt;&gt;$BC$7,0,INDEX(HA26:HZ26,1,MATCH(Structure!$J$16,$HA$14:$HZ$14,0))))</f>
        <v/>
      </c>
      <c r="BI26" s="621" t="str">
        <f>IF(A26=FALSE,"",IF(ID26&lt;&gt;$BC$7,0,INDEX(IA26:IZ26,1,MATCH(Structure!$C$12,$IA$14:$IZ$14,0)))+OL26)</f>
        <v/>
      </c>
      <c r="BJ26" s="237" t="str">
        <f>IF(A26=FALSE,"",IF(JD26&lt;&gt;$BC$7,0,INDEX(JA26:JZ26,1,MATCH(Structure!$C$12,$JA$14:$JZ$14,0))))</f>
        <v/>
      </c>
      <c r="BK26" s="621" t="str">
        <f>IF(A26=FALSE,"",IF(KD26&lt;&gt;$BC$7,0,INDEX(KA26:KZ26,1,MATCH(Structure!$C$12,$KA$14:$KZ$14,0)))+PL26)</f>
        <v/>
      </c>
      <c r="BL26" s="237" t="str">
        <f>IF(A26=FALSE,"",IF(LD26&lt;&gt;$BC$7,0,INDEX(LA26:LZ26,1,MATCH(Structure!$C$12,$LA$14:$LZ$14,0))))</f>
        <v/>
      </c>
      <c r="BM26" s="237" t="str">
        <f>IF(A26=FALSE,"",IF(MD26&lt;&gt;$BC$7,0,INDEX(MA26:MZ26,1,MATCH(Structure!$C$12,$MA$14:$MZ$14,0))))</f>
        <v/>
      </c>
      <c r="BN26" s="326" t="str">
        <f>IF(A26=FALSE,"",IF(ND26&lt;&gt;$BC$7,0,INDEX(NA26:OC26,1,MATCH(Structure!$C$12,$NA$14:$OC$14,0))))</f>
        <v/>
      </c>
      <c r="BO26" s="435" t="str">
        <f t="shared" si="241"/>
        <v/>
      </c>
      <c r="BP26" s="237" t="str">
        <f t="shared" si="242"/>
        <v/>
      </c>
      <c r="BQ26" s="237" t="str">
        <f>IF(A26=FALSE,"",IF(ED26&lt;&gt;$BO$7,0,INDEX(EA26:EZ26,1,MATCH(Structure!$C$12,$EA$14:$EZ$14,0))))</f>
        <v/>
      </c>
      <c r="BR26" s="237" t="str">
        <f>IF(A26=FALSE,"",IF(FD26&lt;&gt;$BO$7,0,INDEX(FA26:FZ26,1,MATCH(Structure!$C$12,$FA$14:$FZ$14,0))))</f>
        <v/>
      </c>
      <c r="BS26" s="237" t="str">
        <f>IF(A26=FALSE,"",IF(ID26&lt;&gt;$BO$7,0,INDEX(IA26:IZ26,1,MATCH(Structure!$C$13,$IA$14:$IZ$14,0))))</f>
        <v/>
      </c>
      <c r="BT26" s="237" t="str">
        <f>IF(A26=FALSE,"",IF(JD26&lt;&gt;$BO$7,0,INDEX(JA26:JZ26,1,MATCH(Structure!$C$13,$JA$14:$JZ$14,0))))</f>
        <v/>
      </c>
      <c r="BU26" s="237" t="str">
        <f>IF(A26=FALSE,"",IF(KD26&lt;&gt;$BO$7,0,INDEX(KA26:KZ26,1,MATCH(Structure!$C$13,$KA$14:$KZ$14,0))))</f>
        <v/>
      </c>
      <c r="BV26" s="237" t="str">
        <f>IF(A26=FALSE,"",IF(LD26&lt;&gt;$BO$7,0,INDEX(LA26:LZ26,1,MATCH(Structure!$C$13,$LA$14:$LZ$14,0))))</f>
        <v/>
      </c>
      <c r="BW26" s="237" t="str">
        <f>IF(A26=FALSE,"",IF(MD26&lt;&gt;$BO$7,0,INDEX(MA26:MZ26,1,MATCH(Structure!$C$13,$MA$14:$MZ$14,0))))</f>
        <v/>
      </c>
      <c r="BX26" s="326" t="str">
        <f>IF(A26=FALSE,"",IF(ND26&lt;&gt;$BO$7,0,INDEX(NA26:OC26,1,MATCH(Structure!$C$13,$NA$14:$OC$14,0))))</f>
        <v/>
      </c>
      <c r="BY26" s="412"/>
      <c r="BZ26" s="412"/>
      <c r="CA26" s="1255" t="str">
        <f>IF(A26=FALSE,"",IF(LISTES!$A$17=1,Cotations!AG26,Cotations!AH26))</f>
        <v/>
      </c>
      <c r="CB26" s="1266" t="str">
        <f t="shared" si="243"/>
        <v/>
      </c>
      <c r="CC26" s="1120" t="str">
        <f t="shared" si="244"/>
        <v/>
      </c>
      <c r="CD26" s="1120" t="str">
        <f t="shared" si="245"/>
        <v/>
      </c>
      <c r="CE26" s="1120" t="str">
        <f t="shared" si="246"/>
        <v/>
      </c>
      <c r="CF26" s="1120" t="str">
        <f t="shared" si="247"/>
        <v/>
      </c>
      <c r="CG26" s="1267"/>
      <c r="CH26" s="1267"/>
      <c r="CI26" s="1268" t="str">
        <f t="shared" si="248"/>
        <v/>
      </c>
      <c r="CJ26" s="286" t="str">
        <f t="shared" si="249"/>
        <v/>
      </c>
      <c r="CK26" s="286" t="str">
        <f t="shared" si="250"/>
        <v/>
      </c>
      <c r="CL26" s="1263"/>
      <c r="CM26" s="1263"/>
      <c r="CN26" s="1263"/>
      <c r="CO26" s="1263"/>
      <c r="CP26" s="319" t="str">
        <f t="shared" si="251"/>
        <v/>
      </c>
      <c r="CQ26" s="443" t="str">
        <f>IF(A26=FALSE,"",Cotations!AM26)</f>
        <v/>
      </c>
      <c r="CR26" s="443" t="str">
        <f>IF(A26=FALSE,"",IF(Cotations!AN26="","",Cotations!AN26))</f>
        <v/>
      </c>
      <c r="CS26" s="433" t="str">
        <f>IF(A26=FALSE,"",Cotations!AO26)</f>
        <v/>
      </c>
      <c r="CT26" s="443" t="str">
        <f>IF(A26=FALSE,"",IF(CQ26="N/A",0,IF(INDEX(LISTES!$F$105:$F$109,MATCH(CQ26,LISTES!$C$105:$C$109,0))="FIX",IF(INDEX(LISTES!$E$105:$E$109,MATCH(CQ26,LISTES!$C$105:$C$109,0))=12,CR26/12*L26,CR26/365*M26),CS26*EQ26)))</f>
        <v/>
      </c>
      <c r="CU26" s="434" t="str">
        <f>IF(A26=FALSE,"",(CJ26+CK26)*Cotations!AP26)</f>
        <v/>
      </c>
      <c r="CV26" s="434" t="str">
        <f>IF(A26=FALSE,"",(CJ26+CK26)*Cotations!AQ26)</f>
        <v/>
      </c>
      <c r="DA26" s="1253" t="str">
        <f>IF(A26=FALSE,"",IF(LISTES!$A$17=1,Cotations!AV26,Cotations!AW26))</f>
        <v/>
      </c>
      <c r="DB26" s="1271" t="str">
        <f t="shared" si="252"/>
        <v/>
      </c>
      <c r="DC26" s="1270" t="str">
        <f t="shared" si="253"/>
        <v/>
      </c>
      <c r="DD26" s="1270" t="str">
        <f t="shared" si="254"/>
        <v/>
      </c>
      <c r="DE26" s="1270" t="str">
        <f t="shared" si="255"/>
        <v/>
      </c>
      <c r="DF26" s="1270" t="str">
        <f t="shared" si="256"/>
        <v/>
      </c>
      <c r="DG26" s="1270" t="str">
        <f t="shared" si="257"/>
        <v/>
      </c>
      <c r="DH26" s="1270" t="str">
        <f t="shared" si="258"/>
        <v/>
      </c>
      <c r="DI26" s="1271" t="str">
        <f t="shared" si="259"/>
        <v/>
      </c>
      <c r="DJ26" s="286" t="str">
        <f t="shared" si="260"/>
        <v/>
      </c>
      <c r="DK26" s="286" t="str">
        <f t="shared" si="261"/>
        <v/>
      </c>
      <c r="DL26" s="1264" t="str">
        <f t="shared" si="262"/>
        <v/>
      </c>
      <c r="DM26" s="1264" t="str">
        <f t="shared" si="263"/>
        <v/>
      </c>
      <c r="DN26" s="1264" t="str">
        <f t="shared" si="264"/>
        <v/>
      </c>
      <c r="DO26" s="1264" t="str">
        <f t="shared" si="265"/>
        <v/>
      </c>
      <c r="DP26" s="323" t="str">
        <f t="shared" si="132"/>
        <v/>
      </c>
      <c r="DQ26" s="759" t="str">
        <f>IF(A26=FALSE,"",Cotations!BW26)</f>
        <v/>
      </c>
      <c r="DR26" s="759" t="str">
        <f>IF(A26=FALSE,"",Cotations!BX26)</f>
        <v/>
      </c>
      <c r="DS26" s="538" t="str">
        <f>IF(A26=FALSE,"",Cotations!BY26)</f>
        <v/>
      </c>
      <c r="DT26" s="830" t="str">
        <f>IF(A26=FALSE,"",IF(DQ26="N/A",0,IF(INDEX(LISTES!$F$105:$F$109,MATCH(DQ26,LISTES!$C$105:$C$109,0))="FIX",IF(INDEX(LISTES!$E$105:$E$109,MATCH(DQ26,LISTES!$C$105:$C$109,0))=12,DR26/12*L26,DR26/365*M26),DS26*(DN26+DO26))))</f>
        <v/>
      </c>
      <c r="DU26" s="286" t="str">
        <f>IF(A26=FALSE,"",DJ26*Cotations!BZ26)</f>
        <v/>
      </c>
      <c r="DV26" s="286" t="str">
        <f>IF(A26=FALSE,"",DJ26*Cotations!CA26)</f>
        <v/>
      </c>
      <c r="EA26" s="432" t="str">
        <f>IF(A26=FALSE,"",Cotations!AT26)</f>
        <v/>
      </c>
      <c r="EB26" s="1234" t="str">
        <f>IF(A26=FALSE,"",YEAR(Detail!F26)&amp;Detail!AG26&amp;Detail!AD26&amp;"-"&amp;Detail!$AD$13&amp;Detail!AE26)</f>
        <v/>
      </c>
      <c r="EC26" s="434" t="str">
        <f>IF(A26=FALSE,"",IF(LISTES!$A$17=1,EB26,INDEX(colMOD1,MATCH(Cotations!AH26,colchoice,0))))</f>
        <v/>
      </c>
      <c r="ED26" s="277" t="str">
        <f t="shared" si="133"/>
        <v/>
      </c>
      <c r="EE26" s="277" t="str">
        <f t="shared" si="134"/>
        <v/>
      </c>
      <c r="EF26" s="277"/>
      <c r="EG26" s="277"/>
      <c r="EH26" s="277" t="str">
        <f t="shared" si="135"/>
        <v/>
      </c>
      <c r="EI26" s="1104" t="str">
        <f t="shared" si="136"/>
        <v/>
      </c>
      <c r="EJ26" s="1104" t="str">
        <f t="shared" si="137"/>
        <v/>
      </c>
      <c r="EK26" s="443" t="str">
        <f>IF(A26=FALSE,"",IF(Cotations!AF26="monthly",EH26/12*L26,EH26/365*M26))</f>
        <v/>
      </c>
      <c r="EL26" s="1103" t="str">
        <f>IF(A26=FALSE,"",IF(Cotations!AF26="monthly",EJ26/12*L26,EJ26/365*M26))</f>
        <v/>
      </c>
      <c r="EM26" s="433" t="str">
        <f>IF(A26=FALSE,"",IF(Cotations!AI26="","",Cotations!AI26))</f>
        <v/>
      </c>
      <c r="EN26" s="277" t="str">
        <f t="shared" si="266"/>
        <v/>
      </c>
      <c r="EO26" s="277" t="str">
        <f t="shared" si="138"/>
        <v/>
      </c>
      <c r="EP26" s="1104" t="str">
        <f t="shared" si="139"/>
        <v/>
      </c>
      <c r="EQ26" s="277" t="str">
        <f t="shared" si="267"/>
        <v/>
      </c>
      <c r="ER26" s="759" t="str">
        <f>IF(A26=FALSE,"",((EH26*TAXE)-(EH26*TAXE*EM26)+EI26)+IF(CQ26="N/A",0,IF(INDEX(LISTES!$F$105:$F$109,MATCH(CQ26,LISTES!$C$105:$C$109,0))="FIX",CR26,CS26*EQ26)))</f>
        <v/>
      </c>
      <c r="ET26" s="422"/>
      <c r="EU26" s="422"/>
      <c r="EV26" s="422"/>
      <c r="EW26" s="422"/>
      <c r="EX26" s="422"/>
      <c r="EY26" s="422"/>
      <c r="EZ26" s="422"/>
      <c r="FA26" s="802" t="str">
        <f>IF(A26=FALSE,"",Cotations!AT26)</f>
        <v/>
      </c>
      <c r="FB26" s="1235" t="str">
        <f>IF(A26=FALSE,"",IF(Detail!AL26="","N/A",YEAR(Detail!F26)&amp;Detail!AO26&amp;Detail!AL26&amp;"-"&amp;Detail!$AL$13&amp;Detail!AM26))</f>
        <v/>
      </c>
      <c r="FC26" s="434" t="str">
        <f>IF(A26=FALSE,"",IF(LISTES!$A$17=1,FB26,INDEX(colMOD2,MATCH(Cotations!AH26,colchoice,0))))</f>
        <v/>
      </c>
      <c r="FD26" s="277" t="str">
        <f t="shared" si="140"/>
        <v/>
      </c>
      <c r="FE26" s="277" t="str">
        <f>IF(A26=FALSE,"",IF(Detail!AM26="","",Detail!AM26))</f>
        <v/>
      </c>
      <c r="FF26" s="277"/>
      <c r="FG26" s="277"/>
      <c r="FH26" s="277" t="str">
        <f t="shared" si="141"/>
        <v/>
      </c>
      <c r="FI26" s="1104"/>
      <c r="FJ26" s="1104"/>
      <c r="FK26" s="443" t="str">
        <f>IF(A26=FALSE,"",IF(Cotations!AF26="monthly",FH26/12*L26,FH26/365*M26))</f>
        <v/>
      </c>
      <c r="FL26" s="1103" t="str">
        <f>IF(A26=FALSE,"",IF(Cotations!AF26="monthly",FJ26/12*L26,FJ26/365*M26))</f>
        <v/>
      </c>
      <c r="FM26" s="433" t="str">
        <f>IF(A26=FALSE,"",IF(Cotations!AJ26="","",Cotations!AJ26))</f>
        <v/>
      </c>
      <c r="FN26" s="277" t="str">
        <f t="shared" si="268"/>
        <v/>
      </c>
      <c r="FO26" s="277" t="str">
        <f t="shared" si="269"/>
        <v/>
      </c>
      <c r="FP26" s="1104"/>
      <c r="FQ26" s="277" t="str">
        <f t="shared" si="270"/>
        <v/>
      </c>
      <c r="FR26" s="759" t="str">
        <f>IF(A26=FALSE,"",((FH26*TAXE)-(FH26*TAXE*FM26))+IF(#REF!="N/A",0,IF(INDEX(LISTES!$F$105:$F$109,MATCH(#REF!,LISTES!$C$105:$C$109,0))="FIX",#REF!,#REF!*FQ26)))</f>
        <v/>
      </c>
      <c r="FS26" s="422"/>
      <c r="FT26" s="422"/>
      <c r="FU26" s="422"/>
      <c r="FV26" s="422"/>
      <c r="FW26" s="422"/>
      <c r="FX26" s="422"/>
      <c r="FY26" s="422"/>
      <c r="FZ26" s="422"/>
      <c r="GA26" s="432" t="str">
        <f t="shared" si="145"/>
        <v/>
      </c>
      <c r="GB26" s="1234" t="str">
        <f>IF(A26=FALSE,"",IF(Detail!DF26="","N/A",YEAR(Detail!F26)&amp;Detail!DI26&amp;Detail!DF26&amp;"-"&amp;Detail!$DF$13))</f>
        <v/>
      </c>
      <c r="GC26" s="434" t="str">
        <f>IF(A26=FALSE,"",IF(LISTES!$A$17=1,GB26,INDEX(colMOD3,MATCH(Cotations!AH26,colchoice,0))))</f>
        <v/>
      </c>
      <c r="GD26" s="277" t="str">
        <f t="shared" si="146"/>
        <v/>
      </c>
      <c r="GE26" s="277" t="str">
        <f t="shared" si="147"/>
        <v/>
      </c>
      <c r="GF26" s="277"/>
      <c r="GG26" s="277"/>
      <c r="GH26" s="277" t="str">
        <f t="shared" si="271"/>
        <v/>
      </c>
      <c r="GI26" s="1104" t="str">
        <f t="shared" si="272"/>
        <v/>
      </c>
      <c r="GJ26" s="1104" t="str">
        <f t="shared" si="273"/>
        <v/>
      </c>
      <c r="GK26" s="443" t="str">
        <f>IF(A26=FALSE,"",IF(Cotations!AF26="monthly",GH26/12*L26,GH26/365*M26))</f>
        <v/>
      </c>
      <c r="GL26" s="1103" t="str">
        <f>IF(A26=FALSE,"",IF(Cotations!AF26="monthly",GJ26/12*L26,GJ26/365*M26))</f>
        <v/>
      </c>
      <c r="GM26" s="433" t="str">
        <f>IF(A26=FALSE,"",IF(Cotations!AK26="","",Cotations!AK26))</f>
        <v/>
      </c>
      <c r="GN26" s="277" t="str">
        <f t="shared" si="274"/>
        <v/>
      </c>
      <c r="GO26" s="277" t="str">
        <f t="shared" si="275"/>
        <v/>
      </c>
      <c r="GP26" s="1104" t="str">
        <f t="shared" si="276"/>
        <v/>
      </c>
      <c r="GQ26" s="277" t="str">
        <f t="shared" si="277"/>
        <v/>
      </c>
      <c r="GR26" s="759" t="str">
        <f>IF(A26=FALSE,"",((GH26*TAXE)-(GH26*TAXE*GM26)+GI26)+IF(CQ26="N/A",0,IF(INDEX(LISTES!$F$105:$F$109,MATCH(CQ26,LISTES!$C$105:$C$109,0))="FIX",CR26,CS26*GQ26)))</f>
        <v/>
      </c>
      <c r="GS26" s="412"/>
      <c r="GT26" s="412"/>
      <c r="GU26" s="412"/>
      <c r="GV26" s="412"/>
      <c r="GW26" s="412"/>
      <c r="GX26" s="412"/>
      <c r="GY26" s="412"/>
      <c r="GZ26" s="412"/>
      <c r="HA26" s="432" t="str">
        <f t="shared" si="155"/>
        <v/>
      </c>
      <c r="HB26" s="1234" t="str">
        <f>IF(A26=FALSE,"",IF(Detail!DF26="","N/A",YEAR(Detail!F26)&amp;Detail!DI26&amp;Detail!DF26&amp;"-"&amp;Detail!$DF$13))</f>
        <v/>
      </c>
      <c r="HC26" s="434" t="str">
        <f>IF(A26=FALSE,"",IF(LISTES!$A$17=1,HB26,INDEX(colMOD4,MATCH(Cotations!AH26,colchoice,0))))</f>
        <v/>
      </c>
      <c r="HD26" s="277" t="str">
        <f t="shared" si="278"/>
        <v/>
      </c>
      <c r="HE26" s="277" t="str">
        <f t="shared" si="279"/>
        <v/>
      </c>
      <c r="HF26" s="277"/>
      <c r="HG26" s="277"/>
      <c r="HH26" s="277" t="str">
        <f t="shared" si="280"/>
        <v/>
      </c>
      <c r="HI26" s="1104" t="str">
        <f t="shared" si="281"/>
        <v/>
      </c>
      <c r="HJ26" s="1104" t="str">
        <f t="shared" si="282"/>
        <v/>
      </c>
      <c r="HK26" s="443" t="str">
        <f>IF(A26=FALSE,"",IF(Cotations!AF26="monthly",HH26/12*L26,HH26/365*M26))</f>
        <v/>
      </c>
      <c r="HL26" s="1103" t="str">
        <f>IF(A26=FALSE,"",IF(Cotations!AF26="monthly",HJ26/12*L26,HJ26/365*M26))</f>
        <v/>
      </c>
      <c r="HM26" s="433" t="str">
        <f>IF(A26=FALSE,"",IF(Cotations!AL26="","",Cotations!AL26))</f>
        <v/>
      </c>
      <c r="HN26" s="277" t="str">
        <f t="shared" si="283"/>
        <v/>
      </c>
      <c r="HO26" s="277" t="str">
        <f t="shared" si="284"/>
        <v/>
      </c>
      <c r="HP26" s="1104" t="str">
        <f t="shared" si="285"/>
        <v/>
      </c>
      <c r="HQ26" s="277" t="str">
        <f t="shared" si="286"/>
        <v/>
      </c>
      <c r="HR26" s="759" t="str">
        <f>IF(A26=FALSE,"",((HH26*TAXE)-(HH26*TAXE*HM26)+HI26)+IF(CQ26="N/A",0,IF(INDEX(LISTES!$F$105:$F$109,MATCH(CQ26,LISTES!$C$105:$C$109,0))="FIX",CR26,CS26*HQ26)))</f>
        <v/>
      </c>
      <c r="HS26" s="412"/>
      <c r="HT26" s="412"/>
      <c r="HU26" s="412"/>
      <c r="HV26" s="412"/>
      <c r="HW26" s="412"/>
      <c r="HX26" s="412"/>
      <c r="HY26" s="412"/>
      <c r="HZ26" s="1262"/>
      <c r="IA26" s="802" t="str">
        <f>IF(A26=FALSE,"",Cotations!AT26)</f>
        <v/>
      </c>
      <c r="IB26" s="1253" t="str">
        <f>IF(A26=FALSE,"",IF(Detail!AT26="","N/A",YEAR(Detail!F26)&amp;Detail!AW26&amp;Detail!AT26&amp;"-"&amp;Detail!$AT$13&amp;Detail!AU26))</f>
        <v/>
      </c>
      <c r="IC26" s="431" t="str">
        <f>IF(A26=FALSE,"",IF(LISTES!$A$17=1,IB26,INDEX(colMOD1,MATCH(DA26,colchoice,0))))</f>
        <v/>
      </c>
      <c r="ID26" s="759" t="str">
        <f t="shared" si="287"/>
        <v/>
      </c>
      <c r="IE26" s="292" t="str">
        <f>IF(A26=FALSE,"",IF(LISTES!$A$17=1,Detail!AU26,INDEX(Rates!$M$1:$M$270,MATCH(IC26,colMOD1,0))))</f>
        <v/>
      </c>
      <c r="IF26" s="409" t="str">
        <f t="shared" si="165"/>
        <v/>
      </c>
      <c r="IG26" s="430" t="str">
        <f>IF(A26=FALSE,"",IF(IA26="POEA",Cotations!AY26,IF(IA26="FIXE",Cotations!AZ26,IF(Cotations!BA26*Y26&lt;50000,Z26,Cotations!BA26*Y26))))</f>
        <v/>
      </c>
      <c r="IH26" s="292" t="str">
        <f t="shared" si="166"/>
        <v/>
      </c>
      <c r="II26" s="292" t="str">
        <f>IF(A26=FALSE,"",IF(Cotations!AU26="monthly",IH26/12*L26,IH26/365*M26))</f>
        <v/>
      </c>
      <c r="IJ26" s="405" t="str">
        <f>IF(A26=FALSE,"",IF(Cotations!BB26="","",Cotations!BB26))</f>
        <v/>
      </c>
      <c r="IK26" s="292" t="str">
        <f t="shared" si="167"/>
        <v/>
      </c>
      <c r="IL26" s="292" t="str">
        <f t="shared" si="168"/>
        <v/>
      </c>
      <c r="IM26" s="759" t="str">
        <f t="shared" si="169"/>
        <v/>
      </c>
      <c r="IN26" s="759" t="str">
        <f>IF(A26=FALSE,"",((IH26*TAXE)-(IH26*TAXE*IJ26))+IF(DQ26="N/A",0,IF(INDEX(LISTES!$F$105:$F$109,MATCH(DQ26,LISTES!$C$105:$C$109,0))="FIX",DR26,DS26*IM26)))</f>
        <v/>
      </c>
      <c r="JA26" s="432" t="str">
        <f>IF(A26=FALSE,"",Cotations!AT26)</f>
        <v/>
      </c>
      <c r="JB26" s="1234" t="str">
        <f>IF(A26=FALSE,"",IF(Detail!BB26="","N/A",YEAR(Detail!F26)&amp;Detail!BE26&amp;Detail!BB26&amp;"-"&amp;Detail!$BB$13&amp;Detail!BC26))</f>
        <v/>
      </c>
      <c r="JC26" s="431" t="str">
        <f>IF(A26=FALSE,"",IF(LISTES!$A$17=1,JB26,INDEX(colMOD2,MATCH(DA26,colchoice,0))))</f>
        <v/>
      </c>
      <c r="JD26" s="759" t="str">
        <f t="shared" si="170"/>
        <v/>
      </c>
      <c r="JE26" s="292"/>
      <c r="JF26" s="409" t="str">
        <f t="shared" si="171"/>
        <v/>
      </c>
      <c r="JG26" s="810" t="str">
        <f>IF(A26=FALSE,"",IF(JA26="POEA",Cotations!BC26,IF(JA26="FIXE",Cotations!BD26,IF(Cotations!BE26*Y26&lt;50000,Z26,Cotations!BE26*Y26))))</f>
        <v/>
      </c>
      <c r="JH26" s="292" t="str">
        <f t="shared" si="172"/>
        <v/>
      </c>
      <c r="JI26" s="446" t="str">
        <f>IF(A26=FALSE,"",IF(Cotations!AU26="monthly",JH26/12*L26,JH26/365*M26))</f>
        <v/>
      </c>
      <c r="JJ26" s="405" t="str">
        <f>IF(A26=FALSE,"",IF(Cotations!BF26="","",Cotations!BF26))</f>
        <v/>
      </c>
      <c r="JK26" s="292" t="str">
        <f t="shared" si="173"/>
        <v/>
      </c>
      <c r="JL26" s="292" t="str">
        <f t="shared" si="174"/>
        <v/>
      </c>
      <c r="JM26" s="759" t="str">
        <f t="shared" si="175"/>
        <v/>
      </c>
      <c r="JN26" s="759" t="str">
        <f>IF(A26=FALSE,"",((JH26*TAXE)-(JH26*TAXE*JJ26))+IF(#REF!="N/A",0,IF(INDEX(LISTES!$F$105:$F$109,MATCH(#REF!,LISTES!$C$105:$C$109,0))="FIX",#REF!,#REF!*JM26)))</f>
        <v/>
      </c>
      <c r="KA26" s="802" t="str">
        <f>IF(A26=FALSE,"",Cotations!AT26)</f>
        <v/>
      </c>
      <c r="KB26" s="1234" t="str">
        <f>IF(A26=FALSE,"",IF(Detail!BJ26="","N/A",YEAR(Detail!F26)&amp;Detail!BM26&amp;Detail!BJ26&amp;"-"&amp;Detail!$BJ$13&amp;Detail!BK26))</f>
        <v/>
      </c>
      <c r="KC26" s="431" t="str">
        <f>IF(A26=FALSE,"",IF(LISTES!$A$17=1,KB26,INDEX(colMOD3,MATCH(DA26,colchoice,0))))</f>
        <v/>
      </c>
      <c r="KD26" s="759" t="str">
        <f t="shared" si="176"/>
        <v/>
      </c>
      <c r="KE26" s="292"/>
      <c r="KF26" s="409" t="str">
        <f t="shared" si="177"/>
        <v/>
      </c>
      <c r="KG26" s="810" t="str">
        <f>IF(A26=FALSE,"",IF(KA26="POEA",Cotations!BG26,IF(KA26="FIXE",Cotations!BH26,IF(Cotations!BI26*Y26&lt;50000,Z26,Cotations!BI26*Y26))))</f>
        <v/>
      </c>
      <c r="KH26" s="292" t="str">
        <f t="shared" si="178"/>
        <v/>
      </c>
      <c r="KI26" s="446" t="str">
        <f>IF(A26=FALSE,"",IF(Cotations!AU26="monthly",KH26/12*L26,KH26/365*M26))</f>
        <v/>
      </c>
      <c r="KJ26" s="405" t="str">
        <f>IF(A26=FALSE,"",IF(Cotations!BJ26="","",Cotations!BJ26))</f>
        <v/>
      </c>
      <c r="KK26" s="292" t="str">
        <f t="shared" si="179"/>
        <v/>
      </c>
      <c r="KL26" s="292" t="str">
        <f t="shared" si="180"/>
        <v/>
      </c>
      <c r="KM26" s="759" t="str">
        <f t="shared" si="181"/>
        <v/>
      </c>
      <c r="KN26" s="759" t="str">
        <f>IF(A26=FALSE,"",((KH26*TAXE)-(KH26*TAXE*KJ26))+IF(#REF!="N/A",0,IF(INDEX(LISTES!$F$105:$F$109,MATCH(#REF!,LISTES!$C$105:$C$109,0))="FIX",#REF!,#REF!*KM26)))</f>
        <v/>
      </c>
      <c r="LA26" s="432" t="str">
        <f>IF(A26=FALSE,"",Cotations!AT26)</f>
        <v/>
      </c>
      <c r="LB26" s="1234" t="str">
        <f>IF(A26=FALSE,"",IF(Detail!BR26="","N/A",YEAR(Detail!F26)&amp;Detail!BU26&amp;Detail!BR26&amp;"-"&amp;Detail!$BR$13&amp;Detail!BS26))</f>
        <v/>
      </c>
      <c r="LC26" s="431" t="str">
        <f>IF(A26=FALSE,"",IF(LISTES!$A$17=1,LB26,INDEX(colMOD4,MATCH(DA26,colchoice,0))))</f>
        <v/>
      </c>
      <c r="LD26" s="759" t="str">
        <f t="shared" si="182"/>
        <v/>
      </c>
      <c r="LE26" s="292"/>
      <c r="LF26" s="409" t="str">
        <f t="shared" si="183"/>
        <v/>
      </c>
      <c r="LG26" s="810" t="str">
        <f>IF(A26=FALSE,"",IF(LA26="POEA",Cotations!BK26,IF(LA26="FIXE",Cotations!BL26,IF(Cotations!BM26*Y26&lt;50000,Z26,Cotations!BM26*Y26))))</f>
        <v/>
      </c>
      <c r="LH26" s="292" t="str">
        <f t="shared" si="184"/>
        <v/>
      </c>
      <c r="LI26" s="446" t="str">
        <f>IF(A26=FALSE,"",IF(Cotations!AU26="monthly",LH26/12*L26,LH26/365*M26))</f>
        <v/>
      </c>
      <c r="LJ26" s="405" t="str">
        <f>IF(A26=FALSE,"",IF(Cotations!BN26="","",Cotations!BN26))</f>
        <v/>
      </c>
      <c r="LK26" s="292" t="str">
        <f t="shared" si="185"/>
        <v/>
      </c>
      <c r="LL26" s="292" t="str">
        <f t="shared" si="186"/>
        <v/>
      </c>
      <c r="LM26" s="759" t="str">
        <f t="shared" si="187"/>
        <v/>
      </c>
      <c r="LN26" s="759" t="str">
        <f>IF(A26=FALSE,"",((LH26*TAXE)-(LH26*TAXE*LJ26))+IF(#REF!="N/A",0,IF(INDEX(LISTES!$F$105:$F$109,MATCH(#REF!,LISTES!$C$105:$C$109,0))="FIX",#REF!,#REF!*LM26)))</f>
        <v/>
      </c>
      <c r="MA26" s="802" t="str">
        <f t="shared" si="188"/>
        <v/>
      </c>
      <c r="MB26" s="1234" t="str">
        <f>IF(A26=FALSE,"",IF(Detail!BZ26="","N/A",YEAR(Detail!F26)&amp;Detail!CC26&amp;Detail!BZ26&amp;"-"&amp;Detail!$BZ$13&amp;" (100%/"&amp;Detail!CD26&amp;"/"&amp;Detail!CE26&amp;")"))</f>
        <v/>
      </c>
      <c r="MC26" s="431" t="str">
        <f>IF(A26=FALSE,"",IF(LISTES!$A$17=1,MB26,INDEX(colMOD5,MATCH(DA26,colchoice,0))))</f>
        <v/>
      </c>
      <c r="MD26" s="759" t="str">
        <f t="shared" si="189"/>
        <v/>
      </c>
      <c r="ME26" s="292"/>
      <c r="MF26" s="409" t="str">
        <f t="shared" si="190"/>
        <v/>
      </c>
      <c r="MG26" s="810" t="str">
        <f>IF(A26=FALSE,"",Cotations!BQ26*AA26)</f>
        <v/>
      </c>
      <c r="MH26" s="292" t="str">
        <f t="shared" si="191"/>
        <v/>
      </c>
      <c r="MI26" s="446" t="str">
        <f>IF(A26=FALSE,"",IF(Cotations!AU26="monthly",MH26/12*L26,MH26/365*M26))</f>
        <v/>
      </c>
      <c r="MJ26" s="405" t="str">
        <f>IF(A26=FALSE,"",IF(Cotations!BR26="","",Cotations!BR26))</f>
        <v/>
      </c>
      <c r="MK26" s="292" t="str">
        <f t="shared" si="192"/>
        <v/>
      </c>
      <c r="ML26" s="292" t="str">
        <f t="shared" si="193"/>
        <v/>
      </c>
      <c r="MM26" s="759" t="str">
        <f t="shared" si="194"/>
        <v/>
      </c>
      <c r="MN26" s="759" t="str">
        <f>IF(A26=FALSE,"",((MH26*TAXE)-(MH26*TAXE*MJ26))+IF(#REF!="N/A",0,IF(INDEX(LISTES!$F$105:$F$109,MATCH(#REF!,LISTES!$C$105:$C$109,0))="FIX",#REF!,#REF!*MM26)))</f>
        <v/>
      </c>
      <c r="NA26" s="432" t="str">
        <f t="shared" si="195"/>
        <v/>
      </c>
      <c r="NB26" s="1234" t="str">
        <f>IF(A26=FALSE,"",IF(Detail!CH26="","N/A",YEAR(Detail!F26)&amp;Detail!CK26&amp;Detail!CH26&amp;"-"&amp;Detail!$CH$13&amp;" (100%/"&amp;Detail!CL26&amp;"/"&amp;Detail!CM26&amp;")"))</f>
        <v/>
      </c>
      <c r="NC26" s="431" t="str">
        <f>IF(A26=FALSE,"",IF(LISTES!$A$17=1,NB26,INDEX(colMOD6,MATCH(DA26,colchoice,0))))</f>
        <v/>
      </c>
      <c r="ND26" s="759" t="str">
        <f t="shared" si="196"/>
        <v/>
      </c>
      <c r="NE26" s="292"/>
      <c r="NF26" s="409" t="str">
        <f t="shared" si="197"/>
        <v/>
      </c>
      <c r="NG26" s="810" t="str">
        <f>IF(A26=FALSE,"",Cotations!BU26*AA26)</f>
        <v/>
      </c>
      <c r="NH26" s="292" t="str">
        <f t="shared" si="198"/>
        <v/>
      </c>
      <c r="NI26" s="446" t="str">
        <f>IF(A26=FALSE,"",IF(Cotations!AU26="monthly",NH26/12*L26,NH26/365*M26))</f>
        <v/>
      </c>
      <c r="NJ26" s="405" t="str">
        <f>IF(A26=FALSE,"",IF(Cotations!BV26="","",Cotations!BV26))</f>
        <v/>
      </c>
      <c r="NK26" s="292" t="str">
        <f t="shared" si="199"/>
        <v/>
      </c>
      <c r="NL26" s="292" t="str">
        <f t="shared" si="200"/>
        <v/>
      </c>
      <c r="NM26" s="759" t="str">
        <f t="shared" si="201"/>
        <v/>
      </c>
      <c r="NN26" s="759" t="str">
        <f>IF(A26=FALSE,"",((NH26*TAXE)-(NH26*TAXE*NJ26))+IF(#REF!="N/A",0,IF(INDEX(LISTES!$F$105:$F$109,MATCH(#REF!,LISTES!$C$105:$C$109,0))="FIX",#REF!,#REF!*NM26)))</f>
        <v/>
      </c>
      <c r="NZ26" s="1281" t="str">
        <f>IF(A26=FALSE,"",IF(Detail!CP26="","N/A",YEAR(Detail!F26)&amp;Detail!CS26&amp;Detail!CP26&amp;"-"&amp;Detail!CQ26))</f>
        <v/>
      </c>
      <c r="OA26" s="432" t="str">
        <f>IF(A26=FALSE,"",Cotations!CF26)</f>
        <v/>
      </c>
      <c r="OB26" s="1282" t="str">
        <f>IF(A26=FALSE,"",IF(Detail!CP26="","N/A",YEAR(Detail!F26)&amp;Detail!CS26&amp;Detail!CP26&amp;"-"&amp;Detail!$CP$13&amp;Detail!CQ26))</f>
        <v/>
      </c>
      <c r="OC26" s="1283" t="str">
        <f>IF(A26=FALSE,"",IF(LISTES!$A$17=1,OB26,INDEX(colMOD1,MATCH(Cotations!CE26,colchoice,0))))</f>
        <v/>
      </c>
      <c r="OD26" s="759" t="str">
        <f t="shared" si="202"/>
        <v/>
      </c>
      <c r="OE26" s="292" t="str">
        <f>IF(A26=FALSE,"",Detail!CQ26)</f>
        <v/>
      </c>
      <c r="OF26" s="409" t="str">
        <f t="shared" si="203"/>
        <v/>
      </c>
      <c r="OG26" s="430" t="str">
        <f>IF(A26=FALSE,"",IF(OA26="FIXE",Cotations!CM26,Cotations!CN26*AA26))</f>
        <v/>
      </c>
      <c r="OH26" s="292" t="str">
        <f t="shared" si="288"/>
        <v/>
      </c>
      <c r="OI26" s="446" t="str">
        <f>IF(A26=FALSE,"",IF(Cotations!CF26="monthly",OH26/12*L26,OH26/365*M26))</f>
        <v/>
      </c>
      <c r="OJ26" s="429" t="str">
        <f>IF(A26=FALSE,"",IF(Cotations!CO26="","",Cotations!CO26))</f>
        <v/>
      </c>
      <c r="OK26" s="292" t="str">
        <f t="shared" si="289"/>
        <v/>
      </c>
      <c r="OL26" s="292" t="str">
        <f t="shared" si="290"/>
        <v/>
      </c>
      <c r="OM26" s="759" t="str">
        <f t="shared" si="207"/>
        <v/>
      </c>
      <c r="ON26" s="759" t="str">
        <f>IF(A26=FALSE,"",((OH26*(1+TAXE)-(OH26*(1+TAXE)*OJ26))+IF(#REF!="N/A",0,IF(INDEX(LISTES!$F$105:$F$109,MATCH(#REF!,LISTES!$C$105:$C$109,0))="FIX",#REF!,#REF!*OM26))))</f>
        <v/>
      </c>
      <c r="PA26" s="432" t="str">
        <f>IF(A26=FALSE,"",Cotations!CF26)</f>
        <v/>
      </c>
      <c r="PB26" s="1282" t="str">
        <f>IF(A26=FALSE,"",IF(Detail!CX26="","N/A",YEAR(Detail!F26)&amp;Detail!DA26&amp;Detail!CX26&amp;"-"&amp;Detail!$CX$13&amp;Detail!CY26))</f>
        <v/>
      </c>
      <c r="PC26" s="1283" t="str">
        <f>IF(A26=FALSE,"",IF(LISTES!$A$17=1,PB26,INDEX(colMOD3,MATCH(Cotations!CE26,colchoice,0))))</f>
        <v/>
      </c>
      <c r="PD26" s="759" t="str">
        <f t="shared" si="208"/>
        <v/>
      </c>
      <c r="PE26" s="292" t="str">
        <f>IF(A26=FALSE,"",IF(Detail!CY26="","",Detail!CY26))</f>
        <v/>
      </c>
      <c r="PF26" s="409" t="str">
        <f t="shared" si="291"/>
        <v/>
      </c>
      <c r="PG26" s="430" t="str">
        <f>IF(A26=FALSE,"",IF(PA26="FIXE",Cotations!CP26,Cotations!CQ26*AA26))</f>
        <v/>
      </c>
      <c r="PH26" s="292" t="str">
        <f t="shared" si="292"/>
        <v/>
      </c>
      <c r="PI26" s="446" t="str">
        <f>IF(A26=FALSE,"",IF(Cotations!CG26="monthly",PH26/12*L26,PH26/365*M26))</f>
        <v/>
      </c>
      <c r="PJ26" s="429" t="str">
        <f>IF(A26=FALSE,"",IF(Cotations!DA26="",0,Cotations!DA26))</f>
        <v/>
      </c>
      <c r="PK26" s="292" t="str">
        <f t="shared" si="293"/>
        <v/>
      </c>
      <c r="PL26" s="292" t="str">
        <f t="shared" si="294"/>
        <v/>
      </c>
      <c r="PM26" s="759" t="str">
        <f t="shared" si="211"/>
        <v/>
      </c>
      <c r="PN26" s="759" t="str">
        <f>IF(A26=FALSE,"",((PH26*(1+TAXE)-(PH26*(1+TAXE)*PJ26))+IF(#REF!="N/A",0,IF(INDEX(LISTES!$F$105:$F$109,MATCH(#REF!,LISTES!$C$105:$C$109,0))="FIX",#REF!,#REF!*PM26))))</f>
        <v/>
      </c>
    </row>
    <row r="27" spans="1:430" s="1127" customFormat="1">
      <c r="A27" s="1129" t="b">
        <f t="shared" si="111"/>
        <v>0</v>
      </c>
      <c r="B27" s="1129" t="b">
        <f>IF(NAMES!$B$9=TRUE,TRUE,FALSE)</f>
        <v>1</v>
      </c>
      <c r="C27" s="1129" t="b">
        <f t="shared" si="212"/>
        <v>0</v>
      </c>
      <c r="D27" s="1129" t="b">
        <f t="shared" si="213"/>
        <v>1</v>
      </c>
      <c r="E27" s="1129" t="b">
        <f>IF(Cotations!C27="","",Cotations!C27)</f>
        <v>0</v>
      </c>
      <c r="F27" s="1129" t="str">
        <f>IF(Cotations!AT27="","",Cotations!AT27)</f>
        <v>PROP</v>
      </c>
      <c r="G27" s="1129" t="str">
        <f>IF(Cotations!D27="","",Cotations!D27)</f>
        <v>2016-2017!</v>
      </c>
      <c r="H27" s="1129" t="str">
        <f>IF(Cotations!E27="","",Cotations!E27)</f>
        <v>SINGLE</v>
      </c>
      <c r="I27" s="1129" t="str">
        <f>IF(Cotations!F27="","",Cotations!F27)</f>
        <v/>
      </c>
      <c r="J27" s="1129" t="str">
        <f>IF(Cotations!G27="","",Cotations!G27)</f>
        <v/>
      </c>
      <c r="K27" s="1129" t="str">
        <f>IF(Cotations!H27="","",Cotations!H27)</f>
        <v/>
      </c>
      <c r="L27" s="1129" t="str">
        <f>IF(A27=FALSE,"",IF(Cotations!M27="","",Cotations!M27))</f>
        <v/>
      </c>
      <c r="M27" s="1129" t="str">
        <f>IF(Cotations!O27="","",Cotations!O27)</f>
        <v/>
      </c>
      <c r="N27" s="1097">
        <f>IF(NAMES!$B$10=TRUE,Cotations!I27,Cotations!K27)</f>
        <v>42675</v>
      </c>
      <c r="O27" s="1097">
        <f>IF(NAMES!$B$10=TRUE,Cotations!J27,Cotations!L27)</f>
        <v>42749</v>
      </c>
      <c r="P27" s="1097" t="str">
        <f t="shared" si="214"/>
        <v>novembre</v>
      </c>
      <c r="Q27" s="1097" t="str">
        <f>IF(A27=FALSE,"",IF(Crewlist!Y27="","",Crewlist!Y27))</f>
        <v/>
      </c>
      <c r="R27" s="618" t="str">
        <f>IF(Cotations!T27="","",Cotations!T27)</f>
        <v/>
      </c>
      <c r="S27" s="1097" t="str">
        <f t="shared" si="215"/>
        <v/>
      </c>
      <c r="T27" s="759" t="str">
        <f>IF(A27=FALSE,"",VLOOKUP($U$15:$U$120,Currency!$A$2:$D$10,4,0)*Crewlist!N27)</f>
        <v/>
      </c>
      <c r="U27" s="1097" t="str">
        <f>IF(A27=FALSE,"",IF(DP27=0,Crewlist!M27&amp;"/"&amp;CP27,Crewlist!M27&amp;"/"&amp;DP27))</f>
        <v/>
      </c>
      <c r="V27" s="759" t="str">
        <f>IF(A27=FALSE,"",VLOOKUP($U$15:$U$120,Currency!$A$2:$D$10,4,0)*Detail!Q27)</f>
        <v/>
      </c>
      <c r="W27" s="1097" t="str">
        <f>IF(A27=FALSE,"",IF(DP27=0,Detail!R27&amp;"/"&amp;CP27,Detail!R27&amp;"/"&amp;DP27))</f>
        <v/>
      </c>
      <c r="X27" s="759" t="str">
        <f>IF(A27=FALSE,"",IF(LISTES!$C$17="Crewlist",Calcul!T27,Calcul!V27))</f>
        <v/>
      </c>
      <c r="Y27" s="618" t="str">
        <f t="shared" si="216"/>
        <v/>
      </c>
      <c r="Z27" s="618" t="str">
        <f>IF(A27=FALSE,"",IF(X27=0,0,IF((Cotations!BA27*12*X27)&lt;50000,50000,(12*X27))))</f>
        <v/>
      </c>
      <c r="AA27" s="618" t="str">
        <f t="shared" si="217"/>
        <v/>
      </c>
      <c r="AB27" s="618" t="str">
        <f>IF(A27=FALSE,"",IF(Crewlist!O27=0,"",Crewlist!O27))</f>
        <v/>
      </c>
      <c r="AC27" s="618" t="str">
        <f>IF(I27="","",VLOOKUP($AB$15:$AB$120,Currency!$A$15:$B$34,2,0))</f>
        <v/>
      </c>
      <c r="AD27" s="618" t="str">
        <f t="shared" si="218"/>
        <v/>
      </c>
      <c r="AE27" s="618" t="str">
        <f t="shared" si="219"/>
        <v/>
      </c>
      <c r="AF27" s="618" t="str">
        <f t="shared" si="220"/>
        <v/>
      </c>
      <c r="AG27" s="618" t="str">
        <f t="shared" si="221"/>
        <v/>
      </c>
      <c r="AH27" s="1097" t="str">
        <f t="shared" si="112"/>
        <v/>
      </c>
      <c r="AI27" s="759" t="str">
        <f t="shared" si="222"/>
        <v/>
      </c>
      <c r="AJ27" s="1120" t="str">
        <f t="shared" si="223"/>
        <v/>
      </c>
      <c r="AK27" s="1120" t="str">
        <f t="shared" si="224"/>
        <v/>
      </c>
      <c r="AL27" s="236" t="str">
        <f t="shared" si="225"/>
        <v/>
      </c>
      <c r="AM27" s="236" t="str">
        <f t="shared" si="226"/>
        <v/>
      </c>
      <c r="AN27" s="1112" t="str">
        <f t="shared" si="227"/>
        <v/>
      </c>
      <c r="AO27" s="236" t="str">
        <f t="shared" si="228"/>
        <v/>
      </c>
      <c r="AP27" s="327" t="str">
        <f>IF(A27=FALSE,"",INDEX(Rates!$Q$1:$Q$278,MATCH(CA27,colchoice,0)))</f>
        <v/>
      </c>
      <c r="AQ27" s="236" t="str">
        <f t="shared" si="229"/>
        <v/>
      </c>
      <c r="AR27" s="236" t="str">
        <f t="shared" si="230"/>
        <v/>
      </c>
      <c r="AS27" s="236" t="str">
        <f t="shared" si="117"/>
        <v/>
      </c>
      <c r="AT27" s="236" t="str">
        <f t="shared" si="118"/>
        <v/>
      </c>
      <c r="AU27" s="236" t="str">
        <f t="shared" si="231"/>
        <v/>
      </c>
      <c r="AV27" s="236" t="str">
        <f t="shared" si="232"/>
        <v/>
      </c>
      <c r="AW27" s="236" t="str">
        <f t="shared" si="233"/>
        <v/>
      </c>
      <c r="AX27" s="236" t="str">
        <f t="shared" si="234"/>
        <v/>
      </c>
      <c r="AY27" s="236" t="str">
        <f t="shared" si="235"/>
        <v/>
      </c>
      <c r="AZ27" s="236" t="str">
        <f t="shared" si="236"/>
        <v/>
      </c>
      <c r="BA27" s="236" t="str">
        <f t="shared" si="237"/>
        <v/>
      </c>
      <c r="BB27" s="467" t="str">
        <f t="shared" si="238"/>
        <v/>
      </c>
      <c r="BC27" s="329" t="str">
        <f t="shared" si="239"/>
        <v/>
      </c>
      <c r="BD27" s="237" t="str">
        <f t="shared" si="240"/>
        <v/>
      </c>
      <c r="BE27" s="237" t="str">
        <f>IF(A27=FALSE,"",IF(ED27&lt;&gt;$BC$7,0,INDEX(EA27:EZ27,1,MATCH(Structure!$J$16,$EA$14:$EZ$14,0))))</f>
        <v/>
      </c>
      <c r="BF27" s="237" t="str">
        <f>IF(A27=FALSE,"",IF(FD27&lt;&gt;$BC$7,0,INDEX(FA27:FZ27,1,MATCH(Structure!$J$16,$FA$14:$FZ$14,0))))</f>
        <v/>
      </c>
      <c r="BG27" s="237" t="str">
        <f>IF(A27=FALSE,"",IF(GD27&lt;&gt;$BC$7,0,INDEX(GA27:GZ27,1,MATCH(Structure!$J$16,$GA$14:$GZ$14,0))))</f>
        <v/>
      </c>
      <c r="BH27" s="237" t="str">
        <f>IF(A27=FALSE,"",IF(HD27&lt;&gt;$BC$7,0,INDEX(HA27:HZ27,1,MATCH(Structure!$J$16,$HA$14:$HZ$14,0))))</f>
        <v/>
      </c>
      <c r="BI27" s="621" t="str">
        <f>IF(A27=FALSE,"",IF(ID27&lt;&gt;$BC$7,0,INDEX(IA27:IZ27,1,MATCH(Structure!$C$12,$IA$14:$IZ$14,0)))+OL27)</f>
        <v/>
      </c>
      <c r="BJ27" s="237" t="str">
        <f>IF(A27=FALSE,"",IF(JD27&lt;&gt;$BC$7,0,INDEX(JA27:JZ27,1,MATCH(Structure!$C$12,$JA$14:$JZ$14,0))))</f>
        <v/>
      </c>
      <c r="BK27" s="621" t="str">
        <f>IF(A27=FALSE,"",IF(KD27&lt;&gt;$BC$7,0,INDEX(KA27:KZ27,1,MATCH(Structure!$C$12,$KA$14:$KZ$14,0)))+PL27)</f>
        <v/>
      </c>
      <c r="BL27" s="237" t="str">
        <f>IF(A27=FALSE,"",IF(LD27&lt;&gt;$BC$7,0,INDEX(LA27:LZ27,1,MATCH(Structure!$C$12,$LA$14:$LZ$14,0))))</f>
        <v/>
      </c>
      <c r="BM27" s="237" t="str">
        <f>IF(A27=FALSE,"",IF(MD27&lt;&gt;$BC$7,0,INDEX(MA27:MZ27,1,MATCH(Structure!$C$12,$MA$14:$MZ$14,0))))</f>
        <v/>
      </c>
      <c r="BN27" s="326" t="str">
        <f>IF(A27=FALSE,"",IF(ND27&lt;&gt;$BC$7,0,INDEX(NA27:OC27,1,MATCH(Structure!$C$12,$NA$14:$OC$14,0))))</f>
        <v/>
      </c>
      <c r="BO27" s="435" t="str">
        <f t="shared" si="241"/>
        <v/>
      </c>
      <c r="BP27" s="237" t="str">
        <f t="shared" si="242"/>
        <v/>
      </c>
      <c r="BQ27" s="237" t="str">
        <f>IF(A27=FALSE,"",IF(ED27&lt;&gt;$BO$7,0,INDEX(EA27:EZ27,1,MATCH(Structure!$C$12,$EA$14:$EZ$14,0))))</f>
        <v/>
      </c>
      <c r="BR27" s="237" t="str">
        <f>IF(A27=FALSE,"",IF(FD27&lt;&gt;$BO$7,0,INDEX(FA27:FZ27,1,MATCH(Structure!$C$12,$FA$14:$FZ$14,0))))</f>
        <v/>
      </c>
      <c r="BS27" s="237" t="str">
        <f>IF(A27=FALSE,"",IF(ID27&lt;&gt;$BO$7,0,INDEX(IA27:IZ27,1,MATCH(Structure!$C$13,$IA$14:$IZ$14,0))))</f>
        <v/>
      </c>
      <c r="BT27" s="237" t="str">
        <f>IF(A27=FALSE,"",IF(JD27&lt;&gt;$BO$7,0,INDEX(JA27:JZ27,1,MATCH(Structure!$C$13,$JA$14:$JZ$14,0))))</f>
        <v/>
      </c>
      <c r="BU27" s="237" t="str">
        <f>IF(A27=FALSE,"",IF(KD27&lt;&gt;$BO$7,0,INDEX(KA27:KZ27,1,MATCH(Structure!$C$13,$KA$14:$KZ$14,0))))</f>
        <v/>
      </c>
      <c r="BV27" s="237" t="str">
        <f>IF(A27=FALSE,"",IF(LD27&lt;&gt;$BO$7,0,INDEX(LA27:LZ27,1,MATCH(Structure!$C$13,$LA$14:$LZ$14,0))))</f>
        <v/>
      </c>
      <c r="BW27" s="237" t="str">
        <f>IF(A27=FALSE,"",IF(MD27&lt;&gt;$BO$7,0,INDEX(MA27:MZ27,1,MATCH(Structure!$C$13,$MA$14:$MZ$14,0))))</f>
        <v/>
      </c>
      <c r="BX27" s="326" t="str">
        <f>IF(A27=FALSE,"",IF(ND27&lt;&gt;$BO$7,0,INDEX(NA27:OC27,1,MATCH(Structure!$C$13,$NA$14:$OC$14,0))))</f>
        <v/>
      </c>
      <c r="BY27" s="412"/>
      <c r="BZ27" s="412"/>
      <c r="CA27" s="1255" t="str">
        <f>IF(A27=FALSE,"",IF(LISTES!$A$17=1,Cotations!AG27,Cotations!AH27))</f>
        <v/>
      </c>
      <c r="CB27" s="1266" t="str">
        <f t="shared" si="243"/>
        <v/>
      </c>
      <c r="CC27" s="1120" t="str">
        <f t="shared" si="244"/>
        <v/>
      </c>
      <c r="CD27" s="1120" t="str">
        <f t="shared" si="245"/>
        <v/>
      </c>
      <c r="CE27" s="1120" t="str">
        <f t="shared" si="246"/>
        <v/>
      </c>
      <c r="CF27" s="1120" t="str">
        <f t="shared" si="247"/>
        <v/>
      </c>
      <c r="CG27" s="1267"/>
      <c r="CH27" s="1267"/>
      <c r="CI27" s="1268" t="str">
        <f t="shared" si="248"/>
        <v/>
      </c>
      <c r="CJ27" s="286" t="str">
        <f t="shared" si="249"/>
        <v/>
      </c>
      <c r="CK27" s="286" t="str">
        <f t="shared" si="250"/>
        <v/>
      </c>
      <c r="CL27" s="1263"/>
      <c r="CM27" s="1263"/>
      <c r="CN27" s="1263"/>
      <c r="CO27" s="1263"/>
      <c r="CP27" s="319" t="str">
        <f t="shared" si="251"/>
        <v/>
      </c>
      <c r="CQ27" s="443" t="str">
        <f>IF(A27=FALSE,"",Cotations!AM27)</f>
        <v/>
      </c>
      <c r="CR27" s="443" t="str">
        <f>IF(A27=FALSE,"",IF(Cotations!AN27="","",Cotations!AN27))</f>
        <v/>
      </c>
      <c r="CS27" s="433" t="str">
        <f>IF(A27=FALSE,"",Cotations!AO27)</f>
        <v/>
      </c>
      <c r="CT27" s="443" t="str">
        <f>IF(A27=FALSE,"",IF(CQ27="N/A",0,IF(INDEX(LISTES!$F$105:$F$109,MATCH(CQ27,LISTES!$C$105:$C$109,0))="FIX",IF(INDEX(LISTES!$E$105:$E$109,MATCH(CQ27,LISTES!$C$105:$C$109,0))=12,CR27/12*L27,CR27/365*M27),CS27*EQ27)))</f>
        <v/>
      </c>
      <c r="CU27" s="434" t="str">
        <f>IF(A27=FALSE,"",(CJ27+CK27)*Cotations!AP27)</f>
        <v/>
      </c>
      <c r="CV27" s="434" t="str">
        <f>IF(A27=FALSE,"",(CJ27+CK27)*Cotations!AQ27)</f>
        <v/>
      </c>
      <c r="DA27" s="1253" t="str">
        <f>IF(A27=FALSE,"",IF(LISTES!$A$17=1,Cotations!AV27,Cotations!AW27))</f>
        <v/>
      </c>
      <c r="DB27" s="1271" t="str">
        <f t="shared" si="252"/>
        <v/>
      </c>
      <c r="DC27" s="1270" t="str">
        <f t="shared" si="253"/>
        <v/>
      </c>
      <c r="DD27" s="1270" t="str">
        <f t="shared" si="254"/>
        <v/>
      </c>
      <c r="DE27" s="1270" t="str">
        <f t="shared" si="255"/>
        <v/>
      </c>
      <c r="DF27" s="1270" t="str">
        <f t="shared" si="256"/>
        <v/>
      </c>
      <c r="DG27" s="1270" t="str">
        <f t="shared" si="257"/>
        <v/>
      </c>
      <c r="DH27" s="1270" t="str">
        <f t="shared" si="258"/>
        <v/>
      </c>
      <c r="DI27" s="1271" t="str">
        <f t="shared" si="259"/>
        <v/>
      </c>
      <c r="DJ27" s="286" t="str">
        <f t="shared" si="260"/>
        <v/>
      </c>
      <c r="DK27" s="286" t="str">
        <f t="shared" si="261"/>
        <v/>
      </c>
      <c r="DL27" s="1264" t="str">
        <f t="shared" si="262"/>
        <v/>
      </c>
      <c r="DM27" s="1264" t="str">
        <f t="shared" si="263"/>
        <v/>
      </c>
      <c r="DN27" s="1264" t="str">
        <f t="shared" si="264"/>
        <v/>
      </c>
      <c r="DO27" s="1264" t="str">
        <f t="shared" si="265"/>
        <v/>
      </c>
      <c r="DP27" s="323" t="str">
        <f t="shared" si="132"/>
        <v/>
      </c>
      <c r="DQ27" s="759" t="str">
        <f>IF(A27=FALSE,"",Cotations!BW27)</f>
        <v/>
      </c>
      <c r="DR27" s="759" t="str">
        <f>IF(A27=FALSE,"",Cotations!BX27)</f>
        <v/>
      </c>
      <c r="DS27" s="538" t="str">
        <f>IF(A27=FALSE,"",Cotations!BY27)</f>
        <v/>
      </c>
      <c r="DT27" s="830" t="str">
        <f>IF(A27=FALSE,"",IF(DQ27="N/A",0,IF(INDEX(LISTES!$F$105:$F$109,MATCH(DQ27,LISTES!$C$105:$C$109,0))="FIX",IF(INDEX(LISTES!$E$105:$E$109,MATCH(DQ27,LISTES!$C$105:$C$109,0))=12,DR27/12*L27,DR27/365*M27),DS27*(DN27+DO27))))</f>
        <v/>
      </c>
      <c r="DU27" s="286" t="str">
        <f>IF(A27=FALSE,"",DJ27*Cotations!BZ27)</f>
        <v/>
      </c>
      <c r="DV27" s="286" t="str">
        <f>IF(A27=FALSE,"",DJ27*Cotations!CA27)</f>
        <v/>
      </c>
      <c r="EA27" s="432" t="str">
        <f>IF(A27=FALSE,"",Cotations!AT27)</f>
        <v/>
      </c>
      <c r="EB27" s="1234" t="str">
        <f>IF(A27=FALSE,"",YEAR(Detail!F27)&amp;Detail!AG27&amp;Detail!AD27&amp;"-"&amp;Detail!$AD$13&amp;Detail!AE27)</f>
        <v/>
      </c>
      <c r="EC27" s="434" t="str">
        <f>IF(A27=FALSE,"",IF(LISTES!$A$17=1,EB27,INDEX(colMOD1,MATCH(Cotations!AH27,colchoice,0))))</f>
        <v/>
      </c>
      <c r="ED27" s="277" t="str">
        <f t="shared" si="133"/>
        <v/>
      </c>
      <c r="EE27" s="277" t="str">
        <f t="shared" si="134"/>
        <v/>
      </c>
      <c r="EF27" s="277"/>
      <c r="EG27" s="277"/>
      <c r="EH27" s="277" t="str">
        <f t="shared" si="135"/>
        <v/>
      </c>
      <c r="EI27" s="1104" t="str">
        <f t="shared" si="136"/>
        <v/>
      </c>
      <c r="EJ27" s="1104" t="str">
        <f t="shared" si="137"/>
        <v/>
      </c>
      <c r="EK27" s="443" t="str">
        <f>IF(A27=FALSE,"",IF(Cotations!AF27="monthly",EH27/12*L27,EH27/365*M27))</f>
        <v/>
      </c>
      <c r="EL27" s="1103" t="str">
        <f>IF(A27=FALSE,"",IF(Cotations!AF27="monthly",EJ27/12*L27,EJ27/365*M27))</f>
        <v/>
      </c>
      <c r="EM27" s="433" t="str">
        <f>IF(A27=FALSE,"",IF(Cotations!AI27="","",Cotations!AI27))</f>
        <v/>
      </c>
      <c r="EN27" s="277" t="str">
        <f t="shared" si="266"/>
        <v/>
      </c>
      <c r="EO27" s="277" t="str">
        <f t="shared" si="138"/>
        <v/>
      </c>
      <c r="EP27" s="1104" t="str">
        <f t="shared" si="139"/>
        <v/>
      </c>
      <c r="EQ27" s="277" t="str">
        <f t="shared" si="267"/>
        <v/>
      </c>
      <c r="ER27" s="759" t="str">
        <f>IF(A27=FALSE,"",((EH27*TAXE)-(EH27*TAXE*EM27)+EI27)+IF(CQ27="N/A",0,IF(INDEX(LISTES!$F$105:$F$109,MATCH(CQ27,LISTES!$C$105:$C$109,0))="FIX",CR27,CS27*EQ27)))</f>
        <v/>
      </c>
      <c r="ET27" s="422"/>
      <c r="EU27" s="422"/>
      <c r="EV27" s="422"/>
      <c r="EW27" s="422"/>
      <c r="EX27" s="422"/>
      <c r="EY27" s="422"/>
      <c r="EZ27" s="422"/>
      <c r="FA27" s="802" t="str">
        <f>IF(A27=FALSE,"",Cotations!AT27)</f>
        <v/>
      </c>
      <c r="FB27" s="1235" t="str">
        <f>IF(A27=FALSE,"",IF(Detail!AL27="","N/A",YEAR(Detail!F27)&amp;Detail!AO27&amp;Detail!AL27&amp;"-"&amp;Detail!$AL$13&amp;Detail!AM27))</f>
        <v/>
      </c>
      <c r="FC27" s="434" t="str">
        <f>IF(A27=FALSE,"",IF(LISTES!$A$17=1,FB27,INDEX(colMOD2,MATCH(Cotations!AH27,colchoice,0))))</f>
        <v/>
      </c>
      <c r="FD27" s="277" t="str">
        <f t="shared" si="140"/>
        <v/>
      </c>
      <c r="FE27" s="277" t="str">
        <f>IF(A27=FALSE,"",IF(Detail!AM27="","",Detail!AM27))</f>
        <v/>
      </c>
      <c r="FF27" s="277"/>
      <c r="FG27" s="277"/>
      <c r="FH27" s="277" t="str">
        <f t="shared" si="141"/>
        <v/>
      </c>
      <c r="FI27" s="1104"/>
      <c r="FJ27" s="1104"/>
      <c r="FK27" s="443" t="str">
        <f>IF(A27=FALSE,"",IF(Cotations!AF27="monthly",FH27/12*L27,FH27/365*M27))</f>
        <v/>
      </c>
      <c r="FL27" s="1103" t="str">
        <f>IF(A27=FALSE,"",IF(Cotations!AF27="monthly",FJ27/12*L27,FJ27/365*M27))</f>
        <v/>
      </c>
      <c r="FM27" s="433" t="str">
        <f>IF(A27=FALSE,"",IF(Cotations!AJ27="","",Cotations!AJ27))</f>
        <v/>
      </c>
      <c r="FN27" s="277" t="str">
        <f t="shared" si="268"/>
        <v/>
      </c>
      <c r="FO27" s="277" t="str">
        <f t="shared" si="269"/>
        <v/>
      </c>
      <c r="FP27" s="1104"/>
      <c r="FQ27" s="277" t="str">
        <f t="shared" si="270"/>
        <v/>
      </c>
      <c r="FR27" s="759" t="str">
        <f>IF(A27=FALSE,"",((FH27*TAXE)-(FH27*TAXE*FM27))+IF(#REF!="N/A",0,IF(INDEX(LISTES!$F$105:$F$109,MATCH(#REF!,LISTES!$C$105:$C$109,0))="FIX",#REF!,#REF!*FQ27)))</f>
        <v/>
      </c>
      <c r="FS27" s="422"/>
      <c r="FT27" s="422"/>
      <c r="FU27" s="422"/>
      <c r="FV27" s="422"/>
      <c r="FW27" s="422"/>
      <c r="FX27" s="422"/>
      <c r="FY27" s="422"/>
      <c r="FZ27" s="422"/>
      <c r="GA27" s="432" t="str">
        <f t="shared" si="145"/>
        <v/>
      </c>
      <c r="GB27" s="1234" t="str">
        <f>IF(A27=FALSE,"",IF(Detail!DF27="","N/A",YEAR(Detail!F27)&amp;Detail!DI27&amp;Detail!DF27&amp;"-"&amp;Detail!$DF$13))</f>
        <v/>
      </c>
      <c r="GC27" s="434" t="str">
        <f>IF(A27=FALSE,"",IF(LISTES!$A$17=1,GB27,INDEX(colMOD3,MATCH(Cotations!AH27,colchoice,0))))</f>
        <v/>
      </c>
      <c r="GD27" s="277" t="str">
        <f t="shared" si="146"/>
        <v/>
      </c>
      <c r="GE27" s="277" t="str">
        <f t="shared" si="147"/>
        <v/>
      </c>
      <c r="GF27" s="277"/>
      <c r="GG27" s="277"/>
      <c r="GH27" s="277" t="str">
        <f t="shared" si="271"/>
        <v/>
      </c>
      <c r="GI27" s="1104" t="str">
        <f t="shared" si="272"/>
        <v/>
      </c>
      <c r="GJ27" s="1104" t="str">
        <f t="shared" si="273"/>
        <v/>
      </c>
      <c r="GK27" s="443" t="str">
        <f>IF(A27=FALSE,"",IF(Cotations!AF27="monthly",GH27/12*L27,GH27/365*M27))</f>
        <v/>
      </c>
      <c r="GL27" s="1103" t="str">
        <f>IF(A27=FALSE,"",IF(Cotations!AF27="monthly",GJ27/12*L27,GJ27/365*M27))</f>
        <v/>
      </c>
      <c r="GM27" s="433" t="str">
        <f>IF(A27=FALSE,"",IF(Cotations!AK27="","",Cotations!AK27))</f>
        <v/>
      </c>
      <c r="GN27" s="277" t="str">
        <f t="shared" si="274"/>
        <v/>
      </c>
      <c r="GO27" s="277" t="str">
        <f t="shared" si="275"/>
        <v/>
      </c>
      <c r="GP27" s="1104" t="str">
        <f t="shared" si="276"/>
        <v/>
      </c>
      <c r="GQ27" s="277" t="str">
        <f t="shared" si="277"/>
        <v/>
      </c>
      <c r="GR27" s="759" t="str">
        <f>IF(A27=FALSE,"",((GH27*TAXE)-(GH27*TAXE*GM27)+GI27)+IF(CQ27="N/A",0,IF(INDEX(LISTES!$F$105:$F$109,MATCH(CQ27,LISTES!$C$105:$C$109,0))="FIX",CR27,CS27*GQ27)))</f>
        <v/>
      </c>
      <c r="GS27" s="412"/>
      <c r="GT27" s="412"/>
      <c r="GU27" s="412"/>
      <c r="GV27" s="412"/>
      <c r="GW27" s="412"/>
      <c r="GX27" s="412"/>
      <c r="GY27" s="412"/>
      <c r="GZ27" s="412"/>
      <c r="HA27" s="432" t="str">
        <f t="shared" si="155"/>
        <v/>
      </c>
      <c r="HB27" s="1234" t="str">
        <f>IF(A27=FALSE,"",IF(Detail!DF27="","N/A",YEAR(Detail!F27)&amp;Detail!DI27&amp;Detail!DF27&amp;"-"&amp;Detail!$DF$13))</f>
        <v/>
      </c>
      <c r="HC27" s="434" t="str">
        <f>IF(A27=FALSE,"",IF(LISTES!$A$17=1,HB27,INDEX(colMOD4,MATCH(Cotations!AH27,colchoice,0))))</f>
        <v/>
      </c>
      <c r="HD27" s="277" t="str">
        <f t="shared" si="278"/>
        <v/>
      </c>
      <c r="HE27" s="277" t="str">
        <f t="shared" si="279"/>
        <v/>
      </c>
      <c r="HF27" s="277"/>
      <c r="HG27" s="277"/>
      <c r="HH27" s="277" t="str">
        <f t="shared" si="280"/>
        <v/>
      </c>
      <c r="HI27" s="1104" t="str">
        <f t="shared" si="281"/>
        <v/>
      </c>
      <c r="HJ27" s="1104" t="str">
        <f t="shared" si="282"/>
        <v/>
      </c>
      <c r="HK27" s="443" t="str">
        <f>IF(A27=FALSE,"",IF(Cotations!AF27="monthly",HH27/12*L27,HH27/365*M27))</f>
        <v/>
      </c>
      <c r="HL27" s="1103" t="str">
        <f>IF(A27=FALSE,"",IF(Cotations!AF27="monthly",HJ27/12*L27,HJ27/365*M27))</f>
        <v/>
      </c>
      <c r="HM27" s="433" t="str">
        <f>IF(A27=FALSE,"",IF(Cotations!AL27="","",Cotations!AL27))</f>
        <v/>
      </c>
      <c r="HN27" s="277" t="str">
        <f t="shared" si="283"/>
        <v/>
      </c>
      <c r="HO27" s="277" t="str">
        <f t="shared" si="284"/>
        <v/>
      </c>
      <c r="HP27" s="1104" t="str">
        <f t="shared" si="285"/>
        <v/>
      </c>
      <c r="HQ27" s="277" t="str">
        <f t="shared" si="286"/>
        <v/>
      </c>
      <c r="HR27" s="759" t="str">
        <f>IF(A27=FALSE,"",((HH27*TAXE)-(HH27*TAXE*HM27)+HI27)+IF(CQ27="N/A",0,IF(INDEX(LISTES!$F$105:$F$109,MATCH(CQ27,LISTES!$C$105:$C$109,0))="FIX",CR27,CS27*HQ27)))</f>
        <v/>
      </c>
      <c r="HS27" s="412"/>
      <c r="HT27" s="412"/>
      <c r="HU27" s="412"/>
      <c r="HV27" s="412"/>
      <c r="HW27" s="412"/>
      <c r="HX27" s="412"/>
      <c r="HY27" s="412"/>
      <c r="HZ27" s="1262"/>
      <c r="IA27" s="802" t="str">
        <f>IF(A27=FALSE,"",Cotations!AT27)</f>
        <v/>
      </c>
      <c r="IB27" s="1253" t="str">
        <f>IF(A27=FALSE,"",IF(Detail!AT27="","N/A",YEAR(Detail!F27)&amp;Detail!AW27&amp;Detail!AT27&amp;"-"&amp;Detail!$AT$13&amp;Detail!AU27))</f>
        <v/>
      </c>
      <c r="IC27" s="431" t="str">
        <f>IF(A27=FALSE,"",IF(LISTES!$A$17=1,IB27,INDEX(colMOD1,MATCH(DA27,colchoice,0))))</f>
        <v/>
      </c>
      <c r="ID27" s="759" t="str">
        <f t="shared" si="287"/>
        <v/>
      </c>
      <c r="IE27" s="292" t="str">
        <f>IF(A27=FALSE,"",IF(LISTES!$A$17=1,Detail!AU27,INDEX(Rates!$M$1:$M$270,MATCH(IC27,colMOD1,0))))</f>
        <v/>
      </c>
      <c r="IF27" s="409" t="str">
        <f t="shared" si="165"/>
        <v/>
      </c>
      <c r="IG27" s="430" t="str">
        <f>IF(A27=FALSE,"",IF(IA27="POEA",Cotations!AY27,IF(IA27="FIXE",Cotations!AZ27,IF(Cotations!BA27*Y27&lt;50000,Z27,Cotations!BA27*Y27))))</f>
        <v/>
      </c>
      <c r="IH27" s="292" t="str">
        <f t="shared" si="166"/>
        <v/>
      </c>
      <c r="II27" s="292" t="str">
        <f>IF(A27=FALSE,"",IF(Cotations!AU27="monthly",IH27/12*L27,IH27/365*M27))</f>
        <v/>
      </c>
      <c r="IJ27" s="405" t="str">
        <f>IF(A27=FALSE,"",IF(Cotations!BB27="","",Cotations!BB27))</f>
        <v/>
      </c>
      <c r="IK27" s="292" t="str">
        <f t="shared" si="167"/>
        <v/>
      </c>
      <c r="IL27" s="292" t="str">
        <f t="shared" si="168"/>
        <v/>
      </c>
      <c r="IM27" s="759" t="str">
        <f t="shared" si="169"/>
        <v/>
      </c>
      <c r="IN27" s="759" t="str">
        <f>IF(A27=FALSE,"",((IH27*TAXE)-(IH27*TAXE*IJ27))+IF(DQ27="N/A",0,IF(INDEX(LISTES!$F$105:$F$109,MATCH(DQ27,LISTES!$C$105:$C$109,0))="FIX",DR27,DS27*IM27)))</f>
        <v/>
      </c>
      <c r="JA27" s="432" t="str">
        <f>IF(A27=FALSE,"",Cotations!AT27)</f>
        <v/>
      </c>
      <c r="JB27" s="1234" t="str">
        <f>IF(A27=FALSE,"",IF(Detail!BB27="","N/A",YEAR(Detail!F27)&amp;Detail!BE27&amp;Detail!BB27&amp;"-"&amp;Detail!$BB$13&amp;Detail!BC27))</f>
        <v/>
      </c>
      <c r="JC27" s="431" t="str">
        <f>IF(A27=FALSE,"",IF(LISTES!$A$17=1,JB27,INDEX(colMOD2,MATCH(DA27,colchoice,0))))</f>
        <v/>
      </c>
      <c r="JD27" s="759" t="str">
        <f t="shared" si="170"/>
        <v/>
      </c>
      <c r="JE27" s="292"/>
      <c r="JF27" s="409" t="str">
        <f t="shared" si="171"/>
        <v/>
      </c>
      <c r="JG27" s="810" t="str">
        <f>IF(A27=FALSE,"",IF(JA27="POEA",Cotations!BC27,IF(JA27="FIXE",Cotations!BD27,IF(Cotations!BE27*Y27&lt;50000,Z27,Cotations!BE27*Y27))))</f>
        <v/>
      </c>
      <c r="JH27" s="292" t="str">
        <f t="shared" si="172"/>
        <v/>
      </c>
      <c r="JI27" s="446" t="str">
        <f>IF(A27=FALSE,"",IF(Cotations!AU27="monthly",JH27/12*L27,JH27/365*M27))</f>
        <v/>
      </c>
      <c r="JJ27" s="405" t="str">
        <f>IF(A27=FALSE,"",IF(Cotations!BF27="","",Cotations!BF27))</f>
        <v/>
      </c>
      <c r="JK27" s="292" t="str">
        <f t="shared" si="173"/>
        <v/>
      </c>
      <c r="JL27" s="292" t="str">
        <f t="shared" si="174"/>
        <v/>
      </c>
      <c r="JM27" s="759" t="str">
        <f t="shared" si="175"/>
        <v/>
      </c>
      <c r="JN27" s="759" t="str">
        <f>IF(A27=FALSE,"",((JH27*TAXE)-(JH27*TAXE*JJ27))+IF(#REF!="N/A",0,IF(INDEX(LISTES!$F$105:$F$109,MATCH(#REF!,LISTES!$C$105:$C$109,0))="FIX",#REF!,#REF!*JM27)))</f>
        <v/>
      </c>
      <c r="KA27" s="802" t="str">
        <f>IF(A27=FALSE,"",Cotations!AT27)</f>
        <v/>
      </c>
      <c r="KB27" s="1234" t="str">
        <f>IF(A27=FALSE,"",IF(Detail!BJ27="","N/A",YEAR(Detail!F27)&amp;Detail!BM27&amp;Detail!BJ27&amp;"-"&amp;Detail!$BJ$13&amp;Detail!BK27))</f>
        <v/>
      </c>
      <c r="KC27" s="431" t="str">
        <f>IF(A27=FALSE,"",IF(LISTES!$A$17=1,KB27,INDEX(colMOD3,MATCH(DA27,colchoice,0))))</f>
        <v/>
      </c>
      <c r="KD27" s="759" t="str">
        <f t="shared" si="176"/>
        <v/>
      </c>
      <c r="KE27" s="292"/>
      <c r="KF27" s="409" t="str">
        <f t="shared" si="177"/>
        <v/>
      </c>
      <c r="KG27" s="810" t="str">
        <f>IF(A27=FALSE,"",IF(KA27="POEA",Cotations!BG27,IF(KA27="FIXE",Cotations!BH27,IF(Cotations!BI27*Y27&lt;50000,Z27,Cotations!BI27*Y27))))</f>
        <v/>
      </c>
      <c r="KH27" s="292" t="str">
        <f t="shared" si="178"/>
        <v/>
      </c>
      <c r="KI27" s="446" t="str">
        <f>IF(A27=FALSE,"",IF(Cotations!AU27="monthly",KH27/12*L27,KH27/365*M27))</f>
        <v/>
      </c>
      <c r="KJ27" s="405" t="str">
        <f>IF(A27=FALSE,"",IF(Cotations!BJ27="","",Cotations!BJ27))</f>
        <v/>
      </c>
      <c r="KK27" s="292" t="str">
        <f t="shared" si="179"/>
        <v/>
      </c>
      <c r="KL27" s="292" t="str">
        <f t="shared" si="180"/>
        <v/>
      </c>
      <c r="KM27" s="759" t="str">
        <f t="shared" si="181"/>
        <v/>
      </c>
      <c r="KN27" s="759" t="str">
        <f>IF(A27=FALSE,"",((KH27*TAXE)-(KH27*TAXE*KJ27))+IF(#REF!="N/A",0,IF(INDEX(LISTES!$F$105:$F$109,MATCH(#REF!,LISTES!$C$105:$C$109,0))="FIX",#REF!,#REF!*KM27)))</f>
        <v/>
      </c>
      <c r="LA27" s="432" t="str">
        <f>IF(A27=FALSE,"",Cotations!AT27)</f>
        <v/>
      </c>
      <c r="LB27" s="1234" t="str">
        <f>IF(A27=FALSE,"",IF(Detail!BR27="","N/A",YEAR(Detail!F27)&amp;Detail!BU27&amp;Detail!BR27&amp;"-"&amp;Detail!$BR$13&amp;Detail!BS27))</f>
        <v/>
      </c>
      <c r="LC27" s="431" t="str">
        <f>IF(A27=FALSE,"",IF(LISTES!$A$17=1,LB27,INDEX(colMOD4,MATCH(DA27,colchoice,0))))</f>
        <v/>
      </c>
      <c r="LD27" s="759" t="str">
        <f t="shared" si="182"/>
        <v/>
      </c>
      <c r="LE27" s="292"/>
      <c r="LF27" s="409" t="str">
        <f t="shared" si="183"/>
        <v/>
      </c>
      <c r="LG27" s="810" t="str">
        <f>IF(A27=FALSE,"",IF(LA27="POEA",Cotations!BK27,IF(LA27="FIXE",Cotations!BL27,IF(Cotations!BM27*Y27&lt;50000,Z27,Cotations!BM27*Y27))))</f>
        <v/>
      </c>
      <c r="LH27" s="292" t="str">
        <f t="shared" si="184"/>
        <v/>
      </c>
      <c r="LI27" s="446" t="str">
        <f>IF(A27=FALSE,"",IF(Cotations!AU27="monthly",LH27/12*L27,LH27/365*M27))</f>
        <v/>
      </c>
      <c r="LJ27" s="405" t="str">
        <f>IF(A27=FALSE,"",IF(Cotations!BN27="","",Cotations!BN27))</f>
        <v/>
      </c>
      <c r="LK27" s="292" t="str">
        <f t="shared" si="185"/>
        <v/>
      </c>
      <c r="LL27" s="292" t="str">
        <f t="shared" si="186"/>
        <v/>
      </c>
      <c r="LM27" s="759" t="str">
        <f t="shared" si="187"/>
        <v/>
      </c>
      <c r="LN27" s="759" t="str">
        <f>IF(A27=FALSE,"",((LH27*TAXE)-(LH27*TAXE*LJ27))+IF(#REF!="N/A",0,IF(INDEX(LISTES!$F$105:$F$109,MATCH(#REF!,LISTES!$C$105:$C$109,0))="FIX",#REF!,#REF!*LM27)))</f>
        <v/>
      </c>
      <c r="MA27" s="802" t="str">
        <f t="shared" si="188"/>
        <v/>
      </c>
      <c r="MB27" s="1234" t="str">
        <f>IF(A27=FALSE,"",IF(Detail!BZ27="","N/A",YEAR(Detail!F27)&amp;Detail!CC27&amp;Detail!BZ27&amp;"-"&amp;Detail!$BZ$13&amp;" (100%/"&amp;Detail!CD27&amp;"/"&amp;Detail!CE27&amp;")"))</f>
        <v/>
      </c>
      <c r="MC27" s="431" t="str">
        <f>IF(A27=FALSE,"",IF(LISTES!$A$17=1,MB27,INDEX(colMOD5,MATCH(DA27,colchoice,0))))</f>
        <v/>
      </c>
      <c r="MD27" s="759" t="str">
        <f t="shared" si="189"/>
        <v/>
      </c>
      <c r="ME27" s="292"/>
      <c r="MF27" s="409" t="str">
        <f t="shared" si="190"/>
        <v/>
      </c>
      <c r="MG27" s="810" t="str">
        <f>IF(A27=FALSE,"",Cotations!BQ27*AA27)</f>
        <v/>
      </c>
      <c r="MH27" s="292" t="str">
        <f t="shared" si="191"/>
        <v/>
      </c>
      <c r="MI27" s="446" t="str">
        <f>IF(A27=FALSE,"",IF(Cotations!AU27="monthly",MH27/12*L27,MH27/365*M27))</f>
        <v/>
      </c>
      <c r="MJ27" s="405" t="str">
        <f>IF(A27=FALSE,"",IF(Cotations!BR27="","",Cotations!BR27))</f>
        <v/>
      </c>
      <c r="MK27" s="292" t="str">
        <f t="shared" si="192"/>
        <v/>
      </c>
      <c r="ML27" s="292" t="str">
        <f t="shared" si="193"/>
        <v/>
      </c>
      <c r="MM27" s="759" t="str">
        <f t="shared" si="194"/>
        <v/>
      </c>
      <c r="MN27" s="759" t="str">
        <f>IF(A27=FALSE,"",((MH27*TAXE)-(MH27*TAXE*MJ27))+IF(#REF!="N/A",0,IF(INDEX(LISTES!$F$105:$F$109,MATCH(#REF!,LISTES!$C$105:$C$109,0))="FIX",#REF!,#REF!*MM27)))</f>
        <v/>
      </c>
      <c r="NA27" s="432" t="str">
        <f t="shared" si="195"/>
        <v/>
      </c>
      <c r="NB27" s="1234" t="str">
        <f>IF(A27=FALSE,"",IF(Detail!CH27="","N/A",YEAR(Detail!F27)&amp;Detail!CK27&amp;Detail!CH27&amp;"-"&amp;Detail!$CH$13&amp;" (100%/"&amp;Detail!CL27&amp;"/"&amp;Detail!CM27&amp;")"))</f>
        <v/>
      </c>
      <c r="NC27" s="431" t="str">
        <f>IF(A27=FALSE,"",IF(LISTES!$A$17=1,NB27,INDEX(colMOD6,MATCH(DA27,colchoice,0))))</f>
        <v/>
      </c>
      <c r="ND27" s="759" t="str">
        <f t="shared" si="196"/>
        <v/>
      </c>
      <c r="NE27" s="292"/>
      <c r="NF27" s="409" t="str">
        <f t="shared" si="197"/>
        <v/>
      </c>
      <c r="NG27" s="810" t="str">
        <f>IF(A27=FALSE,"",Cotations!BU27*AA27)</f>
        <v/>
      </c>
      <c r="NH27" s="292" t="str">
        <f t="shared" si="198"/>
        <v/>
      </c>
      <c r="NI27" s="446" t="str">
        <f>IF(A27=FALSE,"",IF(Cotations!AU27="monthly",NH27/12*L27,NH27/365*M27))</f>
        <v/>
      </c>
      <c r="NJ27" s="405" t="str">
        <f>IF(A27=FALSE,"",IF(Cotations!BV27="","",Cotations!BV27))</f>
        <v/>
      </c>
      <c r="NK27" s="292" t="str">
        <f t="shared" si="199"/>
        <v/>
      </c>
      <c r="NL27" s="292" t="str">
        <f t="shared" si="200"/>
        <v/>
      </c>
      <c r="NM27" s="759" t="str">
        <f t="shared" si="201"/>
        <v/>
      </c>
      <c r="NN27" s="759" t="str">
        <f>IF(A27=FALSE,"",((NH27*TAXE)-(NH27*TAXE*NJ27))+IF(#REF!="N/A",0,IF(INDEX(LISTES!$F$105:$F$109,MATCH(#REF!,LISTES!$C$105:$C$109,0))="FIX",#REF!,#REF!*NM27)))</f>
        <v/>
      </c>
      <c r="NZ27" s="1281" t="str">
        <f>IF(A27=FALSE,"",IF(Detail!CP27="","N/A",YEAR(Detail!F27)&amp;Detail!CS27&amp;Detail!CP27&amp;"-"&amp;Detail!CQ27))</f>
        <v/>
      </c>
      <c r="OA27" s="432" t="str">
        <f>IF(A27=FALSE,"",Cotations!CF27)</f>
        <v/>
      </c>
      <c r="OB27" s="1282" t="str">
        <f>IF(A27=FALSE,"",IF(Detail!CP27="","N/A",YEAR(Detail!F27)&amp;Detail!CS27&amp;Detail!CP27&amp;"-"&amp;Detail!$CP$13&amp;Detail!CQ27))</f>
        <v/>
      </c>
      <c r="OC27" s="1283" t="str">
        <f>IF(A27=FALSE,"",IF(LISTES!$A$17=1,OB27,INDEX(colMOD1,MATCH(Cotations!CE27,colchoice,0))))</f>
        <v/>
      </c>
      <c r="OD27" s="759" t="str">
        <f t="shared" si="202"/>
        <v/>
      </c>
      <c r="OE27" s="292" t="str">
        <f>IF(A27=FALSE,"",Detail!CQ27)</f>
        <v/>
      </c>
      <c r="OF27" s="409" t="str">
        <f t="shared" si="203"/>
        <v/>
      </c>
      <c r="OG27" s="430" t="str">
        <f>IF(A27=FALSE,"",IF(OA27="FIXE",Cotations!CM27,Cotations!CN27*AA27))</f>
        <v/>
      </c>
      <c r="OH27" s="292" t="str">
        <f t="shared" si="288"/>
        <v/>
      </c>
      <c r="OI27" s="446" t="str">
        <f>IF(A27=FALSE,"",IF(Cotations!CF27="monthly",OH27/12*L27,OH27/365*M27))</f>
        <v/>
      </c>
      <c r="OJ27" s="429" t="str">
        <f>IF(A27=FALSE,"",IF(Cotations!CO27="","",Cotations!CO27))</f>
        <v/>
      </c>
      <c r="OK27" s="292" t="str">
        <f t="shared" si="289"/>
        <v/>
      </c>
      <c r="OL27" s="292" t="str">
        <f t="shared" si="290"/>
        <v/>
      </c>
      <c r="OM27" s="759" t="str">
        <f t="shared" si="207"/>
        <v/>
      </c>
      <c r="ON27" s="759" t="str">
        <f>IF(A27=FALSE,"",((OH27*(1+TAXE)-(OH27*(1+TAXE)*OJ27))+IF(#REF!="N/A",0,IF(INDEX(LISTES!$F$105:$F$109,MATCH(#REF!,LISTES!$C$105:$C$109,0))="FIX",#REF!,#REF!*OM27))))</f>
        <v/>
      </c>
      <c r="PA27" s="432" t="str">
        <f>IF(A27=FALSE,"",Cotations!CF27)</f>
        <v/>
      </c>
      <c r="PB27" s="1282" t="str">
        <f>IF(A27=FALSE,"",IF(Detail!CX27="","N/A",YEAR(Detail!F27)&amp;Detail!DA27&amp;Detail!CX27&amp;"-"&amp;Detail!$CX$13&amp;Detail!CY27))</f>
        <v/>
      </c>
      <c r="PC27" s="1283" t="str">
        <f>IF(A27=FALSE,"",IF(LISTES!$A$17=1,PB27,INDEX(colMOD3,MATCH(Cotations!CE27,colchoice,0))))</f>
        <v/>
      </c>
      <c r="PD27" s="759" t="str">
        <f t="shared" si="208"/>
        <v/>
      </c>
      <c r="PE27" s="292" t="str">
        <f>IF(A27=FALSE,"",IF(Detail!CY27="","",Detail!CY27))</f>
        <v/>
      </c>
      <c r="PF27" s="409" t="str">
        <f t="shared" si="291"/>
        <v/>
      </c>
      <c r="PG27" s="430" t="str">
        <f>IF(A27=FALSE,"",IF(PA27="FIXE",Cotations!CP27,Cotations!CQ27*AA27))</f>
        <v/>
      </c>
      <c r="PH27" s="292" t="str">
        <f t="shared" si="292"/>
        <v/>
      </c>
      <c r="PI27" s="446" t="str">
        <f>IF(A27=FALSE,"",IF(Cotations!CG27="monthly",PH27/12*L27,PH27/365*M27))</f>
        <v/>
      </c>
      <c r="PJ27" s="429" t="str">
        <f>IF(A27=FALSE,"",IF(Cotations!DA27="",0,Cotations!DA27))</f>
        <v/>
      </c>
      <c r="PK27" s="292" t="str">
        <f t="shared" si="293"/>
        <v/>
      </c>
      <c r="PL27" s="292" t="str">
        <f t="shared" si="294"/>
        <v/>
      </c>
      <c r="PM27" s="759" t="str">
        <f t="shared" si="211"/>
        <v/>
      </c>
      <c r="PN27" s="759" t="str">
        <f>IF(A27=FALSE,"",((PH27*(1+TAXE)-(PH27*(1+TAXE)*PJ27))+IF(#REF!="N/A",0,IF(INDEX(LISTES!$F$105:$F$109,MATCH(#REF!,LISTES!$C$105:$C$109,0))="FIX",#REF!,#REF!*PM27))))</f>
        <v/>
      </c>
    </row>
    <row r="28" spans="1:430" s="1127" customFormat="1">
      <c r="A28" s="1129" t="b">
        <f t="shared" si="111"/>
        <v>0</v>
      </c>
      <c r="B28" s="1129" t="b">
        <f>IF(NAMES!$B$9=TRUE,TRUE,FALSE)</f>
        <v>1</v>
      </c>
      <c r="C28" s="1129" t="b">
        <f t="shared" si="212"/>
        <v>0</v>
      </c>
      <c r="D28" s="1129" t="b">
        <f t="shared" si="213"/>
        <v>1</v>
      </c>
      <c r="E28" s="1129" t="b">
        <f>IF(Cotations!C28="","",Cotations!C28)</f>
        <v>0</v>
      </c>
      <c r="F28" s="1129" t="str">
        <f>IF(Cotations!AT28="","",Cotations!AT28)</f>
        <v>PROP</v>
      </c>
      <c r="G28" s="1129" t="str">
        <f>IF(Cotations!D28="","",Cotations!D28)</f>
        <v>2016-2017!</v>
      </c>
      <c r="H28" s="1129" t="str">
        <f>IF(Cotations!E28="","",Cotations!E28)</f>
        <v>SINGLE</v>
      </c>
      <c r="I28" s="1129" t="str">
        <f>IF(Cotations!F28="","",Cotations!F28)</f>
        <v/>
      </c>
      <c r="J28" s="1129" t="str">
        <f>IF(Cotations!G28="","",Cotations!G28)</f>
        <v/>
      </c>
      <c r="K28" s="1129" t="str">
        <f>IF(Cotations!H28="","",Cotations!H28)</f>
        <v/>
      </c>
      <c r="L28" s="1129" t="str">
        <f>IF(A28=FALSE,"",IF(Cotations!M28="","",Cotations!M28))</f>
        <v/>
      </c>
      <c r="M28" s="1129" t="str">
        <f>IF(Cotations!O28="","",Cotations!O28)</f>
        <v/>
      </c>
      <c r="N28" s="1097">
        <f>IF(NAMES!$B$10=TRUE,Cotations!I28,Cotations!K28)</f>
        <v>42675</v>
      </c>
      <c r="O28" s="1097">
        <f>IF(NAMES!$B$10=TRUE,Cotations!J28,Cotations!L28)</f>
        <v>42749</v>
      </c>
      <c r="P28" s="1097" t="str">
        <f t="shared" si="214"/>
        <v>novembre</v>
      </c>
      <c r="Q28" s="1097" t="str">
        <f>IF(A28=FALSE,"",IF(Crewlist!Y28="","",Crewlist!Y28))</f>
        <v/>
      </c>
      <c r="R28" s="618" t="str">
        <f>IF(Cotations!T28="","",Cotations!T28)</f>
        <v/>
      </c>
      <c r="S28" s="1097" t="str">
        <f t="shared" si="215"/>
        <v/>
      </c>
      <c r="T28" s="759" t="str">
        <f>IF(A28=FALSE,"",VLOOKUP($U$15:$U$120,Currency!$A$2:$D$10,4,0)*Crewlist!N28)</f>
        <v/>
      </c>
      <c r="U28" s="1097" t="str">
        <f>IF(A28=FALSE,"",IF(DP28=0,Crewlist!M28&amp;"/"&amp;CP28,Crewlist!M28&amp;"/"&amp;DP28))</f>
        <v/>
      </c>
      <c r="V28" s="759" t="str">
        <f>IF(A28=FALSE,"",VLOOKUP($U$15:$U$120,Currency!$A$2:$D$10,4,0)*Detail!Q28)</f>
        <v/>
      </c>
      <c r="W28" s="1097" t="str">
        <f>IF(A28=FALSE,"",IF(DP28=0,Detail!R28&amp;"/"&amp;CP28,Detail!R28&amp;"/"&amp;DP28))</f>
        <v/>
      </c>
      <c r="X28" s="759" t="str">
        <f>IF(A28=FALSE,"",IF(LISTES!$C$17="Crewlist",Calcul!T28,Calcul!V28))</f>
        <v/>
      </c>
      <c r="Y28" s="618" t="str">
        <f t="shared" si="216"/>
        <v/>
      </c>
      <c r="Z28" s="618" t="str">
        <f>IF(A28=FALSE,"",IF(X28=0,0,IF((Cotations!BA28*12*X28)&lt;50000,50000,(12*X28))))</f>
        <v/>
      </c>
      <c r="AA28" s="618" t="str">
        <f t="shared" si="217"/>
        <v/>
      </c>
      <c r="AB28" s="618" t="str">
        <f>IF(A28=FALSE,"",IF(Crewlist!O28=0,"",Crewlist!O28))</f>
        <v/>
      </c>
      <c r="AC28" s="618" t="str">
        <f>IF(I28="","",VLOOKUP($AB$15:$AB$120,Currency!$A$15:$B$34,2,0))</f>
        <v/>
      </c>
      <c r="AD28" s="618" t="str">
        <f t="shared" si="218"/>
        <v/>
      </c>
      <c r="AE28" s="618" t="str">
        <f t="shared" si="219"/>
        <v/>
      </c>
      <c r="AF28" s="618" t="str">
        <f t="shared" si="220"/>
        <v/>
      </c>
      <c r="AG28" s="618" t="str">
        <f t="shared" si="221"/>
        <v/>
      </c>
      <c r="AH28" s="1097" t="str">
        <f t="shared" si="112"/>
        <v/>
      </c>
      <c r="AI28" s="759" t="str">
        <f t="shared" si="222"/>
        <v/>
      </c>
      <c r="AJ28" s="1120" t="str">
        <f t="shared" si="223"/>
        <v/>
      </c>
      <c r="AK28" s="1120" t="str">
        <f t="shared" si="224"/>
        <v/>
      </c>
      <c r="AL28" s="236" t="str">
        <f t="shared" si="225"/>
        <v/>
      </c>
      <c r="AM28" s="236" t="str">
        <f t="shared" si="226"/>
        <v/>
      </c>
      <c r="AN28" s="1112" t="str">
        <f t="shared" si="227"/>
        <v/>
      </c>
      <c r="AO28" s="236" t="str">
        <f t="shared" si="228"/>
        <v/>
      </c>
      <c r="AP28" s="327" t="str">
        <f>IF(A28=FALSE,"",INDEX(Rates!$Q$1:$Q$278,MATCH(CA28,colchoice,0)))</f>
        <v/>
      </c>
      <c r="AQ28" s="236" t="str">
        <f t="shared" si="229"/>
        <v/>
      </c>
      <c r="AR28" s="236" t="str">
        <f t="shared" si="230"/>
        <v/>
      </c>
      <c r="AS28" s="236" t="str">
        <f t="shared" si="117"/>
        <v/>
      </c>
      <c r="AT28" s="236" t="str">
        <f t="shared" si="118"/>
        <v/>
      </c>
      <c r="AU28" s="236" t="str">
        <f t="shared" si="231"/>
        <v/>
      </c>
      <c r="AV28" s="236" t="str">
        <f t="shared" si="232"/>
        <v/>
      </c>
      <c r="AW28" s="236" t="str">
        <f t="shared" si="233"/>
        <v/>
      </c>
      <c r="AX28" s="236" t="str">
        <f t="shared" si="234"/>
        <v/>
      </c>
      <c r="AY28" s="236" t="str">
        <f t="shared" si="235"/>
        <v/>
      </c>
      <c r="AZ28" s="236" t="str">
        <f t="shared" si="236"/>
        <v/>
      </c>
      <c r="BA28" s="236" t="str">
        <f t="shared" si="237"/>
        <v/>
      </c>
      <c r="BB28" s="467" t="str">
        <f t="shared" si="238"/>
        <v/>
      </c>
      <c r="BC28" s="329" t="str">
        <f t="shared" si="239"/>
        <v/>
      </c>
      <c r="BD28" s="237" t="str">
        <f t="shared" si="240"/>
        <v/>
      </c>
      <c r="BE28" s="237" t="str">
        <f>IF(A28=FALSE,"",IF(ED28&lt;&gt;$BC$7,0,INDEX(EA28:EZ28,1,MATCH(Structure!$J$16,$EA$14:$EZ$14,0))))</f>
        <v/>
      </c>
      <c r="BF28" s="237" t="str">
        <f>IF(A28=FALSE,"",IF(FD28&lt;&gt;$BC$7,0,INDEX(FA28:FZ28,1,MATCH(Structure!$J$16,$FA$14:$FZ$14,0))))</f>
        <v/>
      </c>
      <c r="BG28" s="237" t="str">
        <f>IF(A28=FALSE,"",IF(GD28&lt;&gt;$BC$7,0,INDEX(GA28:GZ28,1,MATCH(Structure!$J$16,$GA$14:$GZ$14,0))))</f>
        <v/>
      </c>
      <c r="BH28" s="237" t="str">
        <f>IF(A28=FALSE,"",IF(HD28&lt;&gt;$BC$7,0,INDEX(HA28:HZ28,1,MATCH(Structure!$J$16,$HA$14:$HZ$14,0))))</f>
        <v/>
      </c>
      <c r="BI28" s="621" t="str">
        <f>IF(A28=FALSE,"",IF(ID28&lt;&gt;$BC$7,0,INDEX(IA28:IZ28,1,MATCH(Structure!$C$12,$IA$14:$IZ$14,0)))+OL28)</f>
        <v/>
      </c>
      <c r="BJ28" s="237" t="str">
        <f>IF(A28=FALSE,"",IF(JD28&lt;&gt;$BC$7,0,INDEX(JA28:JZ28,1,MATCH(Structure!$C$12,$JA$14:$JZ$14,0))))</f>
        <v/>
      </c>
      <c r="BK28" s="621" t="str">
        <f>IF(A28=FALSE,"",IF(KD28&lt;&gt;$BC$7,0,INDEX(KA28:KZ28,1,MATCH(Structure!$C$12,$KA$14:$KZ$14,0)))+PL28)</f>
        <v/>
      </c>
      <c r="BL28" s="237" t="str">
        <f>IF(A28=FALSE,"",IF(LD28&lt;&gt;$BC$7,0,INDEX(LA28:LZ28,1,MATCH(Structure!$C$12,$LA$14:$LZ$14,0))))</f>
        <v/>
      </c>
      <c r="BM28" s="237" t="str">
        <f>IF(A28=FALSE,"",IF(MD28&lt;&gt;$BC$7,0,INDEX(MA28:MZ28,1,MATCH(Structure!$C$12,$MA$14:$MZ$14,0))))</f>
        <v/>
      </c>
      <c r="BN28" s="326" t="str">
        <f>IF(A28=FALSE,"",IF(ND28&lt;&gt;$BC$7,0,INDEX(NA28:OC28,1,MATCH(Structure!$C$12,$NA$14:$OC$14,0))))</f>
        <v/>
      </c>
      <c r="BO28" s="435" t="str">
        <f t="shared" si="241"/>
        <v/>
      </c>
      <c r="BP28" s="237" t="str">
        <f t="shared" si="242"/>
        <v/>
      </c>
      <c r="BQ28" s="237" t="str">
        <f>IF(A28=FALSE,"",IF(ED28&lt;&gt;$BO$7,0,INDEX(EA28:EZ28,1,MATCH(Structure!$C$12,$EA$14:$EZ$14,0))))</f>
        <v/>
      </c>
      <c r="BR28" s="237" t="str">
        <f>IF(A28=FALSE,"",IF(FD28&lt;&gt;$BO$7,0,INDEX(FA28:FZ28,1,MATCH(Structure!$C$12,$FA$14:$FZ$14,0))))</f>
        <v/>
      </c>
      <c r="BS28" s="237" t="str">
        <f>IF(A28=FALSE,"",IF(ID28&lt;&gt;$BO$7,0,INDEX(IA28:IZ28,1,MATCH(Structure!$C$13,$IA$14:$IZ$14,0))))</f>
        <v/>
      </c>
      <c r="BT28" s="237" t="str">
        <f>IF(A28=FALSE,"",IF(JD28&lt;&gt;$BO$7,0,INDEX(JA28:JZ28,1,MATCH(Structure!$C$13,$JA$14:$JZ$14,0))))</f>
        <v/>
      </c>
      <c r="BU28" s="237" t="str">
        <f>IF(A28=FALSE,"",IF(KD28&lt;&gt;$BO$7,0,INDEX(KA28:KZ28,1,MATCH(Structure!$C$13,$KA$14:$KZ$14,0))))</f>
        <v/>
      </c>
      <c r="BV28" s="237" t="str">
        <f>IF(A28=FALSE,"",IF(LD28&lt;&gt;$BO$7,0,INDEX(LA28:LZ28,1,MATCH(Structure!$C$13,$LA$14:$LZ$14,0))))</f>
        <v/>
      </c>
      <c r="BW28" s="237" t="str">
        <f>IF(A28=FALSE,"",IF(MD28&lt;&gt;$BO$7,0,INDEX(MA28:MZ28,1,MATCH(Structure!$C$13,$MA$14:$MZ$14,0))))</f>
        <v/>
      </c>
      <c r="BX28" s="326" t="str">
        <f>IF(A28=FALSE,"",IF(ND28&lt;&gt;$BO$7,0,INDEX(NA28:OC28,1,MATCH(Structure!$C$13,$NA$14:$OC$14,0))))</f>
        <v/>
      </c>
      <c r="BY28" s="412"/>
      <c r="BZ28" s="412"/>
      <c r="CA28" s="1255" t="str">
        <f>IF(A28=FALSE,"",IF(LISTES!$A$17=1,Cotations!AG28,Cotations!AH28))</f>
        <v/>
      </c>
      <c r="CB28" s="1266" t="str">
        <f t="shared" si="243"/>
        <v/>
      </c>
      <c r="CC28" s="1120" t="str">
        <f t="shared" si="244"/>
        <v/>
      </c>
      <c r="CD28" s="1120" t="str">
        <f t="shared" si="245"/>
        <v/>
      </c>
      <c r="CE28" s="1120" t="str">
        <f t="shared" si="246"/>
        <v/>
      </c>
      <c r="CF28" s="1120" t="str">
        <f t="shared" si="247"/>
        <v/>
      </c>
      <c r="CG28" s="1267"/>
      <c r="CH28" s="1267"/>
      <c r="CI28" s="1268" t="str">
        <f t="shared" si="248"/>
        <v/>
      </c>
      <c r="CJ28" s="286" t="str">
        <f t="shared" si="249"/>
        <v/>
      </c>
      <c r="CK28" s="286" t="str">
        <f t="shared" si="250"/>
        <v/>
      </c>
      <c r="CL28" s="1263"/>
      <c r="CM28" s="1263"/>
      <c r="CN28" s="1263"/>
      <c r="CO28" s="1263"/>
      <c r="CP28" s="319" t="str">
        <f t="shared" si="251"/>
        <v/>
      </c>
      <c r="CQ28" s="443" t="str">
        <f>IF(A28=FALSE,"",Cotations!AM28)</f>
        <v/>
      </c>
      <c r="CR28" s="443" t="str">
        <f>IF(A28=FALSE,"",IF(Cotations!AN28="","",Cotations!AN28))</f>
        <v/>
      </c>
      <c r="CS28" s="433" t="str">
        <f>IF(A28=FALSE,"",Cotations!AO28)</f>
        <v/>
      </c>
      <c r="CT28" s="443" t="str">
        <f>IF(A28=FALSE,"",IF(CQ28="N/A",0,IF(INDEX(LISTES!$F$105:$F$109,MATCH(CQ28,LISTES!$C$105:$C$109,0))="FIX",IF(INDEX(LISTES!$E$105:$E$109,MATCH(CQ28,LISTES!$C$105:$C$109,0))=12,CR28/12*L28,CR28/365*M28),CS28*EQ28)))</f>
        <v/>
      </c>
      <c r="CU28" s="434" t="str">
        <f>IF(A28=FALSE,"",(CJ28+CK28)*Cotations!AP28)</f>
        <v/>
      </c>
      <c r="CV28" s="434" t="str">
        <f>IF(A28=FALSE,"",(CJ28+CK28)*Cotations!AQ28)</f>
        <v/>
      </c>
      <c r="DA28" s="1253" t="str">
        <f>IF(A28=FALSE,"",IF(LISTES!$A$17=1,Cotations!AV28,Cotations!AW28))</f>
        <v/>
      </c>
      <c r="DB28" s="1271" t="str">
        <f t="shared" si="252"/>
        <v/>
      </c>
      <c r="DC28" s="1270" t="str">
        <f t="shared" si="253"/>
        <v/>
      </c>
      <c r="DD28" s="1270" t="str">
        <f t="shared" si="254"/>
        <v/>
      </c>
      <c r="DE28" s="1270" t="str">
        <f t="shared" si="255"/>
        <v/>
      </c>
      <c r="DF28" s="1270" t="str">
        <f t="shared" si="256"/>
        <v/>
      </c>
      <c r="DG28" s="1270" t="str">
        <f t="shared" si="257"/>
        <v/>
      </c>
      <c r="DH28" s="1270" t="str">
        <f t="shared" si="258"/>
        <v/>
      </c>
      <c r="DI28" s="1271" t="str">
        <f t="shared" si="259"/>
        <v/>
      </c>
      <c r="DJ28" s="286" t="str">
        <f t="shared" si="260"/>
        <v/>
      </c>
      <c r="DK28" s="286" t="str">
        <f t="shared" si="261"/>
        <v/>
      </c>
      <c r="DL28" s="1264" t="str">
        <f t="shared" si="262"/>
        <v/>
      </c>
      <c r="DM28" s="1264" t="str">
        <f t="shared" si="263"/>
        <v/>
      </c>
      <c r="DN28" s="1264" t="str">
        <f t="shared" si="264"/>
        <v/>
      </c>
      <c r="DO28" s="1264" t="str">
        <f t="shared" si="265"/>
        <v/>
      </c>
      <c r="DP28" s="323" t="str">
        <f t="shared" si="132"/>
        <v/>
      </c>
      <c r="DQ28" s="759" t="str">
        <f>IF(A28=FALSE,"",Cotations!BW28)</f>
        <v/>
      </c>
      <c r="DR28" s="759" t="str">
        <f>IF(A28=FALSE,"",Cotations!BX28)</f>
        <v/>
      </c>
      <c r="DS28" s="538" t="str">
        <f>IF(A28=FALSE,"",Cotations!BY28)</f>
        <v/>
      </c>
      <c r="DT28" s="830" t="str">
        <f>IF(A28=FALSE,"",IF(DQ28="N/A",0,IF(INDEX(LISTES!$F$105:$F$109,MATCH(DQ28,LISTES!$C$105:$C$109,0))="FIX",IF(INDEX(LISTES!$E$105:$E$109,MATCH(DQ28,LISTES!$C$105:$C$109,0))=12,DR28/12*L28,DR28/365*M28),DS28*(DN28+DO28))))</f>
        <v/>
      </c>
      <c r="DU28" s="286" t="str">
        <f>IF(A28=FALSE,"",DJ28*Cotations!BZ28)</f>
        <v/>
      </c>
      <c r="DV28" s="286" t="str">
        <f>IF(A28=FALSE,"",DJ28*Cotations!CA28)</f>
        <v/>
      </c>
      <c r="EA28" s="432" t="str">
        <f>IF(A28=FALSE,"",Cotations!AT28)</f>
        <v/>
      </c>
      <c r="EB28" s="1234" t="str">
        <f>IF(A28=FALSE,"",YEAR(Detail!F28)&amp;Detail!AG28&amp;Detail!AD28&amp;"-"&amp;Detail!$AD$13&amp;Detail!AE28)</f>
        <v/>
      </c>
      <c r="EC28" s="434" t="str">
        <f>IF(A28=FALSE,"",IF(LISTES!$A$17=1,EB28,INDEX(colMOD1,MATCH(Cotations!AH28,colchoice,0))))</f>
        <v/>
      </c>
      <c r="ED28" s="277" t="str">
        <f t="shared" si="133"/>
        <v/>
      </c>
      <c r="EE28" s="277" t="str">
        <f t="shared" si="134"/>
        <v/>
      </c>
      <c r="EF28" s="277"/>
      <c r="EG28" s="277"/>
      <c r="EH28" s="277" t="str">
        <f t="shared" si="135"/>
        <v/>
      </c>
      <c r="EI28" s="1104" t="str">
        <f t="shared" si="136"/>
        <v/>
      </c>
      <c r="EJ28" s="1104" t="str">
        <f t="shared" si="137"/>
        <v/>
      </c>
      <c r="EK28" s="443" t="str">
        <f>IF(A28=FALSE,"",IF(Cotations!AF28="monthly",EH28/12*L28,EH28/365*M28))</f>
        <v/>
      </c>
      <c r="EL28" s="1103" t="str">
        <f>IF(A28=FALSE,"",IF(Cotations!AF28="monthly",EJ28/12*L28,EJ28/365*M28))</f>
        <v/>
      </c>
      <c r="EM28" s="433" t="str">
        <f>IF(A28=FALSE,"",IF(Cotations!AI28="","",Cotations!AI28))</f>
        <v/>
      </c>
      <c r="EN28" s="277" t="str">
        <f t="shared" si="266"/>
        <v/>
      </c>
      <c r="EO28" s="277" t="str">
        <f t="shared" si="138"/>
        <v/>
      </c>
      <c r="EP28" s="1104" t="str">
        <f t="shared" si="139"/>
        <v/>
      </c>
      <c r="EQ28" s="277" t="str">
        <f t="shared" si="267"/>
        <v/>
      </c>
      <c r="ER28" s="759" t="str">
        <f>IF(A28=FALSE,"",((EH28*TAXE)-(EH28*TAXE*EM28)+EI28)+IF(CQ28="N/A",0,IF(INDEX(LISTES!$F$105:$F$109,MATCH(CQ28,LISTES!$C$105:$C$109,0))="FIX",CR28,CS28*EQ28)))</f>
        <v/>
      </c>
      <c r="ET28" s="422"/>
      <c r="EU28" s="422"/>
      <c r="EV28" s="422"/>
      <c r="EW28" s="422"/>
      <c r="EX28" s="422"/>
      <c r="EY28" s="422"/>
      <c r="EZ28" s="422"/>
      <c r="FA28" s="802" t="str">
        <f>IF(A28=FALSE,"",Cotations!AT28)</f>
        <v/>
      </c>
      <c r="FB28" s="1235" t="str">
        <f>IF(A28=FALSE,"",IF(Detail!AL28="","N/A",YEAR(Detail!F28)&amp;Detail!AO28&amp;Detail!AL28&amp;"-"&amp;Detail!$AL$13&amp;Detail!AM28))</f>
        <v/>
      </c>
      <c r="FC28" s="434" t="str">
        <f>IF(A28=FALSE,"",IF(LISTES!$A$17=1,FB28,INDEX(colMOD2,MATCH(Cotations!AH28,colchoice,0))))</f>
        <v/>
      </c>
      <c r="FD28" s="277" t="str">
        <f t="shared" si="140"/>
        <v/>
      </c>
      <c r="FE28" s="277" t="str">
        <f>IF(A28=FALSE,"",IF(Detail!AM28="","",Detail!AM28))</f>
        <v/>
      </c>
      <c r="FF28" s="277"/>
      <c r="FG28" s="277"/>
      <c r="FH28" s="277" t="str">
        <f t="shared" si="141"/>
        <v/>
      </c>
      <c r="FI28" s="1104"/>
      <c r="FJ28" s="1104"/>
      <c r="FK28" s="443" t="str">
        <f>IF(A28=FALSE,"",IF(Cotations!AF28="monthly",FH28/12*L28,FH28/365*M28))</f>
        <v/>
      </c>
      <c r="FL28" s="1103" t="str">
        <f>IF(A28=FALSE,"",IF(Cotations!AF28="monthly",FJ28/12*L28,FJ28/365*M28))</f>
        <v/>
      </c>
      <c r="FM28" s="433" t="str">
        <f>IF(A28=FALSE,"",IF(Cotations!AJ28="","",Cotations!AJ28))</f>
        <v/>
      </c>
      <c r="FN28" s="277" t="str">
        <f t="shared" si="268"/>
        <v/>
      </c>
      <c r="FO28" s="277" t="str">
        <f t="shared" si="269"/>
        <v/>
      </c>
      <c r="FP28" s="1104"/>
      <c r="FQ28" s="277" t="str">
        <f t="shared" si="270"/>
        <v/>
      </c>
      <c r="FR28" s="759" t="str">
        <f>IF(A28=FALSE,"",((FH28*TAXE)-(FH28*TAXE*FM28))+IF(#REF!="N/A",0,IF(INDEX(LISTES!$F$105:$F$109,MATCH(#REF!,LISTES!$C$105:$C$109,0))="FIX",#REF!,#REF!*FQ28)))</f>
        <v/>
      </c>
      <c r="FS28" s="422"/>
      <c r="FT28" s="422"/>
      <c r="FU28" s="422"/>
      <c r="FV28" s="422"/>
      <c r="FW28" s="422"/>
      <c r="FX28" s="422"/>
      <c r="FY28" s="422"/>
      <c r="FZ28" s="422"/>
      <c r="GA28" s="432" t="str">
        <f t="shared" si="145"/>
        <v/>
      </c>
      <c r="GB28" s="1234" t="str">
        <f>IF(A28=FALSE,"",IF(Detail!DF28="","N/A",YEAR(Detail!F28)&amp;Detail!DI28&amp;Detail!DF28&amp;"-"&amp;Detail!$DF$13))</f>
        <v/>
      </c>
      <c r="GC28" s="434" t="str">
        <f>IF(A28=FALSE,"",IF(LISTES!$A$17=1,GB28,INDEX(colMOD3,MATCH(Cotations!AH28,colchoice,0))))</f>
        <v/>
      </c>
      <c r="GD28" s="277" t="str">
        <f t="shared" si="146"/>
        <v/>
      </c>
      <c r="GE28" s="277" t="str">
        <f t="shared" si="147"/>
        <v/>
      </c>
      <c r="GF28" s="277"/>
      <c r="GG28" s="277"/>
      <c r="GH28" s="277" t="str">
        <f t="shared" si="271"/>
        <v/>
      </c>
      <c r="GI28" s="1104" t="str">
        <f t="shared" si="272"/>
        <v/>
      </c>
      <c r="GJ28" s="1104" t="str">
        <f t="shared" si="273"/>
        <v/>
      </c>
      <c r="GK28" s="443" t="str">
        <f>IF(A28=FALSE,"",IF(Cotations!AF28="monthly",GH28/12*L28,GH28/365*M28))</f>
        <v/>
      </c>
      <c r="GL28" s="1103" t="str">
        <f>IF(A28=FALSE,"",IF(Cotations!AF28="monthly",GJ28/12*L28,GJ28/365*M28))</f>
        <v/>
      </c>
      <c r="GM28" s="433" t="str">
        <f>IF(A28=FALSE,"",IF(Cotations!AK28="","",Cotations!AK28))</f>
        <v/>
      </c>
      <c r="GN28" s="277" t="str">
        <f t="shared" si="274"/>
        <v/>
      </c>
      <c r="GO28" s="277" t="str">
        <f t="shared" si="275"/>
        <v/>
      </c>
      <c r="GP28" s="1104" t="str">
        <f t="shared" si="276"/>
        <v/>
      </c>
      <c r="GQ28" s="277" t="str">
        <f t="shared" si="277"/>
        <v/>
      </c>
      <c r="GR28" s="759" t="str">
        <f>IF(A28=FALSE,"",((GH28*TAXE)-(GH28*TAXE*GM28)+GI28)+IF(CQ28="N/A",0,IF(INDEX(LISTES!$F$105:$F$109,MATCH(CQ28,LISTES!$C$105:$C$109,0))="FIX",CR28,CS28*GQ28)))</f>
        <v/>
      </c>
      <c r="GS28" s="412"/>
      <c r="GT28" s="412"/>
      <c r="GU28" s="412"/>
      <c r="GV28" s="412"/>
      <c r="GW28" s="412"/>
      <c r="GX28" s="412"/>
      <c r="GY28" s="412"/>
      <c r="GZ28" s="412"/>
      <c r="HA28" s="432" t="str">
        <f t="shared" si="155"/>
        <v/>
      </c>
      <c r="HB28" s="1234" t="str">
        <f>IF(A28=FALSE,"",IF(Detail!DF28="","N/A",YEAR(Detail!F28)&amp;Detail!DI28&amp;Detail!DF28&amp;"-"&amp;Detail!$DF$13))</f>
        <v/>
      </c>
      <c r="HC28" s="434" t="str">
        <f>IF(A28=FALSE,"",IF(LISTES!$A$17=1,HB28,INDEX(colMOD4,MATCH(Cotations!AH28,colchoice,0))))</f>
        <v/>
      </c>
      <c r="HD28" s="277" t="str">
        <f t="shared" si="278"/>
        <v/>
      </c>
      <c r="HE28" s="277" t="str">
        <f t="shared" si="279"/>
        <v/>
      </c>
      <c r="HF28" s="277"/>
      <c r="HG28" s="277"/>
      <c r="HH28" s="277" t="str">
        <f t="shared" si="280"/>
        <v/>
      </c>
      <c r="HI28" s="1104" t="str">
        <f t="shared" si="281"/>
        <v/>
      </c>
      <c r="HJ28" s="1104" t="str">
        <f t="shared" si="282"/>
        <v/>
      </c>
      <c r="HK28" s="443" t="str">
        <f>IF(A28=FALSE,"",IF(Cotations!AF28="monthly",HH28/12*L28,HH28/365*M28))</f>
        <v/>
      </c>
      <c r="HL28" s="1103" t="str">
        <f>IF(A28=FALSE,"",IF(Cotations!AF28="monthly",HJ28/12*L28,HJ28/365*M28))</f>
        <v/>
      </c>
      <c r="HM28" s="433" t="str">
        <f>IF(A28=FALSE,"",IF(Cotations!AL28="","",Cotations!AL28))</f>
        <v/>
      </c>
      <c r="HN28" s="277" t="str">
        <f t="shared" si="283"/>
        <v/>
      </c>
      <c r="HO28" s="277" t="str">
        <f t="shared" si="284"/>
        <v/>
      </c>
      <c r="HP28" s="1104" t="str">
        <f t="shared" si="285"/>
        <v/>
      </c>
      <c r="HQ28" s="277" t="str">
        <f t="shared" si="286"/>
        <v/>
      </c>
      <c r="HR28" s="759" t="str">
        <f>IF(A28=FALSE,"",((HH28*TAXE)-(HH28*TAXE*HM28)+HI28)+IF(CQ28="N/A",0,IF(INDEX(LISTES!$F$105:$F$109,MATCH(CQ28,LISTES!$C$105:$C$109,0))="FIX",CR28,CS28*HQ28)))</f>
        <v/>
      </c>
      <c r="HS28" s="412"/>
      <c r="HT28" s="412"/>
      <c r="HU28" s="412"/>
      <c r="HV28" s="412"/>
      <c r="HW28" s="412"/>
      <c r="HX28" s="412"/>
      <c r="HY28" s="412"/>
      <c r="HZ28" s="1262"/>
      <c r="IA28" s="802" t="str">
        <f>IF(A28=FALSE,"",Cotations!AT28)</f>
        <v/>
      </c>
      <c r="IB28" s="1253" t="str">
        <f>IF(A28=FALSE,"",IF(Detail!AT28="","N/A",YEAR(Detail!F28)&amp;Detail!AW28&amp;Detail!AT28&amp;"-"&amp;Detail!$AT$13&amp;Detail!AU28))</f>
        <v/>
      </c>
      <c r="IC28" s="431" t="str">
        <f>IF(A28=FALSE,"",IF(LISTES!$A$17=1,IB28,INDEX(colMOD1,MATCH(DA28,colchoice,0))))</f>
        <v/>
      </c>
      <c r="ID28" s="759" t="str">
        <f t="shared" si="287"/>
        <v/>
      </c>
      <c r="IE28" s="292" t="str">
        <f>IF(A28=FALSE,"",IF(LISTES!$A$17=1,Detail!AU28,INDEX(Rates!$M$1:$M$270,MATCH(IC28,colMOD1,0))))</f>
        <v/>
      </c>
      <c r="IF28" s="409" t="str">
        <f t="shared" si="165"/>
        <v/>
      </c>
      <c r="IG28" s="430" t="str">
        <f>IF(A28=FALSE,"",IF(IA28="POEA",Cotations!AY28,IF(IA28="FIXE",Cotations!AZ28,IF(Cotations!BA28*Y28&lt;50000,Z28,Cotations!BA28*Y28))))</f>
        <v/>
      </c>
      <c r="IH28" s="292" t="str">
        <f t="shared" si="166"/>
        <v/>
      </c>
      <c r="II28" s="292" t="str">
        <f>IF(A28=FALSE,"",IF(Cotations!AU28="monthly",IH28/12*L28,IH28/365*M28))</f>
        <v/>
      </c>
      <c r="IJ28" s="405" t="str">
        <f>IF(A28=FALSE,"",IF(Cotations!BB28="","",Cotations!BB28))</f>
        <v/>
      </c>
      <c r="IK28" s="292" t="str">
        <f t="shared" si="167"/>
        <v/>
      </c>
      <c r="IL28" s="292" t="str">
        <f t="shared" si="168"/>
        <v/>
      </c>
      <c r="IM28" s="759" t="str">
        <f t="shared" si="169"/>
        <v/>
      </c>
      <c r="IN28" s="759" t="str">
        <f>IF(A28=FALSE,"",((IH28*TAXE)-(IH28*TAXE*IJ28))+IF(DQ28="N/A",0,IF(INDEX(LISTES!$F$105:$F$109,MATCH(DQ28,LISTES!$C$105:$C$109,0))="FIX",DR28,DS28*IM28)))</f>
        <v/>
      </c>
      <c r="JA28" s="432" t="str">
        <f>IF(A28=FALSE,"",Cotations!AT28)</f>
        <v/>
      </c>
      <c r="JB28" s="1234" t="str">
        <f>IF(A28=FALSE,"",IF(Detail!BB28="","N/A",YEAR(Detail!F28)&amp;Detail!BE28&amp;Detail!BB28&amp;"-"&amp;Detail!$BB$13&amp;Detail!BC28))</f>
        <v/>
      </c>
      <c r="JC28" s="431" t="str">
        <f>IF(A28=FALSE,"",IF(LISTES!$A$17=1,JB28,INDEX(colMOD2,MATCH(DA28,colchoice,0))))</f>
        <v/>
      </c>
      <c r="JD28" s="759" t="str">
        <f t="shared" si="170"/>
        <v/>
      </c>
      <c r="JE28" s="292"/>
      <c r="JF28" s="409" t="str">
        <f t="shared" si="171"/>
        <v/>
      </c>
      <c r="JG28" s="810" t="str">
        <f>IF(A28=FALSE,"",IF(JA28="POEA",Cotations!BC28,IF(JA28="FIXE",Cotations!BD28,IF(Cotations!BE28*Y28&lt;50000,Z28,Cotations!BE28*Y28))))</f>
        <v/>
      </c>
      <c r="JH28" s="292" t="str">
        <f t="shared" si="172"/>
        <v/>
      </c>
      <c r="JI28" s="446" t="str">
        <f>IF(A28=FALSE,"",IF(Cotations!AU28="monthly",JH28/12*L28,JH28/365*M28))</f>
        <v/>
      </c>
      <c r="JJ28" s="405" t="str">
        <f>IF(A28=FALSE,"",IF(Cotations!BF28="","",Cotations!BF28))</f>
        <v/>
      </c>
      <c r="JK28" s="292" t="str">
        <f t="shared" si="173"/>
        <v/>
      </c>
      <c r="JL28" s="292" t="str">
        <f t="shared" si="174"/>
        <v/>
      </c>
      <c r="JM28" s="759" t="str">
        <f t="shared" si="175"/>
        <v/>
      </c>
      <c r="JN28" s="759" t="str">
        <f>IF(A28=FALSE,"",((JH28*TAXE)-(JH28*TAXE*JJ28))+IF(#REF!="N/A",0,IF(INDEX(LISTES!$F$105:$F$109,MATCH(#REF!,LISTES!$C$105:$C$109,0))="FIX",#REF!,#REF!*JM28)))</f>
        <v/>
      </c>
      <c r="KA28" s="802" t="str">
        <f>IF(A28=FALSE,"",Cotations!AT28)</f>
        <v/>
      </c>
      <c r="KB28" s="1234" t="str">
        <f>IF(A28=FALSE,"",IF(Detail!BJ28="","N/A",YEAR(Detail!F28)&amp;Detail!BM28&amp;Detail!BJ28&amp;"-"&amp;Detail!$BJ$13&amp;Detail!BK28))</f>
        <v/>
      </c>
      <c r="KC28" s="431" t="str">
        <f>IF(A28=FALSE,"",IF(LISTES!$A$17=1,KB28,INDEX(colMOD3,MATCH(DA28,colchoice,0))))</f>
        <v/>
      </c>
      <c r="KD28" s="759" t="str">
        <f t="shared" si="176"/>
        <v/>
      </c>
      <c r="KE28" s="292"/>
      <c r="KF28" s="409" t="str">
        <f t="shared" si="177"/>
        <v/>
      </c>
      <c r="KG28" s="810" t="str">
        <f>IF(A28=FALSE,"",IF(KA28="POEA",Cotations!BG28,IF(KA28="FIXE",Cotations!BH28,IF(Cotations!BI28*Y28&lt;50000,Z28,Cotations!BI28*Y28))))</f>
        <v/>
      </c>
      <c r="KH28" s="292" t="str">
        <f t="shared" si="178"/>
        <v/>
      </c>
      <c r="KI28" s="446" t="str">
        <f>IF(A28=FALSE,"",IF(Cotations!AU28="monthly",KH28/12*L28,KH28/365*M28))</f>
        <v/>
      </c>
      <c r="KJ28" s="405" t="str">
        <f>IF(A28=FALSE,"",IF(Cotations!BJ28="","",Cotations!BJ28))</f>
        <v/>
      </c>
      <c r="KK28" s="292" t="str">
        <f t="shared" si="179"/>
        <v/>
      </c>
      <c r="KL28" s="292" t="str">
        <f t="shared" si="180"/>
        <v/>
      </c>
      <c r="KM28" s="759" t="str">
        <f t="shared" si="181"/>
        <v/>
      </c>
      <c r="KN28" s="759" t="str">
        <f>IF(A28=FALSE,"",((KH28*TAXE)-(KH28*TAXE*KJ28))+IF(#REF!="N/A",0,IF(INDEX(LISTES!$F$105:$F$109,MATCH(#REF!,LISTES!$C$105:$C$109,0))="FIX",#REF!,#REF!*KM28)))</f>
        <v/>
      </c>
      <c r="LA28" s="432" t="str">
        <f>IF(A28=FALSE,"",Cotations!AT28)</f>
        <v/>
      </c>
      <c r="LB28" s="1234" t="str">
        <f>IF(A28=FALSE,"",IF(Detail!BR28="","N/A",YEAR(Detail!F28)&amp;Detail!BU28&amp;Detail!BR28&amp;"-"&amp;Detail!$BR$13&amp;Detail!BS28))</f>
        <v/>
      </c>
      <c r="LC28" s="431" t="str">
        <f>IF(A28=FALSE,"",IF(LISTES!$A$17=1,LB28,INDEX(colMOD4,MATCH(DA28,colchoice,0))))</f>
        <v/>
      </c>
      <c r="LD28" s="759" t="str">
        <f t="shared" si="182"/>
        <v/>
      </c>
      <c r="LE28" s="292"/>
      <c r="LF28" s="409" t="str">
        <f t="shared" si="183"/>
        <v/>
      </c>
      <c r="LG28" s="810" t="str">
        <f>IF(A28=FALSE,"",IF(LA28="POEA",Cotations!BK28,IF(LA28="FIXE",Cotations!BL28,IF(Cotations!BM28*Y28&lt;50000,Z28,Cotations!BM28*Y28))))</f>
        <v/>
      </c>
      <c r="LH28" s="292" t="str">
        <f t="shared" si="184"/>
        <v/>
      </c>
      <c r="LI28" s="446" t="str">
        <f>IF(A28=FALSE,"",IF(Cotations!AU28="monthly",LH28/12*L28,LH28/365*M28))</f>
        <v/>
      </c>
      <c r="LJ28" s="405" t="str">
        <f>IF(A28=FALSE,"",IF(Cotations!BN28="","",Cotations!BN28))</f>
        <v/>
      </c>
      <c r="LK28" s="292" t="str">
        <f t="shared" si="185"/>
        <v/>
      </c>
      <c r="LL28" s="292" t="str">
        <f t="shared" si="186"/>
        <v/>
      </c>
      <c r="LM28" s="759" t="str">
        <f t="shared" si="187"/>
        <v/>
      </c>
      <c r="LN28" s="759" t="str">
        <f>IF(A28=FALSE,"",((LH28*TAXE)-(LH28*TAXE*LJ28))+IF(#REF!="N/A",0,IF(INDEX(LISTES!$F$105:$F$109,MATCH(#REF!,LISTES!$C$105:$C$109,0))="FIX",#REF!,#REF!*LM28)))</f>
        <v/>
      </c>
      <c r="MA28" s="802" t="str">
        <f t="shared" si="188"/>
        <v/>
      </c>
      <c r="MB28" s="1234" t="str">
        <f>IF(A28=FALSE,"",IF(Detail!BZ28="","N/A",YEAR(Detail!F28)&amp;Detail!CC28&amp;Detail!BZ28&amp;"-"&amp;Detail!$BZ$13&amp;" (100%/"&amp;Detail!CD28&amp;"/"&amp;Detail!CE28&amp;")"))</f>
        <v/>
      </c>
      <c r="MC28" s="431" t="str">
        <f>IF(A28=FALSE,"",IF(LISTES!$A$17=1,MB28,INDEX(colMOD5,MATCH(DA28,colchoice,0))))</f>
        <v/>
      </c>
      <c r="MD28" s="759" t="str">
        <f t="shared" si="189"/>
        <v/>
      </c>
      <c r="ME28" s="292"/>
      <c r="MF28" s="409" t="str">
        <f t="shared" si="190"/>
        <v/>
      </c>
      <c r="MG28" s="810" t="str">
        <f>IF(A28=FALSE,"",Cotations!BQ28*AA28)</f>
        <v/>
      </c>
      <c r="MH28" s="292" t="str">
        <f t="shared" si="191"/>
        <v/>
      </c>
      <c r="MI28" s="446" t="str">
        <f>IF(A28=FALSE,"",IF(Cotations!AU28="monthly",MH28/12*L28,MH28/365*M28))</f>
        <v/>
      </c>
      <c r="MJ28" s="405" t="str">
        <f>IF(A28=FALSE,"",IF(Cotations!BR28="","",Cotations!BR28))</f>
        <v/>
      </c>
      <c r="MK28" s="292" t="str">
        <f t="shared" si="192"/>
        <v/>
      </c>
      <c r="ML28" s="292" t="str">
        <f t="shared" si="193"/>
        <v/>
      </c>
      <c r="MM28" s="759" t="str">
        <f t="shared" si="194"/>
        <v/>
      </c>
      <c r="MN28" s="759" t="str">
        <f>IF(A28=FALSE,"",((MH28*TAXE)-(MH28*TAXE*MJ28))+IF(#REF!="N/A",0,IF(INDEX(LISTES!$F$105:$F$109,MATCH(#REF!,LISTES!$C$105:$C$109,0))="FIX",#REF!,#REF!*MM28)))</f>
        <v/>
      </c>
      <c r="NA28" s="432" t="str">
        <f t="shared" si="195"/>
        <v/>
      </c>
      <c r="NB28" s="1234" t="str">
        <f>IF(A28=FALSE,"",IF(Detail!CH28="","N/A",YEAR(Detail!F28)&amp;Detail!CK28&amp;Detail!CH28&amp;"-"&amp;Detail!$CH$13&amp;" (100%/"&amp;Detail!CL28&amp;"/"&amp;Detail!CM28&amp;")"))</f>
        <v/>
      </c>
      <c r="NC28" s="431" t="str">
        <f>IF(A28=FALSE,"",IF(LISTES!$A$17=1,NB28,INDEX(colMOD6,MATCH(DA28,colchoice,0))))</f>
        <v/>
      </c>
      <c r="ND28" s="759" t="str">
        <f t="shared" si="196"/>
        <v/>
      </c>
      <c r="NE28" s="292"/>
      <c r="NF28" s="409" t="str">
        <f t="shared" si="197"/>
        <v/>
      </c>
      <c r="NG28" s="810" t="str">
        <f>IF(A28=FALSE,"",Cotations!BU28*AA28)</f>
        <v/>
      </c>
      <c r="NH28" s="292" t="str">
        <f t="shared" si="198"/>
        <v/>
      </c>
      <c r="NI28" s="446" t="str">
        <f>IF(A28=FALSE,"",IF(Cotations!AU28="monthly",NH28/12*L28,NH28/365*M28))</f>
        <v/>
      </c>
      <c r="NJ28" s="405" t="str">
        <f>IF(A28=FALSE,"",IF(Cotations!BV28="","",Cotations!BV28))</f>
        <v/>
      </c>
      <c r="NK28" s="292" t="str">
        <f t="shared" si="199"/>
        <v/>
      </c>
      <c r="NL28" s="292" t="str">
        <f t="shared" si="200"/>
        <v/>
      </c>
      <c r="NM28" s="759" t="str">
        <f t="shared" si="201"/>
        <v/>
      </c>
      <c r="NN28" s="759" t="str">
        <f>IF(A28=FALSE,"",((NH28*TAXE)-(NH28*TAXE*NJ28))+IF(#REF!="N/A",0,IF(INDEX(LISTES!$F$105:$F$109,MATCH(#REF!,LISTES!$C$105:$C$109,0))="FIX",#REF!,#REF!*NM28)))</f>
        <v/>
      </c>
      <c r="NZ28" s="1281" t="str">
        <f>IF(A28=FALSE,"",IF(Detail!CP28="","N/A",YEAR(Detail!F28)&amp;Detail!CS28&amp;Detail!CP28&amp;"-"&amp;Detail!CQ28))</f>
        <v/>
      </c>
      <c r="OA28" s="432" t="str">
        <f>IF(A28=FALSE,"",Cotations!CF28)</f>
        <v/>
      </c>
      <c r="OB28" s="1282" t="str">
        <f>IF(A28=FALSE,"",IF(Detail!CP28="","N/A",YEAR(Detail!F28)&amp;Detail!CS28&amp;Detail!CP28&amp;"-"&amp;Detail!$CP$13&amp;Detail!CQ28))</f>
        <v/>
      </c>
      <c r="OC28" s="1283" t="str">
        <f>IF(A28=FALSE,"",IF(LISTES!$A$17=1,OB28,INDEX(colMOD1,MATCH(Cotations!CE28,colchoice,0))))</f>
        <v/>
      </c>
      <c r="OD28" s="759" t="str">
        <f t="shared" si="202"/>
        <v/>
      </c>
      <c r="OE28" s="292" t="str">
        <f>IF(A28=FALSE,"",Detail!CQ28)</f>
        <v/>
      </c>
      <c r="OF28" s="409" t="str">
        <f t="shared" si="203"/>
        <v/>
      </c>
      <c r="OG28" s="430" t="str">
        <f>IF(A28=FALSE,"",IF(OA28="FIXE",Cotations!CM28,Cotations!CN28*AA28))</f>
        <v/>
      </c>
      <c r="OH28" s="292" t="str">
        <f t="shared" si="288"/>
        <v/>
      </c>
      <c r="OI28" s="446" t="str">
        <f>IF(A28=FALSE,"",IF(Cotations!CF28="monthly",OH28/12*L28,OH28/365*M28))</f>
        <v/>
      </c>
      <c r="OJ28" s="429" t="str">
        <f>IF(A28=FALSE,"",IF(Cotations!CO28="","",Cotations!CO28))</f>
        <v/>
      </c>
      <c r="OK28" s="292" t="str">
        <f t="shared" si="289"/>
        <v/>
      </c>
      <c r="OL28" s="292" t="str">
        <f t="shared" si="290"/>
        <v/>
      </c>
      <c r="OM28" s="759" t="str">
        <f t="shared" si="207"/>
        <v/>
      </c>
      <c r="ON28" s="759" t="str">
        <f>IF(A28=FALSE,"",((OH28*(1+TAXE)-(OH28*(1+TAXE)*OJ28))+IF(#REF!="N/A",0,IF(INDEX(LISTES!$F$105:$F$109,MATCH(#REF!,LISTES!$C$105:$C$109,0))="FIX",#REF!,#REF!*OM28))))</f>
        <v/>
      </c>
      <c r="PA28" s="432" t="str">
        <f>IF(A28=FALSE,"",Cotations!CF28)</f>
        <v/>
      </c>
      <c r="PB28" s="1282" t="str">
        <f>IF(A28=FALSE,"",IF(Detail!CX28="","N/A",YEAR(Detail!F28)&amp;Detail!DA28&amp;Detail!CX28&amp;"-"&amp;Detail!$CX$13&amp;Detail!CY28))</f>
        <v/>
      </c>
      <c r="PC28" s="1283" t="str">
        <f>IF(A28=FALSE,"",IF(LISTES!$A$17=1,PB28,INDEX(colMOD3,MATCH(Cotations!CE28,colchoice,0))))</f>
        <v/>
      </c>
      <c r="PD28" s="759" t="str">
        <f t="shared" si="208"/>
        <v/>
      </c>
      <c r="PE28" s="292" t="str">
        <f>IF(A28=FALSE,"",IF(Detail!CY28="","",Detail!CY28))</f>
        <v/>
      </c>
      <c r="PF28" s="409" t="str">
        <f t="shared" si="291"/>
        <v/>
      </c>
      <c r="PG28" s="430" t="str">
        <f>IF(A28=FALSE,"",IF(PA28="FIXE",Cotations!CP28,Cotations!CQ28*AA28))</f>
        <v/>
      </c>
      <c r="PH28" s="292" t="str">
        <f t="shared" si="292"/>
        <v/>
      </c>
      <c r="PI28" s="446" t="str">
        <f>IF(A28=FALSE,"",IF(Cotations!CG28="monthly",PH28/12*L28,PH28/365*M28))</f>
        <v/>
      </c>
      <c r="PJ28" s="429" t="str">
        <f>IF(A28=FALSE,"",IF(Cotations!DA28="",0,Cotations!DA28))</f>
        <v/>
      </c>
      <c r="PK28" s="292" t="str">
        <f t="shared" si="293"/>
        <v/>
      </c>
      <c r="PL28" s="292" t="str">
        <f t="shared" si="294"/>
        <v/>
      </c>
      <c r="PM28" s="759" t="str">
        <f t="shared" si="211"/>
        <v/>
      </c>
      <c r="PN28" s="759" t="str">
        <f>IF(A28=FALSE,"",((PH28*(1+TAXE)-(PH28*(1+TAXE)*PJ28))+IF(#REF!="N/A",0,IF(INDEX(LISTES!$F$105:$F$109,MATCH(#REF!,LISTES!$C$105:$C$109,0))="FIX",#REF!,#REF!*PM28))))</f>
        <v/>
      </c>
    </row>
    <row r="29" spans="1:430" s="1127" customFormat="1">
      <c r="A29" s="1129" t="b">
        <f t="shared" si="111"/>
        <v>0</v>
      </c>
      <c r="B29" s="1129" t="b">
        <f>IF(NAMES!$B$9=TRUE,TRUE,FALSE)</f>
        <v>1</v>
      </c>
      <c r="C29" s="1129" t="b">
        <f t="shared" si="212"/>
        <v>0</v>
      </c>
      <c r="D29" s="1129" t="b">
        <f t="shared" si="213"/>
        <v>1</v>
      </c>
      <c r="E29" s="1129" t="b">
        <f>IF(Cotations!C29="","",Cotations!C29)</f>
        <v>0</v>
      </c>
      <c r="F29" s="1129" t="str">
        <f>IF(Cotations!AT29="","",Cotations!AT29)</f>
        <v>PROP</v>
      </c>
      <c r="G29" s="1129" t="str">
        <f>IF(Cotations!D29="","",Cotations!D29)</f>
        <v>2016-2017!</v>
      </c>
      <c r="H29" s="1129" t="str">
        <f>IF(Cotations!E29="","",Cotations!E29)</f>
        <v>SINGLE</v>
      </c>
      <c r="I29" s="1129" t="str">
        <f>IF(Cotations!F29="","",Cotations!F29)</f>
        <v/>
      </c>
      <c r="J29" s="1129" t="str">
        <f>IF(Cotations!G29="","",Cotations!G29)</f>
        <v/>
      </c>
      <c r="K29" s="1129" t="str">
        <f>IF(Cotations!H29="","",Cotations!H29)</f>
        <v/>
      </c>
      <c r="L29" s="1129" t="str">
        <f>IF(A29=FALSE,"",IF(Cotations!M29="","",Cotations!M29))</f>
        <v/>
      </c>
      <c r="M29" s="1129" t="str">
        <f>IF(Cotations!O29="","",Cotations!O29)</f>
        <v/>
      </c>
      <c r="N29" s="1097">
        <f>IF(NAMES!$B$10=TRUE,Cotations!I29,Cotations!K29)</f>
        <v>42566</v>
      </c>
      <c r="O29" s="1097">
        <f>IF(NAMES!$B$10=TRUE,Cotations!J29,Cotations!L29)</f>
        <v>42675</v>
      </c>
      <c r="P29" s="1097" t="str">
        <f t="shared" si="214"/>
        <v>juillet</v>
      </c>
      <c r="Q29" s="1097" t="str">
        <f>IF(A29=FALSE,"",IF(Crewlist!Y29="","",Crewlist!Y29))</f>
        <v/>
      </c>
      <c r="R29" s="618" t="str">
        <f>IF(Cotations!T29="","",Cotations!T29)</f>
        <v/>
      </c>
      <c r="S29" s="1097" t="str">
        <f t="shared" si="215"/>
        <v/>
      </c>
      <c r="T29" s="759" t="str">
        <f>IF(A29=FALSE,"",VLOOKUP($U$15:$U$120,Currency!$A$2:$D$10,4,0)*Crewlist!N29)</f>
        <v/>
      </c>
      <c r="U29" s="1097" t="str">
        <f>IF(A29=FALSE,"",IF(DP29=0,Crewlist!M29&amp;"/"&amp;CP29,Crewlist!M29&amp;"/"&amp;DP29))</f>
        <v/>
      </c>
      <c r="V29" s="759" t="str">
        <f>IF(A29=FALSE,"",VLOOKUP($U$15:$U$120,Currency!$A$2:$D$10,4,0)*Detail!Q29)</f>
        <v/>
      </c>
      <c r="W29" s="1097" t="str">
        <f>IF(A29=FALSE,"",IF(DP29=0,Detail!R29&amp;"/"&amp;CP29,Detail!R29&amp;"/"&amp;DP29))</f>
        <v/>
      </c>
      <c r="X29" s="759" t="str">
        <f>IF(A29=FALSE,"",IF(LISTES!$C$17="Crewlist",Calcul!T29,Calcul!V29))</f>
        <v/>
      </c>
      <c r="Y29" s="618" t="str">
        <f t="shared" si="216"/>
        <v/>
      </c>
      <c r="Z29" s="618" t="str">
        <f>IF(A29=FALSE,"",IF(X29=0,0,IF((Cotations!BA29*12*X29)&lt;50000,50000,(12*X29))))</f>
        <v/>
      </c>
      <c r="AA29" s="618" t="str">
        <f t="shared" si="217"/>
        <v/>
      </c>
      <c r="AB29" s="618" t="str">
        <f>IF(A29=FALSE,"",IF(Crewlist!O29=0,"",Crewlist!O29))</f>
        <v/>
      </c>
      <c r="AC29" s="618" t="str">
        <f>IF(I29="","",VLOOKUP($AB$15:$AB$120,Currency!$A$15:$B$34,2,0))</f>
        <v/>
      </c>
      <c r="AD29" s="618" t="str">
        <f t="shared" si="218"/>
        <v/>
      </c>
      <c r="AE29" s="618" t="str">
        <f t="shared" si="219"/>
        <v/>
      </c>
      <c r="AF29" s="618" t="str">
        <f t="shared" si="220"/>
        <v/>
      </c>
      <c r="AG29" s="618" t="str">
        <f t="shared" si="221"/>
        <v/>
      </c>
      <c r="AH29" s="1097" t="str">
        <f t="shared" si="112"/>
        <v/>
      </c>
      <c r="AI29" s="759" t="str">
        <f t="shared" si="222"/>
        <v/>
      </c>
      <c r="AJ29" s="1120" t="str">
        <f t="shared" si="223"/>
        <v/>
      </c>
      <c r="AK29" s="1120" t="str">
        <f t="shared" si="224"/>
        <v/>
      </c>
      <c r="AL29" s="236" t="str">
        <f t="shared" si="225"/>
        <v/>
      </c>
      <c r="AM29" s="236" t="str">
        <f t="shared" si="226"/>
        <v/>
      </c>
      <c r="AN29" s="1112" t="str">
        <f t="shared" si="227"/>
        <v/>
      </c>
      <c r="AO29" s="236" t="str">
        <f t="shared" si="228"/>
        <v/>
      </c>
      <c r="AP29" s="327" t="str">
        <f>IF(A29=FALSE,"",INDEX(Rates!$Q$1:$Q$278,MATCH(CA29,colchoice,0)))</f>
        <v/>
      </c>
      <c r="AQ29" s="236" t="str">
        <f t="shared" si="229"/>
        <v/>
      </c>
      <c r="AR29" s="236" t="str">
        <f t="shared" si="230"/>
        <v/>
      </c>
      <c r="AS29" s="236" t="str">
        <f t="shared" si="117"/>
        <v/>
      </c>
      <c r="AT29" s="236" t="str">
        <f t="shared" si="118"/>
        <v/>
      </c>
      <c r="AU29" s="236" t="str">
        <f t="shared" si="231"/>
        <v/>
      </c>
      <c r="AV29" s="236" t="str">
        <f t="shared" si="232"/>
        <v/>
      </c>
      <c r="AW29" s="236" t="str">
        <f t="shared" si="233"/>
        <v/>
      </c>
      <c r="AX29" s="236" t="str">
        <f t="shared" si="234"/>
        <v/>
      </c>
      <c r="AY29" s="236" t="str">
        <f t="shared" si="235"/>
        <v/>
      </c>
      <c r="AZ29" s="236" t="str">
        <f t="shared" si="236"/>
        <v/>
      </c>
      <c r="BA29" s="236" t="str">
        <f t="shared" si="237"/>
        <v/>
      </c>
      <c r="BB29" s="467" t="str">
        <f t="shared" si="238"/>
        <v/>
      </c>
      <c r="BC29" s="329" t="str">
        <f t="shared" si="239"/>
        <v/>
      </c>
      <c r="BD29" s="237" t="str">
        <f t="shared" si="240"/>
        <v/>
      </c>
      <c r="BE29" s="237" t="str">
        <f>IF(A29=FALSE,"",IF(ED29&lt;&gt;$BC$7,0,INDEX(EA29:EZ29,1,MATCH(Structure!$J$16,$EA$14:$EZ$14,0))))</f>
        <v/>
      </c>
      <c r="BF29" s="237" t="str">
        <f>IF(A29=FALSE,"",IF(FD29&lt;&gt;$BC$7,0,INDEX(FA29:FZ29,1,MATCH(Structure!$J$16,$FA$14:$FZ$14,0))))</f>
        <v/>
      </c>
      <c r="BG29" s="237" t="str">
        <f>IF(A29=FALSE,"",IF(GD29&lt;&gt;$BC$7,0,INDEX(GA29:GZ29,1,MATCH(Structure!$J$16,$GA$14:$GZ$14,0))))</f>
        <v/>
      </c>
      <c r="BH29" s="237" t="str">
        <f>IF(A29=FALSE,"",IF(HD29&lt;&gt;$BC$7,0,INDEX(HA29:HZ29,1,MATCH(Structure!$J$16,$HA$14:$HZ$14,0))))</f>
        <v/>
      </c>
      <c r="BI29" s="621" t="str">
        <f>IF(A29=FALSE,"",IF(ID29&lt;&gt;$BC$7,0,INDEX(IA29:IZ29,1,MATCH(Structure!$C$12,$IA$14:$IZ$14,0)))+OL29)</f>
        <v/>
      </c>
      <c r="BJ29" s="237" t="str">
        <f>IF(A29=FALSE,"",IF(JD29&lt;&gt;$BC$7,0,INDEX(JA29:JZ29,1,MATCH(Structure!$C$12,$JA$14:$JZ$14,0))))</f>
        <v/>
      </c>
      <c r="BK29" s="621" t="str">
        <f>IF(A29=FALSE,"",IF(KD29&lt;&gt;$BC$7,0,INDEX(KA29:KZ29,1,MATCH(Structure!$C$12,$KA$14:$KZ$14,0)))+PL29)</f>
        <v/>
      </c>
      <c r="BL29" s="237" t="str">
        <f>IF(A29=FALSE,"",IF(LD29&lt;&gt;$BC$7,0,INDEX(LA29:LZ29,1,MATCH(Structure!$C$12,$LA$14:$LZ$14,0))))</f>
        <v/>
      </c>
      <c r="BM29" s="237" t="str">
        <f>IF(A29=FALSE,"",IF(MD29&lt;&gt;$BC$7,0,INDEX(MA29:MZ29,1,MATCH(Structure!$C$12,$MA$14:$MZ$14,0))))</f>
        <v/>
      </c>
      <c r="BN29" s="326" t="str">
        <f>IF(A29=FALSE,"",IF(ND29&lt;&gt;$BC$7,0,INDEX(NA29:OC29,1,MATCH(Structure!$C$12,$NA$14:$OC$14,0))))</f>
        <v/>
      </c>
      <c r="BO29" s="435" t="str">
        <f t="shared" si="241"/>
        <v/>
      </c>
      <c r="BP29" s="237" t="str">
        <f t="shared" si="242"/>
        <v/>
      </c>
      <c r="BQ29" s="237" t="str">
        <f>IF(A29=FALSE,"",IF(ED29&lt;&gt;$BO$7,0,INDEX(EA29:EZ29,1,MATCH(Structure!$C$12,$EA$14:$EZ$14,0))))</f>
        <v/>
      </c>
      <c r="BR29" s="237" t="str">
        <f>IF(A29=FALSE,"",IF(FD29&lt;&gt;$BO$7,0,INDEX(FA29:FZ29,1,MATCH(Structure!$C$12,$FA$14:$FZ$14,0))))</f>
        <v/>
      </c>
      <c r="BS29" s="237" t="str">
        <f>IF(A29=FALSE,"",IF(ID29&lt;&gt;$BO$7,0,INDEX(IA29:IZ29,1,MATCH(Structure!$C$13,$IA$14:$IZ$14,0))))</f>
        <v/>
      </c>
      <c r="BT29" s="237" t="str">
        <f>IF(A29=FALSE,"",IF(JD29&lt;&gt;$BO$7,0,INDEX(JA29:JZ29,1,MATCH(Structure!$C$13,$JA$14:$JZ$14,0))))</f>
        <v/>
      </c>
      <c r="BU29" s="237" t="str">
        <f>IF(A29=FALSE,"",IF(KD29&lt;&gt;$BO$7,0,INDEX(KA29:KZ29,1,MATCH(Structure!$C$13,$KA$14:$KZ$14,0))))</f>
        <v/>
      </c>
      <c r="BV29" s="237" t="str">
        <f>IF(A29=FALSE,"",IF(LD29&lt;&gt;$BO$7,0,INDEX(LA29:LZ29,1,MATCH(Structure!$C$13,$LA$14:$LZ$14,0))))</f>
        <v/>
      </c>
      <c r="BW29" s="237" t="str">
        <f>IF(A29=FALSE,"",IF(MD29&lt;&gt;$BO$7,0,INDEX(MA29:MZ29,1,MATCH(Structure!$C$13,$MA$14:$MZ$14,0))))</f>
        <v/>
      </c>
      <c r="BX29" s="326" t="str">
        <f>IF(A29=FALSE,"",IF(ND29&lt;&gt;$BO$7,0,INDEX(NA29:OC29,1,MATCH(Structure!$C$13,$NA$14:$OC$14,0))))</f>
        <v/>
      </c>
      <c r="BY29" s="412"/>
      <c r="BZ29" s="412"/>
      <c r="CA29" s="1255" t="str">
        <f>IF(A29=FALSE,"",IF(LISTES!$A$17=1,Cotations!AG29,Cotations!AH29))</f>
        <v/>
      </c>
      <c r="CB29" s="1266" t="str">
        <f t="shared" si="243"/>
        <v/>
      </c>
      <c r="CC29" s="1120" t="str">
        <f t="shared" si="244"/>
        <v/>
      </c>
      <c r="CD29" s="1120" t="str">
        <f t="shared" si="245"/>
        <v/>
      </c>
      <c r="CE29" s="1120" t="str">
        <f t="shared" si="246"/>
        <v/>
      </c>
      <c r="CF29" s="1120" t="str">
        <f t="shared" si="247"/>
        <v/>
      </c>
      <c r="CG29" s="1267"/>
      <c r="CH29" s="1267"/>
      <c r="CI29" s="1268" t="str">
        <f t="shared" si="248"/>
        <v/>
      </c>
      <c r="CJ29" s="286" t="str">
        <f t="shared" si="249"/>
        <v/>
      </c>
      <c r="CK29" s="286" t="str">
        <f t="shared" si="250"/>
        <v/>
      </c>
      <c r="CL29" s="1263"/>
      <c r="CM29" s="1263"/>
      <c r="CN29" s="1263"/>
      <c r="CO29" s="1263"/>
      <c r="CP29" s="319" t="str">
        <f t="shared" si="251"/>
        <v/>
      </c>
      <c r="CQ29" s="443" t="str">
        <f>IF(A29=FALSE,"",Cotations!AM29)</f>
        <v/>
      </c>
      <c r="CR29" s="443" t="str">
        <f>IF(A29=FALSE,"",IF(Cotations!AN29="","",Cotations!AN29))</f>
        <v/>
      </c>
      <c r="CS29" s="433" t="str">
        <f>IF(A29=FALSE,"",Cotations!AO29)</f>
        <v/>
      </c>
      <c r="CT29" s="443" t="str">
        <f>IF(A29=FALSE,"",IF(CQ29="N/A",0,IF(INDEX(LISTES!$F$105:$F$109,MATCH(CQ29,LISTES!$C$105:$C$109,0))="FIX",IF(INDEX(LISTES!$E$105:$E$109,MATCH(CQ29,LISTES!$C$105:$C$109,0))=12,CR29/12*L29,CR29/365*M29),CS29*EQ29)))</f>
        <v/>
      </c>
      <c r="CU29" s="434" t="str">
        <f>IF(A29=FALSE,"",(CJ29+CK29)*Cotations!AP29)</f>
        <v/>
      </c>
      <c r="CV29" s="434" t="str">
        <f>IF(A29=FALSE,"",(CJ29+CK29)*Cotations!AQ29)</f>
        <v/>
      </c>
      <c r="DA29" s="1253" t="str">
        <f>IF(A29=FALSE,"",IF(LISTES!$A$17=1,Cotations!AV29,Cotations!AW29))</f>
        <v/>
      </c>
      <c r="DB29" s="1271" t="str">
        <f t="shared" si="252"/>
        <v/>
      </c>
      <c r="DC29" s="1270" t="str">
        <f t="shared" si="253"/>
        <v/>
      </c>
      <c r="DD29" s="1270" t="str">
        <f t="shared" si="254"/>
        <v/>
      </c>
      <c r="DE29" s="1270" t="str">
        <f t="shared" si="255"/>
        <v/>
      </c>
      <c r="DF29" s="1270" t="str">
        <f t="shared" si="256"/>
        <v/>
      </c>
      <c r="DG29" s="1270" t="str">
        <f t="shared" si="257"/>
        <v/>
      </c>
      <c r="DH29" s="1270" t="str">
        <f t="shared" si="258"/>
        <v/>
      </c>
      <c r="DI29" s="1271" t="str">
        <f t="shared" si="259"/>
        <v/>
      </c>
      <c r="DJ29" s="286" t="str">
        <f t="shared" si="260"/>
        <v/>
      </c>
      <c r="DK29" s="286" t="str">
        <f t="shared" si="261"/>
        <v/>
      </c>
      <c r="DL29" s="1264" t="str">
        <f t="shared" si="262"/>
        <v/>
      </c>
      <c r="DM29" s="1264" t="str">
        <f t="shared" si="263"/>
        <v/>
      </c>
      <c r="DN29" s="1264" t="str">
        <f t="shared" si="264"/>
        <v/>
      </c>
      <c r="DO29" s="1264" t="str">
        <f t="shared" si="265"/>
        <v/>
      </c>
      <c r="DP29" s="323" t="str">
        <f t="shared" si="132"/>
        <v/>
      </c>
      <c r="DQ29" s="759" t="str">
        <f>IF(A29=FALSE,"",Cotations!BW29)</f>
        <v/>
      </c>
      <c r="DR29" s="759" t="str">
        <f>IF(A29=FALSE,"",Cotations!BX29)</f>
        <v/>
      </c>
      <c r="DS29" s="538" t="str">
        <f>IF(A29=FALSE,"",Cotations!BY29)</f>
        <v/>
      </c>
      <c r="DT29" s="830" t="str">
        <f>IF(A29=FALSE,"",IF(DQ29="N/A",0,IF(INDEX(LISTES!$F$105:$F$109,MATCH(DQ29,LISTES!$C$105:$C$109,0))="FIX",IF(INDEX(LISTES!$E$105:$E$109,MATCH(DQ29,LISTES!$C$105:$C$109,0))=12,DR29/12*L29,DR29/365*M29),DS29*(DN29+DO29))))</f>
        <v/>
      </c>
      <c r="DU29" s="286" t="str">
        <f>IF(A29=FALSE,"",DJ29*Cotations!BZ29)</f>
        <v/>
      </c>
      <c r="DV29" s="286" t="str">
        <f>IF(A29=FALSE,"",DJ29*Cotations!CA29)</f>
        <v/>
      </c>
      <c r="EA29" s="432" t="str">
        <f>IF(A29=FALSE,"",Cotations!AT29)</f>
        <v/>
      </c>
      <c r="EB29" s="1234" t="str">
        <f>IF(A29=FALSE,"",YEAR(Detail!F29)&amp;Detail!AG29&amp;Detail!AD29&amp;"-"&amp;Detail!$AD$13&amp;Detail!AE29)</f>
        <v/>
      </c>
      <c r="EC29" s="434" t="str">
        <f>IF(A29=FALSE,"",IF(LISTES!$A$17=1,EB29,INDEX(colMOD1,MATCH(Cotations!AH29,colchoice,0))))</f>
        <v/>
      </c>
      <c r="ED29" s="277" t="str">
        <f t="shared" si="133"/>
        <v/>
      </c>
      <c r="EE29" s="277" t="str">
        <f t="shared" si="134"/>
        <v/>
      </c>
      <c r="EF29" s="277"/>
      <c r="EG29" s="277"/>
      <c r="EH29" s="277" t="str">
        <f t="shared" si="135"/>
        <v/>
      </c>
      <c r="EI29" s="1104" t="str">
        <f t="shared" si="136"/>
        <v/>
      </c>
      <c r="EJ29" s="1104" t="str">
        <f t="shared" si="137"/>
        <v/>
      </c>
      <c r="EK29" s="443" t="str">
        <f>IF(A29=FALSE,"",IF(Cotations!AF29="monthly",EH29/12*L29,EH29/365*M29))</f>
        <v/>
      </c>
      <c r="EL29" s="1103" t="str">
        <f>IF(A29=FALSE,"",IF(Cotations!AF29="monthly",EJ29/12*L29,EJ29/365*M29))</f>
        <v/>
      </c>
      <c r="EM29" s="433" t="str">
        <f>IF(A29=FALSE,"",IF(Cotations!AI29="","",Cotations!AI29))</f>
        <v/>
      </c>
      <c r="EN29" s="277" t="str">
        <f t="shared" si="266"/>
        <v/>
      </c>
      <c r="EO29" s="277" t="str">
        <f t="shared" si="138"/>
        <v/>
      </c>
      <c r="EP29" s="1104" t="str">
        <f t="shared" si="139"/>
        <v/>
      </c>
      <c r="EQ29" s="277" t="str">
        <f t="shared" si="267"/>
        <v/>
      </c>
      <c r="ER29" s="759" t="str">
        <f>IF(A29=FALSE,"",((EH29*TAXE)-(EH29*TAXE*EM29)+EI29)+IF(CQ29="N/A",0,IF(INDEX(LISTES!$F$105:$F$109,MATCH(CQ29,LISTES!$C$105:$C$109,0))="FIX",CR29,CS29*EQ29)))</f>
        <v/>
      </c>
      <c r="ET29" s="422"/>
      <c r="EU29" s="422"/>
      <c r="EV29" s="422"/>
      <c r="EW29" s="422"/>
      <c r="EX29" s="422"/>
      <c r="EY29" s="422"/>
      <c r="EZ29" s="422"/>
      <c r="FA29" s="802" t="str">
        <f>IF(A29=FALSE,"",Cotations!AT29)</f>
        <v/>
      </c>
      <c r="FB29" s="1235" t="str">
        <f>IF(A29=FALSE,"",IF(Detail!AL29="","N/A",YEAR(Detail!F29)&amp;Detail!AO29&amp;Detail!AL29&amp;"-"&amp;Detail!$AL$13&amp;Detail!AM29))</f>
        <v/>
      </c>
      <c r="FC29" s="434" t="str">
        <f>IF(A29=FALSE,"",IF(LISTES!$A$17=1,FB29,INDEX(colMOD2,MATCH(Cotations!AH29,colchoice,0))))</f>
        <v/>
      </c>
      <c r="FD29" s="277" t="str">
        <f t="shared" si="140"/>
        <v/>
      </c>
      <c r="FE29" s="277" t="str">
        <f>IF(A29=FALSE,"",IF(Detail!AM29="","",Detail!AM29))</f>
        <v/>
      </c>
      <c r="FF29" s="277"/>
      <c r="FG29" s="277"/>
      <c r="FH29" s="277" t="str">
        <f t="shared" si="141"/>
        <v/>
      </c>
      <c r="FI29" s="1104"/>
      <c r="FJ29" s="1104"/>
      <c r="FK29" s="443" t="str">
        <f>IF(A29=FALSE,"",IF(Cotations!AF29="monthly",FH29/12*L29,FH29/365*M29))</f>
        <v/>
      </c>
      <c r="FL29" s="1103" t="str">
        <f>IF(A29=FALSE,"",IF(Cotations!AF29="monthly",FJ29/12*L29,FJ29/365*M29))</f>
        <v/>
      </c>
      <c r="FM29" s="433" t="str">
        <f>IF(A29=FALSE,"",IF(Cotations!AJ29="","",Cotations!AJ29))</f>
        <v/>
      </c>
      <c r="FN29" s="277" t="str">
        <f t="shared" si="268"/>
        <v/>
      </c>
      <c r="FO29" s="277" t="str">
        <f t="shared" si="269"/>
        <v/>
      </c>
      <c r="FP29" s="1104"/>
      <c r="FQ29" s="277" t="str">
        <f t="shared" si="270"/>
        <v/>
      </c>
      <c r="FR29" s="759" t="str">
        <f>IF(A29=FALSE,"",((FH29*TAXE)-(FH29*TAXE*FM29))+IF(#REF!="N/A",0,IF(INDEX(LISTES!$F$105:$F$109,MATCH(#REF!,LISTES!$C$105:$C$109,0))="FIX",#REF!,#REF!*FQ29)))</f>
        <v/>
      </c>
      <c r="FS29" s="422"/>
      <c r="FT29" s="422"/>
      <c r="FU29" s="422"/>
      <c r="FV29" s="422"/>
      <c r="FW29" s="422"/>
      <c r="FX29" s="422"/>
      <c r="FY29" s="422"/>
      <c r="FZ29" s="422"/>
      <c r="GA29" s="432" t="str">
        <f t="shared" si="145"/>
        <v/>
      </c>
      <c r="GB29" s="1234" t="str">
        <f>IF(A29=FALSE,"",IF(Detail!DF29="","N/A",YEAR(Detail!F29)&amp;Detail!DI29&amp;Detail!DF29&amp;"-"&amp;Detail!$DF$13))</f>
        <v/>
      </c>
      <c r="GC29" s="434" t="str">
        <f>IF(A29=FALSE,"",IF(LISTES!$A$17=1,GB29,INDEX(colMOD3,MATCH(Cotations!AH29,colchoice,0))))</f>
        <v/>
      </c>
      <c r="GD29" s="277" t="str">
        <f t="shared" si="146"/>
        <v/>
      </c>
      <c r="GE29" s="277" t="str">
        <f t="shared" si="147"/>
        <v/>
      </c>
      <c r="GF29" s="277"/>
      <c r="GG29" s="277"/>
      <c r="GH29" s="277" t="str">
        <f t="shared" si="271"/>
        <v/>
      </c>
      <c r="GI29" s="1104" t="str">
        <f t="shared" si="272"/>
        <v/>
      </c>
      <c r="GJ29" s="1104" t="str">
        <f t="shared" si="273"/>
        <v/>
      </c>
      <c r="GK29" s="443" t="str">
        <f>IF(A29=FALSE,"",IF(Cotations!AF29="monthly",GH29/12*L29,GH29/365*M29))</f>
        <v/>
      </c>
      <c r="GL29" s="1103" t="str">
        <f>IF(A29=FALSE,"",IF(Cotations!AF29="monthly",GJ29/12*L29,GJ29/365*M29))</f>
        <v/>
      </c>
      <c r="GM29" s="433" t="str">
        <f>IF(A29=FALSE,"",IF(Cotations!AK29="","",Cotations!AK29))</f>
        <v/>
      </c>
      <c r="GN29" s="277" t="str">
        <f t="shared" si="274"/>
        <v/>
      </c>
      <c r="GO29" s="277" t="str">
        <f t="shared" si="275"/>
        <v/>
      </c>
      <c r="GP29" s="1104" t="str">
        <f t="shared" si="276"/>
        <v/>
      </c>
      <c r="GQ29" s="277" t="str">
        <f t="shared" si="277"/>
        <v/>
      </c>
      <c r="GR29" s="759" t="str">
        <f>IF(A29=FALSE,"",((GH29*TAXE)-(GH29*TAXE*GM29)+GI29)+IF(CQ29="N/A",0,IF(INDEX(LISTES!$F$105:$F$109,MATCH(CQ29,LISTES!$C$105:$C$109,0))="FIX",CR29,CS29*GQ29)))</f>
        <v/>
      </c>
      <c r="GS29" s="412"/>
      <c r="GT29" s="412"/>
      <c r="GU29" s="412"/>
      <c r="GV29" s="412"/>
      <c r="GW29" s="412"/>
      <c r="GX29" s="412"/>
      <c r="GY29" s="412"/>
      <c r="GZ29" s="412"/>
      <c r="HA29" s="432" t="str">
        <f t="shared" si="155"/>
        <v/>
      </c>
      <c r="HB29" s="1234" t="str">
        <f>IF(A29=FALSE,"",IF(Detail!DF29="","N/A",YEAR(Detail!F29)&amp;Detail!DI29&amp;Detail!DF29&amp;"-"&amp;Detail!$DF$13))</f>
        <v/>
      </c>
      <c r="HC29" s="434" t="str">
        <f>IF(A29=FALSE,"",IF(LISTES!$A$17=1,HB29,INDEX(colMOD4,MATCH(Cotations!AH29,colchoice,0))))</f>
        <v/>
      </c>
      <c r="HD29" s="277" t="str">
        <f t="shared" si="278"/>
        <v/>
      </c>
      <c r="HE29" s="277" t="str">
        <f t="shared" si="279"/>
        <v/>
      </c>
      <c r="HF29" s="277"/>
      <c r="HG29" s="277"/>
      <c r="HH29" s="277" t="str">
        <f t="shared" si="280"/>
        <v/>
      </c>
      <c r="HI29" s="1104" t="str">
        <f t="shared" si="281"/>
        <v/>
      </c>
      <c r="HJ29" s="1104" t="str">
        <f t="shared" si="282"/>
        <v/>
      </c>
      <c r="HK29" s="443" t="str">
        <f>IF(A29=FALSE,"",IF(Cotations!AF29="monthly",HH29/12*L29,HH29/365*M29))</f>
        <v/>
      </c>
      <c r="HL29" s="1103" t="str">
        <f>IF(A29=FALSE,"",IF(Cotations!AF29="monthly",HJ29/12*L29,HJ29/365*M29))</f>
        <v/>
      </c>
      <c r="HM29" s="433" t="str">
        <f>IF(A29=FALSE,"",IF(Cotations!AL29="","",Cotations!AL29))</f>
        <v/>
      </c>
      <c r="HN29" s="277" t="str">
        <f t="shared" si="283"/>
        <v/>
      </c>
      <c r="HO29" s="277" t="str">
        <f t="shared" si="284"/>
        <v/>
      </c>
      <c r="HP29" s="1104" t="str">
        <f t="shared" si="285"/>
        <v/>
      </c>
      <c r="HQ29" s="277" t="str">
        <f t="shared" si="286"/>
        <v/>
      </c>
      <c r="HR29" s="759" t="str">
        <f>IF(A29=FALSE,"",((HH29*TAXE)-(HH29*TAXE*HM29)+HI29)+IF(CQ29="N/A",0,IF(INDEX(LISTES!$F$105:$F$109,MATCH(CQ29,LISTES!$C$105:$C$109,0))="FIX",CR29,CS29*HQ29)))</f>
        <v/>
      </c>
      <c r="HS29" s="412"/>
      <c r="HT29" s="412"/>
      <c r="HU29" s="412"/>
      <c r="HV29" s="412"/>
      <c r="HW29" s="412"/>
      <c r="HX29" s="412"/>
      <c r="HY29" s="412"/>
      <c r="HZ29" s="1262"/>
      <c r="IA29" s="802" t="str">
        <f>IF(A29=FALSE,"",Cotations!AT29)</f>
        <v/>
      </c>
      <c r="IB29" s="1253" t="str">
        <f>IF(A29=FALSE,"",IF(Detail!AT29="","N/A",YEAR(Detail!F29)&amp;Detail!AW29&amp;Detail!AT29&amp;"-"&amp;Detail!$AT$13&amp;Detail!AU29))</f>
        <v/>
      </c>
      <c r="IC29" s="431" t="str">
        <f>IF(A29=FALSE,"",IF(LISTES!$A$17=1,IB29,INDEX(colMOD1,MATCH(DA29,colchoice,0))))</f>
        <v/>
      </c>
      <c r="ID29" s="759" t="str">
        <f t="shared" si="287"/>
        <v/>
      </c>
      <c r="IE29" s="292" t="str">
        <f>IF(A29=FALSE,"",IF(LISTES!$A$17=1,Detail!AU29,INDEX(Rates!$M$1:$M$270,MATCH(IC29,colMOD1,0))))</f>
        <v/>
      </c>
      <c r="IF29" s="409" t="str">
        <f t="shared" si="165"/>
        <v/>
      </c>
      <c r="IG29" s="430" t="str">
        <f>IF(A29=FALSE,"",IF(IA29="POEA",Cotations!AY29,IF(IA29="FIXE",Cotations!AZ29,IF(Cotations!BA29*Y29&lt;50000,Z29,Cotations!BA29*Y29))))</f>
        <v/>
      </c>
      <c r="IH29" s="292" t="str">
        <f t="shared" si="166"/>
        <v/>
      </c>
      <c r="II29" s="292" t="str">
        <f>IF(A29=FALSE,"",IF(Cotations!AU29="monthly",IH29/12*L29,IH29/365*M29))</f>
        <v/>
      </c>
      <c r="IJ29" s="405" t="str">
        <f>IF(A29=FALSE,"",IF(Cotations!BB29="","",Cotations!BB29))</f>
        <v/>
      </c>
      <c r="IK29" s="292" t="str">
        <f t="shared" si="167"/>
        <v/>
      </c>
      <c r="IL29" s="292" t="str">
        <f t="shared" si="168"/>
        <v/>
      </c>
      <c r="IM29" s="759" t="str">
        <f t="shared" si="169"/>
        <v/>
      </c>
      <c r="IN29" s="759" t="str">
        <f>IF(A29=FALSE,"",((IH29*TAXE)-(IH29*TAXE*IJ29))+IF(DQ29="N/A",0,IF(INDEX(LISTES!$F$105:$F$109,MATCH(DQ29,LISTES!$C$105:$C$109,0))="FIX",DR29,DS29*IM29)))</f>
        <v/>
      </c>
      <c r="JA29" s="432" t="str">
        <f>IF(A29=FALSE,"",Cotations!AT29)</f>
        <v/>
      </c>
      <c r="JB29" s="1234" t="str">
        <f>IF(A29=FALSE,"",IF(Detail!BB29="","N/A",YEAR(Detail!F29)&amp;Detail!BE29&amp;Detail!BB29&amp;"-"&amp;Detail!$BB$13&amp;Detail!BC29))</f>
        <v/>
      </c>
      <c r="JC29" s="431" t="str">
        <f>IF(A29=FALSE,"",IF(LISTES!$A$17=1,JB29,INDEX(colMOD2,MATCH(DA29,colchoice,0))))</f>
        <v/>
      </c>
      <c r="JD29" s="759" t="str">
        <f t="shared" si="170"/>
        <v/>
      </c>
      <c r="JE29" s="292"/>
      <c r="JF29" s="409" t="str">
        <f t="shared" si="171"/>
        <v/>
      </c>
      <c r="JG29" s="810" t="str">
        <f>IF(A29=FALSE,"",IF(JA29="POEA",Cotations!BC29,IF(JA29="FIXE",Cotations!BD29,IF(Cotations!BE29*Y29&lt;50000,Z29,Cotations!BE29*Y29))))</f>
        <v/>
      </c>
      <c r="JH29" s="292" t="str">
        <f t="shared" si="172"/>
        <v/>
      </c>
      <c r="JI29" s="446" t="str">
        <f>IF(A29=FALSE,"",IF(Cotations!AU29="monthly",JH29/12*L29,JH29/365*M29))</f>
        <v/>
      </c>
      <c r="JJ29" s="405" t="str">
        <f>IF(A29=FALSE,"",IF(Cotations!BF29="","",Cotations!BF29))</f>
        <v/>
      </c>
      <c r="JK29" s="292" t="str">
        <f t="shared" si="173"/>
        <v/>
      </c>
      <c r="JL29" s="292" t="str">
        <f t="shared" si="174"/>
        <v/>
      </c>
      <c r="JM29" s="759" t="str">
        <f t="shared" si="175"/>
        <v/>
      </c>
      <c r="JN29" s="759" t="str">
        <f>IF(A29=FALSE,"",((JH29*TAXE)-(JH29*TAXE*JJ29))+IF(#REF!="N/A",0,IF(INDEX(LISTES!$F$105:$F$109,MATCH(#REF!,LISTES!$C$105:$C$109,0))="FIX",#REF!,#REF!*JM29)))</f>
        <v/>
      </c>
      <c r="KA29" s="802" t="str">
        <f>IF(A29=FALSE,"",Cotations!AT29)</f>
        <v/>
      </c>
      <c r="KB29" s="1234" t="str">
        <f>IF(A29=FALSE,"",IF(Detail!BJ29="","N/A",YEAR(Detail!F29)&amp;Detail!BM29&amp;Detail!BJ29&amp;"-"&amp;Detail!$BJ$13&amp;Detail!BK29))</f>
        <v/>
      </c>
      <c r="KC29" s="431" t="str">
        <f>IF(A29=FALSE,"",IF(LISTES!$A$17=1,KB29,INDEX(colMOD3,MATCH(DA29,colchoice,0))))</f>
        <v/>
      </c>
      <c r="KD29" s="759" t="str">
        <f t="shared" si="176"/>
        <v/>
      </c>
      <c r="KE29" s="292"/>
      <c r="KF29" s="409" t="str">
        <f t="shared" si="177"/>
        <v/>
      </c>
      <c r="KG29" s="810" t="str">
        <f>IF(A29=FALSE,"",IF(KA29="POEA",Cotations!BG29,IF(KA29="FIXE",Cotations!BH29,IF(Cotations!BI29*Y29&lt;50000,Z29,Cotations!BI29*Y29))))</f>
        <v/>
      </c>
      <c r="KH29" s="292" t="str">
        <f t="shared" si="178"/>
        <v/>
      </c>
      <c r="KI29" s="446" t="str">
        <f>IF(A29=FALSE,"",IF(Cotations!AU29="monthly",KH29/12*L29,KH29/365*M29))</f>
        <v/>
      </c>
      <c r="KJ29" s="405" t="str">
        <f>IF(A29=FALSE,"",IF(Cotations!BJ29="","",Cotations!BJ29))</f>
        <v/>
      </c>
      <c r="KK29" s="292" t="str">
        <f t="shared" si="179"/>
        <v/>
      </c>
      <c r="KL29" s="292" t="str">
        <f t="shared" si="180"/>
        <v/>
      </c>
      <c r="KM29" s="759" t="str">
        <f t="shared" si="181"/>
        <v/>
      </c>
      <c r="KN29" s="759" t="str">
        <f>IF(A29=FALSE,"",((KH29*TAXE)-(KH29*TAXE*KJ29))+IF(#REF!="N/A",0,IF(INDEX(LISTES!$F$105:$F$109,MATCH(#REF!,LISTES!$C$105:$C$109,0))="FIX",#REF!,#REF!*KM29)))</f>
        <v/>
      </c>
      <c r="LA29" s="432" t="str">
        <f>IF(A29=FALSE,"",Cotations!AT29)</f>
        <v/>
      </c>
      <c r="LB29" s="1234" t="str">
        <f>IF(A29=FALSE,"",IF(Detail!BR29="","N/A",YEAR(Detail!F29)&amp;Detail!BU29&amp;Detail!BR29&amp;"-"&amp;Detail!$BR$13&amp;Detail!BS29))</f>
        <v/>
      </c>
      <c r="LC29" s="431" t="str">
        <f>IF(A29=FALSE,"",IF(LISTES!$A$17=1,LB29,INDEX(colMOD4,MATCH(DA29,colchoice,0))))</f>
        <v/>
      </c>
      <c r="LD29" s="759" t="str">
        <f t="shared" si="182"/>
        <v/>
      </c>
      <c r="LE29" s="292"/>
      <c r="LF29" s="409" t="str">
        <f t="shared" si="183"/>
        <v/>
      </c>
      <c r="LG29" s="810" t="str">
        <f>IF(A29=FALSE,"",IF(LA29="POEA",Cotations!BK29,IF(LA29="FIXE",Cotations!BL29,IF(Cotations!BM29*Y29&lt;50000,Z29,Cotations!BM29*Y29))))</f>
        <v/>
      </c>
      <c r="LH29" s="292" t="str">
        <f t="shared" si="184"/>
        <v/>
      </c>
      <c r="LI29" s="446" t="str">
        <f>IF(A29=FALSE,"",IF(Cotations!AU29="monthly",LH29/12*L29,LH29/365*M29))</f>
        <v/>
      </c>
      <c r="LJ29" s="405" t="str">
        <f>IF(A29=FALSE,"",IF(Cotations!BN29="","",Cotations!BN29))</f>
        <v/>
      </c>
      <c r="LK29" s="292" t="str">
        <f t="shared" si="185"/>
        <v/>
      </c>
      <c r="LL29" s="292" t="str">
        <f t="shared" si="186"/>
        <v/>
      </c>
      <c r="LM29" s="759" t="str">
        <f t="shared" si="187"/>
        <v/>
      </c>
      <c r="LN29" s="759" t="str">
        <f>IF(A29=FALSE,"",((LH29*TAXE)-(LH29*TAXE*LJ29))+IF(#REF!="N/A",0,IF(INDEX(LISTES!$F$105:$F$109,MATCH(#REF!,LISTES!$C$105:$C$109,0))="FIX",#REF!,#REF!*LM29)))</f>
        <v/>
      </c>
      <c r="MA29" s="802" t="str">
        <f t="shared" si="188"/>
        <v/>
      </c>
      <c r="MB29" s="1234" t="str">
        <f>IF(A29=FALSE,"",IF(Detail!BZ29="","N/A",YEAR(Detail!F29)&amp;Detail!CC29&amp;Detail!BZ29&amp;"-"&amp;Detail!$BZ$13&amp;" (100%/"&amp;Detail!CD29&amp;"/"&amp;Detail!CE29&amp;")"))</f>
        <v/>
      </c>
      <c r="MC29" s="431" t="str">
        <f>IF(A29=FALSE,"",IF(LISTES!$A$17=1,MB29,INDEX(colMOD5,MATCH(DA29,colchoice,0))))</f>
        <v/>
      </c>
      <c r="MD29" s="759" t="str">
        <f t="shared" si="189"/>
        <v/>
      </c>
      <c r="ME29" s="292"/>
      <c r="MF29" s="409" t="str">
        <f t="shared" si="190"/>
        <v/>
      </c>
      <c r="MG29" s="810" t="str">
        <f>IF(A29=FALSE,"",Cotations!BQ29*AA29)</f>
        <v/>
      </c>
      <c r="MH29" s="292" t="str">
        <f t="shared" si="191"/>
        <v/>
      </c>
      <c r="MI29" s="446" t="str">
        <f>IF(A29=FALSE,"",IF(Cotations!AU29="monthly",MH29/12*L29,MH29/365*M29))</f>
        <v/>
      </c>
      <c r="MJ29" s="405" t="str">
        <f>IF(A29=FALSE,"",IF(Cotations!BR29="","",Cotations!BR29))</f>
        <v/>
      </c>
      <c r="MK29" s="292" t="str">
        <f t="shared" si="192"/>
        <v/>
      </c>
      <c r="ML29" s="292" t="str">
        <f t="shared" si="193"/>
        <v/>
      </c>
      <c r="MM29" s="759" t="str">
        <f t="shared" si="194"/>
        <v/>
      </c>
      <c r="MN29" s="759" t="str">
        <f>IF(A29=FALSE,"",((MH29*TAXE)-(MH29*TAXE*MJ29))+IF(#REF!="N/A",0,IF(INDEX(LISTES!$F$105:$F$109,MATCH(#REF!,LISTES!$C$105:$C$109,0))="FIX",#REF!,#REF!*MM29)))</f>
        <v/>
      </c>
      <c r="NA29" s="432" t="str">
        <f t="shared" si="195"/>
        <v/>
      </c>
      <c r="NB29" s="1234" t="str">
        <f>IF(A29=FALSE,"",IF(Detail!CH29="","N/A",YEAR(Detail!F29)&amp;Detail!CK29&amp;Detail!CH29&amp;"-"&amp;Detail!$CH$13&amp;" (100%/"&amp;Detail!CL29&amp;"/"&amp;Detail!CM29&amp;")"))</f>
        <v/>
      </c>
      <c r="NC29" s="431" t="str">
        <f>IF(A29=FALSE,"",IF(LISTES!$A$17=1,NB29,INDEX(colMOD6,MATCH(DA29,colchoice,0))))</f>
        <v/>
      </c>
      <c r="ND29" s="759" t="str">
        <f t="shared" si="196"/>
        <v/>
      </c>
      <c r="NE29" s="292"/>
      <c r="NF29" s="409" t="str">
        <f t="shared" si="197"/>
        <v/>
      </c>
      <c r="NG29" s="810" t="str">
        <f>IF(A29=FALSE,"",Cotations!BU29*AA29)</f>
        <v/>
      </c>
      <c r="NH29" s="292" t="str">
        <f t="shared" si="198"/>
        <v/>
      </c>
      <c r="NI29" s="446" t="str">
        <f>IF(A29=FALSE,"",IF(Cotations!AU29="monthly",NH29/12*L29,NH29/365*M29))</f>
        <v/>
      </c>
      <c r="NJ29" s="405" t="str">
        <f>IF(A29=FALSE,"",IF(Cotations!BV29="","",Cotations!BV29))</f>
        <v/>
      </c>
      <c r="NK29" s="292" t="str">
        <f t="shared" si="199"/>
        <v/>
      </c>
      <c r="NL29" s="292" t="str">
        <f t="shared" si="200"/>
        <v/>
      </c>
      <c r="NM29" s="759" t="str">
        <f t="shared" si="201"/>
        <v/>
      </c>
      <c r="NN29" s="759" t="str">
        <f>IF(A29=FALSE,"",((NH29*TAXE)-(NH29*TAXE*NJ29))+IF(#REF!="N/A",0,IF(INDEX(LISTES!$F$105:$F$109,MATCH(#REF!,LISTES!$C$105:$C$109,0))="FIX",#REF!,#REF!*NM29)))</f>
        <v/>
      </c>
      <c r="NZ29" s="1281" t="str">
        <f>IF(A29=FALSE,"",IF(Detail!CP29="","N/A",YEAR(Detail!F29)&amp;Detail!CS29&amp;Detail!CP29&amp;"-"&amp;Detail!CQ29))</f>
        <v/>
      </c>
      <c r="OA29" s="432" t="str">
        <f>IF(A29=FALSE,"",Cotations!CF29)</f>
        <v/>
      </c>
      <c r="OB29" s="1282" t="str">
        <f>IF(A29=FALSE,"",IF(Detail!CP29="","N/A",YEAR(Detail!F29)&amp;Detail!CS29&amp;Detail!CP29&amp;"-"&amp;Detail!$CP$13&amp;Detail!CQ29))</f>
        <v/>
      </c>
      <c r="OC29" s="1283" t="str">
        <f>IF(A29=FALSE,"",IF(LISTES!$A$17=1,OB29,INDEX(colMOD1,MATCH(Cotations!CE29,colchoice,0))))</f>
        <v/>
      </c>
      <c r="OD29" s="759" t="str">
        <f t="shared" si="202"/>
        <v/>
      </c>
      <c r="OE29" s="292" t="str">
        <f>IF(A29=FALSE,"",Detail!CQ29)</f>
        <v/>
      </c>
      <c r="OF29" s="409" t="str">
        <f t="shared" si="203"/>
        <v/>
      </c>
      <c r="OG29" s="430" t="str">
        <f>IF(A29=FALSE,"",IF(OA29="FIXE",Cotations!CM29,Cotations!CN29*AA29))</f>
        <v/>
      </c>
      <c r="OH29" s="292" t="str">
        <f t="shared" si="288"/>
        <v/>
      </c>
      <c r="OI29" s="446" t="str">
        <f>IF(A29=FALSE,"",IF(Cotations!CF29="monthly",OH29/12*L29,OH29/365*M29))</f>
        <v/>
      </c>
      <c r="OJ29" s="429" t="str">
        <f>IF(A29=FALSE,"",IF(Cotations!CO29="","",Cotations!CO29))</f>
        <v/>
      </c>
      <c r="OK29" s="292" t="str">
        <f t="shared" si="289"/>
        <v/>
      </c>
      <c r="OL29" s="292" t="str">
        <f t="shared" si="290"/>
        <v/>
      </c>
      <c r="OM29" s="759" t="str">
        <f t="shared" si="207"/>
        <v/>
      </c>
      <c r="ON29" s="759" t="str">
        <f>IF(A29=FALSE,"",((OH29*(1+TAXE)-(OH29*(1+TAXE)*OJ29))+IF(#REF!="N/A",0,IF(INDEX(LISTES!$F$105:$F$109,MATCH(#REF!,LISTES!$C$105:$C$109,0))="FIX",#REF!,#REF!*OM29))))</f>
        <v/>
      </c>
      <c r="PA29" s="432" t="str">
        <f>IF(A29=FALSE,"",Cotations!CF29)</f>
        <v/>
      </c>
      <c r="PB29" s="1282" t="str">
        <f>IF(A29=FALSE,"",IF(Detail!CX29="","N/A",YEAR(Detail!F29)&amp;Detail!DA29&amp;Detail!CX29&amp;"-"&amp;Detail!$CX$13&amp;Detail!CY29))</f>
        <v/>
      </c>
      <c r="PC29" s="1283" t="str">
        <f>IF(A29=FALSE,"",IF(LISTES!$A$17=1,PB29,INDEX(colMOD3,MATCH(Cotations!CE29,colchoice,0))))</f>
        <v/>
      </c>
      <c r="PD29" s="759" t="str">
        <f t="shared" si="208"/>
        <v/>
      </c>
      <c r="PE29" s="292" t="str">
        <f>IF(A29=FALSE,"",IF(Detail!CY29="","",Detail!CY29))</f>
        <v/>
      </c>
      <c r="PF29" s="409" t="str">
        <f t="shared" si="291"/>
        <v/>
      </c>
      <c r="PG29" s="430" t="str">
        <f>IF(A29=FALSE,"",IF(PA29="FIXE",Cotations!CP29,Cotations!CQ29*AA29))</f>
        <v/>
      </c>
      <c r="PH29" s="292" t="str">
        <f t="shared" si="292"/>
        <v/>
      </c>
      <c r="PI29" s="446" t="str">
        <f>IF(A29=FALSE,"",IF(Cotations!CG29="monthly",PH29/12*L29,PH29/365*M29))</f>
        <v/>
      </c>
      <c r="PJ29" s="429" t="str">
        <f>IF(A29=FALSE,"",IF(Cotations!DA29="",0,Cotations!DA29))</f>
        <v/>
      </c>
      <c r="PK29" s="292" t="str">
        <f t="shared" si="293"/>
        <v/>
      </c>
      <c r="PL29" s="292" t="str">
        <f t="shared" si="294"/>
        <v/>
      </c>
      <c r="PM29" s="759" t="str">
        <f t="shared" si="211"/>
        <v/>
      </c>
      <c r="PN29" s="759" t="str">
        <f>IF(A29=FALSE,"",((PH29*(1+TAXE)-(PH29*(1+TAXE)*PJ29))+IF(#REF!="N/A",0,IF(INDEX(LISTES!$F$105:$F$109,MATCH(#REF!,LISTES!$C$105:$C$109,0))="FIX",#REF!,#REF!*PM29))))</f>
        <v/>
      </c>
    </row>
    <row r="30" spans="1:430">
      <c r="A30" s="779" t="b">
        <f t="shared" si="111"/>
        <v>0</v>
      </c>
      <c r="B30" s="779" t="b">
        <f>IF(NAMES!$B$9=TRUE,TRUE,FALSE)</f>
        <v>1</v>
      </c>
      <c r="C30" s="779" t="b">
        <f t="shared" si="212"/>
        <v>0</v>
      </c>
      <c r="D30" s="779" t="b">
        <f t="shared" si="213"/>
        <v>1</v>
      </c>
      <c r="E30" s="267" t="b">
        <f>IF(Cotations!C30="","",Cotations!C30)</f>
        <v>0</v>
      </c>
      <c r="F30" s="267" t="str">
        <f>IF(Cotations!AT30="","",Cotations!AT30)</f>
        <v>PROP</v>
      </c>
      <c r="G30" s="267" t="str">
        <f>IF(Cotations!D30="","",Cotations!D30)</f>
        <v>2016-2017!</v>
      </c>
      <c r="H30" s="267" t="str">
        <f>IF(Cotations!E30="","",Cotations!E30)</f>
        <v>SINGLE</v>
      </c>
      <c r="I30" s="267" t="str">
        <f>IF(Cotations!F30="","",Cotations!F30)</f>
        <v/>
      </c>
      <c r="J30" s="267" t="str">
        <f>IF(Cotations!G30="","",Cotations!G30)</f>
        <v/>
      </c>
      <c r="K30" s="267" t="str">
        <f>IF(Cotations!H30="","",Cotations!H30)</f>
        <v/>
      </c>
      <c r="L30" s="267" t="str">
        <f>IF(A30=FALSE,"",IF(Cotations!M30="","",Cotations!M30))</f>
        <v/>
      </c>
      <c r="M30" s="267" t="str">
        <f>IF(Cotations!O30="","",Cotations!O30)</f>
        <v/>
      </c>
      <c r="N30" s="588">
        <f>IF(NAMES!$B$10=TRUE,Cotations!I30,Cotations!K30)</f>
        <v>42675</v>
      </c>
      <c r="O30" s="588">
        <f>IF(NAMES!$B$10=TRUE,Cotations!J30,Cotations!L30)</f>
        <v>42749</v>
      </c>
      <c r="P30" s="780" t="str">
        <f t="shared" si="214"/>
        <v>novembre</v>
      </c>
      <c r="Q30" s="588" t="str">
        <f>IF(A30=FALSE,"",IF(Crewlist!Y30="","",Crewlist!Y30))</f>
        <v/>
      </c>
      <c r="R30" s="78" t="str">
        <f>IF(Cotations!T30="","",Cotations!T30)</f>
        <v/>
      </c>
      <c r="S30" s="780" t="str">
        <f t="shared" si="215"/>
        <v/>
      </c>
      <c r="T30" s="759" t="str">
        <f>IF(A30=FALSE,"",VLOOKUP($U$15:$U$120,Currency!$A$2:$D$10,4,0)*Crewlist!N30)</f>
        <v/>
      </c>
      <c r="U30" s="1097" t="str">
        <f>IF(A30=FALSE,"",IF(DP30=0,Crewlist!M30&amp;"/"&amp;CP30,Crewlist!M30&amp;"/"&amp;DP30))</f>
        <v/>
      </c>
      <c r="V30" s="759" t="str">
        <f>IF(A30=FALSE,"",VLOOKUP($U$15:$U$120,Currency!$A$2:$D$10,4,0)*Detail!Q30)</f>
        <v/>
      </c>
      <c r="W30" s="1097" t="str">
        <f>IF(A30=FALSE,"",IF(DP30=0,Detail!R30&amp;"/"&amp;CP30,Detail!R30&amp;"/"&amp;DP30))</f>
        <v/>
      </c>
      <c r="X30" s="759" t="str">
        <f>IF(A30=FALSE,"",IF(LISTES!$C$17="Crewlist",Calcul!T30,Calcul!V30))</f>
        <v/>
      </c>
      <c r="Y30" s="618" t="str">
        <f t="shared" si="216"/>
        <v/>
      </c>
      <c r="Z30" s="618" t="str">
        <f>IF(A30=FALSE,"",IF(X30=0,0,IF((Cotations!BA30*12*X30)&lt;50000,50000,(12*X30))))</f>
        <v/>
      </c>
      <c r="AA30" s="618" t="str">
        <f t="shared" si="217"/>
        <v/>
      </c>
      <c r="AB30" s="618" t="str">
        <f>IF(A30=FALSE,"",IF(Crewlist!O30=0,"",Crewlist!O30))</f>
        <v/>
      </c>
      <c r="AC30" s="618" t="str">
        <f>IF(I30="","",VLOOKUP($AB$15:$AB$120,Currency!$A$15:$B$34,2,0))</f>
        <v/>
      </c>
      <c r="AD30" s="618" t="str">
        <f t="shared" si="218"/>
        <v/>
      </c>
      <c r="AE30" s="618" t="str">
        <f t="shared" si="219"/>
        <v/>
      </c>
      <c r="AF30" s="618" t="str">
        <f t="shared" si="220"/>
        <v/>
      </c>
      <c r="AG30" s="618" t="str">
        <f t="shared" si="221"/>
        <v/>
      </c>
      <c r="AH30" s="1097" t="str">
        <f t="shared" si="112"/>
        <v/>
      </c>
      <c r="AI30" s="759" t="str">
        <f t="shared" si="222"/>
        <v/>
      </c>
      <c r="AJ30" s="1120" t="str">
        <f t="shared" si="223"/>
        <v/>
      </c>
      <c r="AK30" s="1120" t="str">
        <f t="shared" si="224"/>
        <v/>
      </c>
      <c r="AL30" s="236" t="str">
        <f t="shared" si="225"/>
        <v/>
      </c>
      <c r="AM30" s="236" t="str">
        <f t="shared" si="226"/>
        <v/>
      </c>
      <c r="AN30" s="1112" t="str">
        <f t="shared" si="227"/>
        <v/>
      </c>
      <c r="AO30" s="236" t="str">
        <f t="shared" si="228"/>
        <v/>
      </c>
      <c r="AP30" s="327" t="str">
        <f>IF(A30=FALSE,"",INDEX(Rates!$Q$1:$Q$278,MATCH(CA30,colchoice,0)))</f>
        <v/>
      </c>
      <c r="AQ30" s="236" t="str">
        <f t="shared" si="229"/>
        <v/>
      </c>
      <c r="AR30" s="236" t="str">
        <f t="shared" si="230"/>
        <v/>
      </c>
      <c r="AS30" s="236" t="str">
        <f t="shared" si="117"/>
        <v/>
      </c>
      <c r="AT30" s="236" t="str">
        <f t="shared" si="118"/>
        <v/>
      </c>
      <c r="AU30" s="236" t="str">
        <f t="shared" si="231"/>
        <v/>
      </c>
      <c r="AV30" s="236" t="str">
        <f t="shared" si="232"/>
        <v/>
      </c>
      <c r="AW30" s="236" t="str">
        <f t="shared" si="233"/>
        <v/>
      </c>
      <c r="AX30" s="236" t="str">
        <f t="shared" si="234"/>
        <v/>
      </c>
      <c r="AY30" s="236" t="str">
        <f t="shared" si="235"/>
        <v/>
      </c>
      <c r="AZ30" s="236" t="str">
        <f t="shared" si="236"/>
        <v/>
      </c>
      <c r="BA30" s="236" t="str">
        <f t="shared" si="237"/>
        <v/>
      </c>
      <c r="BB30" s="467" t="str">
        <f t="shared" si="238"/>
        <v/>
      </c>
      <c r="BC30" s="329" t="str">
        <f t="shared" si="239"/>
        <v/>
      </c>
      <c r="BD30" s="237" t="str">
        <f t="shared" si="240"/>
        <v/>
      </c>
      <c r="BE30" s="237" t="str">
        <f>IF(A30=FALSE,"",IF(ED30&lt;&gt;$BC$7,0,INDEX(EA30:EZ30,1,MATCH(Structure!$J$16,$EA$14:$EZ$14,0))))</f>
        <v/>
      </c>
      <c r="BF30" s="237" t="str">
        <f>IF(A30=FALSE,"",IF(FD30&lt;&gt;$BC$7,0,INDEX(FA30:FZ30,1,MATCH(Structure!$J$16,$FA$14:$FZ$14,0))))</f>
        <v/>
      </c>
      <c r="BG30" s="237" t="str">
        <f>IF(A30=FALSE,"",IF(GD30&lt;&gt;$BC$7,0,INDEX(GA30:GZ30,1,MATCH(Structure!$J$16,$GA$14:$GZ$14,0))))</f>
        <v/>
      </c>
      <c r="BH30" s="237" t="str">
        <f>IF(A30=FALSE,"",IF(HD30&lt;&gt;$BC$7,0,INDEX(HA30:HZ30,1,MATCH(Structure!$J$16,$HA$14:$HZ$14,0))))</f>
        <v/>
      </c>
      <c r="BI30" s="621" t="str">
        <f>IF(A30=FALSE,"",IF(ID30&lt;&gt;$BC$7,0,INDEX(IA30:IZ30,1,MATCH(Structure!$C$12,$IA$14:$IZ$14,0)))+OL30)</f>
        <v/>
      </c>
      <c r="BJ30" s="237" t="str">
        <f>IF(A30=FALSE,"",IF(JD30&lt;&gt;$BC$7,0,INDEX(JA30:JZ30,1,MATCH(Structure!$C$12,$JA$14:$JZ$14,0))))</f>
        <v/>
      </c>
      <c r="BK30" s="621" t="str">
        <f>IF(A30=FALSE,"",IF(KD30&lt;&gt;$BC$7,0,INDEX(KA30:KZ30,1,MATCH(Structure!$C$12,$KA$14:$KZ$14,0)))+PL30)</f>
        <v/>
      </c>
      <c r="BL30" s="237" t="str">
        <f>IF(A30=FALSE,"",IF(LD30&lt;&gt;$BC$7,0,INDEX(LA30:LZ30,1,MATCH(Structure!$C$12,$LA$14:$LZ$14,0))))</f>
        <v/>
      </c>
      <c r="BM30" s="237" t="str">
        <f>IF(A30=FALSE,"",IF(MD30&lt;&gt;$BC$7,0,INDEX(MA30:MZ30,1,MATCH(Structure!$C$12,$MA$14:$MZ$14,0))))</f>
        <v/>
      </c>
      <c r="BN30" s="326" t="str">
        <f>IF(A30=FALSE,"",IF(ND30&lt;&gt;$BC$7,0,INDEX(NA30:OC30,1,MATCH(Structure!$C$12,$NA$14:$OC$14,0))))</f>
        <v/>
      </c>
      <c r="BO30" s="435" t="str">
        <f t="shared" si="241"/>
        <v/>
      </c>
      <c r="BP30" s="237" t="str">
        <f t="shared" si="242"/>
        <v/>
      </c>
      <c r="BQ30" s="237" t="str">
        <f>IF(A30=FALSE,"",IF(ED30&lt;&gt;$BO$7,0,INDEX(EA30:EZ30,1,MATCH(Structure!$C$12,$EA$14:$EZ$14,0))))</f>
        <v/>
      </c>
      <c r="BR30" s="237" t="str">
        <f>IF(A30=FALSE,"",IF(FD30&lt;&gt;$BO$7,0,INDEX(FA30:FZ30,1,MATCH(Structure!$C$12,$FA$14:$FZ$14,0))))</f>
        <v/>
      </c>
      <c r="BS30" s="237" t="str">
        <f>IF(A30=FALSE,"",IF(ID30&lt;&gt;$BO$7,0,INDEX(IA30:IZ30,1,MATCH(Structure!$C$13,$IA$14:$IZ$14,0))))</f>
        <v/>
      </c>
      <c r="BT30" s="237" t="str">
        <f>IF(A30=FALSE,"",IF(JD30&lt;&gt;$BO$7,0,INDEX(JA30:JZ30,1,MATCH(Structure!$C$13,$JA$14:$JZ$14,0))))</f>
        <v/>
      </c>
      <c r="BU30" s="237" t="str">
        <f>IF(A30=FALSE,"",IF(KD30&lt;&gt;$BO$7,0,INDEX(KA30:KZ30,1,MATCH(Structure!$C$13,$KA$14:$KZ$14,0))))</f>
        <v/>
      </c>
      <c r="BV30" s="237" t="str">
        <f>IF(A30=FALSE,"",IF(LD30&lt;&gt;$BO$7,0,INDEX(LA30:LZ30,1,MATCH(Structure!$C$13,$LA$14:$LZ$14,0))))</f>
        <v/>
      </c>
      <c r="BW30" s="237" t="str">
        <f>IF(A30=FALSE,"",IF(MD30&lt;&gt;$BO$7,0,INDEX(MA30:MZ30,1,MATCH(Structure!$C$13,$MA$14:$MZ$14,0))))</f>
        <v/>
      </c>
      <c r="BX30" s="326" t="str">
        <f>IF(A30=FALSE,"",IF(ND30&lt;&gt;$BO$7,0,INDEX(NA30:OC30,1,MATCH(Structure!$C$13,$NA$14:$OC$14,0))))</f>
        <v/>
      </c>
      <c r="BY30" s="412"/>
      <c r="BZ30" s="412"/>
      <c r="CA30" s="1255" t="str">
        <f>IF(A30=FALSE,"",IF(LISTES!$A$17=1,Cotations!AG30,Cotations!AH30))</f>
        <v/>
      </c>
      <c r="CB30" s="1266" t="str">
        <f t="shared" si="243"/>
        <v/>
      </c>
      <c r="CC30" s="1120" t="str">
        <f t="shared" si="244"/>
        <v/>
      </c>
      <c r="CD30" s="1120" t="str">
        <f t="shared" si="245"/>
        <v/>
      </c>
      <c r="CE30" s="1120" t="str">
        <f t="shared" si="246"/>
        <v/>
      </c>
      <c r="CF30" s="1120" t="str">
        <f t="shared" si="247"/>
        <v/>
      </c>
      <c r="CG30" s="1267"/>
      <c r="CH30" s="1267"/>
      <c r="CI30" s="1268" t="str">
        <f t="shared" si="248"/>
        <v/>
      </c>
      <c r="CJ30" s="286" t="str">
        <f t="shared" si="249"/>
        <v/>
      </c>
      <c r="CK30" s="286" t="str">
        <f t="shared" si="250"/>
        <v/>
      </c>
      <c r="CL30" s="1263"/>
      <c r="CM30" s="1263"/>
      <c r="CN30" s="1263"/>
      <c r="CO30" s="1263"/>
      <c r="CP30" s="319" t="str">
        <f t="shared" si="251"/>
        <v/>
      </c>
      <c r="CQ30" s="443" t="str">
        <f>IF(A30=FALSE,"",Cotations!AM30)</f>
        <v/>
      </c>
      <c r="CR30" s="443" t="str">
        <f>IF(A30=FALSE,"",IF(Cotations!AN30="","",Cotations!AN30))</f>
        <v/>
      </c>
      <c r="CS30" s="433" t="str">
        <f>IF(A30=FALSE,"",Cotations!AO30)</f>
        <v/>
      </c>
      <c r="CT30" s="443" t="str">
        <f>IF(A30=FALSE,"",IF(CQ30="N/A",0,IF(INDEX(LISTES!$F$105:$F$109,MATCH(CQ30,LISTES!$C$105:$C$109,0))="FIX",IF(INDEX(LISTES!$E$105:$E$109,MATCH(CQ30,LISTES!$C$105:$C$109,0))=12,CR30/12*L30,CR30/365*M30),CS30*EQ30)))</f>
        <v/>
      </c>
      <c r="CU30" s="434" t="str">
        <f>IF(A30=FALSE,"",(CJ30+CK30)*Cotations!AP30)</f>
        <v/>
      </c>
      <c r="CV30" s="434" t="str">
        <f>IF(A30=FALSE,"",(CJ30+CK30)*Cotations!AQ30)</f>
        <v/>
      </c>
      <c r="DA30" s="1253" t="str">
        <f>IF(A30=FALSE,"",IF(LISTES!$A$17=1,Cotations!AV30,Cotations!AW30))</f>
        <v/>
      </c>
      <c r="DB30" s="1271" t="str">
        <f t="shared" si="252"/>
        <v/>
      </c>
      <c r="DC30" s="1270" t="str">
        <f t="shared" si="253"/>
        <v/>
      </c>
      <c r="DD30" s="1270" t="str">
        <f t="shared" si="254"/>
        <v/>
      </c>
      <c r="DE30" s="1270" t="str">
        <f t="shared" si="255"/>
        <v/>
      </c>
      <c r="DF30" s="1270" t="str">
        <f t="shared" si="256"/>
        <v/>
      </c>
      <c r="DG30" s="1270" t="str">
        <f t="shared" si="257"/>
        <v/>
      </c>
      <c r="DH30" s="1270" t="str">
        <f t="shared" si="258"/>
        <v/>
      </c>
      <c r="DI30" s="1271" t="str">
        <f t="shared" si="259"/>
        <v/>
      </c>
      <c r="DJ30" s="286" t="str">
        <f t="shared" si="260"/>
        <v/>
      </c>
      <c r="DK30" s="286" t="str">
        <f t="shared" si="261"/>
        <v/>
      </c>
      <c r="DL30" s="1264" t="str">
        <f t="shared" si="262"/>
        <v/>
      </c>
      <c r="DM30" s="1264" t="str">
        <f t="shared" si="263"/>
        <v/>
      </c>
      <c r="DN30" s="1264" t="str">
        <f t="shared" si="264"/>
        <v/>
      </c>
      <c r="DO30" s="1264" t="str">
        <f t="shared" si="265"/>
        <v/>
      </c>
      <c r="DP30" s="323" t="str">
        <f t="shared" si="132"/>
        <v/>
      </c>
      <c r="DQ30" s="444" t="str">
        <f>IF(A30=FALSE,"",Cotations!BW30)</f>
        <v/>
      </c>
      <c r="DR30" s="444" t="str">
        <f>IF(A30=FALSE,"",Cotations!BX30)</f>
        <v/>
      </c>
      <c r="DS30" s="433" t="str">
        <f>IF(A30=FALSE,"",Cotations!BY30)</f>
        <v/>
      </c>
      <c r="DT30" s="830" t="str">
        <f>IF(A30=FALSE,"",IF(DQ30="N/A",0,IF(INDEX(LISTES!$F$105:$F$109,MATCH(DQ30,LISTES!$C$105:$C$109,0))="FIX",IF(INDEX(LISTES!$E$105:$E$109,MATCH(DQ30,LISTES!$C$105:$C$109,0))=12,DR30/12*L30,DR30/365*M30),DS30*(DN30+DO30))))</f>
        <v/>
      </c>
      <c r="DU30" s="434" t="str">
        <f>IF(A30=FALSE,"",DJ30*Cotations!BZ30)</f>
        <v/>
      </c>
      <c r="DV30" s="434" t="str">
        <f>IF(A30=FALSE,"",DJ30*Cotations!CA30)</f>
        <v/>
      </c>
      <c r="EA30" s="432" t="str">
        <f>IF(A30=FALSE,"",Cotations!AT30)</f>
        <v/>
      </c>
      <c r="EB30" s="1234" t="str">
        <f>IF(A30=FALSE,"",YEAR(Detail!F30)&amp;Detail!AG30&amp;Detail!AD30&amp;"-"&amp;Detail!$AD$13&amp;Detail!AE30)</f>
        <v/>
      </c>
      <c r="EC30" s="434" t="str">
        <f>IF(A30=FALSE,"",IF(LISTES!$A$17=1,EB30,INDEX(colMOD1,MATCH(Cotations!AH30,colchoice,0))))</f>
        <v/>
      </c>
      <c r="ED30" s="277" t="str">
        <f t="shared" si="133"/>
        <v/>
      </c>
      <c r="EE30" s="277" t="str">
        <f t="shared" si="134"/>
        <v/>
      </c>
      <c r="EF30" s="277"/>
      <c r="EG30" s="277"/>
      <c r="EH30" s="277" t="str">
        <f t="shared" si="135"/>
        <v/>
      </c>
      <c r="EI30" s="1104" t="str">
        <f t="shared" si="136"/>
        <v/>
      </c>
      <c r="EJ30" s="1104" t="str">
        <f t="shared" si="137"/>
        <v/>
      </c>
      <c r="EK30" s="443" t="str">
        <f>IF(A30=FALSE,"",IF(Cotations!AF30="monthly",EH30/12*L30,EH30/365*M30))</f>
        <v/>
      </c>
      <c r="EL30" s="1103" t="str">
        <f>IF(A30=FALSE,"",IF(Cotations!AF30="monthly",EJ30/12*L30,EJ30/365*M30))</f>
        <v/>
      </c>
      <c r="EM30" s="433" t="str">
        <f>IF(A30=FALSE,"",IF(Cotations!AI30="","",Cotations!AI30))</f>
        <v/>
      </c>
      <c r="EN30" s="277" t="str">
        <f t="shared" si="266"/>
        <v/>
      </c>
      <c r="EO30" s="277" t="str">
        <f t="shared" si="138"/>
        <v/>
      </c>
      <c r="EP30" s="1104" t="str">
        <f t="shared" si="139"/>
        <v/>
      </c>
      <c r="EQ30" s="277" t="str">
        <f t="shared" si="267"/>
        <v/>
      </c>
      <c r="ER30" s="759" t="str">
        <f>IF(A30=FALSE,"",((EH30*TAXE)-(EH30*TAXE*EM30)+EI30)+IF(CQ30="N/A",0,IF(INDEX(LISTES!$F$105:$F$109,MATCH(CQ30,LISTES!$C$105:$C$109,0))="FIX",CR30,CS30*EQ30)))</f>
        <v/>
      </c>
      <c r="ET30" s="422"/>
      <c r="EU30" s="422"/>
      <c r="EV30" s="422"/>
      <c r="EW30" s="422"/>
      <c r="EX30" s="422"/>
      <c r="EY30" s="422"/>
      <c r="EZ30" s="422"/>
      <c r="FA30" s="432" t="str">
        <f>IF(A30=FALSE,"",Cotations!AT30)</f>
        <v/>
      </c>
      <c r="FB30" s="1235" t="str">
        <f>IF(A30=FALSE,"",IF(Detail!AL30="","N/A",YEAR(Detail!F30)&amp;Detail!AO30&amp;Detail!AL30&amp;"-"&amp;Detail!$AL$13&amp;Detail!AM30))</f>
        <v/>
      </c>
      <c r="FC30" s="434" t="str">
        <f>IF(A30=FALSE,"",IF(LISTES!$A$17=1,FB30,INDEX(colMOD2,MATCH(Cotations!AH30,colchoice,0))))</f>
        <v/>
      </c>
      <c r="FD30" s="277" t="str">
        <f t="shared" si="140"/>
        <v/>
      </c>
      <c r="FE30" s="443" t="str">
        <f>IF(A30=FALSE,"",IF(Detail!AM30="","",Detail!AM30))</f>
        <v/>
      </c>
      <c r="FF30" s="277"/>
      <c r="FG30" s="277"/>
      <c r="FH30" s="277" t="str">
        <f t="shared" si="141"/>
        <v/>
      </c>
      <c r="FI30" s="1104"/>
      <c r="FJ30" s="1104"/>
      <c r="FK30" s="443" t="str">
        <f>IF(A30=FALSE,"",IF(Cotations!AF30="monthly",FH30/12*L30,FH30/365*M30))</f>
        <v/>
      </c>
      <c r="FL30" s="1103" t="str">
        <f>IF(A30=FALSE,"",IF(Cotations!AF30="monthly",FJ30/12*L30,FJ30/365*M30))</f>
        <v/>
      </c>
      <c r="FM30" s="433" t="str">
        <f>IF(A30=FALSE,"",IF(Cotations!AJ30="","",Cotations!AJ30))</f>
        <v/>
      </c>
      <c r="FN30" s="277" t="str">
        <f t="shared" si="268"/>
        <v/>
      </c>
      <c r="FO30" s="277" t="str">
        <f t="shared" si="269"/>
        <v/>
      </c>
      <c r="FP30" s="1104"/>
      <c r="FQ30" s="277" t="str">
        <f t="shared" si="270"/>
        <v/>
      </c>
      <c r="FR30" s="759" t="str">
        <f>IF(A30=FALSE,"",((FH30*TAXE)-(FH30*TAXE*FM30))+IF(#REF!="N/A",0,IF(INDEX(LISTES!$F$105:$F$109,MATCH(#REF!,LISTES!$C$105:$C$109,0))="FIX",#REF!,#REF!*FQ30)))</f>
        <v/>
      </c>
      <c r="FS30" s="422"/>
      <c r="FT30" s="422"/>
      <c r="FU30" s="422"/>
      <c r="FV30" s="422"/>
      <c r="FW30" s="422"/>
      <c r="FX30" s="422"/>
      <c r="FY30" s="422"/>
      <c r="FZ30" s="422"/>
      <c r="GA30" s="432" t="str">
        <f t="shared" si="145"/>
        <v/>
      </c>
      <c r="GB30" s="1234" t="str">
        <f>IF(A30=FALSE,"",IF(Detail!DF30="","N/A",YEAR(Detail!F30)&amp;Detail!DI30&amp;Detail!DF30&amp;"-"&amp;Detail!$DF$13))</f>
        <v/>
      </c>
      <c r="GC30" s="434" t="str">
        <f>IF(A30=FALSE,"",IF(LISTES!$A$17=1,GB30,INDEX(colMOD3,MATCH(Cotations!AH30,colchoice,0))))</f>
        <v/>
      </c>
      <c r="GD30" s="277" t="str">
        <f t="shared" si="146"/>
        <v/>
      </c>
      <c r="GE30" s="277" t="str">
        <f t="shared" si="147"/>
        <v/>
      </c>
      <c r="GF30" s="277"/>
      <c r="GG30" s="277"/>
      <c r="GH30" s="277" t="str">
        <f t="shared" si="271"/>
        <v/>
      </c>
      <c r="GI30" s="1104" t="str">
        <f t="shared" si="272"/>
        <v/>
      </c>
      <c r="GJ30" s="1104" t="str">
        <f t="shared" si="273"/>
        <v/>
      </c>
      <c r="GK30" s="443" t="str">
        <f>IF(A30=FALSE,"",IF(Cotations!AF30="monthly",GH30/12*L30,GH30/365*M30))</f>
        <v/>
      </c>
      <c r="GL30" s="1103" t="str">
        <f>IF(A30=FALSE,"",IF(Cotations!AF30="monthly",GJ30/12*L30,GJ30/365*M30))</f>
        <v/>
      </c>
      <c r="GM30" s="433" t="str">
        <f>IF(A30=FALSE,"",IF(Cotations!AK30="","",Cotations!AK30))</f>
        <v/>
      </c>
      <c r="GN30" s="277" t="str">
        <f t="shared" si="274"/>
        <v/>
      </c>
      <c r="GO30" s="277" t="str">
        <f t="shared" si="275"/>
        <v/>
      </c>
      <c r="GP30" s="1104" t="str">
        <f t="shared" si="276"/>
        <v/>
      </c>
      <c r="GQ30" s="277" t="str">
        <f t="shared" si="277"/>
        <v/>
      </c>
      <c r="GR30" s="759" t="str">
        <f>IF(A30=FALSE,"",((GH30*TAXE)-(GH30*TAXE*GM30)+GI30)+IF(CQ30="N/A",0,IF(INDEX(LISTES!$F$105:$F$109,MATCH(CQ30,LISTES!$C$105:$C$109,0))="FIX",CR30,CS30*GQ30)))</f>
        <v/>
      </c>
      <c r="GS30" s="412"/>
      <c r="GT30" s="412"/>
      <c r="GU30" s="412"/>
      <c r="GV30" s="412"/>
      <c r="GW30" s="412"/>
      <c r="GX30" s="412"/>
      <c r="GY30" s="412"/>
      <c r="GZ30" s="412"/>
      <c r="HA30" s="432" t="str">
        <f t="shared" si="155"/>
        <v/>
      </c>
      <c r="HB30" s="1234" t="str">
        <f>IF(A30=FALSE,"",IF(Detail!DF30="","N/A",YEAR(Detail!F30)&amp;Detail!DI30&amp;Detail!DF30&amp;"-"&amp;Detail!$DF$13))</f>
        <v/>
      </c>
      <c r="HC30" s="434" t="str">
        <f>IF(A30=FALSE,"",IF(LISTES!$A$17=1,HB30,INDEX(colMOD4,MATCH(Cotations!AH30,colchoice,0))))</f>
        <v/>
      </c>
      <c r="HD30" s="277" t="str">
        <f t="shared" si="278"/>
        <v/>
      </c>
      <c r="HE30" s="277" t="str">
        <f t="shared" si="279"/>
        <v/>
      </c>
      <c r="HF30" s="277"/>
      <c r="HG30" s="277"/>
      <c r="HH30" s="277" t="str">
        <f t="shared" si="280"/>
        <v/>
      </c>
      <c r="HI30" s="1104" t="str">
        <f t="shared" si="281"/>
        <v/>
      </c>
      <c r="HJ30" s="1104" t="str">
        <f t="shared" si="282"/>
        <v/>
      </c>
      <c r="HK30" s="443" t="str">
        <f>IF(A30=FALSE,"",IF(Cotations!AF30="monthly",HH30/12*L30,HH30/365*M30))</f>
        <v/>
      </c>
      <c r="HL30" s="1103" t="str">
        <f>IF(A30=FALSE,"",IF(Cotations!AF30="monthly",HJ30/12*L30,HJ30/365*M30))</f>
        <v/>
      </c>
      <c r="HM30" s="433" t="str">
        <f>IF(A30=FALSE,"",IF(Cotations!AL30="","",Cotations!AL30))</f>
        <v/>
      </c>
      <c r="HN30" s="277" t="str">
        <f t="shared" si="283"/>
        <v/>
      </c>
      <c r="HO30" s="277" t="str">
        <f t="shared" si="284"/>
        <v/>
      </c>
      <c r="HP30" s="1104" t="str">
        <f t="shared" si="285"/>
        <v/>
      </c>
      <c r="HQ30" s="277" t="str">
        <f t="shared" si="286"/>
        <v/>
      </c>
      <c r="HR30" s="759" t="str">
        <f>IF(A30=FALSE,"",((HH30*TAXE)-(HH30*TAXE*HM30)+HI30)+IF(CQ30="N/A",0,IF(INDEX(LISTES!$F$105:$F$109,MATCH(CQ30,LISTES!$C$105:$C$109,0))="FIX",CR30,CS30*HQ30)))</f>
        <v/>
      </c>
      <c r="HS30" s="412"/>
      <c r="HT30" s="412"/>
      <c r="HU30" s="412"/>
      <c r="HV30" s="412"/>
      <c r="HW30" s="412"/>
      <c r="HX30" s="412"/>
      <c r="HY30" s="412"/>
      <c r="HZ30" s="1262"/>
      <c r="IA30" s="432" t="str">
        <f>IF(A30=FALSE,"",Cotations!AT30)</f>
        <v/>
      </c>
      <c r="IB30" s="1253" t="str">
        <f>IF(A30=FALSE,"",IF(Detail!AT30="","N/A",YEAR(Detail!F30)&amp;Detail!AW30&amp;Detail!AT30&amp;"-"&amp;Detail!$AT$13&amp;Detail!AU30))</f>
        <v/>
      </c>
      <c r="IC30" s="431" t="str">
        <f>IF(A30=FALSE,"",IF(LISTES!$A$17=1,IB30,INDEX(colMOD1,MATCH(DA30,colchoice,0))))</f>
        <v/>
      </c>
      <c r="ID30" s="759" t="str">
        <f t="shared" si="287"/>
        <v/>
      </c>
      <c r="IE30" s="292" t="str">
        <f>IF(A30=FALSE,"",IF(LISTES!$A$17=1,Detail!AU30,INDEX(Rates!$M$1:$M$270,MATCH(IC30,colMOD1,0))))</f>
        <v/>
      </c>
      <c r="IF30" s="409" t="str">
        <f t="shared" si="165"/>
        <v/>
      </c>
      <c r="IG30" s="430" t="str">
        <f>IF(A30=FALSE,"",IF(IA30="POEA",Cotations!AY30,IF(IA30="FIXE",Cotations!AZ30,IF(Cotations!BA30*Y30&lt;50000,Z30,Cotations!BA30*Y30))))</f>
        <v/>
      </c>
      <c r="IH30" s="292" t="str">
        <f t="shared" si="166"/>
        <v/>
      </c>
      <c r="II30" s="446" t="str">
        <f>IF(A30=FALSE,"",IF(Cotations!AU30="monthly",IH30/12*L30,IH30/365*M30))</f>
        <v/>
      </c>
      <c r="IJ30" s="429" t="str">
        <f>IF(A30=FALSE,"",IF(Cotations!BB30="","",Cotations!BB30))</f>
        <v/>
      </c>
      <c r="IK30" s="292" t="str">
        <f t="shared" si="167"/>
        <v/>
      </c>
      <c r="IL30" s="292" t="str">
        <f t="shared" si="168"/>
        <v/>
      </c>
      <c r="IM30" s="759" t="str">
        <f t="shared" si="169"/>
        <v/>
      </c>
      <c r="IN30" s="759" t="str">
        <f>IF(A30=FALSE,"",((IH30*TAXE)-(IH30*TAXE*IJ30))+IF(DQ30="N/A",0,IF(INDEX(LISTES!$F$105:$F$109,MATCH(DQ30,LISTES!$C$105:$C$109,0))="FIX",DR30,DS30*IM30)))</f>
        <v/>
      </c>
      <c r="JA30" s="432" t="str">
        <f>IF(A30=FALSE,"",Cotations!AT30)</f>
        <v/>
      </c>
      <c r="JB30" s="1234" t="str">
        <f>IF(A30=FALSE,"",IF(Detail!BB30="","N/A",YEAR(Detail!F30)&amp;Detail!BE30&amp;Detail!BB30&amp;"-"&amp;Detail!$BB$13&amp;Detail!BC30))</f>
        <v/>
      </c>
      <c r="JC30" s="431" t="str">
        <f>IF(A30=FALSE,"",IF(LISTES!$A$17=1,JB30,INDEX(colMOD2,MATCH(DA30,colchoice,0))))</f>
        <v/>
      </c>
      <c r="JD30" s="759" t="str">
        <f t="shared" si="170"/>
        <v/>
      </c>
      <c r="JE30" s="292"/>
      <c r="JF30" s="409" t="str">
        <f t="shared" si="171"/>
        <v/>
      </c>
      <c r="JG30" s="430" t="str">
        <f>IF(A30=FALSE,"",IF(JA30="POEA",Cotations!BC30,IF(JA30="FIXE",Cotations!BD30,IF(Cotations!BE30*Y30&lt;50000,Z30,Cotations!BE30*Y30))))</f>
        <v/>
      </c>
      <c r="JH30" s="292" t="str">
        <f t="shared" si="172"/>
        <v/>
      </c>
      <c r="JI30" s="446" t="str">
        <f>IF(A30=FALSE,"",IF(Cotations!AU30="monthly",JH30/12*L30,JH30/365*M30))</f>
        <v/>
      </c>
      <c r="JJ30" s="429" t="str">
        <f>IF(A30=FALSE,"",IF(Cotations!BF30="","",Cotations!BF30))</f>
        <v/>
      </c>
      <c r="JK30" s="292" t="str">
        <f t="shared" si="173"/>
        <v/>
      </c>
      <c r="JL30" s="292" t="str">
        <f t="shared" si="174"/>
        <v/>
      </c>
      <c r="JM30" s="759" t="str">
        <f t="shared" si="175"/>
        <v/>
      </c>
      <c r="JN30" s="759" t="str">
        <f>IF(A30=FALSE,"",((JH30*TAXE)-(JH30*TAXE*JJ30))+IF(#REF!="N/A",0,IF(INDEX(LISTES!$F$105:$F$109,MATCH(#REF!,LISTES!$C$105:$C$109,0))="FIX",#REF!,#REF!*JM30)))</f>
        <v/>
      </c>
      <c r="KA30" s="432" t="str">
        <f>IF(A30=FALSE,"",Cotations!AT30)</f>
        <v/>
      </c>
      <c r="KB30" s="1234" t="str">
        <f>IF(A30=FALSE,"",IF(Detail!BJ30="","N/A",YEAR(Detail!F30)&amp;Detail!BM30&amp;Detail!BJ30&amp;"-"&amp;Detail!$BJ$13&amp;Detail!BK30))</f>
        <v/>
      </c>
      <c r="KC30" s="431" t="str">
        <f>IF(A30=FALSE,"",IF(LISTES!$A$17=1,KB30,INDEX(colMOD3,MATCH(DA30,colchoice,0))))</f>
        <v/>
      </c>
      <c r="KD30" s="759" t="str">
        <f t="shared" si="176"/>
        <v/>
      </c>
      <c r="KE30" s="292"/>
      <c r="KF30" s="409" t="str">
        <f t="shared" si="177"/>
        <v/>
      </c>
      <c r="KG30" s="430" t="str">
        <f>IF(A30=FALSE,"",IF(KA30="POEA",Cotations!BG30,IF(KA30="FIXE",Cotations!BH30,IF(Cotations!BI30*Y30&lt;50000,Z30,Cotations!BI30*Y30))))</f>
        <v/>
      </c>
      <c r="KH30" s="292" t="str">
        <f t="shared" si="178"/>
        <v/>
      </c>
      <c r="KI30" s="446" t="str">
        <f>IF(A30=FALSE,"",IF(Cotations!AU30="monthly",KH30/12*L30,KH30/365*M30))</f>
        <v/>
      </c>
      <c r="KJ30" s="429" t="str">
        <f>IF(A30=FALSE,"",IF(Cotations!BJ30="","",Cotations!BJ30))</f>
        <v/>
      </c>
      <c r="KK30" s="292" t="str">
        <f t="shared" si="179"/>
        <v/>
      </c>
      <c r="KL30" s="292" t="str">
        <f t="shared" si="180"/>
        <v/>
      </c>
      <c r="KM30" s="759" t="str">
        <f t="shared" si="181"/>
        <v/>
      </c>
      <c r="KN30" s="759" t="str">
        <f>IF(A30=FALSE,"",((KH30*TAXE)-(KH30*TAXE*KJ30))+IF(#REF!="N/A",0,IF(INDEX(LISTES!$F$105:$F$109,MATCH(#REF!,LISTES!$C$105:$C$109,0))="FIX",#REF!,#REF!*KM30)))</f>
        <v/>
      </c>
      <c r="LA30" s="432" t="str">
        <f>IF(A30=FALSE,"",Cotations!AT30)</f>
        <v/>
      </c>
      <c r="LB30" s="1234" t="str">
        <f>IF(A30=FALSE,"",IF(Detail!BR30="","N/A",YEAR(Detail!F30)&amp;Detail!BU30&amp;Detail!BR30&amp;"-"&amp;Detail!$BR$13&amp;Detail!BS30))</f>
        <v/>
      </c>
      <c r="LC30" s="431" t="str">
        <f>IF(A30=FALSE,"",IF(LISTES!$A$17=1,LB30,INDEX(colMOD4,MATCH(DA30,colchoice,0))))</f>
        <v/>
      </c>
      <c r="LD30" s="759" t="str">
        <f t="shared" si="182"/>
        <v/>
      </c>
      <c r="LE30" s="292"/>
      <c r="LF30" s="409" t="str">
        <f t="shared" si="183"/>
        <v/>
      </c>
      <c r="LG30" s="430" t="str">
        <f>IF(A30=FALSE,"",IF(LA30="POEA",Cotations!BK30,IF(LA30="FIXE",Cotations!BL30,IF(Cotations!BM30*Y30&lt;50000,Z30,Cotations!BM30*Y30))))</f>
        <v/>
      </c>
      <c r="LH30" s="292" t="str">
        <f t="shared" si="184"/>
        <v/>
      </c>
      <c r="LI30" s="446" t="str">
        <f>IF(A30=FALSE,"",IF(Cotations!AU30="monthly",LH30/12*L30,LH30/365*M30))</f>
        <v/>
      </c>
      <c r="LJ30" s="429" t="str">
        <f>IF(A30=FALSE,"",IF(Cotations!BN30="","",Cotations!BN30))</f>
        <v/>
      </c>
      <c r="LK30" s="292" t="str">
        <f t="shared" si="185"/>
        <v/>
      </c>
      <c r="LL30" s="292" t="str">
        <f t="shared" si="186"/>
        <v/>
      </c>
      <c r="LM30" s="759" t="str">
        <f t="shared" si="187"/>
        <v/>
      </c>
      <c r="LN30" s="759" t="str">
        <f>IF(A30=FALSE,"",((LH30*TAXE)-(LH30*TAXE*LJ30))+IF(#REF!="N/A",0,IF(INDEX(LISTES!$F$105:$F$109,MATCH(#REF!,LISTES!$C$105:$C$109,0))="FIX",#REF!,#REF!*LM30)))</f>
        <v/>
      </c>
      <c r="MA30" s="432" t="str">
        <f t="shared" si="188"/>
        <v/>
      </c>
      <c r="MB30" s="1234" t="str">
        <f>IF(A30=FALSE,"",IF(Detail!BZ30="","N/A",YEAR(Detail!F30)&amp;Detail!CC30&amp;Detail!BZ30&amp;"-"&amp;Detail!$BZ$13&amp;" (100%/"&amp;Detail!CD30&amp;"/"&amp;Detail!CE30&amp;")"))</f>
        <v/>
      </c>
      <c r="MC30" s="431" t="str">
        <f>IF(A30=FALSE,"",IF(LISTES!$A$17=1,MB30,INDEX(colMOD5,MATCH(DA30,colchoice,0))))</f>
        <v/>
      </c>
      <c r="MD30" s="759" t="str">
        <f t="shared" si="189"/>
        <v/>
      </c>
      <c r="ME30" s="292"/>
      <c r="MF30" s="409" t="str">
        <f t="shared" si="190"/>
        <v/>
      </c>
      <c r="MG30" s="430" t="str">
        <f>IF(A30=FALSE,"",Cotations!BQ30*AA30)</f>
        <v/>
      </c>
      <c r="MH30" s="292" t="str">
        <f t="shared" si="191"/>
        <v/>
      </c>
      <c r="MI30" s="446" t="str">
        <f>IF(A30=FALSE,"",IF(Cotations!AU30="monthly",MH30/12*L30,MH30/365*M30))</f>
        <v/>
      </c>
      <c r="MJ30" s="429" t="str">
        <f>IF(A30=FALSE,"",IF(Cotations!BR30="","",Cotations!BR30))</f>
        <v/>
      </c>
      <c r="MK30" s="292" t="str">
        <f t="shared" si="192"/>
        <v/>
      </c>
      <c r="ML30" s="292" t="str">
        <f t="shared" si="193"/>
        <v/>
      </c>
      <c r="MM30" s="759" t="str">
        <f t="shared" si="194"/>
        <v/>
      </c>
      <c r="MN30" s="759" t="str">
        <f>IF(A30=FALSE,"",((MH30*TAXE)-(MH30*TAXE*MJ30))+IF(#REF!="N/A",0,IF(INDEX(LISTES!$F$105:$F$109,MATCH(#REF!,LISTES!$C$105:$C$109,0))="FIX",#REF!,#REF!*MM30)))</f>
        <v/>
      </c>
      <c r="NA30" s="432" t="str">
        <f t="shared" si="195"/>
        <v/>
      </c>
      <c r="NB30" s="1234" t="str">
        <f>IF(A30=FALSE,"",IF(Detail!CH30="","N/A",YEAR(Detail!F30)&amp;Detail!CK30&amp;Detail!CH30&amp;"-"&amp;Detail!$CH$13&amp;" (100%/"&amp;Detail!CL30&amp;"/"&amp;Detail!CM30&amp;")"))</f>
        <v/>
      </c>
      <c r="NC30" s="431" t="str">
        <f>IF(A30=FALSE,"",IF(LISTES!$A$17=1,NB30,INDEX(colMOD6,MATCH(DA30,colchoice,0))))</f>
        <v/>
      </c>
      <c r="ND30" s="759" t="str">
        <f t="shared" si="196"/>
        <v/>
      </c>
      <c r="NE30" s="292"/>
      <c r="NF30" s="409" t="str">
        <f t="shared" si="197"/>
        <v/>
      </c>
      <c r="NG30" s="430" t="str">
        <f>IF(A30=FALSE,"",Cotations!BU30*AA30)</f>
        <v/>
      </c>
      <c r="NH30" s="292" t="str">
        <f t="shared" si="198"/>
        <v/>
      </c>
      <c r="NI30" s="446" t="str">
        <f>IF(A30=FALSE,"",IF(Cotations!AU30="monthly",NH30/12*L30,NH30/365*M30))</f>
        <v/>
      </c>
      <c r="NJ30" s="429" t="str">
        <f>IF(A30=FALSE,"",IF(Cotations!BV30="","",Cotations!BV30))</f>
        <v/>
      </c>
      <c r="NK30" s="292" t="str">
        <f t="shared" si="199"/>
        <v/>
      </c>
      <c r="NL30" s="292" t="str">
        <f t="shared" si="200"/>
        <v/>
      </c>
      <c r="NM30" s="759" t="str">
        <f t="shared" si="201"/>
        <v/>
      </c>
      <c r="NN30" s="759" t="str">
        <f>IF(A30=FALSE,"",((NH30*TAXE)-(NH30*TAXE*NJ30))+IF(#REF!="N/A",0,IF(INDEX(LISTES!$F$105:$F$109,MATCH(#REF!,LISTES!$C$105:$C$109,0))="FIX",#REF!,#REF!*NM30)))</f>
        <v/>
      </c>
      <c r="NZ30" s="1281" t="str">
        <f>IF(A30=FALSE,"",IF(Detail!CP30="","N/A",YEAR(Detail!F30)&amp;Detail!CS30&amp;Detail!CP30&amp;"-"&amp;Detail!CQ30))</f>
        <v/>
      </c>
      <c r="OA30" s="432" t="str">
        <f>IF(A30=FALSE,"",Cotations!CF30)</f>
        <v/>
      </c>
      <c r="OB30" s="1282" t="str">
        <f>IF(A30=FALSE,"",IF(Detail!CP30="","N/A",YEAR(Detail!F30)&amp;Detail!CS30&amp;Detail!CP30&amp;"-"&amp;Detail!$CP$13&amp;Detail!CQ30))</f>
        <v/>
      </c>
      <c r="OC30" s="1283" t="str">
        <f>IF(A30=FALSE,"",IF(LISTES!$A$17=1,OB30,INDEX(colMOD1,MATCH(Cotations!CE30,colchoice,0))))</f>
        <v/>
      </c>
      <c r="OD30" s="759" t="str">
        <f t="shared" si="202"/>
        <v/>
      </c>
      <c r="OE30" s="292" t="str">
        <f>IF(A30=FALSE,"",Detail!CQ30)</f>
        <v/>
      </c>
      <c r="OF30" s="409" t="str">
        <f t="shared" si="203"/>
        <v/>
      </c>
      <c r="OG30" s="430" t="str">
        <f>IF(A30=FALSE,"",IF(OA30="FIXE",Cotations!CM30,Cotations!CN30*AA30))</f>
        <v/>
      </c>
      <c r="OH30" s="292" t="str">
        <f t="shared" si="288"/>
        <v/>
      </c>
      <c r="OI30" s="446" t="str">
        <f>IF(A30=FALSE,"",IF(Cotations!CF30="monthly",OH30/12*L30,OH30/365*M30))</f>
        <v/>
      </c>
      <c r="OJ30" s="429" t="str">
        <f>IF(A30=FALSE,"",IF(Cotations!CO30="","",Cotations!CO30))</f>
        <v/>
      </c>
      <c r="OK30" s="292" t="str">
        <f t="shared" si="289"/>
        <v/>
      </c>
      <c r="OL30" s="292" t="str">
        <f t="shared" si="290"/>
        <v/>
      </c>
      <c r="OM30" s="759" t="str">
        <f t="shared" si="207"/>
        <v/>
      </c>
      <c r="ON30" s="759" t="str">
        <f>IF(A30=FALSE,"",((OH30*(1+TAXE)-(OH30*(1+TAXE)*OJ30))+IF(#REF!="N/A",0,IF(INDEX(LISTES!$F$105:$F$109,MATCH(#REF!,LISTES!$C$105:$C$109,0))="FIX",#REF!,#REF!*OM30))))</f>
        <v/>
      </c>
      <c r="PA30" s="432" t="str">
        <f>IF(A30=FALSE,"",Cotations!CF30)</f>
        <v/>
      </c>
      <c r="PB30" s="1282" t="str">
        <f>IF(A30=FALSE,"",IF(Detail!CX30="","N/A",YEAR(Detail!F30)&amp;Detail!DA30&amp;Detail!CX30&amp;"-"&amp;Detail!$CX$13&amp;Detail!CY30))</f>
        <v/>
      </c>
      <c r="PC30" s="1283" t="str">
        <f>IF(A30=FALSE,"",IF(LISTES!$A$17=1,PB30,INDEX(colMOD3,MATCH(Cotations!CE30,colchoice,0))))</f>
        <v/>
      </c>
      <c r="PD30" s="759" t="str">
        <f t="shared" si="208"/>
        <v/>
      </c>
      <c r="PE30" s="292" t="str">
        <f>IF(A30=FALSE,"",IF(Detail!CY30="","",Detail!CY30))</f>
        <v/>
      </c>
      <c r="PF30" s="409" t="str">
        <f t="shared" si="291"/>
        <v/>
      </c>
      <c r="PG30" s="430" t="str">
        <f>IF(A30=FALSE,"",IF(PA30="FIXE",Cotations!CP30,Cotations!CQ30*AA30))</f>
        <v/>
      </c>
      <c r="PH30" s="292" t="str">
        <f t="shared" si="292"/>
        <v/>
      </c>
      <c r="PI30" s="446" t="str">
        <f>IF(A30=FALSE,"",IF(Cotations!CG30="monthly",PH30/12*L30,PH30/365*M30))</f>
        <v/>
      </c>
      <c r="PJ30" s="429" t="str">
        <f>IF(A30=FALSE,"",IF(Cotations!DA30="",0,Cotations!DA30))</f>
        <v/>
      </c>
      <c r="PK30" s="292" t="str">
        <f t="shared" si="293"/>
        <v/>
      </c>
      <c r="PL30" s="292" t="str">
        <f t="shared" si="294"/>
        <v/>
      </c>
      <c r="PM30" s="759" t="str">
        <f t="shared" si="211"/>
        <v/>
      </c>
      <c r="PN30" s="759" t="str">
        <f>IF(A30=FALSE,"",((PH30*(1+TAXE)-(PH30*(1+TAXE)*PJ30))+IF(#REF!="N/A",0,IF(INDEX(LISTES!$F$105:$F$109,MATCH(#REF!,LISTES!$C$105:$C$109,0))="FIX",#REF!,#REF!*PM30))))</f>
        <v/>
      </c>
    </row>
    <row r="31" spans="1:430">
      <c r="A31" s="779" t="b">
        <f t="shared" si="111"/>
        <v>0</v>
      </c>
      <c r="B31" s="779" t="b">
        <f>IF(NAMES!$B$9=TRUE,TRUE,FALSE)</f>
        <v>1</v>
      </c>
      <c r="C31" s="779" t="b">
        <f t="shared" si="212"/>
        <v>0</v>
      </c>
      <c r="D31" s="779" t="b">
        <f t="shared" si="213"/>
        <v>1</v>
      </c>
      <c r="E31" s="267" t="b">
        <f>IF(Cotations!C31="","",Cotations!C31)</f>
        <v>0</v>
      </c>
      <c r="F31" s="267" t="str">
        <f>IF(Cotations!AT31="","",Cotations!AT31)</f>
        <v>PROP</v>
      </c>
      <c r="G31" s="267" t="str">
        <f>IF(Cotations!D31="","",Cotations!D31)</f>
        <v>2016-2017!</v>
      </c>
      <c r="H31" s="267" t="str">
        <f>IF(Cotations!E31="","",Cotations!E31)</f>
        <v>SINGLE</v>
      </c>
      <c r="I31" s="267" t="str">
        <f>IF(Cotations!F31="","",Cotations!F31)</f>
        <v/>
      </c>
      <c r="J31" s="267" t="str">
        <f>IF(Cotations!G31="","",Cotations!G31)</f>
        <v/>
      </c>
      <c r="K31" s="267" t="str">
        <f>IF(Cotations!H31="","",Cotations!H31)</f>
        <v/>
      </c>
      <c r="L31" s="267" t="str">
        <f>IF(A31=FALSE,"",IF(Cotations!M31="","",Cotations!M31))</f>
        <v/>
      </c>
      <c r="M31" s="267" t="str">
        <f>IF(Cotations!O31="","",Cotations!O31)</f>
        <v/>
      </c>
      <c r="N31" s="588">
        <f>IF(NAMES!$B$10=TRUE,Cotations!I31,Cotations!K31)</f>
        <v>42566</v>
      </c>
      <c r="O31" s="588">
        <f>IF(NAMES!$B$10=TRUE,Cotations!J31,Cotations!L31)</f>
        <v>42675</v>
      </c>
      <c r="P31" s="780" t="str">
        <f t="shared" si="214"/>
        <v>juillet</v>
      </c>
      <c r="Q31" s="588" t="str">
        <f>IF(A31=FALSE,"",IF(Crewlist!Y31="","",Crewlist!Y31))</f>
        <v/>
      </c>
      <c r="R31" s="78" t="str">
        <f>IF(Cotations!T31="","",Cotations!T31)</f>
        <v/>
      </c>
      <c r="S31" s="780" t="str">
        <f t="shared" si="215"/>
        <v/>
      </c>
      <c r="T31" s="759" t="str">
        <f>IF(A31=FALSE,"",VLOOKUP($U$15:$U$120,Currency!$A$2:$D$10,4,0)*Crewlist!N31)</f>
        <v/>
      </c>
      <c r="U31" s="1097" t="str">
        <f>IF(A31=FALSE,"",IF(DP31=0,Crewlist!M31&amp;"/"&amp;CP31,Crewlist!M31&amp;"/"&amp;DP31))</f>
        <v/>
      </c>
      <c r="V31" s="759" t="str">
        <f>IF(A31=FALSE,"",VLOOKUP($U$15:$U$120,Currency!$A$2:$D$10,4,0)*Detail!Q31)</f>
        <v/>
      </c>
      <c r="W31" s="1097" t="str">
        <f>IF(A31=FALSE,"",IF(DP31=0,Detail!R31&amp;"/"&amp;CP31,Detail!R31&amp;"/"&amp;DP31))</f>
        <v/>
      </c>
      <c r="X31" s="759" t="str">
        <f>IF(A31=FALSE,"",IF(LISTES!$C$17="Crewlist",Calcul!T31,Calcul!V31))</f>
        <v/>
      </c>
      <c r="Y31" s="618" t="str">
        <f t="shared" si="216"/>
        <v/>
      </c>
      <c r="Z31" s="618" t="str">
        <f>IF(A31=FALSE,"",IF(X31=0,0,IF((Cotations!BA31*12*X31)&lt;50000,50000,(12*X31))))</f>
        <v/>
      </c>
      <c r="AA31" s="618" t="str">
        <f t="shared" si="217"/>
        <v/>
      </c>
      <c r="AB31" s="618" t="str">
        <f>IF(A31=FALSE,"",IF(Crewlist!O31=0,"",Crewlist!O31))</f>
        <v/>
      </c>
      <c r="AC31" s="618" t="str">
        <f>IF(I31="","",VLOOKUP($AB$15:$AB$120,Currency!$A$15:$B$34,2,0))</f>
        <v/>
      </c>
      <c r="AD31" s="618" t="str">
        <f t="shared" si="218"/>
        <v/>
      </c>
      <c r="AE31" s="618" t="str">
        <f t="shared" si="219"/>
        <v/>
      </c>
      <c r="AF31" s="618" t="str">
        <f t="shared" si="220"/>
        <v/>
      </c>
      <c r="AG31" s="618" t="str">
        <f t="shared" si="221"/>
        <v/>
      </c>
      <c r="AH31" s="1097" t="str">
        <f t="shared" si="112"/>
        <v/>
      </c>
      <c r="AI31" s="759" t="str">
        <f t="shared" si="222"/>
        <v/>
      </c>
      <c r="AJ31" s="1120" t="str">
        <f t="shared" si="223"/>
        <v/>
      </c>
      <c r="AK31" s="1120" t="str">
        <f t="shared" si="224"/>
        <v/>
      </c>
      <c r="AL31" s="236" t="str">
        <f t="shared" si="225"/>
        <v/>
      </c>
      <c r="AM31" s="236" t="str">
        <f t="shared" si="226"/>
        <v/>
      </c>
      <c r="AN31" s="1112" t="str">
        <f t="shared" si="227"/>
        <v/>
      </c>
      <c r="AO31" s="236" t="str">
        <f t="shared" si="228"/>
        <v/>
      </c>
      <c r="AP31" s="327" t="str">
        <f>IF(A31=FALSE,"",INDEX(Rates!$Q$1:$Q$278,MATCH(CA31,colchoice,0)))</f>
        <v/>
      </c>
      <c r="AQ31" s="236" t="str">
        <f t="shared" si="229"/>
        <v/>
      </c>
      <c r="AR31" s="236" t="str">
        <f t="shared" si="230"/>
        <v/>
      </c>
      <c r="AS31" s="236" t="str">
        <f t="shared" si="117"/>
        <v/>
      </c>
      <c r="AT31" s="236" t="str">
        <f t="shared" si="118"/>
        <v/>
      </c>
      <c r="AU31" s="236" t="str">
        <f t="shared" si="231"/>
        <v/>
      </c>
      <c r="AV31" s="236" t="str">
        <f t="shared" si="232"/>
        <v/>
      </c>
      <c r="AW31" s="236" t="str">
        <f t="shared" si="233"/>
        <v/>
      </c>
      <c r="AX31" s="236" t="str">
        <f t="shared" si="234"/>
        <v/>
      </c>
      <c r="AY31" s="236" t="str">
        <f t="shared" si="235"/>
        <v/>
      </c>
      <c r="AZ31" s="236" t="str">
        <f t="shared" si="236"/>
        <v/>
      </c>
      <c r="BA31" s="236" t="str">
        <f t="shared" si="237"/>
        <v/>
      </c>
      <c r="BB31" s="467" t="str">
        <f t="shared" si="238"/>
        <v/>
      </c>
      <c r="BC31" s="329" t="str">
        <f t="shared" si="239"/>
        <v/>
      </c>
      <c r="BD31" s="237" t="str">
        <f t="shared" si="240"/>
        <v/>
      </c>
      <c r="BE31" s="237" t="str">
        <f>IF(A31=FALSE,"",IF(ED31&lt;&gt;$BC$7,0,INDEX(EA31:EZ31,1,MATCH(Structure!$J$16,$EA$14:$EZ$14,0))))</f>
        <v/>
      </c>
      <c r="BF31" s="237" t="str">
        <f>IF(A31=FALSE,"",IF(FD31&lt;&gt;$BC$7,0,INDEX(FA31:FZ31,1,MATCH(Structure!$J$16,$FA$14:$FZ$14,0))))</f>
        <v/>
      </c>
      <c r="BG31" s="237" t="str">
        <f>IF(A31=FALSE,"",IF(GD31&lt;&gt;$BC$7,0,INDEX(GA31:GZ31,1,MATCH(Structure!$J$16,$GA$14:$GZ$14,0))))</f>
        <v/>
      </c>
      <c r="BH31" s="237" t="str">
        <f>IF(A31=FALSE,"",IF(HD31&lt;&gt;$BC$7,0,INDEX(HA31:HZ31,1,MATCH(Structure!$J$16,$HA$14:$HZ$14,0))))</f>
        <v/>
      </c>
      <c r="BI31" s="621" t="str">
        <f>IF(A31=FALSE,"",IF(ID31&lt;&gt;$BC$7,0,INDEX(IA31:IZ31,1,MATCH(Structure!$C$12,$IA$14:$IZ$14,0)))+OL31)</f>
        <v/>
      </c>
      <c r="BJ31" s="237" t="str">
        <f>IF(A31=FALSE,"",IF(JD31&lt;&gt;$BC$7,0,INDEX(JA31:JZ31,1,MATCH(Structure!$C$12,$JA$14:$JZ$14,0))))</f>
        <v/>
      </c>
      <c r="BK31" s="621" t="str">
        <f>IF(A31=FALSE,"",IF(KD31&lt;&gt;$BC$7,0,INDEX(KA31:KZ31,1,MATCH(Structure!$C$12,$KA$14:$KZ$14,0)))+PL31)</f>
        <v/>
      </c>
      <c r="BL31" s="237" t="str">
        <f>IF(A31=FALSE,"",IF(LD31&lt;&gt;$BC$7,0,INDEX(LA31:LZ31,1,MATCH(Structure!$C$12,$LA$14:$LZ$14,0))))</f>
        <v/>
      </c>
      <c r="BM31" s="237" t="str">
        <f>IF(A31=FALSE,"",IF(MD31&lt;&gt;$BC$7,0,INDEX(MA31:MZ31,1,MATCH(Structure!$C$12,$MA$14:$MZ$14,0))))</f>
        <v/>
      </c>
      <c r="BN31" s="326" t="str">
        <f>IF(A31=FALSE,"",IF(ND31&lt;&gt;$BC$7,0,INDEX(NA31:OC31,1,MATCH(Structure!$C$12,$NA$14:$OC$14,0))))</f>
        <v/>
      </c>
      <c r="BO31" s="435" t="str">
        <f t="shared" si="241"/>
        <v/>
      </c>
      <c r="BP31" s="237" t="str">
        <f t="shared" si="242"/>
        <v/>
      </c>
      <c r="BQ31" s="237" t="str">
        <f>IF(A31=FALSE,"",IF(ED31&lt;&gt;$BO$7,0,INDEX(EA31:EZ31,1,MATCH(Structure!$C$12,$EA$14:$EZ$14,0))))</f>
        <v/>
      </c>
      <c r="BR31" s="237" t="str">
        <f>IF(A31=FALSE,"",IF(FD31&lt;&gt;$BO$7,0,INDEX(FA31:FZ31,1,MATCH(Structure!$C$12,$FA$14:$FZ$14,0))))</f>
        <v/>
      </c>
      <c r="BS31" s="237" t="str">
        <f>IF(A31=FALSE,"",IF(ID31&lt;&gt;$BO$7,0,INDEX(IA31:IZ31,1,MATCH(Structure!$C$13,$IA$14:$IZ$14,0))))</f>
        <v/>
      </c>
      <c r="BT31" s="237" t="str">
        <f>IF(A31=FALSE,"",IF(JD31&lt;&gt;$BO$7,0,INDEX(JA31:JZ31,1,MATCH(Structure!$C$13,$JA$14:$JZ$14,0))))</f>
        <v/>
      </c>
      <c r="BU31" s="237" t="str">
        <f>IF(A31=FALSE,"",IF(KD31&lt;&gt;$BO$7,0,INDEX(KA31:KZ31,1,MATCH(Structure!$C$13,$KA$14:$KZ$14,0))))</f>
        <v/>
      </c>
      <c r="BV31" s="237" t="str">
        <f>IF(A31=FALSE,"",IF(LD31&lt;&gt;$BO$7,0,INDEX(LA31:LZ31,1,MATCH(Structure!$C$13,$LA$14:$LZ$14,0))))</f>
        <v/>
      </c>
      <c r="BW31" s="237" t="str">
        <f>IF(A31=FALSE,"",IF(MD31&lt;&gt;$BO$7,0,INDEX(MA31:MZ31,1,MATCH(Structure!$C$13,$MA$14:$MZ$14,0))))</f>
        <v/>
      </c>
      <c r="BX31" s="326" t="str">
        <f>IF(A31=FALSE,"",IF(ND31&lt;&gt;$BO$7,0,INDEX(NA31:OC31,1,MATCH(Structure!$C$13,$NA$14:$OC$14,0))))</f>
        <v/>
      </c>
      <c r="BY31" s="412"/>
      <c r="BZ31" s="412"/>
      <c r="CA31" s="1255" t="str">
        <f>IF(A31=FALSE,"",IF(LISTES!$A$17=1,Cotations!AG31,Cotations!AH31))</f>
        <v/>
      </c>
      <c r="CB31" s="1266" t="str">
        <f t="shared" si="243"/>
        <v/>
      </c>
      <c r="CC31" s="1120" t="str">
        <f t="shared" si="244"/>
        <v/>
      </c>
      <c r="CD31" s="1120" t="str">
        <f t="shared" si="245"/>
        <v/>
      </c>
      <c r="CE31" s="1120" t="str">
        <f t="shared" si="246"/>
        <v/>
      </c>
      <c r="CF31" s="1120" t="str">
        <f t="shared" si="247"/>
        <v/>
      </c>
      <c r="CG31" s="1267"/>
      <c r="CH31" s="1267"/>
      <c r="CI31" s="1268" t="str">
        <f t="shared" si="248"/>
        <v/>
      </c>
      <c r="CJ31" s="286" t="str">
        <f t="shared" si="249"/>
        <v/>
      </c>
      <c r="CK31" s="286" t="str">
        <f t="shared" si="250"/>
        <v/>
      </c>
      <c r="CL31" s="1263"/>
      <c r="CM31" s="1263"/>
      <c r="CN31" s="1263"/>
      <c r="CO31" s="1263"/>
      <c r="CP31" s="319" t="str">
        <f t="shared" si="251"/>
        <v/>
      </c>
      <c r="CQ31" s="443" t="str">
        <f>IF(A31=FALSE,"",Cotations!AM31)</f>
        <v/>
      </c>
      <c r="CR31" s="443" t="str">
        <f>IF(A31=FALSE,"",IF(Cotations!AN31="","",Cotations!AN31))</f>
        <v/>
      </c>
      <c r="CS31" s="433" t="str">
        <f>IF(A31=FALSE,"",Cotations!AO31)</f>
        <v/>
      </c>
      <c r="CT31" s="443" t="str">
        <f>IF(A31=FALSE,"",IF(CQ31="N/A",0,IF(INDEX(LISTES!$F$105:$F$109,MATCH(CQ31,LISTES!$C$105:$C$109,0))="FIX",IF(INDEX(LISTES!$E$105:$E$109,MATCH(CQ31,LISTES!$C$105:$C$109,0))=12,CR31/12*L31,CR31/365*M31),CS31*EQ31)))</f>
        <v/>
      </c>
      <c r="CU31" s="434" t="str">
        <f>IF(A31=FALSE,"",(CJ31+CK31)*Cotations!AP31)</f>
        <v/>
      </c>
      <c r="CV31" s="434" t="str">
        <f>IF(A31=FALSE,"",(CJ31+CK31)*Cotations!AQ31)</f>
        <v/>
      </c>
      <c r="DA31" s="1253" t="str">
        <f>IF(A31=FALSE,"",IF(LISTES!$A$17=1,Cotations!AV31,Cotations!AW31))</f>
        <v/>
      </c>
      <c r="DB31" s="1271" t="str">
        <f t="shared" si="252"/>
        <v/>
      </c>
      <c r="DC31" s="1270" t="str">
        <f t="shared" si="253"/>
        <v/>
      </c>
      <c r="DD31" s="1270" t="str">
        <f t="shared" si="254"/>
        <v/>
      </c>
      <c r="DE31" s="1270" t="str">
        <f t="shared" si="255"/>
        <v/>
      </c>
      <c r="DF31" s="1270" t="str">
        <f t="shared" si="256"/>
        <v/>
      </c>
      <c r="DG31" s="1270" t="str">
        <f t="shared" si="257"/>
        <v/>
      </c>
      <c r="DH31" s="1270" t="str">
        <f t="shared" si="258"/>
        <v/>
      </c>
      <c r="DI31" s="1271" t="str">
        <f t="shared" si="259"/>
        <v/>
      </c>
      <c r="DJ31" s="286" t="str">
        <f t="shared" si="260"/>
        <v/>
      </c>
      <c r="DK31" s="286" t="str">
        <f t="shared" si="261"/>
        <v/>
      </c>
      <c r="DL31" s="1264" t="str">
        <f t="shared" si="262"/>
        <v/>
      </c>
      <c r="DM31" s="1264" t="str">
        <f t="shared" si="263"/>
        <v/>
      </c>
      <c r="DN31" s="1264" t="str">
        <f t="shared" si="264"/>
        <v/>
      </c>
      <c r="DO31" s="1264" t="str">
        <f t="shared" si="265"/>
        <v/>
      </c>
      <c r="DP31" s="323" t="str">
        <f t="shared" si="132"/>
        <v/>
      </c>
      <c r="DQ31" s="444" t="str">
        <f>IF(A31=FALSE,"",Cotations!BW31)</f>
        <v/>
      </c>
      <c r="DR31" s="444" t="str">
        <f>IF(A31=FALSE,"",Cotations!BX31)</f>
        <v/>
      </c>
      <c r="DS31" s="433" t="str">
        <f>IF(A31=FALSE,"",Cotations!BY31)</f>
        <v/>
      </c>
      <c r="DT31" s="830" t="str">
        <f>IF(A31=FALSE,"",IF(DQ31="N/A",0,IF(INDEX(LISTES!$F$105:$F$109,MATCH(DQ31,LISTES!$C$105:$C$109,0))="FIX",IF(INDEX(LISTES!$E$105:$E$109,MATCH(DQ31,LISTES!$C$105:$C$109,0))=12,DR31/12*L31,DR31/365*M31),DS31*(DN31+DO31))))</f>
        <v/>
      </c>
      <c r="DU31" s="434" t="str">
        <f>IF(A31=FALSE,"",DJ31*Cotations!BZ31)</f>
        <v/>
      </c>
      <c r="DV31" s="434" t="str">
        <f>IF(A31=FALSE,"",DJ31*Cotations!CA31)</f>
        <v/>
      </c>
      <c r="EA31" s="432" t="str">
        <f>IF(A31=FALSE,"",Cotations!AT31)</f>
        <v/>
      </c>
      <c r="EB31" s="1234" t="str">
        <f>IF(A31=FALSE,"",YEAR(Detail!F31)&amp;Detail!AG31&amp;Detail!AD31&amp;"-"&amp;Detail!$AD$13&amp;Detail!AE31)</f>
        <v/>
      </c>
      <c r="EC31" s="434" t="str">
        <f>IF(A31=FALSE,"",IF(LISTES!$A$17=1,EB31,INDEX(colMOD1,MATCH(Cotations!AH31,colchoice,0))))</f>
        <v/>
      </c>
      <c r="ED31" s="277" t="str">
        <f t="shared" si="133"/>
        <v/>
      </c>
      <c r="EE31" s="277" t="str">
        <f t="shared" si="134"/>
        <v/>
      </c>
      <c r="EF31" s="277"/>
      <c r="EG31" s="277"/>
      <c r="EH31" s="277" t="str">
        <f t="shared" si="135"/>
        <v/>
      </c>
      <c r="EI31" s="1104" t="str">
        <f t="shared" si="136"/>
        <v/>
      </c>
      <c r="EJ31" s="1104" t="str">
        <f t="shared" si="137"/>
        <v/>
      </c>
      <c r="EK31" s="443" t="str">
        <f>IF(A31=FALSE,"",IF(Cotations!AF31="monthly",EH31/12*L31,EH31/365*M31))</f>
        <v/>
      </c>
      <c r="EL31" s="1103" t="str">
        <f>IF(A31=FALSE,"",IF(Cotations!AF31="monthly",EJ31/12*L31,EJ31/365*M31))</f>
        <v/>
      </c>
      <c r="EM31" s="433" t="str">
        <f>IF(A31=FALSE,"",IF(Cotations!AI31="","",Cotations!AI31))</f>
        <v/>
      </c>
      <c r="EN31" s="277" t="str">
        <f t="shared" si="266"/>
        <v/>
      </c>
      <c r="EO31" s="277" t="str">
        <f t="shared" si="138"/>
        <v/>
      </c>
      <c r="EP31" s="1104" t="str">
        <f t="shared" si="139"/>
        <v/>
      </c>
      <c r="EQ31" s="277" t="str">
        <f t="shared" si="267"/>
        <v/>
      </c>
      <c r="ER31" s="759" t="str">
        <f>IF(A31=FALSE,"",((EH31*TAXE)-(EH31*TAXE*EM31)+EI31)+IF(CQ31="N/A",0,IF(INDEX(LISTES!$F$105:$F$109,MATCH(CQ31,LISTES!$C$105:$C$109,0))="FIX",CR31,CS31*EQ31)))</f>
        <v/>
      </c>
      <c r="ET31" s="422"/>
      <c r="EU31" s="422"/>
      <c r="EV31" s="422"/>
      <c r="EW31" s="422"/>
      <c r="EX31" s="422"/>
      <c r="EY31" s="422"/>
      <c r="EZ31" s="422"/>
      <c r="FA31" s="432" t="str">
        <f>IF(A31=FALSE,"",Cotations!AT31)</f>
        <v/>
      </c>
      <c r="FB31" s="1235" t="str">
        <f>IF(A31=FALSE,"",IF(Detail!AL31="","N/A",YEAR(Detail!F31)&amp;Detail!AO31&amp;Detail!AL31&amp;"-"&amp;Detail!$AL$13&amp;Detail!AM31))</f>
        <v/>
      </c>
      <c r="FC31" s="434" t="str">
        <f>IF(A31=FALSE,"",IF(LISTES!$A$17=1,FB31,INDEX(colMOD2,MATCH(Cotations!AH31,colchoice,0))))</f>
        <v/>
      </c>
      <c r="FD31" s="277" t="str">
        <f t="shared" si="140"/>
        <v/>
      </c>
      <c r="FE31" s="443" t="str">
        <f>IF(A31=FALSE,"",IF(Detail!AM31="","",Detail!AM31))</f>
        <v/>
      </c>
      <c r="FF31" s="277"/>
      <c r="FG31" s="277"/>
      <c r="FH31" s="277" t="str">
        <f t="shared" si="141"/>
        <v/>
      </c>
      <c r="FI31" s="1104"/>
      <c r="FJ31" s="1104"/>
      <c r="FK31" s="443" t="str">
        <f>IF(A31=FALSE,"",IF(Cotations!AF31="monthly",FH31/12*L31,FH31/365*M31))</f>
        <v/>
      </c>
      <c r="FL31" s="1103" t="str">
        <f>IF(A31=FALSE,"",IF(Cotations!AF31="monthly",FJ31/12*L31,FJ31/365*M31))</f>
        <v/>
      </c>
      <c r="FM31" s="433" t="str">
        <f>IF(A31=FALSE,"",IF(Cotations!AJ31="","",Cotations!AJ31))</f>
        <v/>
      </c>
      <c r="FN31" s="277" t="str">
        <f t="shared" si="268"/>
        <v/>
      </c>
      <c r="FO31" s="277" t="str">
        <f t="shared" si="269"/>
        <v/>
      </c>
      <c r="FP31" s="1104"/>
      <c r="FQ31" s="277" t="str">
        <f t="shared" si="270"/>
        <v/>
      </c>
      <c r="FR31" s="759" t="str">
        <f>IF(A31=FALSE,"",((FH31*TAXE)-(FH31*TAXE*FM31))+IF(#REF!="N/A",0,IF(INDEX(LISTES!$F$105:$F$109,MATCH(#REF!,LISTES!$C$105:$C$109,0))="FIX",#REF!,#REF!*FQ31)))</f>
        <v/>
      </c>
      <c r="FS31" s="422"/>
      <c r="FT31" s="422"/>
      <c r="FU31" s="422"/>
      <c r="FV31" s="422"/>
      <c r="FW31" s="422"/>
      <c r="FX31" s="422"/>
      <c r="FY31" s="422"/>
      <c r="FZ31" s="422"/>
      <c r="GA31" s="432" t="str">
        <f t="shared" si="145"/>
        <v/>
      </c>
      <c r="GB31" s="1234" t="str">
        <f>IF(A31=FALSE,"",IF(Detail!DF31="","N/A",YEAR(Detail!F31)&amp;Detail!DI31&amp;Detail!DF31&amp;"-"&amp;Detail!$DF$13))</f>
        <v/>
      </c>
      <c r="GC31" s="434" t="str">
        <f>IF(A31=FALSE,"",IF(LISTES!$A$17=1,GB31,INDEX(colMOD3,MATCH(Cotations!AH31,colchoice,0))))</f>
        <v/>
      </c>
      <c r="GD31" s="277" t="str">
        <f t="shared" si="146"/>
        <v/>
      </c>
      <c r="GE31" s="277" t="str">
        <f t="shared" si="147"/>
        <v/>
      </c>
      <c r="GF31" s="277"/>
      <c r="GG31" s="277"/>
      <c r="GH31" s="277" t="str">
        <f t="shared" si="271"/>
        <v/>
      </c>
      <c r="GI31" s="1104" t="str">
        <f t="shared" si="272"/>
        <v/>
      </c>
      <c r="GJ31" s="1104" t="str">
        <f t="shared" si="273"/>
        <v/>
      </c>
      <c r="GK31" s="443" t="str">
        <f>IF(A31=FALSE,"",IF(Cotations!AF31="monthly",GH31/12*L31,GH31/365*M31))</f>
        <v/>
      </c>
      <c r="GL31" s="1103" t="str">
        <f>IF(A31=FALSE,"",IF(Cotations!AF31="monthly",GJ31/12*L31,GJ31/365*M31))</f>
        <v/>
      </c>
      <c r="GM31" s="433" t="str">
        <f>IF(A31=FALSE,"",IF(Cotations!AK31="","",Cotations!AK31))</f>
        <v/>
      </c>
      <c r="GN31" s="277" t="str">
        <f t="shared" si="274"/>
        <v/>
      </c>
      <c r="GO31" s="277" t="str">
        <f t="shared" si="275"/>
        <v/>
      </c>
      <c r="GP31" s="1104" t="str">
        <f t="shared" si="276"/>
        <v/>
      </c>
      <c r="GQ31" s="277" t="str">
        <f t="shared" si="277"/>
        <v/>
      </c>
      <c r="GR31" s="759" t="str">
        <f>IF(A31=FALSE,"",((GH31*TAXE)-(GH31*TAXE*GM31)+GI31)+IF(CQ31="N/A",0,IF(INDEX(LISTES!$F$105:$F$109,MATCH(CQ31,LISTES!$C$105:$C$109,0))="FIX",CR31,CS31*GQ31)))</f>
        <v/>
      </c>
      <c r="GS31" s="412"/>
      <c r="GT31" s="412"/>
      <c r="GU31" s="412"/>
      <c r="GV31" s="412"/>
      <c r="GW31" s="412"/>
      <c r="GX31" s="412"/>
      <c r="GY31" s="412"/>
      <c r="GZ31" s="412"/>
      <c r="HA31" s="432" t="str">
        <f t="shared" si="155"/>
        <v/>
      </c>
      <c r="HB31" s="1234" t="str">
        <f>IF(A31=FALSE,"",IF(Detail!DF31="","N/A",YEAR(Detail!F31)&amp;Detail!DI31&amp;Detail!DF31&amp;"-"&amp;Detail!$DF$13))</f>
        <v/>
      </c>
      <c r="HC31" s="434" t="str">
        <f>IF(A31=FALSE,"",IF(LISTES!$A$17=1,HB31,INDEX(colMOD4,MATCH(Cotations!AH31,colchoice,0))))</f>
        <v/>
      </c>
      <c r="HD31" s="277" t="str">
        <f t="shared" si="278"/>
        <v/>
      </c>
      <c r="HE31" s="277" t="str">
        <f t="shared" si="279"/>
        <v/>
      </c>
      <c r="HF31" s="277"/>
      <c r="HG31" s="277"/>
      <c r="HH31" s="277" t="str">
        <f t="shared" si="280"/>
        <v/>
      </c>
      <c r="HI31" s="1104" t="str">
        <f t="shared" si="281"/>
        <v/>
      </c>
      <c r="HJ31" s="1104" t="str">
        <f t="shared" si="282"/>
        <v/>
      </c>
      <c r="HK31" s="443" t="str">
        <f>IF(A31=FALSE,"",IF(Cotations!AF31="monthly",HH31/12*L31,HH31/365*M31))</f>
        <v/>
      </c>
      <c r="HL31" s="1103" t="str">
        <f>IF(A31=FALSE,"",IF(Cotations!AF31="monthly",HJ31/12*L31,HJ31/365*M31))</f>
        <v/>
      </c>
      <c r="HM31" s="433" t="str">
        <f>IF(A31=FALSE,"",IF(Cotations!AL31="","",Cotations!AL31))</f>
        <v/>
      </c>
      <c r="HN31" s="277" t="str">
        <f t="shared" si="283"/>
        <v/>
      </c>
      <c r="HO31" s="277" t="str">
        <f t="shared" si="284"/>
        <v/>
      </c>
      <c r="HP31" s="1104" t="str">
        <f t="shared" si="285"/>
        <v/>
      </c>
      <c r="HQ31" s="277" t="str">
        <f t="shared" si="286"/>
        <v/>
      </c>
      <c r="HR31" s="759" t="str">
        <f>IF(A31=FALSE,"",((HH31*TAXE)-(HH31*TAXE*HM31)+HI31)+IF(CQ31="N/A",0,IF(INDEX(LISTES!$F$105:$F$109,MATCH(CQ31,LISTES!$C$105:$C$109,0))="FIX",CR31,CS31*HQ31)))</f>
        <v/>
      </c>
      <c r="HS31" s="412"/>
      <c r="HT31" s="412"/>
      <c r="HU31" s="412"/>
      <c r="HV31" s="412"/>
      <c r="HW31" s="412"/>
      <c r="HX31" s="412"/>
      <c r="HY31" s="412"/>
      <c r="HZ31" s="1262"/>
      <c r="IA31" s="432" t="str">
        <f>IF(A31=FALSE,"",Cotations!AT31)</f>
        <v/>
      </c>
      <c r="IB31" s="1253" t="str">
        <f>IF(A31=FALSE,"",IF(Detail!AT31="","N/A",YEAR(Detail!F31)&amp;Detail!AW31&amp;Detail!AT31&amp;"-"&amp;Detail!$AT$13&amp;Detail!AU31))</f>
        <v/>
      </c>
      <c r="IC31" s="431" t="str">
        <f>IF(A31=FALSE,"",IF(LISTES!$A$17=1,IB31,INDEX(colMOD1,MATCH(DA31,colchoice,0))))</f>
        <v/>
      </c>
      <c r="ID31" s="759" t="str">
        <f t="shared" si="287"/>
        <v/>
      </c>
      <c r="IE31" s="292" t="str">
        <f>IF(A31=FALSE,"",IF(LISTES!$A$17=1,Detail!AU31,INDEX(Rates!$M$1:$M$270,MATCH(IC31,colMOD1,0))))</f>
        <v/>
      </c>
      <c r="IF31" s="409" t="str">
        <f t="shared" si="165"/>
        <v/>
      </c>
      <c r="IG31" s="430" t="str">
        <f>IF(A31=FALSE,"",IF(IA31="POEA",Cotations!AY31,IF(IA31="FIXE",Cotations!AZ31,IF(Cotations!BA31*Y31&lt;50000,Z31,Cotations!BA31*Y31))))</f>
        <v/>
      </c>
      <c r="IH31" s="292" t="str">
        <f t="shared" si="166"/>
        <v/>
      </c>
      <c r="II31" s="446" t="str">
        <f>IF(A31=FALSE,"",IF(Cotations!AU31="monthly",IH31/12*L31,IH31/365*M31))</f>
        <v/>
      </c>
      <c r="IJ31" s="429" t="str">
        <f>IF(A31=FALSE,"",IF(Cotations!BB31="","",Cotations!BB31))</f>
        <v/>
      </c>
      <c r="IK31" s="292" t="str">
        <f t="shared" si="167"/>
        <v/>
      </c>
      <c r="IL31" s="292" t="str">
        <f t="shared" si="168"/>
        <v/>
      </c>
      <c r="IM31" s="759" t="str">
        <f t="shared" si="169"/>
        <v/>
      </c>
      <c r="IN31" s="759" t="str">
        <f>IF(A31=FALSE,"",((IH31*TAXE)-(IH31*TAXE*IJ31))+IF(DQ31="N/A",0,IF(INDEX(LISTES!$F$105:$F$109,MATCH(DQ31,LISTES!$C$105:$C$109,0))="FIX",DR31,DS31*IM31)))</f>
        <v/>
      </c>
      <c r="JA31" s="432" t="str">
        <f>IF(A31=FALSE,"",Cotations!AT31)</f>
        <v/>
      </c>
      <c r="JB31" s="1234" t="str">
        <f>IF(A31=FALSE,"",IF(Detail!BB31="","N/A",YEAR(Detail!F31)&amp;Detail!BE31&amp;Detail!BB31&amp;"-"&amp;Detail!$BB$13&amp;Detail!BC31))</f>
        <v/>
      </c>
      <c r="JC31" s="431" t="str">
        <f>IF(A31=FALSE,"",IF(LISTES!$A$17=1,JB31,INDEX(colMOD2,MATCH(DA31,colchoice,0))))</f>
        <v/>
      </c>
      <c r="JD31" s="759" t="str">
        <f t="shared" si="170"/>
        <v/>
      </c>
      <c r="JE31" s="292"/>
      <c r="JF31" s="409" t="str">
        <f t="shared" si="171"/>
        <v/>
      </c>
      <c r="JG31" s="430" t="str">
        <f>IF(A31=FALSE,"",IF(JA31="POEA",Cotations!BC31,IF(JA31="FIXE",Cotations!BD31,IF(Cotations!BE31*Y31&lt;50000,Z31,Cotations!BE31*Y31))))</f>
        <v/>
      </c>
      <c r="JH31" s="292" t="str">
        <f t="shared" si="172"/>
        <v/>
      </c>
      <c r="JI31" s="446" t="str">
        <f>IF(A31=FALSE,"",IF(Cotations!AU31="monthly",JH31/12*L31,JH31/365*M31))</f>
        <v/>
      </c>
      <c r="JJ31" s="429" t="str">
        <f>IF(A31=FALSE,"",IF(Cotations!BF31="","",Cotations!BF31))</f>
        <v/>
      </c>
      <c r="JK31" s="292" t="str">
        <f t="shared" si="173"/>
        <v/>
      </c>
      <c r="JL31" s="292" t="str">
        <f t="shared" si="174"/>
        <v/>
      </c>
      <c r="JM31" s="759" t="str">
        <f t="shared" si="175"/>
        <v/>
      </c>
      <c r="JN31" s="759" t="str">
        <f>IF(A31=FALSE,"",((JH31*TAXE)-(JH31*TAXE*JJ31))+IF(#REF!="N/A",0,IF(INDEX(LISTES!$F$105:$F$109,MATCH(#REF!,LISTES!$C$105:$C$109,0))="FIX",#REF!,#REF!*JM31)))</f>
        <v/>
      </c>
      <c r="KA31" s="432" t="str">
        <f>IF(A31=FALSE,"",Cotations!AT31)</f>
        <v/>
      </c>
      <c r="KB31" s="1234" t="str">
        <f>IF(A31=FALSE,"",IF(Detail!BJ31="","N/A",YEAR(Detail!F31)&amp;Detail!BM31&amp;Detail!BJ31&amp;"-"&amp;Detail!$BJ$13&amp;Detail!BK31))</f>
        <v/>
      </c>
      <c r="KC31" s="431" t="str">
        <f>IF(A31=FALSE,"",IF(LISTES!$A$17=1,KB31,INDEX(colMOD3,MATCH(DA31,colchoice,0))))</f>
        <v/>
      </c>
      <c r="KD31" s="759" t="str">
        <f t="shared" si="176"/>
        <v/>
      </c>
      <c r="KE31" s="292"/>
      <c r="KF31" s="409" t="str">
        <f t="shared" si="177"/>
        <v/>
      </c>
      <c r="KG31" s="430" t="str">
        <f>IF(A31=FALSE,"",IF(KA31="POEA",Cotations!BG31,IF(KA31="FIXE",Cotations!BH31,IF(Cotations!BI31*Y31&lt;50000,Z31,Cotations!BI31*Y31))))</f>
        <v/>
      </c>
      <c r="KH31" s="292" t="str">
        <f t="shared" si="178"/>
        <v/>
      </c>
      <c r="KI31" s="446" t="str">
        <f>IF(A31=FALSE,"",IF(Cotations!AU31="monthly",KH31/12*L31,KH31/365*M31))</f>
        <v/>
      </c>
      <c r="KJ31" s="429" t="str">
        <f>IF(A31=FALSE,"",IF(Cotations!BJ31="","",Cotations!BJ31))</f>
        <v/>
      </c>
      <c r="KK31" s="292" t="str">
        <f t="shared" si="179"/>
        <v/>
      </c>
      <c r="KL31" s="292" t="str">
        <f t="shared" si="180"/>
        <v/>
      </c>
      <c r="KM31" s="759" t="str">
        <f t="shared" si="181"/>
        <v/>
      </c>
      <c r="KN31" s="759" t="str">
        <f>IF(A31=FALSE,"",((KH31*TAXE)-(KH31*TAXE*KJ31))+IF(#REF!="N/A",0,IF(INDEX(LISTES!$F$105:$F$109,MATCH(#REF!,LISTES!$C$105:$C$109,0))="FIX",#REF!,#REF!*KM31)))</f>
        <v/>
      </c>
      <c r="LA31" s="432" t="str">
        <f>IF(A31=FALSE,"",Cotations!AT31)</f>
        <v/>
      </c>
      <c r="LB31" s="1234" t="str">
        <f>IF(A31=FALSE,"",IF(Detail!BR31="","N/A",YEAR(Detail!F31)&amp;Detail!BU31&amp;Detail!BR31&amp;"-"&amp;Detail!$BR$13&amp;Detail!BS31))</f>
        <v/>
      </c>
      <c r="LC31" s="431" t="str">
        <f>IF(A31=FALSE,"",IF(LISTES!$A$17=1,LB31,INDEX(colMOD4,MATCH(DA31,colchoice,0))))</f>
        <v/>
      </c>
      <c r="LD31" s="759" t="str">
        <f t="shared" si="182"/>
        <v/>
      </c>
      <c r="LE31" s="292"/>
      <c r="LF31" s="409" t="str">
        <f t="shared" si="183"/>
        <v/>
      </c>
      <c r="LG31" s="430" t="str">
        <f>IF(A31=FALSE,"",IF(LA31="POEA",Cotations!BK31,IF(LA31="FIXE",Cotations!BL31,IF(Cotations!BM31*Y31&lt;50000,Z31,Cotations!BM31*Y31))))</f>
        <v/>
      </c>
      <c r="LH31" s="292" t="str">
        <f t="shared" si="184"/>
        <v/>
      </c>
      <c r="LI31" s="446" t="str">
        <f>IF(A31=FALSE,"",IF(Cotations!AU31="monthly",LH31/12*L31,LH31/365*M31))</f>
        <v/>
      </c>
      <c r="LJ31" s="429" t="str">
        <f>IF(A31=FALSE,"",IF(Cotations!BN31="","",Cotations!BN31))</f>
        <v/>
      </c>
      <c r="LK31" s="292" t="str">
        <f t="shared" si="185"/>
        <v/>
      </c>
      <c r="LL31" s="292" t="str">
        <f t="shared" si="186"/>
        <v/>
      </c>
      <c r="LM31" s="759" t="str">
        <f t="shared" si="187"/>
        <v/>
      </c>
      <c r="LN31" s="759" t="str">
        <f>IF(A31=FALSE,"",((LH31*TAXE)-(LH31*TAXE*LJ31))+IF(#REF!="N/A",0,IF(INDEX(LISTES!$F$105:$F$109,MATCH(#REF!,LISTES!$C$105:$C$109,0))="FIX",#REF!,#REF!*LM31)))</f>
        <v/>
      </c>
      <c r="MA31" s="432" t="str">
        <f t="shared" si="188"/>
        <v/>
      </c>
      <c r="MB31" s="1234" t="str">
        <f>IF(A31=FALSE,"",IF(Detail!BZ31="","N/A",YEAR(Detail!F31)&amp;Detail!CC31&amp;Detail!BZ31&amp;"-"&amp;Detail!$BZ$13&amp;" (100%/"&amp;Detail!CD31&amp;"/"&amp;Detail!CE31&amp;")"))</f>
        <v/>
      </c>
      <c r="MC31" s="431" t="str">
        <f>IF(A31=FALSE,"",IF(LISTES!$A$17=1,MB31,INDEX(colMOD5,MATCH(DA31,colchoice,0))))</f>
        <v/>
      </c>
      <c r="MD31" s="759" t="str">
        <f t="shared" si="189"/>
        <v/>
      </c>
      <c r="ME31" s="292"/>
      <c r="MF31" s="409" t="str">
        <f t="shared" si="190"/>
        <v/>
      </c>
      <c r="MG31" s="430" t="str">
        <f>IF(A31=FALSE,"",Cotations!BQ31*AA31)</f>
        <v/>
      </c>
      <c r="MH31" s="292" t="str">
        <f t="shared" si="191"/>
        <v/>
      </c>
      <c r="MI31" s="446" t="str">
        <f>IF(A31=FALSE,"",IF(Cotations!AU31="monthly",MH31/12*L31,MH31/365*M31))</f>
        <v/>
      </c>
      <c r="MJ31" s="429" t="str">
        <f>IF(A31=FALSE,"",IF(Cotations!BR31="","",Cotations!BR31))</f>
        <v/>
      </c>
      <c r="MK31" s="292" t="str">
        <f t="shared" si="192"/>
        <v/>
      </c>
      <c r="ML31" s="292" t="str">
        <f t="shared" si="193"/>
        <v/>
      </c>
      <c r="MM31" s="759" t="str">
        <f t="shared" si="194"/>
        <v/>
      </c>
      <c r="MN31" s="759" t="str">
        <f>IF(A31=FALSE,"",((MH31*TAXE)-(MH31*TAXE*MJ31))+IF(#REF!="N/A",0,IF(INDEX(LISTES!$F$105:$F$109,MATCH(#REF!,LISTES!$C$105:$C$109,0))="FIX",#REF!,#REF!*MM31)))</f>
        <v/>
      </c>
      <c r="NA31" s="432" t="str">
        <f t="shared" si="195"/>
        <v/>
      </c>
      <c r="NB31" s="1234" t="str">
        <f>IF(A31=FALSE,"",IF(Detail!CH31="","N/A",YEAR(Detail!F31)&amp;Detail!CK31&amp;Detail!CH31&amp;"-"&amp;Detail!$CH$13&amp;" (100%/"&amp;Detail!CL31&amp;"/"&amp;Detail!CM31&amp;")"))</f>
        <v/>
      </c>
      <c r="NC31" s="431" t="str">
        <f>IF(A31=FALSE,"",IF(LISTES!$A$17=1,NB31,INDEX(colMOD6,MATCH(DA31,colchoice,0))))</f>
        <v/>
      </c>
      <c r="ND31" s="759" t="str">
        <f t="shared" si="196"/>
        <v/>
      </c>
      <c r="NE31" s="292"/>
      <c r="NF31" s="409" t="str">
        <f t="shared" si="197"/>
        <v/>
      </c>
      <c r="NG31" s="430" t="str">
        <f>IF(A31=FALSE,"",Cotations!BU31*AA31)</f>
        <v/>
      </c>
      <c r="NH31" s="292" t="str">
        <f t="shared" si="198"/>
        <v/>
      </c>
      <c r="NI31" s="446" t="str">
        <f>IF(A31=FALSE,"",IF(Cotations!AU31="monthly",NH31/12*L31,NH31/365*M31))</f>
        <v/>
      </c>
      <c r="NJ31" s="429" t="str">
        <f>IF(A31=FALSE,"",IF(Cotations!BV31="","",Cotations!BV31))</f>
        <v/>
      </c>
      <c r="NK31" s="292" t="str">
        <f t="shared" si="199"/>
        <v/>
      </c>
      <c r="NL31" s="292" t="str">
        <f t="shared" si="200"/>
        <v/>
      </c>
      <c r="NM31" s="759" t="str">
        <f t="shared" si="201"/>
        <v/>
      </c>
      <c r="NN31" s="759" t="str">
        <f>IF(A31=FALSE,"",((NH31*TAXE)-(NH31*TAXE*NJ31))+IF(#REF!="N/A",0,IF(INDEX(LISTES!$F$105:$F$109,MATCH(#REF!,LISTES!$C$105:$C$109,0))="FIX",#REF!,#REF!*NM31)))</f>
        <v/>
      </c>
      <c r="NZ31" s="1281" t="str">
        <f>IF(A31=FALSE,"",IF(Detail!CP31="","N/A",YEAR(Detail!F31)&amp;Detail!CS31&amp;Detail!CP31&amp;"-"&amp;Detail!CQ31))</f>
        <v/>
      </c>
      <c r="OA31" s="432" t="str">
        <f>IF(A31=FALSE,"",Cotations!CF31)</f>
        <v/>
      </c>
      <c r="OB31" s="1282" t="str">
        <f>IF(A31=FALSE,"",IF(Detail!CP31="","N/A",YEAR(Detail!F31)&amp;Detail!CS31&amp;Detail!CP31&amp;"-"&amp;Detail!$CP$13&amp;Detail!CQ31))</f>
        <v/>
      </c>
      <c r="OC31" s="1283" t="str">
        <f>IF(A31=FALSE,"",IF(LISTES!$A$17=1,OB31,INDEX(colMOD1,MATCH(Cotations!CE31,colchoice,0))))</f>
        <v/>
      </c>
      <c r="OD31" s="759" t="str">
        <f t="shared" si="202"/>
        <v/>
      </c>
      <c r="OE31" s="292" t="str">
        <f>IF(A31=FALSE,"",Detail!CQ31)</f>
        <v/>
      </c>
      <c r="OF31" s="409" t="str">
        <f t="shared" si="203"/>
        <v/>
      </c>
      <c r="OG31" s="430" t="str">
        <f>IF(A31=FALSE,"",IF(OA31="FIXE",Cotations!CM31,Cotations!CN31*AA31))</f>
        <v/>
      </c>
      <c r="OH31" s="292" t="str">
        <f t="shared" si="288"/>
        <v/>
      </c>
      <c r="OI31" s="446" t="str">
        <f>IF(A31=FALSE,"",IF(Cotations!CF31="monthly",OH31/12*L31,OH31/365*M31))</f>
        <v/>
      </c>
      <c r="OJ31" s="429" t="str">
        <f>IF(A31=FALSE,"",IF(Cotations!CO31="","",Cotations!CO31))</f>
        <v/>
      </c>
      <c r="OK31" s="292" t="str">
        <f t="shared" si="289"/>
        <v/>
      </c>
      <c r="OL31" s="292" t="str">
        <f t="shared" si="290"/>
        <v/>
      </c>
      <c r="OM31" s="759" t="str">
        <f t="shared" si="207"/>
        <v/>
      </c>
      <c r="ON31" s="759" t="str">
        <f>IF(A31=FALSE,"",((OH31*(1+TAXE)-(OH31*(1+TAXE)*OJ31))+IF(#REF!="N/A",0,IF(INDEX(LISTES!$F$105:$F$109,MATCH(#REF!,LISTES!$C$105:$C$109,0))="FIX",#REF!,#REF!*OM31))))</f>
        <v/>
      </c>
      <c r="PA31" s="432" t="str">
        <f>IF(A31=FALSE,"",Cotations!CF31)</f>
        <v/>
      </c>
      <c r="PB31" s="1282" t="str">
        <f>IF(A31=FALSE,"",IF(Detail!CX31="","N/A",YEAR(Detail!F31)&amp;Detail!DA31&amp;Detail!CX31&amp;"-"&amp;Detail!$CX$13&amp;Detail!CY31))</f>
        <v/>
      </c>
      <c r="PC31" s="1283" t="str">
        <f>IF(A31=FALSE,"",IF(LISTES!$A$17=1,PB31,INDEX(colMOD3,MATCH(Cotations!CE31,colchoice,0))))</f>
        <v/>
      </c>
      <c r="PD31" s="759" t="str">
        <f t="shared" si="208"/>
        <v/>
      </c>
      <c r="PE31" s="292" t="str">
        <f>IF(A31=FALSE,"",IF(Detail!CY31="","",Detail!CY31))</f>
        <v/>
      </c>
      <c r="PF31" s="409" t="str">
        <f t="shared" si="291"/>
        <v/>
      </c>
      <c r="PG31" s="430" t="str">
        <f>IF(A31=FALSE,"",IF(PA31="FIXE",Cotations!CP31,Cotations!CQ31*AA31))</f>
        <v/>
      </c>
      <c r="PH31" s="292" t="str">
        <f t="shared" si="292"/>
        <v/>
      </c>
      <c r="PI31" s="446" t="str">
        <f>IF(A31=FALSE,"",IF(Cotations!CG31="monthly",PH31/12*L31,PH31/365*M31))</f>
        <v/>
      </c>
      <c r="PJ31" s="429" t="str">
        <f>IF(A31=FALSE,"",IF(Cotations!DA31="",0,Cotations!DA31))</f>
        <v/>
      </c>
      <c r="PK31" s="292" t="str">
        <f t="shared" si="293"/>
        <v/>
      </c>
      <c r="PL31" s="292" t="str">
        <f t="shared" si="294"/>
        <v/>
      </c>
      <c r="PM31" s="759" t="str">
        <f t="shared" si="211"/>
        <v/>
      </c>
      <c r="PN31" s="759" t="str">
        <f>IF(A31=FALSE,"",((PH31*(1+TAXE)-(PH31*(1+TAXE)*PJ31))+IF(#REF!="N/A",0,IF(INDEX(LISTES!$F$105:$F$109,MATCH(#REF!,LISTES!$C$105:$C$109,0))="FIX",#REF!,#REF!*PM31))))</f>
        <v/>
      </c>
    </row>
    <row r="32" spans="1:430">
      <c r="A32" s="779" t="b">
        <f t="shared" si="111"/>
        <v>0</v>
      </c>
      <c r="B32" s="779" t="b">
        <f>IF(NAMES!$B$9=TRUE,TRUE,FALSE)</f>
        <v>1</v>
      </c>
      <c r="C32" s="779" t="b">
        <f t="shared" si="212"/>
        <v>0</v>
      </c>
      <c r="D32" s="779" t="b">
        <f t="shared" si="213"/>
        <v>1</v>
      </c>
      <c r="E32" s="267" t="b">
        <f>IF(Cotations!C32="","",Cotations!C32)</f>
        <v>0</v>
      </c>
      <c r="F32" s="267" t="str">
        <f>IF(Cotations!AT32="","",Cotations!AT32)</f>
        <v>PROP</v>
      </c>
      <c r="G32" s="267" t="str">
        <f>IF(Cotations!D32="","",Cotations!D32)</f>
        <v>2016-2017!</v>
      </c>
      <c r="H32" s="267" t="str">
        <f>IF(Cotations!E32="","",Cotations!E32)</f>
        <v>SINGLE</v>
      </c>
      <c r="I32" s="267" t="str">
        <f>IF(Cotations!F32="","",Cotations!F32)</f>
        <v/>
      </c>
      <c r="J32" s="267" t="str">
        <f>IF(Cotations!G32="","",Cotations!G32)</f>
        <v/>
      </c>
      <c r="K32" s="267" t="str">
        <f>IF(Cotations!H32="","",Cotations!H32)</f>
        <v/>
      </c>
      <c r="L32" s="267" t="str">
        <f>IF(A32=FALSE,"",IF(Cotations!M32="","",Cotations!M32))</f>
        <v/>
      </c>
      <c r="M32" s="267" t="str">
        <f>IF(Cotations!O32="","",Cotations!O32)</f>
        <v/>
      </c>
      <c r="N32" s="588">
        <f>IF(NAMES!$B$10=TRUE,Cotations!I32,Cotations!K32)</f>
        <v>42566</v>
      </c>
      <c r="O32" s="588">
        <f>IF(NAMES!$B$10=TRUE,Cotations!J32,Cotations!L32)</f>
        <v>42675</v>
      </c>
      <c r="P32" s="780" t="str">
        <f t="shared" si="214"/>
        <v>juillet</v>
      </c>
      <c r="Q32" s="588" t="str">
        <f>IF(A32=FALSE,"",IF(Crewlist!Y32="","",Crewlist!Y32))</f>
        <v/>
      </c>
      <c r="R32" s="78" t="str">
        <f>IF(Cotations!T32="","",Cotations!T32)</f>
        <v/>
      </c>
      <c r="S32" s="780" t="str">
        <f t="shared" si="215"/>
        <v/>
      </c>
      <c r="T32" s="759" t="str">
        <f>IF(A32=FALSE,"",VLOOKUP($U$15:$U$120,Currency!$A$2:$D$10,4,0)*Crewlist!N32)</f>
        <v/>
      </c>
      <c r="U32" s="1097" t="str">
        <f>IF(A32=FALSE,"",IF(DP32=0,Crewlist!M32&amp;"/"&amp;CP32,Crewlist!M32&amp;"/"&amp;DP32))</f>
        <v/>
      </c>
      <c r="V32" s="759" t="str">
        <f>IF(A32=FALSE,"",VLOOKUP($U$15:$U$120,Currency!$A$2:$D$10,4,0)*Detail!Q32)</f>
        <v/>
      </c>
      <c r="W32" s="1097" t="str">
        <f>IF(A32=FALSE,"",IF(DP32=0,Detail!R32&amp;"/"&amp;CP32,Detail!R32&amp;"/"&amp;DP32))</f>
        <v/>
      </c>
      <c r="X32" s="759" t="str">
        <f>IF(A32=FALSE,"",IF(LISTES!$C$17="Crewlist",Calcul!T32,Calcul!V32))</f>
        <v/>
      </c>
      <c r="Y32" s="618" t="str">
        <f t="shared" si="216"/>
        <v/>
      </c>
      <c r="Z32" s="618" t="str">
        <f>IF(A32=FALSE,"",IF(X32=0,0,IF((Cotations!BA32*12*X32)&lt;50000,50000,(12*X32))))</f>
        <v/>
      </c>
      <c r="AA32" s="618" t="str">
        <f t="shared" si="217"/>
        <v/>
      </c>
      <c r="AB32" s="618" t="str">
        <f>IF(A32=FALSE,"",IF(Crewlist!O32=0,"",Crewlist!O32))</f>
        <v/>
      </c>
      <c r="AC32" s="618" t="str">
        <f>IF(I32="","",VLOOKUP($AB$15:$AB$120,Currency!$A$15:$B$34,2,0))</f>
        <v/>
      </c>
      <c r="AD32" s="618" t="str">
        <f t="shared" si="218"/>
        <v/>
      </c>
      <c r="AE32" s="618" t="str">
        <f t="shared" si="219"/>
        <v/>
      </c>
      <c r="AF32" s="618" t="str">
        <f t="shared" si="220"/>
        <v/>
      </c>
      <c r="AG32" s="618" t="str">
        <f t="shared" si="221"/>
        <v/>
      </c>
      <c r="AH32" s="1097" t="str">
        <f t="shared" si="112"/>
        <v/>
      </c>
      <c r="AI32" s="759" t="str">
        <f t="shared" si="222"/>
        <v/>
      </c>
      <c r="AJ32" s="1120" t="str">
        <f t="shared" si="223"/>
        <v/>
      </c>
      <c r="AK32" s="1120" t="str">
        <f t="shared" si="224"/>
        <v/>
      </c>
      <c r="AL32" s="236" t="str">
        <f t="shared" si="225"/>
        <v/>
      </c>
      <c r="AM32" s="236" t="str">
        <f t="shared" si="226"/>
        <v/>
      </c>
      <c r="AN32" s="1112" t="str">
        <f t="shared" si="227"/>
        <v/>
      </c>
      <c r="AO32" s="236" t="str">
        <f t="shared" si="228"/>
        <v/>
      </c>
      <c r="AP32" s="327" t="str">
        <f>IF(A32=FALSE,"",INDEX(Rates!$Q$1:$Q$278,MATCH(CA32,colchoice,0)))</f>
        <v/>
      </c>
      <c r="AQ32" s="236" t="str">
        <f t="shared" si="229"/>
        <v/>
      </c>
      <c r="AR32" s="236" t="str">
        <f t="shared" si="230"/>
        <v/>
      </c>
      <c r="AS32" s="236" t="str">
        <f t="shared" si="117"/>
        <v/>
      </c>
      <c r="AT32" s="236" t="str">
        <f t="shared" si="118"/>
        <v/>
      </c>
      <c r="AU32" s="236" t="str">
        <f t="shared" si="231"/>
        <v/>
      </c>
      <c r="AV32" s="236" t="str">
        <f t="shared" si="232"/>
        <v/>
      </c>
      <c r="AW32" s="236" t="str">
        <f t="shared" si="233"/>
        <v/>
      </c>
      <c r="AX32" s="236" t="str">
        <f t="shared" si="234"/>
        <v/>
      </c>
      <c r="AY32" s="236" t="str">
        <f t="shared" si="235"/>
        <v/>
      </c>
      <c r="AZ32" s="236" t="str">
        <f t="shared" si="236"/>
        <v/>
      </c>
      <c r="BA32" s="236" t="str">
        <f t="shared" si="237"/>
        <v/>
      </c>
      <c r="BB32" s="467" t="str">
        <f t="shared" si="238"/>
        <v/>
      </c>
      <c r="BC32" s="329" t="str">
        <f t="shared" si="239"/>
        <v/>
      </c>
      <c r="BD32" s="237" t="str">
        <f t="shared" si="240"/>
        <v/>
      </c>
      <c r="BE32" s="237" t="str">
        <f>IF(A32=FALSE,"",IF(ED32&lt;&gt;$BC$7,0,INDEX(EA32:EZ32,1,MATCH(Structure!$J$16,$EA$14:$EZ$14,0))))</f>
        <v/>
      </c>
      <c r="BF32" s="237" t="str">
        <f>IF(A32=FALSE,"",IF(FD32&lt;&gt;$BC$7,0,INDEX(FA32:FZ32,1,MATCH(Structure!$J$16,$FA$14:$FZ$14,0))))</f>
        <v/>
      </c>
      <c r="BG32" s="237" t="str">
        <f>IF(A32=FALSE,"",IF(GD32&lt;&gt;$BC$7,0,INDEX(GA32:GZ32,1,MATCH(Structure!$J$16,$GA$14:$GZ$14,0))))</f>
        <v/>
      </c>
      <c r="BH32" s="237" t="str">
        <f>IF(A32=FALSE,"",IF(HD32&lt;&gt;$BC$7,0,INDEX(HA32:HZ32,1,MATCH(Structure!$J$16,$HA$14:$HZ$14,0))))</f>
        <v/>
      </c>
      <c r="BI32" s="621" t="str">
        <f>IF(A32=FALSE,"",IF(ID32&lt;&gt;$BC$7,0,INDEX(IA32:IZ32,1,MATCH(Structure!$C$12,$IA$14:$IZ$14,0)))+OL32)</f>
        <v/>
      </c>
      <c r="BJ32" s="237" t="str">
        <f>IF(A32=FALSE,"",IF(JD32&lt;&gt;$BC$7,0,INDEX(JA32:JZ32,1,MATCH(Structure!$C$12,$JA$14:$JZ$14,0))))</f>
        <v/>
      </c>
      <c r="BK32" s="621" t="str">
        <f>IF(A32=FALSE,"",IF(KD32&lt;&gt;$BC$7,0,INDEX(KA32:KZ32,1,MATCH(Structure!$C$12,$KA$14:$KZ$14,0)))+PL32)</f>
        <v/>
      </c>
      <c r="BL32" s="237" t="str">
        <f>IF(A32=FALSE,"",IF(LD32&lt;&gt;$BC$7,0,INDEX(LA32:LZ32,1,MATCH(Structure!$C$12,$LA$14:$LZ$14,0))))</f>
        <v/>
      </c>
      <c r="BM32" s="237" t="str">
        <f>IF(A32=FALSE,"",IF(MD32&lt;&gt;$BC$7,0,INDEX(MA32:MZ32,1,MATCH(Structure!$C$12,$MA$14:$MZ$14,0))))</f>
        <v/>
      </c>
      <c r="BN32" s="326" t="str">
        <f>IF(A32=FALSE,"",IF(ND32&lt;&gt;$BC$7,0,INDEX(NA32:OC32,1,MATCH(Structure!$C$12,$NA$14:$OC$14,0))))</f>
        <v/>
      </c>
      <c r="BO32" s="435" t="str">
        <f t="shared" si="241"/>
        <v/>
      </c>
      <c r="BP32" s="237" t="str">
        <f t="shared" si="242"/>
        <v/>
      </c>
      <c r="BQ32" s="237" t="str">
        <f>IF(A32=FALSE,"",IF(ED32&lt;&gt;$BO$7,0,INDEX(EA32:EZ32,1,MATCH(Structure!$C$12,$EA$14:$EZ$14,0))))</f>
        <v/>
      </c>
      <c r="BR32" s="237" t="str">
        <f>IF(A32=FALSE,"",IF(FD32&lt;&gt;$BO$7,0,INDEX(FA32:FZ32,1,MATCH(Structure!$C$12,$FA$14:$FZ$14,0))))</f>
        <v/>
      </c>
      <c r="BS32" s="237" t="str">
        <f>IF(A32=FALSE,"",IF(ID32&lt;&gt;$BO$7,0,INDEX(IA32:IZ32,1,MATCH(Structure!$C$13,$IA$14:$IZ$14,0))))</f>
        <v/>
      </c>
      <c r="BT32" s="237" t="str">
        <f>IF(A32=FALSE,"",IF(JD32&lt;&gt;$BO$7,0,INDEX(JA32:JZ32,1,MATCH(Structure!$C$13,$JA$14:$JZ$14,0))))</f>
        <v/>
      </c>
      <c r="BU32" s="237" t="str">
        <f>IF(A32=FALSE,"",IF(KD32&lt;&gt;$BO$7,0,INDEX(KA32:KZ32,1,MATCH(Structure!$C$13,$KA$14:$KZ$14,0))))</f>
        <v/>
      </c>
      <c r="BV32" s="237" t="str">
        <f>IF(A32=FALSE,"",IF(LD32&lt;&gt;$BO$7,0,INDEX(LA32:LZ32,1,MATCH(Structure!$C$13,$LA$14:$LZ$14,0))))</f>
        <v/>
      </c>
      <c r="BW32" s="237" t="str">
        <f>IF(A32=FALSE,"",IF(MD32&lt;&gt;$BO$7,0,INDEX(MA32:MZ32,1,MATCH(Structure!$C$13,$MA$14:$MZ$14,0))))</f>
        <v/>
      </c>
      <c r="BX32" s="326" t="str">
        <f>IF(A32=FALSE,"",IF(ND32&lt;&gt;$BO$7,0,INDEX(NA32:OC32,1,MATCH(Structure!$C$13,$NA$14:$OC$14,0))))</f>
        <v/>
      </c>
      <c r="BY32" s="412"/>
      <c r="BZ32" s="412"/>
      <c r="CA32" s="1255" t="str">
        <f>IF(A32=FALSE,"",IF(LISTES!$A$17=1,Cotations!AG32,Cotations!AH32))</f>
        <v/>
      </c>
      <c r="CB32" s="1266" t="str">
        <f t="shared" si="243"/>
        <v/>
      </c>
      <c r="CC32" s="1120" t="str">
        <f t="shared" si="244"/>
        <v/>
      </c>
      <c r="CD32" s="1120" t="str">
        <f t="shared" si="245"/>
        <v/>
      </c>
      <c r="CE32" s="1120" t="str">
        <f t="shared" si="246"/>
        <v/>
      </c>
      <c r="CF32" s="1120" t="str">
        <f t="shared" si="247"/>
        <v/>
      </c>
      <c r="CG32" s="1267"/>
      <c r="CH32" s="1267"/>
      <c r="CI32" s="1268" t="str">
        <f t="shared" si="248"/>
        <v/>
      </c>
      <c r="CJ32" s="286" t="str">
        <f t="shared" si="249"/>
        <v/>
      </c>
      <c r="CK32" s="286" t="str">
        <f t="shared" si="250"/>
        <v/>
      </c>
      <c r="CL32" s="1263"/>
      <c r="CM32" s="1263"/>
      <c r="CN32" s="1263"/>
      <c r="CO32" s="1263"/>
      <c r="CP32" s="319" t="str">
        <f t="shared" si="251"/>
        <v/>
      </c>
      <c r="CQ32" s="443" t="str">
        <f>IF(A32=FALSE,"",Cotations!AM32)</f>
        <v/>
      </c>
      <c r="CR32" s="443" t="str">
        <f>IF(A32=FALSE,"",IF(Cotations!AN32="","",Cotations!AN32))</f>
        <v/>
      </c>
      <c r="CS32" s="433" t="str">
        <f>IF(A32=FALSE,"",Cotations!AO32)</f>
        <v/>
      </c>
      <c r="CT32" s="443" t="str">
        <f>IF(A32=FALSE,"",IF(CQ32="N/A",0,IF(INDEX(LISTES!$F$105:$F$109,MATCH(CQ32,LISTES!$C$105:$C$109,0))="FIX",IF(INDEX(LISTES!$E$105:$E$109,MATCH(CQ32,LISTES!$C$105:$C$109,0))=12,CR32/12*L32,CR32/365*M32),CS32*EQ32)))</f>
        <v/>
      </c>
      <c r="CU32" s="434" t="str">
        <f>IF(A32=FALSE,"",(CJ32+CK32)*Cotations!AP32)</f>
        <v/>
      </c>
      <c r="CV32" s="434" t="str">
        <f>IF(A32=FALSE,"",(CJ32+CK32)*Cotations!AQ32)</f>
        <v/>
      </c>
      <c r="DA32" s="1253" t="str">
        <f>IF(A32=FALSE,"",IF(LISTES!$A$17=1,Cotations!AV32,Cotations!AW32))</f>
        <v/>
      </c>
      <c r="DB32" s="1271" t="str">
        <f t="shared" si="252"/>
        <v/>
      </c>
      <c r="DC32" s="1270" t="str">
        <f t="shared" si="253"/>
        <v/>
      </c>
      <c r="DD32" s="1270" t="str">
        <f t="shared" si="254"/>
        <v/>
      </c>
      <c r="DE32" s="1270" t="str">
        <f t="shared" si="255"/>
        <v/>
      </c>
      <c r="DF32" s="1270" t="str">
        <f t="shared" si="256"/>
        <v/>
      </c>
      <c r="DG32" s="1270" t="str">
        <f t="shared" si="257"/>
        <v/>
      </c>
      <c r="DH32" s="1270" t="str">
        <f t="shared" si="258"/>
        <v/>
      </c>
      <c r="DI32" s="1271" t="str">
        <f t="shared" si="259"/>
        <v/>
      </c>
      <c r="DJ32" s="286" t="str">
        <f t="shared" si="260"/>
        <v/>
      </c>
      <c r="DK32" s="286" t="str">
        <f t="shared" si="261"/>
        <v/>
      </c>
      <c r="DL32" s="1264" t="str">
        <f t="shared" si="262"/>
        <v/>
      </c>
      <c r="DM32" s="1264" t="str">
        <f t="shared" si="263"/>
        <v/>
      </c>
      <c r="DN32" s="1264" t="str">
        <f t="shared" si="264"/>
        <v/>
      </c>
      <c r="DO32" s="1264" t="str">
        <f t="shared" si="265"/>
        <v/>
      </c>
      <c r="DP32" s="323" t="str">
        <f t="shared" si="132"/>
        <v/>
      </c>
      <c r="DQ32" s="444" t="str">
        <f>IF(A32=FALSE,"",Cotations!BW32)</f>
        <v/>
      </c>
      <c r="DR32" s="444" t="str">
        <f>IF(A32=FALSE,"",Cotations!BX32)</f>
        <v/>
      </c>
      <c r="DS32" s="433" t="str">
        <f>IF(A32=FALSE,"",Cotations!BY32)</f>
        <v/>
      </c>
      <c r="DT32" s="830" t="str">
        <f>IF(A32=FALSE,"",IF(DQ32="N/A",0,IF(INDEX(LISTES!$F$105:$F$109,MATCH(DQ32,LISTES!$C$105:$C$109,0))="FIX",IF(INDEX(LISTES!$E$105:$E$109,MATCH(DQ32,LISTES!$C$105:$C$109,0))=12,DR32/12*L32,DR32/365*M32),DS32*(DN32+DO32))))</f>
        <v/>
      </c>
      <c r="DU32" s="434" t="str">
        <f>IF(A32=FALSE,"",DJ32*Cotations!BZ32)</f>
        <v/>
      </c>
      <c r="DV32" s="434" t="str">
        <f>IF(A32=FALSE,"",DJ32*Cotations!CA32)</f>
        <v/>
      </c>
      <c r="EA32" s="432" t="str">
        <f>IF(A32=FALSE,"",Cotations!AT32)</f>
        <v/>
      </c>
      <c r="EB32" s="1234" t="str">
        <f>IF(A32=FALSE,"",YEAR(Detail!F32)&amp;Detail!AG32&amp;Detail!AD32&amp;"-"&amp;Detail!$AD$13&amp;Detail!AE32)</f>
        <v/>
      </c>
      <c r="EC32" s="434" t="str">
        <f>IF(A32=FALSE,"",IF(LISTES!$A$17=1,EB32,INDEX(colMOD1,MATCH(Cotations!AH32,colchoice,0))))</f>
        <v/>
      </c>
      <c r="ED32" s="277" t="str">
        <f t="shared" si="133"/>
        <v/>
      </c>
      <c r="EE32" s="277" t="str">
        <f t="shared" si="134"/>
        <v/>
      </c>
      <c r="EF32" s="277"/>
      <c r="EG32" s="277"/>
      <c r="EH32" s="277" t="str">
        <f t="shared" si="135"/>
        <v/>
      </c>
      <c r="EI32" s="1104" t="str">
        <f t="shared" si="136"/>
        <v/>
      </c>
      <c r="EJ32" s="1104" t="str">
        <f t="shared" si="137"/>
        <v/>
      </c>
      <c r="EK32" s="443" t="str">
        <f>IF(A32=FALSE,"",IF(Cotations!AF32="monthly",EH32/12*L32,EH32/365*M32))</f>
        <v/>
      </c>
      <c r="EL32" s="1103" t="str">
        <f>IF(A32=FALSE,"",IF(Cotations!AF32="monthly",EJ32/12*L32,EJ32/365*M32))</f>
        <v/>
      </c>
      <c r="EM32" s="433" t="str">
        <f>IF(A32=FALSE,"",IF(Cotations!AI32="","",Cotations!AI32))</f>
        <v/>
      </c>
      <c r="EN32" s="277" t="str">
        <f t="shared" si="266"/>
        <v/>
      </c>
      <c r="EO32" s="277" t="str">
        <f t="shared" si="138"/>
        <v/>
      </c>
      <c r="EP32" s="1104" t="str">
        <f t="shared" si="139"/>
        <v/>
      </c>
      <c r="EQ32" s="277" t="str">
        <f t="shared" si="267"/>
        <v/>
      </c>
      <c r="ER32" s="759" t="str">
        <f>IF(A32=FALSE,"",((EH32*TAXE)-(EH32*TAXE*EM32)+EI32)+IF(CQ32="N/A",0,IF(INDEX(LISTES!$F$105:$F$109,MATCH(CQ32,LISTES!$C$105:$C$109,0))="FIX",CR32,CS32*EQ32)))</f>
        <v/>
      </c>
      <c r="ET32" s="422"/>
      <c r="EU32" s="422"/>
      <c r="EV32" s="422"/>
      <c r="EW32" s="422"/>
      <c r="EX32" s="422"/>
      <c r="EY32" s="422"/>
      <c r="EZ32" s="422"/>
      <c r="FA32" s="432" t="str">
        <f>IF(A32=FALSE,"",Cotations!AT32)</f>
        <v/>
      </c>
      <c r="FB32" s="1235" t="str">
        <f>IF(A32=FALSE,"",IF(Detail!AL32="","N/A",YEAR(Detail!F32)&amp;Detail!AO32&amp;Detail!AL32&amp;"-"&amp;Detail!$AL$13&amp;Detail!AM32))</f>
        <v/>
      </c>
      <c r="FC32" s="434" t="str">
        <f>IF(A32=FALSE,"",IF(LISTES!$A$17=1,FB32,INDEX(colMOD2,MATCH(Cotations!AH32,colchoice,0))))</f>
        <v/>
      </c>
      <c r="FD32" s="277" t="str">
        <f t="shared" si="140"/>
        <v/>
      </c>
      <c r="FE32" s="443" t="str">
        <f>IF(A32=FALSE,"",IF(Detail!AM32="","",Detail!AM32))</f>
        <v/>
      </c>
      <c r="FF32" s="277"/>
      <c r="FG32" s="277"/>
      <c r="FH32" s="277" t="str">
        <f t="shared" si="141"/>
        <v/>
      </c>
      <c r="FI32" s="1104"/>
      <c r="FJ32" s="1104"/>
      <c r="FK32" s="443" t="str">
        <f>IF(A32=FALSE,"",IF(Cotations!AF32="monthly",FH32/12*L32,FH32/365*M32))</f>
        <v/>
      </c>
      <c r="FL32" s="1103" t="str">
        <f>IF(A32=FALSE,"",IF(Cotations!AF32="monthly",FJ32/12*L32,FJ32/365*M32))</f>
        <v/>
      </c>
      <c r="FM32" s="433" t="str">
        <f>IF(A32=FALSE,"",IF(Cotations!AJ32="","",Cotations!AJ32))</f>
        <v/>
      </c>
      <c r="FN32" s="277" t="str">
        <f t="shared" si="268"/>
        <v/>
      </c>
      <c r="FO32" s="277" t="str">
        <f t="shared" si="269"/>
        <v/>
      </c>
      <c r="FP32" s="1104"/>
      <c r="FQ32" s="277" t="str">
        <f t="shared" si="270"/>
        <v/>
      </c>
      <c r="FR32" s="759" t="str">
        <f>IF(A32=FALSE,"",((FH32*TAXE)-(FH32*TAXE*FM32))+IF(#REF!="N/A",0,IF(INDEX(LISTES!$F$105:$F$109,MATCH(#REF!,LISTES!$C$105:$C$109,0))="FIX",#REF!,#REF!*FQ32)))</f>
        <v/>
      </c>
      <c r="FS32" s="422"/>
      <c r="FT32" s="422"/>
      <c r="FU32" s="422"/>
      <c r="FV32" s="422"/>
      <c r="FW32" s="422"/>
      <c r="FX32" s="422"/>
      <c r="FY32" s="422"/>
      <c r="FZ32" s="422"/>
      <c r="GA32" s="432" t="str">
        <f t="shared" si="145"/>
        <v/>
      </c>
      <c r="GB32" s="1234" t="str">
        <f>IF(A32=FALSE,"",IF(Detail!DF32="","N/A",YEAR(Detail!F32)&amp;Detail!DI32&amp;Detail!DF32&amp;"-"&amp;Detail!$DF$13))</f>
        <v/>
      </c>
      <c r="GC32" s="434" t="str">
        <f>IF(A32=FALSE,"",IF(LISTES!$A$17=1,GB32,INDEX(colMOD3,MATCH(Cotations!AH32,colchoice,0))))</f>
        <v/>
      </c>
      <c r="GD32" s="277" t="str">
        <f t="shared" si="146"/>
        <v/>
      </c>
      <c r="GE32" s="277" t="str">
        <f t="shared" si="147"/>
        <v/>
      </c>
      <c r="GF32" s="277"/>
      <c r="GG32" s="277"/>
      <c r="GH32" s="277" t="str">
        <f t="shared" si="271"/>
        <v/>
      </c>
      <c r="GI32" s="1104" t="str">
        <f t="shared" si="272"/>
        <v/>
      </c>
      <c r="GJ32" s="1104" t="str">
        <f t="shared" si="273"/>
        <v/>
      </c>
      <c r="GK32" s="443" t="str">
        <f>IF(A32=FALSE,"",IF(Cotations!AF32="monthly",GH32/12*L32,GH32/365*M32))</f>
        <v/>
      </c>
      <c r="GL32" s="1103" t="str">
        <f>IF(A32=FALSE,"",IF(Cotations!AF32="monthly",GJ32/12*L32,GJ32/365*M32))</f>
        <v/>
      </c>
      <c r="GM32" s="433" t="str">
        <f>IF(A32=FALSE,"",IF(Cotations!AK32="","",Cotations!AK32))</f>
        <v/>
      </c>
      <c r="GN32" s="277" t="str">
        <f t="shared" si="274"/>
        <v/>
      </c>
      <c r="GO32" s="277" t="str">
        <f t="shared" si="275"/>
        <v/>
      </c>
      <c r="GP32" s="1104" t="str">
        <f t="shared" si="276"/>
        <v/>
      </c>
      <c r="GQ32" s="277" t="str">
        <f t="shared" si="277"/>
        <v/>
      </c>
      <c r="GR32" s="759" t="str">
        <f>IF(A32=FALSE,"",((GH32*TAXE)-(GH32*TAXE*GM32)+GI32)+IF(CQ32="N/A",0,IF(INDEX(LISTES!$F$105:$F$109,MATCH(CQ32,LISTES!$C$105:$C$109,0))="FIX",CR32,CS32*GQ32)))</f>
        <v/>
      </c>
      <c r="GS32" s="412"/>
      <c r="GT32" s="412"/>
      <c r="GU32" s="412"/>
      <c r="GV32" s="412"/>
      <c r="GW32" s="412"/>
      <c r="GX32" s="412"/>
      <c r="GY32" s="412"/>
      <c r="GZ32" s="412"/>
      <c r="HA32" s="432" t="str">
        <f t="shared" si="155"/>
        <v/>
      </c>
      <c r="HB32" s="1234" t="str">
        <f>IF(A32=FALSE,"",IF(Detail!DF32="","N/A",YEAR(Detail!F32)&amp;Detail!DI32&amp;Detail!DF32&amp;"-"&amp;Detail!$DF$13))</f>
        <v/>
      </c>
      <c r="HC32" s="434" t="str">
        <f>IF(A32=FALSE,"",IF(LISTES!$A$17=1,HB32,INDEX(colMOD4,MATCH(Cotations!AH32,colchoice,0))))</f>
        <v/>
      </c>
      <c r="HD32" s="277" t="str">
        <f t="shared" si="278"/>
        <v/>
      </c>
      <c r="HE32" s="277" t="str">
        <f t="shared" si="279"/>
        <v/>
      </c>
      <c r="HF32" s="277"/>
      <c r="HG32" s="277"/>
      <c r="HH32" s="277" t="str">
        <f t="shared" si="280"/>
        <v/>
      </c>
      <c r="HI32" s="1104" t="str">
        <f t="shared" si="281"/>
        <v/>
      </c>
      <c r="HJ32" s="1104" t="str">
        <f t="shared" si="282"/>
        <v/>
      </c>
      <c r="HK32" s="443" t="str">
        <f>IF(A32=FALSE,"",IF(Cotations!AF32="monthly",HH32/12*L32,HH32/365*M32))</f>
        <v/>
      </c>
      <c r="HL32" s="1103" t="str">
        <f>IF(A32=FALSE,"",IF(Cotations!AF32="monthly",HJ32/12*L32,HJ32/365*M32))</f>
        <v/>
      </c>
      <c r="HM32" s="433" t="str">
        <f>IF(A32=FALSE,"",IF(Cotations!AL32="","",Cotations!AL32))</f>
        <v/>
      </c>
      <c r="HN32" s="277" t="str">
        <f t="shared" si="283"/>
        <v/>
      </c>
      <c r="HO32" s="277" t="str">
        <f t="shared" si="284"/>
        <v/>
      </c>
      <c r="HP32" s="1104" t="str">
        <f t="shared" si="285"/>
        <v/>
      </c>
      <c r="HQ32" s="277" t="str">
        <f t="shared" si="286"/>
        <v/>
      </c>
      <c r="HR32" s="759" t="str">
        <f>IF(A32=FALSE,"",((HH32*TAXE)-(HH32*TAXE*HM32)+HI32)+IF(CQ32="N/A",0,IF(INDEX(LISTES!$F$105:$F$109,MATCH(CQ32,LISTES!$C$105:$C$109,0))="FIX",CR32,CS32*HQ32)))</f>
        <v/>
      </c>
      <c r="HS32" s="412"/>
      <c r="HT32" s="412"/>
      <c r="HU32" s="412"/>
      <c r="HV32" s="412"/>
      <c r="HW32" s="412"/>
      <c r="HX32" s="412"/>
      <c r="HY32" s="412"/>
      <c r="HZ32" s="1262"/>
      <c r="IA32" s="432" t="str">
        <f>IF(A32=FALSE,"",Cotations!AT32)</f>
        <v/>
      </c>
      <c r="IB32" s="1253" t="str">
        <f>IF(A32=FALSE,"",IF(Detail!AT32="","N/A",YEAR(Detail!F32)&amp;Detail!AW32&amp;Detail!AT32&amp;"-"&amp;Detail!$AT$13&amp;Detail!AU32))</f>
        <v/>
      </c>
      <c r="IC32" s="431" t="str">
        <f>IF(A32=FALSE,"",IF(LISTES!$A$17=1,IB32,INDEX(colMOD1,MATCH(DA32,colchoice,0))))</f>
        <v/>
      </c>
      <c r="ID32" s="759" t="str">
        <f t="shared" si="287"/>
        <v/>
      </c>
      <c r="IE32" s="292" t="str">
        <f>IF(A32=FALSE,"",IF(LISTES!$A$17=1,Detail!AU32,INDEX(Rates!$M$1:$M$270,MATCH(IC32,colMOD1,0))))</f>
        <v/>
      </c>
      <c r="IF32" s="409" t="str">
        <f t="shared" si="165"/>
        <v/>
      </c>
      <c r="IG32" s="430" t="str">
        <f>IF(A32=FALSE,"",IF(IA32="POEA",Cotations!AY32,IF(IA32="FIXE",Cotations!AZ32,IF(Cotations!BA32*Y32&lt;50000,Z32,Cotations!BA32*Y32))))</f>
        <v/>
      </c>
      <c r="IH32" s="292" t="str">
        <f t="shared" si="166"/>
        <v/>
      </c>
      <c r="II32" s="446" t="str">
        <f>IF(A32=FALSE,"",IF(Cotations!AU32="monthly",IH32/12*L32,IH32/365*M32))</f>
        <v/>
      </c>
      <c r="IJ32" s="429" t="str">
        <f>IF(A32=FALSE,"",IF(Cotations!BB32="","",Cotations!BB32))</f>
        <v/>
      </c>
      <c r="IK32" s="292" t="str">
        <f t="shared" si="167"/>
        <v/>
      </c>
      <c r="IL32" s="292" t="str">
        <f t="shared" si="168"/>
        <v/>
      </c>
      <c r="IM32" s="759" t="str">
        <f t="shared" si="169"/>
        <v/>
      </c>
      <c r="IN32" s="759" t="str">
        <f>IF(A32=FALSE,"",((IH32*TAXE)-(IH32*TAXE*IJ32))+IF(DQ32="N/A",0,IF(INDEX(LISTES!$F$105:$F$109,MATCH(DQ32,LISTES!$C$105:$C$109,0))="FIX",DR32,DS32*IM32)))</f>
        <v/>
      </c>
      <c r="JA32" s="432" t="str">
        <f>IF(A32=FALSE,"",Cotations!AT32)</f>
        <v/>
      </c>
      <c r="JB32" s="1234" t="str">
        <f>IF(A32=FALSE,"",IF(Detail!BB32="","N/A",YEAR(Detail!F32)&amp;Detail!BE32&amp;Detail!BB32&amp;"-"&amp;Detail!$BB$13&amp;Detail!BC32))</f>
        <v/>
      </c>
      <c r="JC32" s="431" t="str">
        <f>IF(A32=FALSE,"",IF(LISTES!$A$17=1,JB32,INDEX(colMOD2,MATCH(DA32,colchoice,0))))</f>
        <v/>
      </c>
      <c r="JD32" s="759" t="str">
        <f t="shared" si="170"/>
        <v/>
      </c>
      <c r="JE32" s="292"/>
      <c r="JF32" s="409" t="str">
        <f t="shared" si="171"/>
        <v/>
      </c>
      <c r="JG32" s="430" t="str">
        <f>IF(A32=FALSE,"",IF(JA32="POEA",Cotations!BC32,IF(JA32="FIXE",Cotations!BD32,IF(Cotations!BE32*Y32&lt;50000,Z32,Cotations!BE32*Y32))))</f>
        <v/>
      </c>
      <c r="JH32" s="292" t="str">
        <f t="shared" si="172"/>
        <v/>
      </c>
      <c r="JI32" s="446" t="str">
        <f>IF(A32=FALSE,"",IF(Cotations!AU32="monthly",JH32/12*L32,JH32/365*M32))</f>
        <v/>
      </c>
      <c r="JJ32" s="429" t="str">
        <f>IF(A32=FALSE,"",IF(Cotations!BF32="","",Cotations!BF32))</f>
        <v/>
      </c>
      <c r="JK32" s="292" t="str">
        <f t="shared" si="173"/>
        <v/>
      </c>
      <c r="JL32" s="292" t="str">
        <f t="shared" si="174"/>
        <v/>
      </c>
      <c r="JM32" s="759" t="str">
        <f t="shared" si="175"/>
        <v/>
      </c>
      <c r="JN32" s="759" t="str">
        <f>IF(A32=FALSE,"",((JH32*TAXE)-(JH32*TAXE*JJ32))+IF(#REF!="N/A",0,IF(INDEX(LISTES!$F$105:$F$109,MATCH(#REF!,LISTES!$C$105:$C$109,0))="FIX",#REF!,#REF!*JM32)))</f>
        <v/>
      </c>
      <c r="KA32" s="432" t="str">
        <f>IF(A32=FALSE,"",Cotations!AT32)</f>
        <v/>
      </c>
      <c r="KB32" s="1234" t="str">
        <f>IF(A32=FALSE,"",IF(Detail!BJ32="","N/A",YEAR(Detail!F32)&amp;Detail!BM32&amp;Detail!BJ32&amp;"-"&amp;Detail!$BJ$13&amp;Detail!BK32))</f>
        <v/>
      </c>
      <c r="KC32" s="431" t="str">
        <f>IF(A32=FALSE,"",IF(LISTES!$A$17=1,KB32,INDEX(colMOD3,MATCH(DA32,colchoice,0))))</f>
        <v/>
      </c>
      <c r="KD32" s="759" t="str">
        <f t="shared" si="176"/>
        <v/>
      </c>
      <c r="KE32" s="292"/>
      <c r="KF32" s="409" t="str">
        <f t="shared" si="177"/>
        <v/>
      </c>
      <c r="KG32" s="430" t="str">
        <f>IF(A32=FALSE,"",IF(KA32="POEA",Cotations!BG32,IF(KA32="FIXE",Cotations!BH32,IF(Cotations!BI32*Y32&lt;50000,Z32,Cotations!BI32*Y32))))</f>
        <v/>
      </c>
      <c r="KH32" s="292" t="str">
        <f t="shared" si="178"/>
        <v/>
      </c>
      <c r="KI32" s="446" t="str">
        <f>IF(A32=FALSE,"",IF(Cotations!AU32="monthly",KH32/12*L32,KH32/365*M32))</f>
        <v/>
      </c>
      <c r="KJ32" s="429" t="str">
        <f>IF(A32=FALSE,"",IF(Cotations!BJ32="","",Cotations!BJ32))</f>
        <v/>
      </c>
      <c r="KK32" s="292" t="str">
        <f t="shared" si="179"/>
        <v/>
      </c>
      <c r="KL32" s="292" t="str">
        <f t="shared" si="180"/>
        <v/>
      </c>
      <c r="KM32" s="759" t="str">
        <f t="shared" si="181"/>
        <v/>
      </c>
      <c r="KN32" s="759" t="str">
        <f>IF(A32=FALSE,"",((KH32*TAXE)-(KH32*TAXE*KJ32))+IF(#REF!="N/A",0,IF(INDEX(LISTES!$F$105:$F$109,MATCH(#REF!,LISTES!$C$105:$C$109,0))="FIX",#REF!,#REF!*KM32)))</f>
        <v/>
      </c>
      <c r="LA32" s="432" t="str">
        <f>IF(A32=FALSE,"",Cotations!AT32)</f>
        <v/>
      </c>
      <c r="LB32" s="1234" t="str">
        <f>IF(A32=FALSE,"",IF(Detail!BR32="","N/A",YEAR(Detail!F32)&amp;Detail!BU32&amp;Detail!BR32&amp;"-"&amp;Detail!$BR$13&amp;Detail!BS32))</f>
        <v/>
      </c>
      <c r="LC32" s="431" t="str">
        <f>IF(A32=FALSE,"",IF(LISTES!$A$17=1,LB32,INDEX(colMOD4,MATCH(DA32,colchoice,0))))</f>
        <v/>
      </c>
      <c r="LD32" s="759" t="str">
        <f t="shared" si="182"/>
        <v/>
      </c>
      <c r="LE32" s="292"/>
      <c r="LF32" s="409" t="str">
        <f t="shared" si="183"/>
        <v/>
      </c>
      <c r="LG32" s="430" t="str">
        <f>IF(A32=FALSE,"",IF(LA32="POEA",Cotations!BK32,IF(LA32="FIXE",Cotations!BL32,IF(Cotations!BM32*Y32&lt;50000,Z32,Cotations!BM32*Y32))))</f>
        <v/>
      </c>
      <c r="LH32" s="292" t="str">
        <f t="shared" si="184"/>
        <v/>
      </c>
      <c r="LI32" s="446" t="str">
        <f>IF(A32=FALSE,"",IF(Cotations!AU32="monthly",LH32/12*L32,LH32/365*M32))</f>
        <v/>
      </c>
      <c r="LJ32" s="429" t="str">
        <f>IF(A32=FALSE,"",IF(Cotations!BN32="","",Cotations!BN32))</f>
        <v/>
      </c>
      <c r="LK32" s="292" t="str">
        <f t="shared" si="185"/>
        <v/>
      </c>
      <c r="LL32" s="292" t="str">
        <f t="shared" si="186"/>
        <v/>
      </c>
      <c r="LM32" s="759" t="str">
        <f t="shared" si="187"/>
        <v/>
      </c>
      <c r="LN32" s="759" t="str">
        <f>IF(A32=FALSE,"",((LH32*TAXE)-(LH32*TAXE*LJ32))+IF(#REF!="N/A",0,IF(INDEX(LISTES!$F$105:$F$109,MATCH(#REF!,LISTES!$C$105:$C$109,0))="FIX",#REF!,#REF!*LM32)))</f>
        <v/>
      </c>
      <c r="MA32" s="432" t="str">
        <f t="shared" si="188"/>
        <v/>
      </c>
      <c r="MB32" s="1234" t="str">
        <f>IF(A32=FALSE,"",IF(Detail!BZ32="","N/A",YEAR(Detail!F32)&amp;Detail!CC32&amp;Detail!BZ32&amp;"-"&amp;Detail!$BZ$13&amp;" (100%/"&amp;Detail!CD32&amp;"/"&amp;Detail!CE32&amp;")"))</f>
        <v/>
      </c>
      <c r="MC32" s="431" t="str">
        <f>IF(A32=FALSE,"",IF(LISTES!$A$17=1,MB32,INDEX(colMOD5,MATCH(DA32,colchoice,0))))</f>
        <v/>
      </c>
      <c r="MD32" s="759" t="str">
        <f t="shared" si="189"/>
        <v/>
      </c>
      <c r="ME32" s="292"/>
      <c r="MF32" s="409" t="str">
        <f t="shared" si="190"/>
        <v/>
      </c>
      <c r="MG32" s="430" t="str">
        <f>IF(A32=FALSE,"",Cotations!BQ32*AA32)</f>
        <v/>
      </c>
      <c r="MH32" s="292" t="str">
        <f t="shared" si="191"/>
        <v/>
      </c>
      <c r="MI32" s="446" t="str">
        <f>IF(A32=FALSE,"",IF(Cotations!AU32="monthly",MH32/12*L32,MH32/365*M32))</f>
        <v/>
      </c>
      <c r="MJ32" s="429" t="str">
        <f>IF(A32=FALSE,"",IF(Cotations!BR32="","",Cotations!BR32))</f>
        <v/>
      </c>
      <c r="MK32" s="292" t="str">
        <f t="shared" si="192"/>
        <v/>
      </c>
      <c r="ML32" s="292" t="str">
        <f t="shared" si="193"/>
        <v/>
      </c>
      <c r="MM32" s="759" t="str">
        <f t="shared" si="194"/>
        <v/>
      </c>
      <c r="MN32" s="759" t="str">
        <f>IF(A32=FALSE,"",((MH32*TAXE)-(MH32*TAXE*MJ32))+IF(#REF!="N/A",0,IF(INDEX(LISTES!$F$105:$F$109,MATCH(#REF!,LISTES!$C$105:$C$109,0))="FIX",#REF!,#REF!*MM32)))</f>
        <v/>
      </c>
      <c r="NA32" s="432" t="str">
        <f t="shared" si="195"/>
        <v/>
      </c>
      <c r="NB32" s="1234" t="str">
        <f>IF(A32=FALSE,"",IF(Detail!CH32="","N/A",YEAR(Detail!F32)&amp;Detail!CK32&amp;Detail!CH32&amp;"-"&amp;Detail!$CH$13&amp;" (100%/"&amp;Detail!CL32&amp;"/"&amp;Detail!CM32&amp;")"))</f>
        <v/>
      </c>
      <c r="NC32" s="431" t="str">
        <f>IF(A32=FALSE,"",IF(LISTES!$A$17=1,NB32,INDEX(colMOD6,MATCH(DA32,colchoice,0))))</f>
        <v/>
      </c>
      <c r="ND32" s="759" t="str">
        <f t="shared" si="196"/>
        <v/>
      </c>
      <c r="NE32" s="292"/>
      <c r="NF32" s="409" t="str">
        <f t="shared" si="197"/>
        <v/>
      </c>
      <c r="NG32" s="430" t="str">
        <f>IF(A32=FALSE,"",Cotations!BU32*AA32)</f>
        <v/>
      </c>
      <c r="NH32" s="292" t="str">
        <f t="shared" si="198"/>
        <v/>
      </c>
      <c r="NI32" s="446" t="str">
        <f>IF(A32=FALSE,"",IF(Cotations!AU32="monthly",NH32/12*L32,NH32/365*M32))</f>
        <v/>
      </c>
      <c r="NJ32" s="429" t="str">
        <f>IF(A32=FALSE,"",IF(Cotations!BV32="","",Cotations!BV32))</f>
        <v/>
      </c>
      <c r="NK32" s="292" t="str">
        <f t="shared" si="199"/>
        <v/>
      </c>
      <c r="NL32" s="292" t="str">
        <f t="shared" si="200"/>
        <v/>
      </c>
      <c r="NM32" s="759" t="str">
        <f t="shared" si="201"/>
        <v/>
      </c>
      <c r="NN32" s="759" t="str">
        <f>IF(A32=FALSE,"",((NH32*TAXE)-(NH32*TAXE*NJ32))+IF(#REF!="N/A",0,IF(INDEX(LISTES!$F$105:$F$109,MATCH(#REF!,LISTES!$C$105:$C$109,0))="FIX",#REF!,#REF!*NM32)))</f>
        <v/>
      </c>
      <c r="NZ32" s="1281" t="str">
        <f>IF(A32=FALSE,"",IF(Detail!CP32="","N/A",YEAR(Detail!F32)&amp;Detail!CS32&amp;Detail!CP32&amp;"-"&amp;Detail!CQ32))</f>
        <v/>
      </c>
      <c r="OA32" s="432" t="str">
        <f>IF(A32=FALSE,"",Cotations!CF32)</f>
        <v/>
      </c>
      <c r="OB32" s="1282" t="str">
        <f>IF(A32=FALSE,"",IF(Detail!CP32="","N/A",YEAR(Detail!F32)&amp;Detail!CS32&amp;Detail!CP32&amp;"-"&amp;Detail!$CP$13&amp;Detail!CQ32))</f>
        <v/>
      </c>
      <c r="OC32" s="1283" t="str">
        <f>IF(A32=FALSE,"",IF(LISTES!$A$17=1,OB32,INDEX(colMOD1,MATCH(Cotations!CE32,colchoice,0))))</f>
        <v/>
      </c>
      <c r="OD32" s="759" t="str">
        <f t="shared" si="202"/>
        <v/>
      </c>
      <c r="OE32" s="292" t="str">
        <f>IF(A32=FALSE,"",Detail!CQ32)</f>
        <v/>
      </c>
      <c r="OF32" s="409" t="str">
        <f t="shared" si="203"/>
        <v/>
      </c>
      <c r="OG32" s="430" t="str">
        <f>IF(A32=FALSE,"",IF(OA32="FIXE",Cotations!CM32,Cotations!CN32*AA32))</f>
        <v/>
      </c>
      <c r="OH32" s="292" t="str">
        <f t="shared" si="288"/>
        <v/>
      </c>
      <c r="OI32" s="446" t="str">
        <f>IF(A32=FALSE,"",IF(Cotations!CF32="monthly",OH32/12*L32,OH32/365*M32))</f>
        <v/>
      </c>
      <c r="OJ32" s="429" t="str">
        <f>IF(A32=FALSE,"",IF(Cotations!CO32="","",Cotations!CO32))</f>
        <v/>
      </c>
      <c r="OK32" s="292" t="str">
        <f t="shared" si="289"/>
        <v/>
      </c>
      <c r="OL32" s="292" t="str">
        <f t="shared" si="290"/>
        <v/>
      </c>
      <c r="OM32" s="759" t="str">
        <f t="shared" si="207"/>
        <v/>
      </c>
      <c r="ON32" s="759" t="str">
        <f>IF(A32=FALSE,"",((OH32*(1+TAXE)-(OH32*(1+TAXE)*OJ32))+IF(#REF!="N/A",0,IF(INDEX(LISTES!$F$105:$F$109,MATCH(#REF!,LISTES!$C$105:$C$109,0))="FIX",#REF!,#REF!*OM32))))</f>
        <v/>
      </c>
      <c r="PA32" s="432" t="str">
        <f>IF(A32=FALSE,"",Cotations!CF32)</f>
        <v/>
      </c>
      <c r="PB32" s="1282" t="str">
        <f>IF(A32=FALSE,"",IF(Detail!CX32="","N/A",YEAR(Detail!F32)&amp;Detail!DA32&amp;Detail!CX32&amp;"-"&amp;Detail!$CX$13&amp;Detail!CY32))</f>
        <v/>
      </c>
      <c r="PC32" s="1283" t="str">
        <f>IF(A32=FALSE,"",IF(LISTES!$A$17=1,PB32,INDEX(colMOD3,MATCH(Cotations!CE32,colchoice,0))))</f>
        <v/>
      </c>
      <c r="PD32" s="759" t="str">
        <f t="shared" si="208"/>
        <v/>
      </c>
      <c r="PE32" s="292" t="str">
        <f>IF(A32=FALSE,"",IF(Detail!CY32="","",Detail!CY32))</f>
        <v/>
      </c>
      <c r="PF32" s="409" t="str">
        <f t="shared" si="291"/>
        <v/>
      </c>
      <c r="PG32" s="430" t="str">
        <f>IF(A32=FALSE,"",IF(PA32="FIXE",Cotations!CP32,Cotations!CQ32*AA32))</f>
        <v/>
      </c>
      <c r="PH32" s="292" t="str">
        <f t="shared" si="292"/>
        <v/>
      </c>
      <c r="PI32" s="446" t="str">
        <f>IF(A32=FALSE,"",IF(Cotations!CG32="monthly",PH32/12*L32,PH32/365*M32))</f>
        <v/>
      </c>
      <c r="PJ32" s="429" t="str">
        <f>IF(A32=FALSE,"",IF(Cotations!DA32="",0,Cotations!DA32))</f>
        <v/>
      </c>
      <c r="PK32" s="292" t="str">
        <f t="shared" si="293"/>
        <v/>
      </c>
      <c r="PL32" s="292" t="str">
        <f t="shared" si="294"/>
        <v/>
      </c>
      <c r="PM32" s="759" t="str">
        <f t="shared" si="211"/>
        <v/>
      </c>
      <c r="PN32" s="759" t="str">
        <f>IF(A32=FALSE,"",((PH32*(1+TAXE)-(PH32*(1+TAXE)*PJ32))+IF(#REF!="N/A",0,IF(INDEX(LISTES!$F$105:$F$109,MATCH(#REF!,LISTES!$C$105:$C$109,0))="FIX",#REF!,#REF!*PM32))))</f>
        <v/>
      </c>
    </row>
    <row r="33" spans="1:430">
      <c r="A33" s="779" t="b">
        <f t="shared" si="111"/>
        <v>0</v>
      </c>
      <c r="B33" s="779" t="b">
        <f>IF(NAMES!$B$9=TRUE,TRUE,FALSE)</f>
        <v>1</v>
      </c>
      <c r="C33" s="779" t="b">
        <f t="shared" si="212"/>
        <v>0</v>
      </c>
      <c r="D33" s="779" t="b">
        <f t="shared" si="213"/>
        <v>1</v>
      </c>
      <c r="E33" s="267" t="b">
        <f>IF(Cotations!C33="","",Cotations!C33)</f>
        <v>0</v>
      </c>
      <c r="F33" s="267" t="str">
        <f>IF(Cotations!AT33="","",Cotations!AT33)</f>
        <v>PROP</v>
      </c>
      <c r="G33" s="267" t="str">
        <f>IF(Cotations!D33="","",Cotations!D33)</f>
        <v>2016-2017!</v>
      </c>
      <c r="H33" s="267" t="str">
        <f>IF(Cotations!E33="","",Cotations!E33)</f>
        <v>SINGLE</v>
      </c>
      <c r="I33" s="267" t="str">
        <f>IF(Cotations!F33="","",Cotations!F33)</f>
        <v/>
      </c>
      <c r="J33" s="267" t="str">
        <f>IF(Cotations!G33="","",Cotations!G33)</f>
        <v/>
      </c>
      <c r="K33" s="267" t="str">
        <f>IF(Cotations!H33="","",Cotations!H33)</f>
        <v/>
      </c>
      <c r="L33" s="267" t="str">
        <f>IF(A33=FALSE,"",IF(Cotations!M33="","",Cotations!M33))</f>
        <v/>
      </c>
      <c r="M33" s="267" t="str">
        <f>IF(Cotations!O33="","",Cotations!O33)</f>
        <v/>
      </c>
      <c r="N33" s="588">
        <f>IF(NAMES!$B$10=TRUE,Cotations!I33,Cotations!K33)</f>
        <v>42566</v>
      </c>
      <c r="O33" s="588">
        <f>IF(NAMES!$B$10=TRUE,Cotations!J33,Cotations!L33)</f>
        <v>42675</v>
      </c>
      <c r="P33" s="780" t="str">
        <f t="shared" si="214"/>
        <v>juillet</v>
      </c>
      <c r="Q33" s="588" t="str">
        <f>IF(A33=FALSE,"",IF(Crewlist!Y33="","",Crewlist!Y33))</f>
        <v/>
      </c>
      <c r="R33" s="78" t="str">
        <f>IF(Cotations!T33="","",Cotations!T33)</f>
        <v/>
      </c>
      <c r="S33" s="780" t="str">
        <f t="shared" si="215"/>
        <v/>
      </c>
      <c r="T33" s="759" t="str">
        <f>IF(A33=FALSE,"",VLOOKUP($U$15:$U$120,Currency!$A$2:$D$10,4,0)*Crewlist!N33)</f>
        <v/>
      </c>
      <c r="U33" s="1097" t="str">
        <f>IF(A33=FALSE,"",IF(DP33=0,Crewlist!M33&amp;"/"&amp;CP33,Crewlist!M33&amp;"/"&amp;DP33))</f>
        <v/>
      </c>
      <c r="V33" s="759" t="str">
        <f>IF(A33=FALSE,"",VLOOKUP($U$15:$U$120,Currency!$A$2:$D$10,4,0)*Detail!Q33)</f>
        <v/>
      </c>
      <c r="W33" s="1097" t="str">
        <f>IF(A33=FALSE,"",IF(DP33=0,Detail!R33&amp;"/"&amp;CP33,Detail!R33&amp;"/"&amp;DP33))</f>
        <v/>
      </c>
      <c r="X33" s="759" t="str">
        <f>IF(A33=FALSE,"",IF(LISTES!$C$17="Crewlist",Calcul!T33,Calcul!V33))</f>
        <v/>
      </c>
      <c r="Y33" s="618" t="str">
        <f t="shared" si="216"/>
        <v/>
      </c>
      <c r="Z33" s="618" t="str">
        <f>IF(A33=FALSE,"",IF(X33=0,0,IF((Cotations!BA33*12*X33)&lt;50000,50000,(12*X33))))</f>
        <v/>
      </c>
      <c r="AA33" s="618" t="str">
        <f t="shared" si="217"/>
        <v/>
      </c>
      <c r="AB33" s="618" t="str">
        <f>IF(A33=FALSE,"",IF(Crewlist!O33=0,"",Crewlist!O33))</f>
        <v/>
      </c>
      <c r="AC33" s="618" t="str">
        <f>IF(I33="","",VLOOKUP($AB$15:$AB$120,Currency!$A$15:$B$34,2,0))</f>
        <v/>
      </c>
      <c r="AD33" s="618" t="str">
        <f t="shared" si="218"/>
        <v/>
      </c>
      <c r="AE33" s="618" t="str">
        <f t="shared" si="219"/>
        <v/>
      </c>
      <c r="AF33" s="618" t="str">
        <f t="shared" si="220"/>
        <v/>
      </c>
      <c r="AG33" s="618" t="str">
        <f t="shared" si="221"/>
        <v/>
      </c>
      <c r="AH33" s="1097" t="str">
        <f t="shared" si="112"/>
        <v/>
      </c>
      <c r="AI33" s="759" t="str">
        <f t="shared" si="222"/>
        <v/>
      </c>
      <c r="AJ33" s="1120" t="str">
        <f t="shared" si="223"/>
        <v/>
      </c>
      <c r="AK33" s="1120" t="str">
        <f t="shared" si="224"/>
        <v/>
      </c>
      <c r="AL33" s="236" t="str">
        <f t="shared" si="225"/>
        <v/>
      </c>
      <c r="AM33" s="236" t="str">
        <f t="shared" si="226"/>
        <v/>
      </c>
      <c r="AN33" s="1112" t="str">
        <f t="shared" si="227"/>
        <v/>
      </c>
      <c r="AO33" s="236" t="str">
        <f t="shared" si="228"/>
        <v/>
      </c>
      <c r="AP33" s="327" t="str">
        <f>IF(A33=FALSE,"",INDEX(Rates!$Q$1:$Q$278,MATCH(CA33,colchoice,0)))</f>
        <v/>
      </c>
      <c r="AQ33" s="236" t="str">
        <f t="shared" si="229"/>
        <v/>
      </c>
      <c r="AR33" s="236" t="str">
        <f t="shared" si="230"/>
        <v/>
      </c>
      <c r="AS33" s="236" t="str">
        <f t="shared" si="117"/>
        <v/>
      </c>
      <c r="AT33" s="236" t="str">
        <f t="shared" si="118"/>
        <v/>
      </c>
      <c r="AU33" s="236" t="str">
        <f t="shared" si="231"/>
        <v/>
      </c>
      <c r="AV33" s="236" t="str">
        <f t="shared" si="232"/>
        <v/>
      </c>
      <c r="AW33" s="236" t="str">
        <f t="shared" si="233"/>
        <v/>
      </c>
      <c r="AX33" s="236" t="str">
        <f t="shared" si="234"/>
        <v/>
      </c>
      <c r="AY33" s="236" t="str">
        <f t="shared" si="235"/>
        <v/>
      </c>
      <c r="AZ33" s="236" t="str">
        <f t="shared" si="236"/>
        <v/>
      </c>
      <c r="BA33" s="236" t="str">
        <f t="shared" si="237"/>
        <v/>
      </c>
      <c r="BB33" s="467" t="str">
        <f t="shared" si="238"/>
        <v/>
      </c>
      <c r="BC33" s="329" t="str">
        <f t="shared" si="239"/>
        <v/>
      </c>
      <c r="BD33" s="237" t="str">
        <f t="shared" si="240"/>
        <v/>
      </c>
      <c r="BE33" s="237" t="str">
        <f>IF(A33=FALSE,"",IF(ED33&lt;&gt;$BC$7,0,INDEX(EA33:EZ33,1,MATCH(Structure!$J$16,$EA$14:$EZ$14,0))))</f>
        <v/>
      </c>
      <c r="BF33" s="237" t="str">
        <f>IF(A33=FALSE,"",IF(FD33&lt;&gt;$BC$7,0,INDEX(FA33:FZ33,1,MATCH(Structure!$J$16,$FA$14:$FZ$14,0))))</f>
        <v/>
      </c>
      <c r="BG33" s="237" t="str">
        <f>IF(A33=FALSE,"",IF(GD33&lt;&gt;$BC$7,0,INDEX(GA33:GZ33,1,MATCH(Structure!$J$16,$GA$14:$GZ$14,0))))</f>
        <v/>
      </c>
      <c r="BH33" s="237" t="str">
        <f>IF(A33=FALSE,"",IF(HD33&lt;&gt;$BC$7,0,INDEX(HA33:HZ33,1,MATCH(Structure!$J$16,$HA$14:$HZ$14,0))))</f>
        <v/>
      </c>
      <c r="BI33" s="621" t="str">
        <f>IF(A33=FALSE,"",IF(ID33&lt;&gt;$BC$7,0,INDEX(IA33:IZ33,1,MATCH(Structure!$C$12,$IA$14:$IZ$14,0)))+OL33)</f>
        <v/>
      </c>
      <c r="BJ33" s="237" t="str">
        <f>IF(A33=FALSE,"",IF(JD33&lt;&gt;$BC$7,0,INDEX(JA33:JZ33,1,MATCH(Structure!$C$12,$JA$14:$JZ$14,0))))</f>
        <v/>
      </c>
      <c r="BK33" s="621" t="str">
        <f>IF(A33=FALSE,"",IF(KD33&lt;&gt;$BC$7,0,INDEX(KA33:KZ33,1,MATCH(Structure!$C$12,$KA$14:$KZ$14,0)))+PL33)</f>
        <v/>
      </c>
      <c r="BL33" s="237" t="str">
        <f>IF(A33=FALSE,"",IF(LD33&lt;&gt;$BC$7,0,INDEX(LA33:LZ33,1,MATCH(Structure!$C$12,$LA$14:$LZ$14,0))))</f>
        <v/>
      </c>
      <c r="BM33" s="237" t="str">
        <f>IF(A33=FALSE,"",IF(MD33&lt;&gt;$BC$7,0,INDEX(MA33:MZ33,1,MATCH(Structure!$C$12,$MA$14:$MZ$14,0))))</f>
        <v/>
      </c>
      <c r="BN33" s="326" t="str">
        <f>IF(A33=FALSE,"",IF(ND33&lt;&gt;$BC$7,0,INDEX(NA33:OC33,1,MATCH(Structure!$C$12,$NA$14:$OC$14,0))))</f>
        <v/>
      </c>
      <c r="BO33" s="435" t="str">
        <f t="shared" si="241"/>
        <v/>
      </c>
      <c r="BP33" s="237" t="str">
        <f t="shared" si="242"/>
        <v/>
      </c>
      <c r="BQ33" s="237" t="str">
        <f>IF(A33=FALSE,"",IF(ED33&lt;&gt;$BO$7,0,INDEX(EA33:EZ33,1,MATCH(Structure!$C$12,$EA$14:$EZ$14,0))))</f>
        <v/>
      </c>
      <c r="BR33" s="237" t="str">
        <f>IF(A33=FALSE,"",IF(FD33&lt;&gt;$BO$7,0,INDEX(FA33:FZ33,1,MATCH(Structure!$C$12,$FA$14:$FZ$14,0))))</f>
        <v/>
      </c>
      <c r="BS33" s="237" t="str">
        <f>IF(A33=FALSE,"",IF(ID33&lt;&gt;$BO$7,0,INDEX(IA33:IZ33,1,MATCH(Structure!$C$13,$IA$14:$IZ$14,0))))</f>
        <v/>
      </c>
      <c r="BT33" s="237" t="str">
        <f>IF(A33=FALSE,"",IF(JD33&lt;&gt;$BO$7,0,INDEX(JA33:JZ33,1,MATCH(Structure!$C$13,$JA$14:$JZ$14,0))))</f>
        <v/>
      </c>
      <c r="BU33" s="237" t="str">
        <f>IF(A33=FALSE,"",IF(KD33&lt;&gt;$BO$7,0,INDEX(KA33:KZ33,1,MATCH(Structure!$C$13,$KA$14:$KZ$14,0))))</f>
        <v/>
      </c>
      <c r="BV33" s="237" t="str">
        <f>IF(A33=FALSE,"",IF(LD33&lt;&gt;$BO$7,0,INDEX(LA33:LZ33,1,MATCH(Structure!$C$13,$LA$14:$LZ$14,0))))</f>
        <v/>
      </c>
      <c r="BW33" s="237" t="str">
        <f>IF(A33=FALSE,"",IF(MD33&lt;&gt;$BO$7,0,INDEX(MA33:MZ33,1,MATCH(Structure!$C$13,$MA$14:$MZ$14,0))))</f>
        <v/>
      </c>
      <c r="BX33" s="326" t="str">
        <f>IF(A33=FALSE,"",IF(ND33&lt;&gt;$BO$7,0,INDEX(NA33:OC33,1,MATCH(Structure!$C$13,$NA$14:$OC$14,0))))</f>
        <v/>
      </c>
      <c r="BY33" s="412"/>
      <c r="BZ33" s="412"/>
      <c r="CA33" s="1255" t="str">
        <f>IF(A33=FALSE,"",IF(LISTES!$A$17=1,Cotations!AG33,Cotations!AH33))</f>
        <v/>
      </c>
      <c r="CB33" s="1266" t="str">
        <f t="shared" si="243"/>
        <v/>
      </c>
      <c r="CC33" s="1120" t="str">
        <f t="shared" si="244"/>
        <v/>
      </c>
      <c r="CD33" s="1120" t="str">
        <f t="shared" si="245"/>
        <v/>
      </c>
      <c r="CE33" s="1120" t="str">
        <f t="shared" si="246"/>
        <v/>
      </c>
      <c r="CF33" s="1120" t="str">
        <f t="shared" si="247"/>
        <v/>
      </c>
      <c r="CG33" s="1267"/>
      <c r="CH33" s="1267"/>
      <c r="CI33" s="1268" t="str">
        <f t="shared" si="248"/>
        <v/>
      </c>
      <c r="CJ33" s="286" t="str">
        <f t="shared" si="249"/>
        <v/>
      </c>
      <c r="CK33" s="286" t="str">
        <f t="shared" si="250"/>
        <v/>
      </c>
      <c r="CL33" s="1263"/>
      <c r="CM33" s="1263"/>
      <c r="CN33" s="1263"/>
      <c r="CO33" s="1263"/>
      <c r="CP33" s="319" t="str">
        <f t="shared" si="251"/>
        <v/>
      </c>
      <c r="CQ33" s="443" t="str">
        <f>IF(A33=FALSE,"",Cotations!AM33)</f>
        <v/>
      </c>
      <c r="CR33" s="443" t="str">
        <f>IF(A33=FALSE,"",IF(Cotations!AN33="","",Cotations!AN33))</f>
        <v/>
      </c>
      <c r="CS33" s="433" t="str">
        <f>IF(A33=FALSE,"",Cotations!AO33)</f>
        <v/>
      </c>
      <c r="CT33" s="443" t="str">
        <f>IF(A33=FALSE,"",IF(CQ33="N/A",0,IF(INDEX(LISTES!$F$105:$F$109,MATCH(CQ33,LISTES!$C$105:$C$109,0))="FIX",IF(INDEX(LISTES!$E$105:$E$109,MATCH(CQ33,LISTES!$C$105:$C$109,0))=12,CR33/12*L33,CR33/365*M33),CS33*EQ33)))</f>
        <v/>
      </c>
      <c r="CU33" s="434" t="str">
        <f>IF(A33=FALSE,"",(CJ33+CK33)*Cotations!AP33)</f>
        <v/>
      </c>
      <c r="CV33" s="434" t="str">
        <f>IF(A33=FALSE,"",(CJ33+CK33)*Cotations!AQ33)</f>
        <v/>
      </c>
      <c r="DA33" s="1253" t="str">
        <f>IF(A33=FALSE,"",IF(LISTES!$A$17=1,Cotations!AV33,Cotations!AW33))</f>
        <v/>
      </c>
      <c r="DB33" s="1271" t="str">
        <f t="shared" si="252"/>
        <v/>
      </c>
      <c r="DC33" s="1270" t="str">
        <f t="shared" si="253"/>
        <v/>
      </c>
      <c r="DD33" s="1270" t="str">
        <f t="shared" si="254"/>
        <v/>
      </c>
      <c r="DE33" s="1270" t="str">
        <f t="shared" si="255"/>
        <v/>
      </c>
      <c r="DF33" s="1270" t="str">
        <f t="shared" si="256"/>
        <v/>
      </c>
      <c r="DG33" s="1270" t="str">
        <f t="shared" si="257"/>
        <v/>
      </c>
      <c r="DH33" s="1270" t="str">
        <f t="shared" si="258"/>
        <v/>
      </c>
      <c r="DI33" s="1271" t="str">
        <f t="shared" si="259"/>
        <v/>
      </c>
      <c r="DJ33" s="286" t="str">
        <f t="shared" si="260"/>
        <v/>
      </c>
      <c r="DK33" s="286" t="str">
        <f t="shared" si="261"/>
        <v/>
      </c>
      <c r="DL33" s="1264" t="str">
        <f t="shared" si="262"/>
        <v/>
      </c>
      <c r="DM33" s="1264" t="str">
        <f t="shared" si="263"/>
        <v/>
      </c>
      <c r="DN33" s="1264" t="str">
        <f t="shared" si="264"/>
        <v/>
      </c>
      <c r="DO33" s="1264" t="str">
        <f t="shared" si="265"/>
        <v/>
      </c>
      <c r="DP33" s="323" t="str">
        <f t="shared" si="132"/>
        <v/>
      </c>
      <c r="DQ33" s="444" t="str">
        <f>IF(A33=FALSE,"",Cotations!BW33)</f>
        <v/>
      </c>
      <c r="DR33" s="444" t="str">
        <f>IF(A33=FALSE,"",Cotations!BX33)</f>
        <v/>
      </c>
      <c r="DS33" s="433" t="str">
        <f>IF(A33=FALSE,"",Cotations!BY33)</f>
        <v/>
      </c>
      <c r="DT33" s="830" t="str">
        <f>IF(A33=FALSE,"",IF(DQ33="N/A",0,IF(INDEX(LISTES!$F$105:$F$109,MATCH(DQ33,LISTES!$C$105:$C$109,0))="FIX",IF(INDEX(LISTES!$E$105:$E$109,MATCH(DQ33,LISTES!$C$105:$C$109,0))=12,DR33/12*L33,DR33/365*M33),DS33*(DN33+DO33))))</f>
        <v/>
      </c>
      <c r="DU33" s="434" t="str">
        <f>IF(A33=FALSE,"",DJ33*Cotations!BZ33)</f>
        <v/>
      </c>
      <c r="DV33" s="434" t="str">
        <f>IF(A33=FALSE,"",DJ33*Cotations!CA33)</f>
        <v/>
      </c>
      <c r="EA33" s="432" t="str">
        <f>IF(A33=FALSE,"",Cotations!AT33)</f>
        <v/>
      </c>
      <c r="EB33" s="1234" t="str">
        <f>IF(A33=FALSE,"",YEAR(Detail!F33)&amp;Detail!AG33&amp;Detail!AD33&amp;"-"&amp;Detail!$AD$13&amp;Detail!AE33)</f>
        <v/>
      </c>
      <c r="EC33" s="434" t="str">
        <f>IF(A33=FALSE,"",IF(LISTES!$A$17=1,EB33,INDEX(colMOD1,MATCH(Cotations!AH33,colchoice,0))))</f>
        <v/>
      </c>
      <c r="ED33" s="277" t="str">
        <f t="shared" si="133"/>
        <v/>
      </c>
      <c r="EE33" s="277" t="str">
        <f t="shared" si="134"/>
        <v/>
      </c>
      <c r="EF33" s="277"/>
      <c r="EG33" s="277"/>
      <c r="EH33" s="277" t="str">
        <f t="shared" si="135"/>
        <v/>
      </c>
      <c r="EI33" s="1104" t="str">
        <f t="shared" si="136"/>
        <v/>
      </c>
      <c r="EJ33" s="1104" t="str">
        <f t="shared" si="137"/>
        <v/>
      </c>
      <c r="EK33" s="443" t="str">
        <f>IF(A33=FALSE,"",IF(Cotations!AF33="monthly",EH33/12*L33,EH33/365*M33))</f>
        <v/>
      </c>
      <c r="EL33" s="1103" t="str">
        <f>IF(A33=FALSE,"",IF(Cotations!AF33="monthly",EJ33/12*L33,EJ33/365*M33))</f>
        <v/>
      </c>
      <c r="EM33" s="433" t="str">
        <f>IF(A33=FALSE,"",IF(Cotations!AI33="","",Cotations!AI33))</f>
        <v/>
      </c>
      <c r="EN33" s="277" t="str">
        <f t="shared" si="266"/>
        <v/>
      </c>
      <c r="EO33" s="277" t="str">
        <f t="shared" si="138"/>
        <v/>
      </c>
      <c r="EP33" s="1104" t="str">
        <f t="shared" si="139"/>
        <v/>
      </c>
      <c r="EQ33" s="277" t="str">
        <f t="shared" si="267"/>
        <v/>
      </c>
      <c r="ER33" s="759" t="str">
        <f>IF(A33=FALSE,"",((EH33*TAXE)-(EH33*TAXE*EM33)+EI33)+IF(CQ33="N/A",0,IF(INDEX(LISTES!$F$105:$F$109,MATCH(CQ33,LISTES!$C$105:$C$109,0))="FIX",CR33,CS33*EQ33)))</f>
        <v/>
      </c>
      <c r="ET33" s="422"/>
      <c r="EU33" s="422"/>
      <c r="EV33" s="422"/>
      <c r="EW33" s="422"/>
      <c r="EX33" s="422"/>
      <c r="EY33" s="422"/>
      <c r="EZ33" s="422"/>
      <c r="FA33" s="432" t="str">
        <f>IF(A33=FALSE,"",Cotations!AT33)</f>
        <v/>
      </c>
      <c r="FB33" s="1235" t="str">
        <f>IF(A33=FALSE,"",IF(Detail!AL33="","N/A",YEAR(Detail!F33)&amp;Detail!AO33&amp;Detail!AL33&amp;"-"&amp;Detail!$AL$13&amp;Detail!AM33))</f>
        <v/>
      </c>
      <c r="FC33" s="434" t="str">
        <f>IF(A33=FALSE,"",IF(LISTES!$A$17=1,FB33,INDEX(colMOD2,MATCH(Cotations!AH33,colchoice,0))))</f>
        <v/>
      </c>
      <c r="FD33" s="277" t="str">
        <f t="shared" si="140"/>
        <v/>
      </c>
      <c r="FE33" s="443" t="str">
        <f>IF(A33=FALSE,"",IF(Detail!AM33="","",Detail!AM33))</f>
        <v/>
      </c>
      <c r="FF33" s="277"/>
      <c r="FG33" s="277"/>
      <c r="FH33" s="277" t="str">
        <f t="shared" si="141"/>
        <v/>
      </c>
      <c r="FI33" s="1104"/>
      <c r="FJ33" s="1104"/>
      <c r="FK33" s="443" t="str">
        <f>IF(A33=FALSE,"",IF(Cotations!AF33="monthly",FH33/12*L33,FH33/365*M33))</f>
        <v/>
      </c>
      <c r="FL33" s="1103" t="str">
        <f>IF(A33=FALSE,"",IF(Cotations!AF33="monthly",FJ33/12*L33,FJ33/365*M33))</f>
        <v/>
      </c>
      <c r="FM33" s="433" t="str">
        <f>IF(A33=FALSE,"",IF(Cotations!AJ33="","",Cotations!AJ33))</f>
        <v/>
      </c>
      <c r="FN33" s="277" t="str">
        <f t="shared" si="268"/>
        <v/>
      </c>
      <c r="FO33" s="277" t="str">
        <f t="shared" si="269"/>
        <v/>
      </c>
      <c r="FP33" s="1104"/>
      <c r="FQ33" s="277" t="str">
        <f t="shared" si="270"/>
        <v/>
      </c>
      <c r="FR33" s="759" t="str">
        <f>IF(A33=FALSE,"",((FH33*TAXE)-(FH33*TAXE*FM33))+IF(#REF!="N/A",0,IF(INDEX(LISTES!$F$105:$F$109,MATCH(#REF!,LISTES!$C$105:$C$109,0))="FIX",#REF!,#REF!*FQ33)))</f>
        <v/>
      </c>
      <c r="FS33" s="422"/>
      <c r="FT33" s="422"/>
      <c r="FU33" s="422"/>
      <c r="FV33" s="422"/>
      <c r="FW33" s="422"/>
      <c r="FX33" s="422"/>
      <c r="FY33" s="422"/>
      <c r="FZ33" s="422"/>
      <c r="GA33" s="432" t="str">
        <f t="shared" si="145"/>
        <v/>
      </c>
      <c r="GB33" s="1234" t="str">
        <f>IF(A33=FALSE,"",IF(Detail!DF33="","N/A",YEAR(Detail!F33)&amp;Detail!DI33&amp;Detail!DF33&amp;"-"&amp;Detail!$DF$13))</f>
        <v/>
      </c>
      <c r="GC33" s="434" t="str">
        <f>IF(A33=FALSE,"",IF(LISTES!$A$17=1,GB33,INDEX(colMOD3,MATCH(Cotations!AH33,colchoice,0))))</f>
        <v/>
      </c>
      <c r="GD33" s="277" t="str">
        <f t="shared" si="146"/>
        <v/>
      </c>
      <c r="GE33" s="277" t="str">
        <f t="shared" si="147"/>
        <v/>
      </c>
      <c r="GF33" s="277"/>
      <c r="GG33" s="277"/>
      <c r="GH33" s="277" t="str">
        <f t="shared" si="271"/>
        <v/>
      </c>
      <c r="GI33" s="1104" t="str">
        <f t="shared" si="272"/>
        <v/>
      </c>
      <c r="GJ33" s="1104" t="str">
        <f t="shared" si="273"/>
        <v/>
      </c>
      <c r="GK33" s="443" t="str">
        <f>IF(A33=FALSE,"",IF(Cotations!AF33="monthly",GH33/12*L33,GH33/365*M33))</f>
        <v/>
      </c>
      <c r="GL33" s="1103" t="str">
        <f>IF(A33=FALSE,"",IF(Cotations!AF33="monthly",GJ33/12*L33,GJ33/365*M33))</f>
        <v/>
      </c>
      <c r="GM33" s="433" t="str">
        <f>IF(A33=FALSE,"",IF(Cotations!AK33="","",Cotations!AK33))</f>
        <v/>
      </c>
      <c r="GN33" s="277" t="str">
        <f t="shared" si="274"/>
        <v/>
      </c>
      <c r="GO33" s="277" t="str">
        <f t="shared" si="275"/>
        <v/>
      </c>
      <c r="GP33" s="1104" t="str">
        <f t="shared" si="276"/>
        <v/>
      </c>
      <c r="GQ33" s="277" t="str">
        <f t="shared" si="277"/>
        <v/>
      </c>
      <c r="GR33" s="759" t="str">
        <f>IF(A33=FALSE,"",((GH33*TAXE)-(GH33*TAXE*GM33)+GI33)+IF(CQ33="N/A",0,IF(INDEX(LISTES!$F$105:$F$109,MATCH(CQ33,LISTES!$C$105:$C$109,0))="FIX",CR33,CS33*GQ33)))</f>
        <v/>
      </c>
      <c r="GS33" s="412"/>
      <c r="GT33" s="412"/>
      <c r="GU33" s="412"/>
      <c r="GV33" s="412"/>
      <c r="GW33" s="412"/>
      <c r="GX33" s="412"/>
      <c r="GY33" s="412"/>
      <c r="GZ33" s="412"/>
      <c r="HA33" s="432" t="str">
        <f t="shared" si="155"/>
        <v/>
      </c>
      <c r="HB33" s="1234" t="str">
        <f>IF(A33=FALSE,"",IF(Detail!DF33="","N/A",YEAR(Detail!F33)&amp;Detail!DI33&amp;Detail!DF33&amp;"-"&amp;Detail!$DF$13))</f>
        <v/>
      </c>
      <c r="HC33" s="434" t="str">
        <f>IF(A33=FALSE,"",IF(LISTES!$A$17=1,HB33,INDEX(colMOD4,MATCH(Cotations!AH33,colchoice,0))))</f>
        <v/>
      </c>
      <c r="HD33" s="277" t="str">
        <f t="shared" si="278"/>
        <v/>
      </c>
      <c r="HE33" s="277" t="str">
        <f t="shared" si="279"/>
        <v/>
      </c>
      <c r="HF33" s="277"/>
      <c r="HG33" s="277"/>
      <c r="HH33" s="277" t="str">
        <f t="shared" si="280"/>
        <v/>
      </c>
      <c r="HI33" s="1104" t="str">
        <f t="shared" si="281"/>
        <v/>
      </c>
      <c r="HJ33" s="1104" t="str">
        <f t="shared" si="282"/>
        <v/>
      </c>
      <c r="HK33" s="443" t="str">
        <f>IF(A33=FALSE,"",IF(Cotations!AF33="monthly",HH33/12*L33,HH33/365*M33))</f>
        <v/>
      </c>
      <c r="HL33" s="1103" t="str">
        <f>IF(A33=FALSE,"",IF(Cotations!AF33="monthly",HJ33/12*L33,HJ33/365*M33))</f>
        <v/>
      </c>
      <c r="HM33" s="433" t="str">
        <f>IF(A33=FALSE,"",IF(Cotations!AL33="","",Cotations!AL33))</f>
        <v/>
      </c>
      <c r="HN33" s="277" t="str">
        <f t="shared" si="283"/>
        <v/>
      </c>
      <c r="HO33" s="277" t="str">
        <f t="shared" si="284"/>
        <v/>
      </c>
      <c r="HP33" s="1104" t="str">
        <f t="shared" si="285"/>
        <v/>
      </c>
      <c r="HQ33" s="277" t="str">
        <f t="shared" si="286"/>
        <v/>
      </c>
      <c r="HR33" s="759" t="str">
        <f>IF(A33=FALSE,"",((HH33*TAXE)-(HH33*TAXE*HM33)+HI33)+IF(CQ33="N/A",0,IF(INDEX(LISTES!$F$105:$F$109,MATCH(CQ33,LISTES!$C$105:$C$109,0))="FIX",CR33,CS33*HQ33)))</f>
        <v/>
      </c>
      <c r="HS33" s="412"/>
      <c r="HT33" s="412"/>
      <c r="HU33" s="412"/>
      <c r="HV33" s="412"/>
      <c r="HW33" s="412"/>
      <c r="HX33" s="412"/>
      <c r="HY33" s="412"/>
      <c r="HZ33" s="1262"/>
      <c r="IA33" s="432" t="str">
        <f>IF(A33=FALSE,"",Cotations!AT33)</f>
        <v/>
      </c>
      <c r="IB33" s="1253" t="str">
        <f>IF(A33=FALSE,"",IF(Detail!AT33="","N/A",YEAR(Detail!F33)&amp;Detail!AW33&amp;Detail!AT33&amp;"-"&amp;Detail!$AT$13&amp;Detail!AU33))</f>
        <v/>
      </c>
      <c r="IC33" s="431" t="str">
        <f>IF(A33=FALSE,"",IF(LISTES!$A$17=1,IB33,INDEX(colMOD1,MATCH(DA33,colchoice,0))))</f>
        <v/>
      </c>
      <c r="ID33" s="759" t="str">
        <f t="shared" si="287"/>
        <v/>
      </c>
      <c r="IE33" s="292" t="str">
        <f>IF(A33=FALSE,"",IF(LISTES!$A$17=1,Detail!AU33,INDEX(Rates!$M$1:$M$270,MATCH(IC33,colMOD1,0))))</f>
        <v/>
      </c>
      <c r="IF33" s="409" t="str">
        <f t="shared" si="165"/>
        <v/>
      </c>
      <c r="IG33" s="430" t="str">
        <f>IF(A33=FALSE,"",IF(IA33="POEA",Cotations!AY33,IF(IA33="FIXE",Cotations!AZ33,IF(Cotations!BA33*Y33&lt;50000,Z33,Cotations!BA33*Y33))))</f>
        <v/>
      </c>
      <c r="IH33" s="292" t="str">
        <f t="shared" si="166"/>
        <v/>
      </c>
      <c r="II33" s="446" t="str">
        <f>IF(A33=FALSE,"",IF(Cotations!AU33="monthly",IH33/12*L33,IH33/365*M33))</f>
        <v/>
      </c>
      <c r="IJ33" s="429" t="str">
        <f>IF(A33=FALSE,"",IF(Cotations!BB33="","",Cotations!BB33))</f>
        <v/>
      </c>
      <c r="IK33" s="292" t="str">
        <f t="shared" si="167"/>
        <v/>
      </c>
      <c r="IL33" s="292" t="str">
        <f t="shared" si="168"/>
        <v/>
      </c>
      <c r="IM33" s="759" t="str">
        <f t="shared" si="169"/>
        <v/>
      </c>
      <c r="IN33" s="759" t="str">
        <f>IF(A33=FALSE,"",((IH33*TAXE)-(IH33*TAXE*IJ33))+IF(DQ33="N/A",0,IF(INDEX(LISTES!$F$105:$F$109,MATCH(DQ33,LISTES!$C$105:$C$109,0))="FIX",DR33,DS33*IM33)))</f>
        <v/>
      </c>
      <c r="JA33" s="432" t="str">
        <f>IF(A33=FALSE,"",Cotations!AT33)</f>
        <v/>
      </c>
      <c r="JB33" s="1234" t="str">
        <f>IF(A33=FALSE,"",IF(Detail!BB33="","N/A",YEAR(Detail!F33)&amp;Detail!BE33&amp;Detail!BB33&amp;"-"&amp;Detail!$BB$13&amp;Detail!BC33))</f>
        <v/>
      </c>
      <c r="JC33" s="431" t="str">
        <f>IF(A33=FALSE,"",IF(LISTES!$A$17=1,JB33,INDEX(colMOD2,MATCH(DA33,colchoice,0))))</f>
        <v/>
      </c>
      <c r="JD33" s="759" t="str">
        <f t="shared" si="170"/>
        <v/>
      </c>
      <c r="JE33" s="292"/>
      <c r="JF33" s="409" t="str">
        <f t="shared" si="171"/>
        <v/>
      </c>
      <c r="JG33" s="430" t="str">
        <f>IF(A33=FALSE,"",IF(JA33="POEA",Cotations!BC33,IF(JA33="FIXE",Cotations!BD33,IF(Cotations!BE33*Y33&lt;50000,Z33,Cotations!BE33*Y33))))</f>
        <v/>
      </c>
      <c r="JH33" s="292" t="str">
        <f t="shared" si="172"/>
        <v/>
      </c>
      <c r="JI33" s="446" t="str">
        <f>IF(A33=FALSE,"",IF(Cotations!AU33="monthly",JH33/12*L33,JH33/365*M33))</f>
        <v/>
      </c>
      <c r="JJ33" s="429" t="str">
        <f>IF(A33=FALSE,"",IF(Cotations!BF33="","",Cotations!BF33))</f>
        <v/>
      </c>
      <c r="JK33" s="292" t="str">
        <f t="shared" si="173"/>
        <v/>
      </c>
      <c r="JL33" s="292" t="str">
        <f t="shared" si="174"/>
        <v/>
      </c>
      <c r="JM33" s="759" t="str">
        <f t="shared" si="175"/>
        <v/>
      </c>
      <c r="JN33" s="759" t="str">
        <f>IF(A33=FALSE,"",((JH33*TAXE)-(JH33*TAXE*JJ33))+IF(#REF!="N/A",0,IF(INDEX(LISTES!$F$105:$F$109,MATCH(#REF!,LISTES!$C$105:$C$109,0))="FIX",#REF!,#REF!*JM33)))</f>
        <v/>
      </c>
      <c r="KA33" s="432" t="str">
        <f>IF(A33=FALSE,"",Cotations!AT33)</f>
        <v/>
      </c>
      <c r="KB33" s="1234" t="str">
        <f>IF(A33=FALSE,"",IF(Detail!BJ33="","N/A",YEAR(Detail!F33)&amp;Detail!BM33&amp;Detail!BJ33&amp;"-"&amp;Detail!$BJ$13&amp;Detail!BK33))</f>
        <v/>
      </c>
      <c r="KC33" s="431" t="str">
        <f>IF(A33=FALSE,"",IF(LISTES!$A$17=1,KB33,INDEX(colMOD3,MATCH(DA33,colchoice,0))))</f>
        <v/>
      </c>
      <c r="KD33" s="759" t="str">
        <f t="shared" si="176"/>
        <v/>
      </c>
      <c r="KE33" s="292"/>
      <c r="KF33" s="409" t="str">
        <f t="shared" si="177"/>
        <v/>
      </c>
      <c r="KG33" s="430" t="str">
        <f>IF(A33=FALSE,"",IF(KA33="POEA",Cotations!BG33,IF(KA33="FIXE",Cotations!BH33,IF(Cotations!BI33*Y33&lt;50000,Z33,Cotations!BI33*Y33))))</f>
        <v/>
      </c>
      <c r="KH33" s="292" t="str">
        <f t="shared" si="178"/>
        <v/>
      </c>
      <c r="KI33" s="446" t="str">
        <f>IF(A33=FALSE,"",IF(Cotations!AU33="monthly",KH33/12*L33,KH33/365*M33))</f>
        <v/>
      </c>
      <c r="KJ33" s="429" t="str">
        <f>IF(A33=FALSE,"",IF(Cotations!BJ33="","",Cotations!BJ33))</f>
        <v/>
      </c>
      <c r="KK33" s="292" t="str">
        <f t="shared" si="179"/>
        <v/>
      </c>
      <c r="KL33" s="292" t="str">
        <f t="shared" si="180"/>
        <v/>
      </c>
      <c r="KM33" s="759" t="str">
        <f t="shared" si="181"/>
        <v/>
      </c>
      <c r="KN33" s="759" t="str">
        <f>IF(A33=FALSE,"",((KH33*TAXE)-(KH33*TAXE*KJ33))+IF(#REF!="N/A",0,IF(INDEX(LISTES!$F$105:$F$109,MATCH(#REF!,LISTES!$C$105:$C$109,0))="FIX",#REF!,#REF!*KM33)))</f>
        <v/>
      </c>
      <c r="LA33" s="432" t="str">
        <f>IF(A33=FALSE,"",Cotations!AT33)</f>
        <v/>
      </c>
      <c r="LB33" s="1234" t="str">
        <f>IF(A33=FALSE,"",IF(Detail!BR33="","N/A",YEAR(Detail!F33)&amp;Detail!BU33&amp;Detail!BR33&amp;"-"&amp;Detail!$BR$13&amp;Detail!BS33))</f>
        <v/>
      </c>
      <c r="LC33" s="431" t="str">
        <f>IF(A33=FALSE,"",IF(LISTES!$A$17=1,LB33,INDEX(colMOD4,MATCH(DA33,colchoice,0))))</f>
        <v/>
      </c>
      <c r="LD33" s="759" t="str">
        <f t="shared" si="182"/>
        <v/>
      </c>
      <c r="LE33" s="292"/>
      <c r="LF33" s="409" t="str">
        <f t="shared" si="183"/>
        <v/>
      </c>
      <c r="LG33" s="430" t="str">
        <f>IF(A33=FALSE,"",IF(LA33="POEA",Cotations!BK33,IF(LA33="FIXE",Cotations!BL33,IF(Cotations!BM33*Y33&lt;50000,Z33,Cotations!BM33*Y33))))</f>
        <v/>
      </c>
      <c r="LH33" s="292" t="str">
        <f t="shared" si="184"/>
        <v/>
      </c>
      <c r="LI33" s="446" t="str">
        <f>IF(A33=FALSE,"",IF(Cotations!AU33="monthly",LH33/12*L33,LH33/365*M33))</f>
        <v/>
      </c>
      <c r="LJ33" s="429" t="str">
        <f>IF(A33=FALSE,"",IF(Cotations!BN33="","",Cotations!BN33))</f>
        <v/>
      </c>
      <c r="LK33" s="292" t="str">
        <f t="shared" si="185"/>
        <v/>
      </c>
      <c r="LL33" s="292" t="str">
        <f t="shared" si="186"/>
        <v/>
      </c>
      <c r="LM33" s="759" t="str">
        <f t="shared" si="187"/>
        <v/>
      </c>
      <c r="LN33" s="759" t="str">
        <f>IF(A33=FALSE,"",((LH33*TAXE)-(LH33*TAXE*LJ33))+IF(#REF!="N/A",0,IF(INDEX(LISTES!$F$105:$F$109,MATCH(#REF!,LISTES!$C$105:$C$109,0))="FIX",#REF!,#REF!*LM33)))</f>
        <v/>
      </c>
      <c r="MA33" s="432" t="str">
        <f t="shared" si="188"/>
        <v/>
      </c>
      <c r="MB33" s="1234" t="str">
        <f>IF(A33=FALSE,"",IF(Detail!BZ33="","N/A",YEAR(Detail!F33)&amp;Detail!CC33&amp;Detail!BZ33&amp;"-"&amp;Detail!$BZ$13&amp;" (100%/"&amp;Detail!CD33&amp;"/"&amp;Detail!CE33&amp;")"))</f>
        <v/>
      </c>
      <c r="MC33" s="431" t="str">
        <f>IF(A33=FALSE,"",IF(LISTES!$A$17=1,MB33,INDEX(colMOD5,MATCH(DA33,colchoice,0))))</f>
        <v/>
      </c>
      <c r="MD33" s="759" t="str">
        <f t="shared" si="189"/>
        <v/>
      </c>
      <c r="ME33" s="292"/>
      <c r="MF33" s="409" t="str">
        <f t="shared" si="190"/>
        <v/>
      </c>
      <c r="MG33" s="430" t="str">
        <f>IF(A33=FALSE,"",Cotations!BQ33*AA33)</f>
        <v/>
      </c>
      <c r="MH33" s="292" t="str">
        <f t="shared" si="191"/>
        <v/>
      </c>
      <c r="MI33" s="446" t="str">
        <f>IF(A33=FALSE,"",IF(Cotations!AU33="monthly",MH33/12*L33,MH33/365*M33))</f>
        <v/>
      </c>
      <c r="MJ33" s="429" t="str">
        <f>IF(A33=FALSE,"",IF(Cotations!BR33="","",Cotations!BR33))</f>
        <v/>
      </c>
      <c r="MK33" s="292" t="str">
        <f t="shared" si="192"/>
        <v/>
      </c>
      <c r="ML33" s="292" t="str">
        <f t="shared" si="193"/>
        <v/>
      </c>
      <c r="MM33" s="759" t="str">
        <f t="shared" si="194"/>
        <v/>
      </c>
      <c r="MN33" s="759" t="str">
        <f>IF(A33=FALSE,"",((MH33*TAXE)-(MH33*TAXE*MJ33))+IF(#REF!="N/A",0,IF(INDEX(LISTES!$F$105:$F$109,MATCH(#REF!,LISTES!$C$105:$C$109,0))="FIX",#REF!,#REF!*MM33)))</f>
        <v/>
      </c>
      <c r="NA33" s="432" t="str">
        <f t="shared" si="195"/>
        <v/>
      </c>
      <c r="NB33" s="1234" t="str">
        <f>IF(A33=FALSE,"",IF(Detail!CH33="","N/A",YEAR(Detail!F33)&amp;Detail!CK33&amp;Detail!CH33&amp;"-"&amp;Detail!$CH$13&amp;" (100%/"&amp;Detail!CL33&amp;"/"&amp;Detail!CM33&amp;")"))</f>
        <v/>
      </c>
      <c r="NC33" s="431" t="str">
        <f>IF(A33=FALSE,"",IF(LISTES!$A$17=1,NB33,INDEX(colMOD6,MATCH(DA33,colchoice,0))))</f>
        <v/>
      </c>
      <c r="ND33" s="759" t="str">
        <f t="shared" si="196"/>
        <v/>
      </c>
      <c r="NE33" s="292"/>
      <c r="NF33" s="409" t="str">
        <f t="shared" si="197"/>
        <v/>
      </c>
      <c r="NG33" s="430" t="str">
        <f>IF(A33=FALSE,"",Cotations!BU33*AA33)</f>
        <v/>
      </c>
      <c r="NH33" s="292" t="str">
        <f t="shared" si="198"/>
        <v/>
      </c>
      <c r="NI33" s="446" t="str">
        <f>IF(A33=FALSE,"",IF(Cotations!AU33="monthly",NH33/12*L33,NH33/365*M33))</f>
        <v/>
      </c>
      <c r="NJ33" s="429" t="str">
        <f>IF(A33=FALSE,"",IF(Cotations!BV33="","",Cotations!BV33))</f>
        <v/>
      </c>
      <c r="NK33" s="292" t="str">
        <f t="shared" si="199"/>
        <v/>
      </c>
      <c r="NL33" s="292" t="str">
        <f t="shared" si="200"/>
        <v/>
      </c>
      <c r="NM33" s="759" t="str">
        <f t="shared" si="201"/>
        <v/>
      </c>
      <c r="NN33" s="759" t="str">
        <f>IF(A33=FALSE,"",((NH33*TAXE)-(NH33*TAXE*NJ33))+IF(#REF!="N/A",0,IF(INDEX(LISTES!$F$105:$F$109,MATCH(#REF!,LISTES!$C$105:$C$109,0))="FIX",#REF!,#REF!*NM33)))</f>
        <v/>
      </c>
      <c r="NZ33" s="1281" t="str">
        <f>IF(A33=FALSE,"",IF(Detail!CP33="","N/A",YEAR(Detail!F33)&amp;Detail!CS33&amp;Detail!CP33&amp;"-"&amp;Detail!CQ33))</f>
        <v/>
      </c>
      <c r="OA33" s="432" t="str">
        <f>IF(A33=FALSE,"",Cotations!CF33)</f>
        <v/>
      </c>
      <c r="OB33" s="1282" t="str">
        <f>IF(A33=FALSE,"",IF(Detail!CP33="","N/A",YEAR(Detail!F33)&amp;Detail!CS33&amp;Detail!CP33&amp;"-"&amp;Detail!$CP$13&amp;Detail!CQ33))</f>
        <v/>
      </c>
      <c r="OC33" s="1283" t="str">
        <f>IF(A33=FALSE,"",IF(LISTES!$A$17=1,OB33,INDEX(colMOD1,MATCH(Cotations!CE33,colchoice,0))))</f>
        <v/>
      </c>
      <c r="OD33" s="759" t="str">
        <f t="shared" si="202"/>
        <v/>
      </c>
      <c r="OE33" s="292" t="str">
        <f>IF(A33=FALSE,"",Detail!CQ33)</f>
        <v/>
      </c>
      <c r="OF33" s="409" t="str">
        <f t="shared" si="203"/>
        <v/>
      </c>
      <c r="OG33" s="430" t="str">
        <f>IF(A33=FALSE,"",IF(OA33="FIXE",Cotations!CM33,Cotations!CN33*AA33))</f>
        <v/>
      </c>
      <c r="OH33" s="292" t="str">
        <f t="shared" si="288"/>
        <v/>
      </c>
      <c r="OI33" s="446" t="str">
        <f>IF(A33=FALSE,"",IF(Cotations!CF33="monthly",OH33/12*L33,OH33/365*M33))</f>
        <v/>
      </c>
      <c r="OJ33" s="429" t="str">
        <f>IF(A33=FALSE,"",IF(Cotations!CO33="","",Cotations!CO33))</f>
        <v/>
      </c>
      <c r="OK33" s="292" t="str">
        <f t="shared" si="289"/>
        <v/>
      </c>
      <c r="OL33" s="292" t="str">
        <f t="shared" si="290"/>
        <v/>
      </c>
      <c r="OM33" s="759" t="str">
        <f t="shared" si="207"/>
        <v/>
      </c>
      <c r="ON33" s="759" t="str">
        <f>IF(A33=FALSE,"",((OH33*(1+TAXE)-(OH33*(1+TAXE)*OJ33))+IF(#REF!="N/A",0,IF(INDEX(LISTES!$F$105:$F$109,MATCH(#REF!,LISTES!$C$105:$C$109,0))="FIX",#REF!,#REF!*OM33))))</f>
        <v/>
      </c>
      <c r="PA33" s="432" t="str">
        <f>IF(A33=FALSE,"",Cotations!CF33)</f>
        <v/>
      </c>
      <c r="PB33" s="1282" t="str">
        <f>IF(A33=FALSE,"",IF(Detail!CX33="","N/A",YEAR(Detail!F33)&amp;Detail!DA33&amp;Detail!CX33&amp;"-"&amp;Detail!$CX$13&amp;Detail!CY33))</f>
        <v/>
      </c>
      <c r="PC33" s="1283" t="str">
        <f>IF(A33=FALSE,"",IF(LISTES!$A$17=1,PB33,INDEX(colMOD3,MATCH(Cotations!CE33,colchoice,0))))</f>
        <v/>
      </c>
      <c r="PD33" s="759" t="str">
        <f t="shared" si="208"/>
        <v/>
      </c>
      <c r="PE33" s="292" t="str">
        <f>IF(A33=FALSE,"",IF(Detail!CY33="","",Detail!CY33))</f>
        <v/>
      </c>
      <c r="PF33" s="409" t="str">
        <f t="shared" si="291"/>
        <v/>
      </c>
      <c r="PG33" s="430" t="str">
        <f>IF(A33=FALSE,"",IF(PA33="FIXE",Cotations!CP33,Cotations!CQ33*AA33))</f>
        <v/>
      </c>
      <c r="PH33" s="292" t="str">
        <f t="shared" si="292"/>
        <v/>
      </c>
      <c r="PI33" s="446" t="str">
        <f>IF(A33=FALSE,"",IF(Cotations!CG33="monthly",PH33/12*L33,PH33/365*M33))</f>
        <v/>
      </c>
      <c r="PJ33" s="429" t="str">
        <f>IF(A33=FALSE,"",IF(Cotations!DA33="",0,Cotations!DA33))</f>
        <v/>
      </c>
      <c r="PK33" s="292" t="str">
        <f t="shared" si="293"/>
        <v/>
      </c>
      <c r="PL33" s="292" t="str">
        <f t="shared" si="294"/>
        <v/>
      </c>
      <c r="PM33" s="759" t="str">
        <f t="shared" si="211"/>
        <v/>
      </c>
      <c r="PN33" s="759" t="str">
        <f>IF(A33=FALSE,"",((PH33*(1+TAXE)-(PH33*(1+TAXE)*PJ33))+IF(#REF!="N/A",0,IF(INDEX(LISTES!$F$105:$F$109,MATCH(#REF!,LISTES!$C$105:$C$109,0))="FIX",#REF!,#REF!*PM33))))</f>
        <v/>
      </c>
    </row>
    <row r="34" spans="1:430">
      <c r="A34" s="779" t="b">
        <f t="shared" si="111"/>
        <v>0</v>
      </c>
      <c r="B34" s="779" t="b">
        <f>IF(NAMES!$B$9=TRUE,TRUE,FALSE)</f>
        <v>1</v>
      </c>
      <c r="C34" s="779" t="b">
        <f t="shared" si="212"/>
        <v>0</v>
      </c>
      <c r="D34" s="779" t="b">
        <f t="shared" si="213"/>
        <v>1</v>
      </c>
      <c r="E34" s="267" t="b">
        <f>IF(Cotations!C34="","",Cotations!C34)</f>
        <v>0</v>
      </c>
      <c r="F34" s="267" t="str">
        <f>IF(Cotations!AT34="","",Cotations!AT34)</f>
        <v>PROP</v>
      </c>
      <c r="G34" s="267" t="str">
        <f>IF(Cotations!D34="","",Cotations!D34)</f>
        <v>2016-2017!</v>
      </c>
      <c r="H34" s="267" t="str">
        <f>IF(Cotations!E34="","",Cotations!E34)</f>
        <v>SINGLE</v>
      </c>
      <c r="I34" s="267" t="str">
        <f>IF(Cotations!F34="","",Cotations!F34)</f>
        <v/>
      </c>
      <c r="J34" s="267" t="str">
        <f>IF(Cotations!G34="","",Cotations!G34)</f>
        <v/>
      </c>
      <c r="K34" s="267" t="str">
        <f>IF(Cotations!H34="","",Cotations!H34)</f>
        <v/>
      </c>
      <c r="L34" s="267" t="str">
        <f>IF(A34=FALSE,"",IF(Cotations!M34="","",Cotations!M34))</f>
        <v/>
      </c>
      <c r="M34" s="267" t="str">
        <f>IF(Cotations!O34="","",Cotations!O34)</f>
        <v/>
      </c>
      <c r="N34" s="588">
        <f>IF(NAMES!$B$10=TRUE,Cotations!I34,Cotations!K34)</f>
        <v>42566</v>
      </c>
      <c r="O34" s="588">
        <f>IF(NAMES!$B$10=TRUE,Cotations!J34,Cotations!L34)</f>
        <v>42674</v>
      </c>
      <c r="P34" s="780" t="str">
        <f t="shared" si="214"/>
        <v>juillet</v>
      </c>
      <c r="Q34" s="588" t="str">
        <f>IF(A34=FALSE,"",IF(Crewlist!Y34="","",Crewlist!Y34))</f>
        <v/>
      </c>
      <c r="R34" s="78" t="str">
        <f>IF(Cotations!T34="","",Cotations!T34)</f>
        <v/>
      </c>
      <c r="S34" s="780" t="str">
        <f t="shared" si="215"/>
        <v/>
      </c>
      <c r="T34" s="759" t="str">
        <f>IF(A34=FALSE,"",VLOOKUP($U$15:$U$120,Currency!$A$2:$D$10,4,0)*Crewlist!N34)</f>
        <v/>
      </c>
      <c r="U34" s="1097" t="str">
        <f>IF(A34=FALSE,"",IF(DP34=0,Crewlist!M34&amp;"/"&amp;CP34,Crewlist!M34&amp;"/"&amp;DP34))</f>
        <v/>
      </c>
      <c r="V34" s="759" t="str">
        <f>IF(A34=FALSE,"",VLOOKUP($U$15:$U$120,Currency!$A$2:$D$10,4,0)*Detail!Q34)</f>
        <v/>
      </c>
      <c r="W34" s="1097" t="str">
        <f>IF(A34=FALSE,"",IF(DP34=0,Detail!R34&amp;"/"&amp;CP34,Detail!R34&amp;"/"&amp;DP34))</f>
        <v/>
      </c>
      <c r="X34" s="759" t="str">
        <f>IF(A34=FALSE,"",IF(LISTES!$C$17="Crewlist",Calcul!T34,Calcul!V34))</f>
        <v/>
      </c>
      <c r="Y34" s="618" t="str">
        <f t="shared" si="216"/>
        <v/>
      </c>
      <c r="Z34" s="618" t="str">
        <f>IF(A34=FALSE,"",IF(X34=0,0,IF((Cotations!BA34*12*X34)&lt;50000,50000,(12*X34))))</f>
        <v/>
      </c>
      <c r="AA34" s="618" t="str">
        <f t="shared" si="217"/>
        <v/>
      </c>
      <c r="AB34" s="618" t="str">
        <f>IF(A34=FALSE,"",IF(Crewlist!O34=0,"",Crewlist!O34))</f>
        <v/>
      </c>
      <c r="AC34" s="618" t="str">
        <f>IF(I34="","",VLOOKUP($AB$15:$AB$120,Currency!$A$15:$B$34,2,0))</f>
        <v/>
      </c>
      <c r="AD34" s="618" t="str">
        <f t="shared" si="218"/>
        <v/>
      </c>
      <c r="AE34" s="618" t="str">
        <f t="shared" si="219"/>
        <v/>
      </c>
      <c r="AF34" s="618" t="str">
        <f t="shared" si="220"/>
        <v/>
      </c>
      <c r="AG34" s="618" t="str">
        <f t="shared" si="221"/>
        <v/>
      </c>
      <c r="AH34" s="1097" t="str">
        <f t="shared" si="112"/>
        <v/>
      </c>
      <c r="AI34" s="759" t="str">
        <f t="shared" si="222"/>
        <v/>
      </c>
      <c r="AJ34" s="1120" t="str">
        <f t="shared" si="223"/>
        <v/>
      </c>
      <c r="AK34" s="1120" t="str">
        <f t="shared" si="224"/>
        <v/>
      </c>
      <c r="AL34" s="236" t="str">
        <f t="shared" si="225"/>
        <v/>
      </c>
      <c r="AM34" s="236" t="str">
        <f t="shared" si="226"/>
        <v/>
      </c>
      <c r="AN34" s="1112" t="str">
        <f t="shared" si="227"/>
        <v/>
      </c>
      <c r="AO34" s="236" t="str">
        <f t="shared" si="228"/>
        <v/>
      </c>
      <c r="AP34" s="327" t="str">
        <f>IF(A34=FALSE,"",INDEX(Rates!$Q$1:$Q$278,MATCH(CA34,colchoice,0)))</f>
        <v/>
      </c>
      <c r="AQ34" s="236" t="str">
        <f t="shared" si="229"/>
        <v/>
      </c>
      <c r="AR34" s="236" t="str">
        <f t="shared" si="230"/>
        <v/>
      </c>
      <c r="AS34" s="236" t="str">
        <f t="shared" si="117"/>
        <v/>
      </c>
      <c r="AT34" s="236" t="str">
        <f t="shared" si="118"/>
        <v/>
      </c>
      <c r="AU34" s="236" t="str">
        <f t="shared" si="231"/>
        <v/>
      </c>
      <c r="AV34" s="236" t="str">
        <f t="shared" si="232"/>
        <v/>
      </c>
      <c r="AW34" s="236" t="str">
        <f t="shared" si="233"/>
        <v/>
      </c>
      <c r="AX34" s="236" t="str">
        <f t="shared" si="234"/>
        <v/>
      </c>
      <c r="AY34" s="236" t="str">
        <f t="shared" si="235"/>
        <v/>
      </c>
      <c r="AZ34" s="236" t="str">
        <f t="shared" si="236"/>
        <v/>
      </c>
      <c r="BA34" s="236" t="str">
        <f t="shared" si="237"/>
        <v/>
      </c>
      <c r="BB34" s="467" t="str">
        <f t="shared" si="238"/>
        <v/>
      </c>
      <c r="BC34" s="329" t="str">
        <f t="shared" si="239"/>
        <v/>
      </c>
      <c r="BD34" s="237" t="str">
        <f t="shared" si="240"/>
        <v/>
      </c>
      <c r="BE34" s="237" t="str">
        <f>IF(A34=FALSE,"",IF(ED34&lt;&gt;$BC$7,0,INDEX(EA34:EZ34,1,MATCH(Structure!$J$16,$EA$14:$EZ$14,0))))</f>
        <v/>
      </c>
      <c r="BF34" s="237" t="str">
        <f>IF(A34=FALSE,"",IF(FD34&lt;&gt;$BC$7,0,INDEX(FA34:FZ34,1,MATCH(Structure!$J$16,$FA$14:$FZ$14,0))))</f>
        <v/>
      </c>
      <c r="BG34" s="237" t="str">
        <f>IF(A34=FALSE,"",IF(GD34&lt;&gt;$BC$7,0,INDEX(GA34:GZ34,1,MATCH(Structure!$J$16,$GA$14:$GZ$14,0))))</f>
        <v/>
      </c>
      <c r="BH34" s="237" t="str">
        <f>IF(A34=FALSE,"",IF(HD34&lt;&gt;$BC$7,0,INDEX(HA34:HZ34,1,MATCH(Structure!$J$16,$HA$14:$HZ$14,0))))</f>
        <v/>
      </c>
      <c r="BI34" s="621" t="str">
        <f>IF(A34=FALSE,"",IF(ID34&lt;&gt;$BC$7,0,INDEX(IA34:IZ34,1,MATCH(Structure!$C$12,$IA$14:$IZ$14,0)))+OL34)</f>
        <v/>
      </c>
      <c r="BJ34" s="237" t="str">
        <f>IF(A34=FALSE,"",IF(JD34&lt;&gt;$BC$7,0,INDEX(JA34:JZ34,1,MATCH(Structure!$C$12,$JA$14:$JZ$14,0))))</f>
        <v/>
      </c>
      <c r="BK34" s="621" t="str">
        <f>IF(A34=FALSE,"",IF(KD34&lt;&gt;$BC$7,0,INDEX(KA34:KZ34,1,MATCH(Structure!$C$12,$KA$14:$KZ$14,0)))+PL34)</f>
        <v/>
      </c>
      <c r="BL34" s="237" t="str">
        <f>IF(A34=FALSE,"",IF(LD34&lt;&gt;$BC$7,0,INDEX(LA34:LZ34,1,MATCH(Structure!$C$12,$LA$14:$LZ$14,0))))</f>
        <v/>
      </c>
      <c r="BM34" s="237" t="str">
        <f>IF(A34=FALSE,"",IF(MD34&lt;&gt;$BC$7,0,INDEX(MA34:MZ34,1,MATCH(Structure!$C$12,$MA$14:$MZ$14,0))))</f>
        <v/>
      </c>
      <c r="BN34" s="326" t="str">
        <f>IF(A34=FALSE,"",IF(ND34&lt;&gt;$BC$7,0,INDEX(NA34:OC34,1,MATCH(Structure!$C$12,$NA$14:$OC$14,0))))</f>
        <v/>
      </c>
      <c r="BO34" s="435" t="str">
        <f t="shared" si="241"/>
        <v/>
      </c>
      <c r="BP34" s="237" t="str">
        <f t="shared" si="242"/>
        <v/>
      </c>
      <c r="BQ34" s="237" t="str">
        <f>IF(A34=FALSE,"",IF(ED34&lt;&gt;$BO$7,0,INDEX(EA34:EZ34,1,MATCH(Structure!$C$12,$EA$14:$EZ$14,0))))</f>
        <v/>
      </c>
      <c r="BR34" s="237" t="str">
        <f>IF(A34=FALSE,"",IF(FD34&lt;&gt;$BO$7,0,INDEX(FA34:FZ34,1,MATCH(Structure!$C$12,$FA$14:$FZ$14,0))))</f>
        <v/>
      </c>
      <c r="BS34" s="237" t="str">
        <f>IF(A34=FALSE,"",IF(ID34&lt;&gt;$BO$7,0,INDEX(IA34:IZ34,1,MATCH(Structure!$C$13,$IA$14:$IZ$14,0))))</f>
        <v/>
      </c>
      <c r="BT34" s="237" t="str">
        <f>IF(A34=FALSE,"",IF(JD34&lt;&gt;$BO$7,0,INDEX(JA34:JZ34,1,MATCH(Structure!$C$13,$JA$14:$JZ$14,0))))</f>
        <v/>
      </c>
      <c r="BU34" s="237" t="str">
        <f>IF(A34=FALSE,"",IF(KD34&lt;&gt;$BO$7,0,INDEX(KA34:KZ34,1,MATCH(Structure!$C$13,$KA$14:$KZ$14,0))))</f>
        <v/>
      </c>
      <c r="BV34" s="237" t="str">
        <f>IF(A34=FALSE,"",IF(LD34&lt;&gt;$BO$7,0,INDEX(LA34:LZ34,1,MATCH(Structure!$C$13,$LA$14:$LZ$14,0))))</f>
        <v/>
      </c>
      <c r="BW34" s="237" t="str">
        <f>IF(A34=FALSE,"",IF(MD34&lt;&gt;$BO$7,0,INDEX(MA34:MZ34,1,MATCH(Structure!$C$13,$MA$14:$MZ$14,0))))</f>
        <v/>
      </c>
      <c r="BX34" s="326" t="str">
        <f>IF(A34=FALSE,"",IF(ND34&lt;&gt;$BO$7,0,INDEX(NA34:OC34,1,MATCH(Structure!$C$13,$NA$14:$OC$14,0))))</f>
        <v/>
      </c>
      <c r="BY34" s="412"/>
      <c r="BZ34" s="412"/>
      <c r="CA34" s="1255" t="str">
        <f>IF(A34=FALSE,"",IF(LISTES!$A$17=1,Cotations!AG34,Cotations!AH34))</f>
        <v/>
      </c>
      <c r="CB34" s="1266" t="str">
        <f t="shared" si="243"/>
        <v/>
      </c>
      <c r="CC34" s="1120" t="str">
        <f t="shared" si="244"/>
        <v/>
      </c>
      <c r="CD34" s="1120" t="str">
        <f t="shared" si="245"/>
        <v/>
      </c>
      <c r="CE34" s="1120" t="str">
        <f t="shared" si="246"/>
        <v/>
      </c>
      <c r="CF34" s="1120" t="str">
        <f t="shared" si="247"/>
        <v/>
      </c>
      <c r="CG34" s="1267"/>
      <c r="CH34" s="1267"/>
      <c r="CI34" s="1268" t="str">
        <f t="shared" si="248"/>
        <v/>
      </c>
      <c r="CJ34" s="286" t="str">
        <f t="shared" si="249"/>
        <v/>
      </c>
      <c r="CK34" s="286" t="str">
        <f t="shared" si="250"/>
        <v/>
      </c>
      <c r="CL34" s="1263"/>
      <c r="CM34" s="1263"/>
      <c r="CN34" s="1263"/>
      <c r="CO34" s="1263"/>
      <c r="CP34" s="319" t="str">
        <f t="shared" si="251"/>
        <v/>
      </c>
      <c r="CQ34" s="443" t="str">
        <f>IF(A34=FALSE,"",Cotations!AM34)</f>
        <v/>
      </c>
      <c r="CR34" s="443" t="str">
        <f>IF(A34=FALSE,"",IF(Cotations!AN34="","",Cotations!AN34))</f>
        <v/>
      </c>
      <c r="CS34" s="433" t="str">
        <f>IF(A34=FALSE,"",Cotations!AO34)</f>
        <v/>
      </c>
      <c r="CT34" s="443" t="str">
        <f>IF(A34=FALSE,"",IF(CQ34="N/A",0,IF(INDEX(LISTES!$F$105:$F$109,MATCH(CQ34,LISTES!$C$105:$C$109,0))="FIX",IF(INDEX(LISTES!$E$105:$E$109,MATCH(CQ34,LISTES!$C$105:$C$109,0))=12,CR34/12*L34,CR34/365*M34),CS34*EQ34)))</f>
        <v/>
      </c>
      <c r="CU34" s="434" t="str">
        <f>IF(A34=FALSE,"",(CJ34+CK34)*Cotations!AP34)</f>
        <v/>
      </c>
      <c r="CV34" s="434" t="str">
        <f>IF(A34=FALSE,"",(CJ34+CK34)*Cotations!AQ34)</f>
        <v/>
      </c>
      <c r="DA34" s="1253" t="str">
        <f>IF(A34=FALSE,"",IF(LISTES!$A$17=1,Cotations!AV34,Cotations!AW34))</f>
        <v/>
      </c>
      <c r="DB34" s="1271" t="str">
        <f t="shared" si="252"/>
        <v/>
      </c>
      <c r="DC34" s="1270" t="str">
        <f t="shared" si="253"/>
        <v/>
      </c>
      <c r="DD34" s="1270" t="str">
        <f t="shared" si="254"/>
        <v/>
      </c>
      <c r="DE34" s="1270" t="str">
        <f t="shared" si="255"/>
        <v/>
      </c>
      <c r="DF34" s="1270" t="str">
        <f t="shared" si="256"/>
        <v/>
      </c>
      <c r="DG34" s="1270" t="str">
        <f t="shared" si="257"/>
        <v/>
      </c>
      <c r="DH34" s="1270" t="str">
        <f t="shared" si="258"/>
        <v/>
      </c>
      <c r="DI34" s="1271" t="str">
        <f t="shared" si="259"/>
        <v/>
      </c>
      <c r="DJ34" s="286" t="str">
        <f t="shared" si="260"/>
        <v/>
      </c>
      <c r="DK34" s="286" t="str">
        <f t="shared" si="261"/>
        <v/>
      </c>
      <c r="DL34" s="1264" t="str">
        <f t="shared" si="262"/>
        <v/>
      </c>
      <c r="DM34" s="1264" t="str">
        <f t="shared" si="263"/>
        <v/>
      </c>
      <c r="DN34" s="1264" t="str">
        <f t="shared" si="264"/>
        <v/>
      </c>
      <c r="DO34" s="1264" t="str">
        <f t="shared" si="265"/>
        <v/>
      </c>
      <c r="DP34" s="323" t="str">
        <f t="shared" si="132"/>
        <v/>
      </c>
      <c r="DQ34" s="444" t="str">
        <f>IF(A34=FALSE,"",Cotations!BW34)</f>
        <v/>
      </c>
      <c r="DR34" s="444" t="str">
        <f>IF(A34=FALSE,"",Cotations!BX34)</f>
        <v/>
      </c>
      <c r="DS34" s="433" t="str">
        <f>IF(A34=FALSE,"",Cotations!BY34)</f>
        <v/>
      </c>
      <c r="DT34" s="830" t="str">
        <f>IF(A34=FALSE,"",IF(DQ34="N/A",0,IF(INDEX(LISTES!$F$105:$F$109,MATCH(DQ34,LISTES!$C$105:$C$109,0))="FIX",IF(INDEX(LISTES!$E$105:$E$109,MATCH(DQ34,LISTES!$C$105:$C$109,0))=12,DR34/12*L34,DR34/365*M34),DS34*(DN34+DO34))))</f>
        <v/>
      </c>
      <c r="DU34" s="434" t="str">
        <f>IF(A34=FALSE,"",DJ34*Cotations!BZ34)</f>
        <v/>
      </c>
      <c r="DV34" s="434" t="str">
        <f>IF(A34=FALSE,"",DJ34*Cotations!CA34)</f>
        <v/>
      </c>
      <c r="EA34" s="432" t="str">
        <f>IF(A34=FALSE,"",Cotations!AT34)</f>
        <v/>
      </c>
      <c r="EB34" s="1234" t="str">
        <f>IF(A34=FALSE,"",YEAR(Detail!F34)&amp;Detail!AG34&amp;Detail!AD34&amp;"-"&amp;Detail!$AD$13&amp;Detail!AE34)</f>
        <v/>
      </c>
      <c r="EC34" s="434" t="str">
        <f>IF(A34=FALSE,"",IF(LISTES!$A$17=1,EB34,INDEX(colMOD1,MATCH(Cotations!AH34,colchoice,0))))</f>
        <v/>
      </c>
      <c r="ED34" s="277" t="str">
        <f t="shared" si="133"/>
        <v/>
      </c>
      <c r="EE34" s="277" t="str">
        <f t="shared" si="134"/>
        <v/>
      </c>
      <c r="EF34" s="277"/>
      <c r="EG34" s="277"/>
      <c r="EH34" s="277" t="str">
        <f t="shared" si="135"/>
        <v/>
      </c>
      <c r="EI34" s="1104" t="str">
        <f t="shared" si="136"/>
        <v/>
      </c>
      <c r="EJ34" s="1104" t="str">
        <f t="shared" si="137"/>
        <v/>
      </c>
      <c r="EK34" s="443" t="str">
        <f>IF(A34=FALSE,"",IF(Cotations!AF34="monthly",EH34/12*L34,EH34/365*M34))</f>
        <v/>
      </c>
      <c r="EL34" s="1103" t="str">
        <f>IF(A34=FALSE,"",IF(Cotations!AF34="monthly",EJ34/12*L34,EJ34/365*M34))</f>
        <v/>
      </c>
      <c r="EM34" s="433" t="str">
        <f>IF(A34=FALSE,"",IF(Cotations!AI34="","",Cotations!AI34))</f>
        <v/>
      </c>
      <c r="EN34" s="277" t="str">
        <f t="shared" si="266"/>
        <v/>
      </c>
      <c r="EO34" s="277" t="str">
        <f t="shared" si="138"/>
        <v/>
      </c>
      <c r="EP34" s="1104" t="str">
        <f t="shared" si="139"/>
        <v/>
      </c>
      <c r="EQ34" s="277" t="str">
        <f t="shared" si="267"/>
        <v/>
      </c>
      <c r="ER34" s="759" t="str">
        <f>IF(A34=FALSE,"",((EH34*TAXE)-(EH34*TAXE*EM34)+EI34)+IF(CQ34="N/A",0,IF(INDEX(LISTES!$F$105:$F$109,MATCH(CQ34,LISTES!$C$105:$C$109,0))="FIX",CR34,CS34*EQ34)))</f>
        <v/>
      </c>
      <c r="ET34" s="422"/>
      <c r="EU34" s="422"/>
      <c r="EV34" s="422"/>
      <c r="EW34" s="422"/>
      <c r="EX34" s="422"/>
      <c r="EY34" s="422"/>
      <c r="EZ34" s="422"/>
      <c r="FA34" s="432" t="str">
        <f>IF(A34=FALSE,"",Cotations!AT34)</f>
        <v/>
      </c>
      <c r="FB34" s="1235" t="str">
        <f>IF(A34=FALSE,"",IF(Detail!AL34="","N/A",YEAR(Detail!F34)&amp;Detail!AO34&amp;Detail!AL34&amp;"-"&amp;Detail!$AL$13&amp;Detail!AM34))</f>
        <v/>
      </c>
      <c r="FC34" s="434" t="str">
        <f>IF(A34=FALSE,"",IF(LISTES!$A$17=1,FB34,INDEX(colMOD2,MATCH(Cotations!AH34,colchoice,0))))</f>
        <v/>
      </c>
      <c r="FD34" s="277" t="str">
        <f t="shared" si="140"/>
        <v/>
      </c>
      <c r="FE34" s="443" t="str">
        <f>IF(A34=FALSE,"",IF(Detail!AM34="","",Detail!AM34))</f>
        <v/>
      </c>
      <c r="FF34" s="277"/>
      <c r="FG34" s="277"/>
      <c r="FH34" s="277" t="str">
        <f t="shared" si="141"/>
        <v/>
      </c>
      <c r="FI34" s="1104"/>
      <c r="FJ34" s="1104"/>
      <c r="FK34" s="443" t="str">
        <f>IF(A34=FALSE,"",IF(Cotations!AF34="monthly",FH34/12*L34,FH34/365*M34))</f>
        <v/>
      </c>
      <c r="FL34" s="1103" t="str">
        <f>IF(A34=FALSE,"",IF(Cotations!AF34="monthly",FJ34/12*L34,FJ34/365*M34))</f>
        <v/>
      </c>
      <c r="FM34" s="433" t="str">
        <f>IF(A34=FALSE,"",IF(Cotations!AJ34="","",Cotations!AJ34))</f>
        <v/>
      </c>
      <c r="FN34" s="277" t="str">
        <f t="shared" si="268"/>
        <v/>
      </c>
      <c r="FO34" s="277" t="str">
        <f t="shared" si="269"/>
        <v/>
      </c>
      <c r="FP34" s="1104"/>
      <c r="FQ34" s="277" t="str">
        <f t="shared" si="270"/>
        <v/>
      </c>
      <c r="FR34" s="759" t="str">
        <f>IF(A34=FALSE,"",((FH34*TAXE)-(FH34*TAXE*FM34))+IF(#REF!="N/A",0,IF(INDEX(LISTES!$F$105:$F$109,MATCH(#REF!,LISTES!$C$105:$C$109,0))="FIX",#REF!,#REF!*FQ34)))</f>
        <v/>
      </c>
      <c r="FS34" s="422"/>
      <c r="FT34" s="422"/>
      <c r="FU34" s="422"/>
      <c r="FV34" s="422"/>
      <c r="FW34" s="422"/>
      <c r="FX34" s="422"/>
      <c r="FY34" s="422"/>
      <c r="FZ34" s="422"/>
      <c r="GA34" s="432" t="str">
        <f t="shared" si="145"/>
        <v/>
      </c>
      <c r="GB34" s="1234" t="str">
        <f>IF(A34=FALSE,"",IF(Detail!DF34="","N/A",YEAR(Detail!F34)&amp;Detail!DI34&amp;Detail!DF34&amp;"-"&amp;Detail!$DF$13))</f>
        <v/>
      </c>
      <c r="GC34" s="434" t="str">
        <f>IF(A34=FALSE,"",IF(LISTES!$A$17=1,GB34,INDEX(colMOD3,MATCH(Cotations!AH34,colchoice,0))))</f>
        <v/>
      </c>
      <c r="GD34" s="277" t="str">
        <f t="shared" si="146"/>
        <v/>
      </c>
      <c r="GE34" s="277" t="str">
        <f t="shared" si="147"/>
        <v/>
      </c>
      <c r="GF34" s="277"/>
      <c r="GG34" s="277"/>
      <c r="GH34" s="277" t="str">
        <f t="shared" si="271"/>
        <v/>
      </c>
      <c r="GI34" s="1104" t="str">
        <f t="shared" si="272"/>
        <v/>
      </c>
      <c r="GJ34" s="1104" t="str">
        <f t="shared" si="273"/>
        <v/>
      </c>
      <c r="GK34" s="443" t="str">
        <f>IF(A34=FALSE,"",IF(Cotations!AF34="monthly",GH34/12*L34,GH34/365*M34))</f>
        <v/>
      </c>
      <c r="GL34" s="1103" t="str">
        <f>IF(A34=FALSE,"",IF(Cotations!AF34="monthly",GJ34/12*L34,GJ34/365*M34))</f>
        <v/>
      </c>
      <c r="GM34" s="433" t="str">
        <f>IF(A34=FALSE,"",IF(Cotations!AK34="","",Cotations!AK34))</f>
        <v/>
      </c>
      <c r="GN34" s="277" t="str">
        <f t="shared" si="274"/>
        <v/>
      </c>
      <c r="GO34" s="277" t="str">
        <f t="shared" si="275"/>
        <v/>
      </c>
      <c r="GP34" s="1104" t="str">
        <f t="shared" si="276"/>
        <v/>
      </c>
      <c r="GQ34" s="277" t="str">
        <f t="shared" si="277"/>
        <v/>
      </c>
      <c r="GR34" s="759" t="str">
        <f>IF(A34=FALSE,"",((GH34*TAXE)-(GH34*TAXE*GM34)+GI34)+IF(CQ34="N/A",0,IF(INDEX(LISTES!$F$105:$F$109,MATCH(CQ34,LISTES!$C$105:$C$109,0))="FIX",CR34,CS34*GQ34)))</f>
        <v/>
      </c>
      <c r="GS34" s="412"/>
      <c r="GT34" s="412"/>
      <c r="GU34" s="412"/>
      <c r="GV34" s="412"/>
      <c r="GW34" s="412"/>
      <c r="GX34" s="412"/>
      <c r="GY34" s="412"/>
      <c r="GZ34" s="412"/>
      <c r="HA34" s="432" t="str">
        <f t="shared" si="155"/>
        <v/>
      </c>
      <c r="HB34" s="1234" t="str">
        <f>IF(A34=FALSE,"",IF(Detail!DF34="","N/A",YEAR(Detail!F34)&amp;Detail!DI34&amp;Detail!DF34&amp;"-"&amp;Detail!$DF$13))</f>
        <v/>
      </c>
      <c r="HC34" s="434" t="str">
        <f>IF(A34=FALSE,"",IF(LISTES!$A$17=1,HB34,INDEX(colMOD4,MATCH(Cotations!AH34,colchoice,0))))</f>
        <v/>
      </c>
      <c r="HD34" s="277" t="str">
        <f t="shared" si="278"/>
        <v/>
      </c>
      <c r="HE34" s="277" t="str">
        <f t="shared" si="279"/>
        <v/>
      </c>
      <c r="HF34" s="277"/>
      <c r="HG34" s="277"/>
      <c r="HH34" s="277" t="str">
        <f t="shared" si="280"/>
        <v/>
      </c>
      <c r="HI34" s="1104" t="str">
        <f t="shared" si="281"/>
        <v/>
      </c>
      <c r="HJ34" s="1104" t="str">
        <f t="shared" si="282"/>
        <v/>
      </c>
      <c r="HK34" s="443" t="str">
        <f>IF(A34=FALSE,"",IF(Cotations!AF34="monthly",HH34/12*L34,HH34/365*M34))</f>
        <v/>
      </c>
      <c r="HL34" s="1103" t="str">
        <f>IF(A34=FALSE,"",IF(Cotations!AF34="monthly",HJ34/12*L34,HJ34/365*M34))</f>
        <v/>
      </c>
      <c r="HM34" s="433" t="str">
        <f>IF(A34=FALSE,"",IF(Cotations!AL34="","",Cotations!AL34))</f>
        <v/>
      </c>
      <c r="HN34" s="277" t="str">
        <f t="shared" si="283"/>
        <v/>
      </c>
      <c r="HO34" s="277" t="str">
        <f t="shared" si="284"/>
        <v/>
      </c>
      <c r="HP34" s="1104" t="str">
        <f t="shared" si="285"/>
        <v/>
      </c>
      <c r="HQ34" s="277" t="str">
        <f t="shared" si="286"/>
        <v/>
      </c>
      <c r="HR34" s="759" t="str">
        <f>IF(A34=FALSE,"",((HH34*TAXE)-(HH34*TAXE*HM34)+HI34)+IF(CQ34="N/A",0,IF(INDEX(LISTES!$F$105:$F$109,MATCH(CQ34,LISTES!$C$105:$C$109,0))="FIX",CR34,CS34*HQ34)))</f>
        <v/>
      </c>
      <c r="HS34" s="412"/>
      <c r="HT34" s="412"/>
      <c r="HU34" s="412"/>
      <c r="HV34" s="412"/>
      <c r="HW34" s="412"/>
      <c r="HX34" s="412"/>
      <c r="HY34" s="412"/>
      <c r="HZ34" s="1262"/>
      <c r="IA34" s="432" t="str">
        <f>IF(A34=FALSE,"",Cotations!AT34)</f>
        <v/>
      </c>
      <c r="IB34" s="1253" t="str">
        <f>IF(A34=FALSE,"",IF(Detail!AT34="","N/A",YEAR(Detail!F34)&amp;Detail!AW34&amp;Detail!AT34&amp;"-"&amp;Detail!$AT$13&amp;Detail!AU34))</f>
        <v/>
      </c>
      <c r="IC34" s="431" t="str">
        <f>IF(A34=FALSE,"",IF(LISTES!$A$17=1,IB34,INDEX(colMOD1,MATCH(DA34,colchoice,0))))</f>
        <v/>
      </c>
      <c r="ID34" s="759" t="str">
        <f t="shared" si="287"/>
        <v/>
      </c>
      <c r="IE34" s="292" t="str">
        <f>IF(A34=FALSE,"",IF(LISTES!$A$17=1,Detail!AU34,INDEX(Rates!$M$1:$M$270,MATCH(IC34,colMOD1,0))))</f>
        <v/>
      </c>
      <c r="IF34" s="409" t="str">
        <f t="shared" si="165"/>
        <v/>
      </c>
      <c r="IG34" s="430" t="str">
        <f>IF(A34=FALSE,"",IF(IA34="POEA",Cotations!AY34,IF(IA34="FIXE",Cotations!AZ34,IF(Cotations!BA34*Y34&lt;50000,Z34,Cotations!BA34*Y34))))</f>
        <v/>
      </c>
      <c r="IH34" s="292" t="str">
        <f t="shared" si="166"/>
        <v/>
      </c>
      <c r="II34" s="446" t="str">
        <f>IF(A34=FALSE,"",IF(Cotations!AU34="monthly",IH34/12*L34,IH34/365*M34))</f>
        <v/>
      </c>
      <c r="IJ34" s="429" t="str">
        <f>IF(A34=FALSE,"",IF(Cotations!BB34="","",Cotations!BB34))</f>
        <v/>
      </c>
      <c r="IK34" s="292" t="str">
        <f t="shared" si="167"/>
        <v/>
      </c>
      <c r="IL34" s="292" t="str">
        <f t="shared" si="168"/>
        <v/>
      </c>
      <c r="IM34" s="759" t="str">
        <f t="shared" si="169"/>
        <v/>
      </c>
      <c r="IN34" s="759" t="str">
        <f>IF(A34=FALSE,"",((IH34*TAXE)-(IH34*TAXE*IJ34))+IF(DQ34="N/A",0,IF(INDEX(LISTES!$F$105:$F$109,MATCH(DQ34,LISTES!$C$105:$C$109,0))="FIX",DR34,DS34*IM34)))</f>
        <v/>
      </c>
      <c r="JA34" s="432" t="str">
        <f>IF(A34=FALSE,"",Cotations!AT34)</f>
        <v/>
      </c>
      <c r="JB34" s="1234" t="str">
        <f>IF(A34=FALSE,"",IF(Detail!BB34="","N/A",YEAR(Detail!F34)&amp;Detail!BE34&amp;Detail!BB34&amp;"-"&amp;Detail!$BB$13&amp;Detail!BC34))</f>
        <v/>
      </c>
      <c r="JC34" s="431" t="str">
        <f>IF(A34=FALSE,"",IF(LISTES!$A$17=1,JB34,INDEX(colMOD2,MATCH(DA34,colchoice,0))))</f>
        <v/>
      </c>
      <c r="JD34" s="759" t="str">
        <f t="shared" si="170"/>
        <v/>
      </c>
      <c r="JE34" s="292"/>
      <c r="JF34" s="409" t="str">
        <f t="shared" si="171"/>
        <v/>
      </c>
      <c r="JG34" s="430" t="str">
        <f>IF(A34=FALSE,"",IF(JA34="POEA",Cotations!BC34,IF(JA34="FIXE",Cotations!BD34,IF(Cotations!BE34*Y34&lt;50000,Z34,Cotations!BE34*Y34))))</f>
        <v/>
      </c>
      <c r="JH34" s="292" t="str">
        <f t="shared" si="172"/>
        <v/>
      </c>
      <c r="JI34" s="446" t="str">
        <f>IF(A34=FALSE,"",IF(Cotations!AU34="monthly",JH34/12*L34,JH34/365*M34))</f>
        <v/>
      </c>
      <c r="JJ34" s="429" t="str">
        <f>IF(A34=FALSE,"",IF(Cotations!BF34="","",Cotations!BF34))</f>
        <v/>
      </c>
      <c r="JK34" s="292" t="str">
        <f t="shared" si="173"/>
        <v/>
      </c>
      <c r="JL34" s="292" t="str">
        <f t="shared" si="174"/>
        <v/>
      </c>
      <c r="JM34" s="759" t="str">
        <f t="shared" si="175"/>
        <v/>
      </c>
      <c r="JN34" s="759" t="str">
        <f>IF(A34=FALSE,"",((JH34*TAXE)-(JH34*TAXE*JJ34))+IF(#REF!="N/A",0,IF(INDEX(LISTES!$F$105:$F$109,MATCH(#REF!,LISTES!$C$105:$C$109,0))="FIX",#REF!,#REF!*JM34)))</f>
        <v/>
      </c>
      <c r="KA34" s="432" t="str">
        <f>IF(A34=FALSE,"",Cotations!AT34)</f>
        <v/>
      </c>
      <c r="KB34" s="1234" t="str">
        <f>IF(A34=FALSE,"",IF(Detail!BJ34="","N/A",YEAR(Detail!F34)&amp;Detail!BM34&amp;Detail!BJ34&amp;"-"&amp;Detail!$BJ$13&amp;Detail!BK34))</f>
        <v/>
      </c>
      <c r="KC34" s="431" t="str">
        <f>IF(A34=FALSE,"",IF(LISTES!$A$17=1,KB34,INDEX(colMOD3,MATCH(DA34,colchoice,0))))</f>
        <v/>
      </c>
      <c r="KD34" s="759" t="str">
        <f t="shared" si="176"/>
        <v/>
      </c>
      <c r="KE34" s="292"/>
      <c r="KF34" s="409" t="str">
        <f t="shared" si="177"/>
        <v/>
      </c>
      <c r="KG34" s="430" t="str">
        <f>IF(A34=FALSE,"",IF(KA34="POEA",Cotations!BG34,IF(KA34="FIXE",Cotations!BH34,IF(Cotations!BI34*Y34&lt;50000,Z34,Cotations!BI34*Y34))))</f>
        <v/>
      </c>
      <c r="KH34" s="292" t="str">
        <f t="shared" si="178"/>
        <v/>
      </c>
      <c r="KI34" s="446" t="str">
        <f>IF(A34=FALSE,"",IF(Cotations!AU34="monthly",KH34/12*L34,KH34/365*M34))</f>
        <v/>
      </c>
      <c r="KJ34" s="429" t="str">
        <f>IF(A34=FALSE,"",IF(Cotations!BJ34="","",Cotations!BJ34))</f>
        <v/>
      </c>
      <c r="KK34" s="292" t="str">
        <f t="shared" si="179"/>
        <v/>
      </c>
      <c r="KL34" s="292" t="str">
        <f t="shared" si="180"/>
        <v/>
      </c>
      <c r="KM34" s="759" t="str">
        <f t="shared" si="181"/>
        <v/>
      </c>
      <c r="KN34" s="759" t="str">
        <f>IF(A34=FALSE,"",((KH34*TAXE)-(KH34*TAXE*KJ34))+IF(#REF!="N/A",0,IF(INDEX(LISTES!$F$105:$F$109,MATCH(#REF!,LISTES!$C$105:$C$109,0))="FIX",#REF!,#REF!*KM34)))</f>
        <v/>
      </c>
      <c r="LA34" s="432" t="str">
        <f>IF(A34=FALSE,"",Cotations!AT34)</f>
        <v/>
      </c>
      <c r="LB34" s="1234" t="str">
        <f>IF(A34=FALSE,"",IF(Detail!BR34="","N/A",YEAR(Detail!F34)&amp;Detail!BU34&amp;Detail!BR34&amp;"-"&amp;Detail!$BR$13&amp;Detail!BS34))</f>
        <v/>
      </c>
      <c r="LC34" s="431" t="str">
        <f>IF(A34=FALSE,"",IF(LISTES!$A$17=1,LB34,INDEX(colMOD4,MATCH(DA34,colchoice,0))))</f>
        <v/>
      </c>
      <c r="LD34" s="759" t="str">
        <f t="shared" si="182"/>
        <v/>
      </c>
      <c r="LE34" s="292"/>
      <c r="LF34" s="409" t="str">
        <f t="shared" si="183"/>
        <v/>
      </c>
      <c r="LG34" s="430" t="str">
        <f>IF(A34=FALSE,"",IF(LA34="POEA",Cotations!BK34,IF(LA34="FIXE",Cotations!BL34,IF(Cotations!BM34*Y34&lt;50000,Z34,Cotations!BM34*Y34))))</f>
        <v/>
      </c>
      <c r="LH34" s="292" t="str">
        <f t="shared" si="184"/>
        <v/>
      </c>
      <c r="LI34" s="446" t="str">
        <f>IF(A34=FALSE,"",IF(Cotations!AU34="monthly",LH34/12*L34,LH34/365*M34))</f>
        <v/>
      </c>
      <c r="LJ34" s="429" t="str">
        <f>IF(A34=FALSE,"",IF(Cotations!BN34="","",Cotations!BN34))</f>
        <v/>
      </c>
      <c r="LK34" s="292" t="str">
        <f t="shared" si="185"/>
        <v/>
      </c>
      <c r="LL34" s="292" t="str">
        <f t="shared" si="186"/>
        <v/>
      </c>
      <c r="LM34" s="759" t="str">
        <f t="shared" si="187"/>
        <v/>
      </c>
      <c r="LN34" s="759" t="str">
        <f>IF(A34=FALSE,"",((LH34*TAXE)-(LH34*TAXE*LJ34))+IF(#REF!="N/A",0,IF(INDEX(LISTES!$F$105:$F$109,MATCH(#REF!,LISTES!$C$105:$C$109,0))="FIX",#REF!,#REF!*LM34)))</f>
        <v/>
      </c>
      <c r="MA34" s="432" t="str">
        <f t="shared" si="188"/>
        <v/>
      </c>
      <c r="MB34" s="1234" t="str">
        <f>IF(A34=FALSE,"",IF(Detail!BZ34="","N/A",YEAR(Detail!F34)&amp;Detail!CC34&amp;Detail!BZ34&amp;"-"&amp;Detail!$BZ$13&amp;" (100%/"&amp;Detail!CD34&amp;"/"&amp;Detail!CE34&amp;")"))</f>
        <v/>
      </c>
      <c r="MC34" s="431" t="str">
        <f>IF(A34=FALSE,"",IF(LISTES!$A$17=1,MB34,INDEX(colMOD5,MATCH(DA34,colchoice,0))))</f>
        <v/>
      </c>
      <c r="MD34" s="759" t="str">
        <f t="shared" si="189"/>
        <v/>
      </c>
      <c r="ME34" s="292"/>
      <c r="MF34" s="409" t="str">
        <f t="shared" si="190"/>
        <v/>
      </c>
      <c r="MG34" s="430" t="str">
        <f>IF(A34=FALSE,"",Cotations!BQ34*AA34)</f>
        <v/>
      </c>
      <c r="MH34" s="292" t="str">
        <f t="shared" si="191"/>
        <v/>
      </c>
      <c r="MI34" s="446" t="str">
        <f>IF(A34=FALSE,"",IF(Cotations!AU34="monthly",MH34/12*L34,MH34/365*M34))</f>
        <v/>
      </c>
      <c r="MJ34" s="429" t="str">
        <f>IF(A34=FALSE,"",IF(Cotations!BR34="","",Cotations!BR34))</f>
        <v/>
      </c>
      <c r="MK34" s="292" t="str">
        <f t="shared" si="192"/>
        <v/>
      </c>
      <c r="ML34" s="292" t="str">
        <f t="shared" si="193"/>
        <v/>
      </c>
      <c r="MM34" s="759" t="str">
        <f t="shared" si="194"/>
        <v/>
      </c>
      <c r="MN34" s="759" t="str">
        <f>IF(A34=FALSE,"",((MH34*TAXE)-(MH34*TAXE*MJ34))+IF(#REF!="N/A",0,IF(INDEX(LISTES!$F$105:$F$109,MATCH(#REF!,LISTES!$C$105:$C$109,0))="FIX",#REF!,#REF!*MM34)))</f>
        <v/>
      </c>
      <c r="NA34" s="432" t="str">
        <f t="shared" si="195"/>
        <v/>
      </c>
      <c r="NB34" s="1234" t="str">
        <f>IF(A34=FALSE,"",IF(Detail!CH34="","N/A",YEAR(Detail!F34)&amp;Detail!CK34&amp;Detail!CH34&amp;"-"&amp;Detail!$CH$13&amp;" (100%/"&amp;Detail!CL34&amp;"/"&amp;Detail!CM34&amp;")"))</f>
        <v/>
      </c>
      <c r="NC34" s="431" t="str">
        <f>IF(A34=FALSE,"",IF(LISTES!$A$17=1,NB34,INDEX(colMOD6,MATCH(DA34,colchoice,0))))</f>
        <v/>
      </c>
      <c r="ND34" s="759" t="str">
        <f t="shared" si="196"/>
        <v/>
      </c>
      <c r="NE34" s="292"/>
      <c r="NF34" s="409" t="str">
        <f t="shared" si="197"/>
        <v/>
      </c>
      <c r="NG34" s="430" t="str">
        <f>IF(A34=FALSE,"",Cotations!BU34*AA34)</f>
        <v/>
      </c>
      <c r="NH34" s="292" t="str">
        <f t="shared" si="198"/>
        <v/>
      </c>
      <c r="NI34" s="446" t="str">
        <f>IF(A34=FALSE,"",IF(Cotations!AU34="monthly",NH34/12*L34,NH34/365*M34))</f>
        <v/>
      </c>
      <c r="NJ34" s="429" t="str">
        <f>IF(A34=FALSE,"",IF(Cotations!BV34="","",Cotations!BV34))</f>
        <v/>
      </c>
      <c r="NK34" s="292" t="str">
        <f t="shared" si="199"/>
        <v/>
      </c>
      <c r="NL34" s="292" t="str">
        <f t="shared" si="200"/>
        <v/>
      </c>
      <c r="NM34" s="759" t="str">
        <f t="shared" si="201"/>
        <v/>
      </c>
      <c r="NN34" s="759" t="str">
        <f>IF(A34=FALSE,"",((NH34*TAXE)-(NH34*TAXE*NJ34))+IF(#REF!="N/A",0,IF(INDEX(LISTES!$F$105:$F$109,MATCH(#REF!,LISTES!$C$105:$C$109,0))="FIX",#REF!,#REF!*NM34)))</f>
        <v/>
      </c>
      <c r="NZ34" s="1281" t="str">
        <f>IF(A34=FALSE,"",IF(Detail!CP34="","N/A",YEAR(Detail!F34)&amp;Detail!CS34&amp;Detail!CP34&amp;"-"&amp;Detail!CQ34))</f>
        <v/>
      </c>
      <c r="OA34" s="432" t="str">
        <f>IF(A34=FALSE,"",Cotations!CF34)</f>
        <v/>
      </c>
      <c r="OB34" s="1282" t="str">
        <f>IF(A34=FALSE,"",IF(Detail!CP34="","N/A",YEAR(Detail!F34)&amp;Detail!CS34&amp;Detail!CP34&amp;"-"&amp;Detail!$CP$13&amp;Detail!CQ34))</f>
        <v/>
      </c>
      <c r="OC34" s="1283" t="str">
        <f>IF(A34=FALSE,"",IF(LISTES!$A$17=1,OB34,INDEX(colMOD1,MATCH(Cotations!CE34,colchoice,0))))</f>
        <v/>
      </c>
      <c r="OD34" s="759" t="str">
        <f t="shared" si="202"/>
        <v/>
      </c>
      <c r="OE34" s="292" t="str">
        <f>IF(A34=FALSE,"",Detail!CQ34)</f>
        <v/>
      </c>
      <c r="OF34" s="409" t="str">
        <f t="shared" si="203"/>
        <v/>
      </c>
      <c r="OG34" s="430" t="str">
        <f>IF(A34=FALSE,"",IF(OA34="FIXE",Cotations!CM34,Cotations!CN34*AA34))</f>
        <v/>
      </c>
      <c r="OH34" s="292" t="str">
        <f t="shared" si="288"/>
        <v/>
      </c>
      <c r="OI34" s="446" t="str">
        <f>IF(A34=FALSE,"",IF(Cotations!CF34="monthly",OH34/12*L34,OH34/365*M34))</f>
        <v/>
      </c>
      <c r="OJ34" s="429" t="str">
        <f>IF(A34=FALSE,"",IF(Cotations!CO34="","",Cotations!CO34))</f>
        <v/>
      </c>
      <c r="OK34" s="292" t="str">
        <f t="shared" si="289"/>
        <v/>
      </c>
      <c r="OL34" s="292" t="str">
        <f t="shared" si="290"/>
        <v/>
      </c>
      <c r="OM34" s="759" t="str">
        <f t="shared" si="207"/>
        <v/>
      </c>
      <c r="ON34" s="759" t="str">
        <f>IF(A34=FALSE,"",((OH34*(1+TAXE)-(OH34*(1+TAXE)*OJ34))+IF(#REF!="N/A",0,IF(INDEX(LISTES!$F$105:$F$109,MATCH(#REF!,LISTES!$C$105:$C$109,0))="FIX",#REF!,#REF!*OM34))))</f>
        <v/>
      </c>
      <c r="PA34" s="432" t="str">
        <f>IF(A34=FALSE,"",Cotations!CF34)</f>
        <v/>
      </c>
      <c r="PB34" s="1282" t="str">
        <f>IF(A34=FALSE,"",IF(Detail!CX34="","N/A",YEAR(Detail!F34)&amp;Detail!DA34&amp;Detail!CX34&amp;"-"&amp;Detail!$CX$13&amp;Detail!CY34))</f>
        <v/>
      </c>
      <c r="PC34" s="1283" t="str">
        <f>IF(A34=FALSE,"",IF(LISTES!$A$17=1,PB34,INDEX(colMOD3,MATCH(Cotations!CE34,colchoice,0))))</f>
        <v/>
      </c>
      <c r="PD34" s="759" t="str">
        <f t="shared" si="208"/>
        <v/>
      </c>
      <c r="PE34" s="292" t="str">
        <f>IF(A34=FALSE,"",IF(Detail!CY34="","",Detail!CY34))</f>
        <v/>
      </c>
      <c r="PF34" s="409" t="str">
        <f t="shared" si="291"/>
        <v/>
      </c>
      <c r="PG34" s="430" t="str">
        <f>IF(A34=FALSE,"",IF(PA34="FIXE",Cotations!CP34,Cotations!CQ34*AA34))</f>
        <v/>
      </c>
      <c r="PH34" s="292" t="str">
        <f t="shared" si="292"/>
        <v/>
      </c>
      <c r="PI34" s="446" t="str">
        <f>IF(A34=FALSE,"",IF(Cotations!CG34="monthly",PH34/12*L34,PH34/365*M34))</f>
        <v/>
      </c>
      <c r="PJ34" s="429" t="str">
        <f>IF(A34=FALSE,"",IF(Cotations!DA34="",0,Cotations!DA34))</f>
        <v/>
      </c>
      <c r="PK34" s="292" t="str">
        <f t="shared" si="293"/>
        <v/>
      </c>
      <c r="PL34" s="292" t="str">
        <f t="shared" si="294"/>
        <v/>
      </c>
      <c r="PM34" s="759" t="str">
        <f t="shared" si="211"/>
        <v/>
      </c>
      <c r="PN34" s="759" t="str">
        <f>IF(A34=FALSE,"",((PH34*(1+TAXE)-(PH34*(1+TAXE)*PJ34))+IF(#REF!="N/A",0,IF(INDEX(LISTES!$F$105:$F$109,MATCH(#REF!,LISTES!$C$105:$C$109,0))="FIX",#REF!,#REF!*PM34))))</f>
        <v/>
      </c>
    </row>
    <row r="35" spans="1:430">
      <c r="A35" s="779" t="b">
        <f t="shared" si="111"/>
        <v>0</v>
      </c>
      <c r="B35" s="779" t="b">
        <f>IF(NAMES!$B$9=TRUE,TRUE,FALSE)</f>
        <v>1</v>
      </c>
      <c r="C35" s="779" t="b">
        <f t="shared" si="212"/>
        <v>0</v>
      </c>
      <c r="D35" s="779" t="b">
        <f t="shared" si="213"/>
        <v>1</v>
      </c>
      <c r="E35" s="267" t="b">
        <f>IF(Cotations!C35="","",Cotations!C35)</f>
        <v>0</v>
      </c>
      <c r="F35" s="267" t="str">
        <f>IF(Cotations!AT35="","",Cotations!AT35)</f>
        <v>PROP</v>
      </c>
      <c r="G35" s="267" t="str">
        <f>IF(Cotations!D35="","",Cotations!D35)</f>
        <v>2016-2017!</v>
      </c>
      <c r="H35" s="267" t="str">
        <f>IF(Cotations!E35="","",Cotations!E35)</f>
        <v>SINGLE</v>
      </c>
      <c r="I35" s="267" t="str">
        <f>IF(Cotations!F35="","",Cotations!F35)</f>
        <v/>
      </c>
      <c r="J35" s="267" t="str">
        <f>IF(Cotations!G35="","",Cotations!G35)</f>
        <v/>
      </c>
      <c r="K35" s="267" t="str">
        <f>IF(Cotations!H35="","",Cotations!H35)</f>
        <v/>
      </c>
      <c r="L35" s="267" t="str">
        <f>IF(A35=FALSE,"",IF(Cotations!M35="","",Cotations!M35))</f>
        <v/>
      </c>
      <c r="M35" s="267" t="str">
        <f>IF(Cotations!O35="","",Cotations!O35)</f>
        <v/>
      </c>
      <c r="N35" s="588">
        <f>IF(NAMES!$B$10=TRUE,Cotations!I35,Cotations!K35)</f>
        <v>42566</v>
      </c>
      <c r="O35" s="588">
        <f>IF(NAMES!$B$10=TRUE,Cotations!J35,Cotations!L35)</f>
        <v>42674</v>
      </c>
      <c r="P35" s="780" t="str">
        <f t="shared" si="214"/>
        <v>juillet</v>
      </c>
      <c r="Q35" s="588" t="str">
        <f>IF(A35=FALSE,"",IF(Crewlist!Y35="","",Crewlist!Y35))</f>
        <v/>
      </c>
      <c r="R35" s="78" t="str">
        <f>IF(Cotations!T35="","",Cotations!T35)</f>
        <v/>
      </c>
      <c r="S35" s="780" t="str">
        <f t="shared" si="215"/>
        <v/>
      </c>
      <c r="T35" s="759" t="str">
        <f>IF(A35=FALSE,"",VLOOKUP($U$15:$U$120,Currency!$A$2:$D$10,4,0)*Crewlist!N35)</f>
        <v/>
      </c>
      <c r="U35" s="1097" t="str">
        <f>IF(A35=FALSE,"",IF(DP35=0,Crewlist!M35&amp;"/"&amp;CP35,Crewlist!M35&amp;"/"&amp;DP35))</f>
        <v/>
      </c>
      <c r="V35" s="759" t="str">
        <f>IF(A35=FALSE,"",VLOOKUP($U$15:$U$120,Currency!$A$2:$D$10,4,0)*Detail!Q35)</f>
        <v/>
      </c>
      <c r="W35" s="1097" t="str">
        <f>IF(A35=FALSE,"",IF(DP35=0,Detail!R35&amp;"/"&amp;CP35,Detail!R35&amp;"/"&amp;DP35))</f>
        <v/>
      </c>
      <c r="X35" s="759" t="str">
        <f>IF(A35=FALSE,"",IF(LISTES!$C$17="Crewlist",Calcul!T35,Calcul!V35))</f>
        <v/>
      </c>
      <c r="Y35" s="618" t="str">
        <f t="shared" si="216"/>
        <v/>
      </c>
      <c r="Z35" s="618" t="str">
        <f>IF(A35=FALSE,"",IF(X35=0,0,IF((Cotations!BA35*12*X35)&lt;50000,50000,(12*X35))))</f>
        <v/>
      </c>
      <c r="AA35" s="618" t="str">
        <f t="shared" si="217"/>
        <v/>
      </c>
      <c r="AB35" s="618" t="str">
        <f>IF(A35=FALSE,"",IF(Crewlist!O35=0,"",Crewlist!O35))</f>
        <v/>
      </c>
      <c r="AC35" s="618" t="str">
        <f>IF(I35="","",VLOOKUP($AB$15:$AB$120,Currency!$A$15:$B$34,2,0))</f>
        <v/>
      </c>
      <c r="AD35" s="618" t="str">
        <f t="shared" si="218"/>
        <v/>
      </c>
      <c r="AE35" s="618" t="str">
        <f t="shared" si="219"/>
        <v/>
      </c>
      <c r="AF35" s="618" t="str">
        <f t="shared" si="220"/>
        <v/>
      </c>
      <c r="AG35" s="618" t="str">
        <f t="shared" si="221"/>
        <v/>
      </c>
      <c r="AH35" s="1097" t="str">
        <f t="shared" si="112"/>
        <v/>
      </c>
      <c r="AI35" s="759" t="str">
        <f t="shared" si="222"/>
        <v/>
      </c>
      <c r="AJ35" s="1120" t="str">
        <f t="shared" si="223"/>
        <v/>
      </c>
      <c r="AK35" s="1120" t="str">
        <f t="shared" si="224"/>
        <v/>
      </c>
      <c r="AL35" s="236" t="str">
        <f t="shared" si="225"/>
        <v/>
      </c>
      <c r="AM35" s="236" t="str">
        <f t="shared" si="226"/>
        <v/>
      </c>
      <c r="AN35" s="1112" t="str">
        <f t="shared" si="227"/>
        <v/>
      </c>
      <c r="AO35" s="236" t="str">
        <f t="shared" si="228"/>
        <v/>
      </c>
      <c r="AP35" s="327" t="str">
        <f>IF(A35=FALSE,"",INDEX(Rates!$Q$1:$Q$278,MATCH(CA35,colchoice,0)))</f>
        <v/>
      </c>
      <c r="AQ35" s="236" t="str">
        <f t="shared" si="229"/>
        <v/>
      </c>
      <c r="AR35" s="236" t="str">
        <f t="shared" si="230"/>
        <v/>
      </c>
      <c r="AS35" s="236" t="str">
        <f t="shared" si="117"/>
        <v/>
      </c>
      <c r="AT35" s="236" t="str">
        <f t="shared" si="118"/>
        <v/>
      </c>
      <c r="AU35" s="236" t="str">
        <f t="shared" si="231"/>
        <v/>
      </c>
      <c r="AV35" s="236" t="str">
        <f t="shared" si="232"/>
        <v/>
      </c>
      <c r="AW35" s="236" t="str">
        <f t="shared" si="233"/>
        <v/>
      </c>
      <c r="AX35" s="236" t="str">
        <f t="shared" si="234"/>
        <v/>
      </c>
      <c r="AY35" s="236" t="str">
        <f t="shared" si="235"/>
        <v/>
      </c>
      <c r="AZ35" s="236" t="str">
        <f t="shared" si="236"/>
        <v/>
      </c>
      <c r="BA35" s="236" t="str">
        <f t="shared" si="237"/>
        <v/>
      </c>
      <c r="BB35" s="467" t="str">
        <f t="shared" si="238"/>
        <v/>
      </c>
      <c r="BC35" s="329" t="str">
        <f t="shared" si="239"/>
        <v/>
      </c>
      <c r="BD35" s="237" t="str">
        <f t="shared" si="240"/>
        <v/>
      </c>
      <c r="BE35" s="237" t="str">
        <f>IF(A35=FALSE,"",IF(ED35&lt;&gt;$BC$7,0,INDEX(EA35:EZ35,1,MATCH(Structure!$J$16,$EA$14:$EZ$14,0))))</f>
        <v/>
      </c>
      <c r="BF35" s="237" t="str">
        <f>IF(A35=FALSE,"",IF(FD35&lt;&gt;$BC$7,0,INDEX(FA35:FZ35,1,MATCH(Structure!$J$16,$FA$14:$FZ$14,0))))</f>
        <v/>
      </c>
      <c r="BG35" s="237" t="str">
        <f>IF(A35=FALSE,"",IF(GD35&lt;&gt;$BC$7,0,INDEX(GA35:GZ35,1,MATCH(Structure!$J$16,$GA$14:$GZ$14,0))))</f>
        <v/>
      </c>
      <c r="BH35" s="237" t="str">
        <f>IF(A35=FALSE,"",IF(HD35&lt;&gt;$BC$7,0,INDEX(HA35:HZ35,1,MATCH(Structure!$J$16,$HA$14:$HZ$14,0))))</f>
        <v/>
      </c>
      <c r="BI35" s="621" t="str">
        <f>IF(A35=FALSE,"",IF(ID35&lt;&gt;$BC$7,0,INDEX(IA35:IZ35,1,MATCH(Structure!$C$12,$IA$14:$IZ$14,0)))+OL35)</f>
        <v/>
      </c>
      <c r="BJ35" s="237" t="str">
        <f>IF(A35=FALSE,"",IF(JD35&lt;&gt;$BC$7,0,INDEX(JA35:JZ35,1,MATCH(Structure!$C$12,$JA$14:$JZ$14,0))))</f>
        <v/>
      </c>
      <c r="BK35" s="621" t="str">
        <f>IF(A35=FALSE,"",IF(KD35&lt;&gt;$BC$7,0,INDEX(KA35:KZ35,1,MATCH(Structure!$C$12,$KA$14:$KZ$14,0)))+PL35)</f>
        <v/>
      </c>
      <c r="BL35" s="237" t="str">
        <f>IF(A35=FALSE,"",IF(LD35&lt;&gt;$BC$7,0,INDEX(LA35:LZ35,1,MATCH(Structure!$C$12,$LA$14:$LZ$14,0))))</f>
        <v/>
      </c>
      <c r="BM35" s="237" t="str">
        <f>IF(A35=FALSE,"",IF(MD35&lt;&gt;$BC$7,0,INDEX(MA35:MZ35,1,MATCH(Structure!$C$12,$MA$14:$MZ$14,0))))</f>
        <v/>
      </c>
      <c r="BN35" s="326" t="str">
        <f>IF(A35=FALSE,"",IF(ND35&lt;&gt;$BC$7,0,INDEX(NA35:OC35,1,MATCH(Structure!$C$12,$NA$14:$OC$14,0))))</f>
        <v/>
      </c>
      <c r="BO35" s="435" t="str">
        <f t="shared" si="241"/>
        <v/>
      </c>
      <c r="BP35" s="237" t="str">
        <f t="shared" si="242"/>
        <v/>
      </c>
      <c r="BQ35" s="237" t="str">
        <f>IF(A35=FALSE,"",IF(ED35&lt;&gt;$BO$7,0,INDEX(EA35:EZ35,1,MATCH(Structure!$C$12,$EA$14:$EZ$14,0))))</f>
        <v/>
      </c>
      <c r="BR35" s="237" t="str">
        <f>IF(A35=FALSE,"",IF(FD35&lt;&gt;$BO$7,0,INDEX(FA35:FZ35,1,MATCH(Structure!$C$12,$FA$14:$FZ$14,0))))</f>
        <v/>
      </c>
      <c r="BS35" s="237" t="str">
        <f>IF(A35=FALSE,"",IF(ID35&lt;&gt;$BO$7,0,INDEX(IA35:IZ35,1,MATCH(Structure!$C$13,$IA$14:$IZ$14,0))))</f>
        <v/>
      </c>
      <c r="BT35" s="237" t="str">
        <f>IF(A35=FALSE,"",IF(JD35&lt;&gt;$BO$7,0,INDEX(JA35:JZ35,1,MATCH(Structure!$C$13,$JA$14:$JZ$14,0))))</f>
        <v/>
      </c>
      <c r="BU35" s="237" t="str">
        <f>IF(A35=FALSE,"",IF(KD35&lt;&gt;$BO$7,0,INDEX(KA35:KZ35,1,MATCH(Structure!$C$13,$KA$14:$KZ$14,0))))</f>
        <v/>
      </c>
      <c r="BV35" s="237" t="str">
        <f>IF(A35=FALSE,"",IF(LD35&lt;&gt;$BO$7,0,INDEX(LA35:LZ35,1,MATCH(Structure!$C$13,$LA$14:$LZ$14,0))))</f>
        <v/>
      </c>
      <c r="BW35" s="237" t="str">
        <f>IF(A35=FALSE,"",IF(MD35&lt;&gt;$BO$7,0,INDEX(MA35:MZ35,1,MATCH(Structure!$C$13,$MA$14:$MZ$14,0))))</f>
        <v/>
      </c>
      <c r="BX35" s="326" t="str">
        <f>IF(A35=FALSE,"",IF(ND35&lt;&gt;$BO$7,0,INDEX(NA35:OC35,1,MATCH(Structure!$C$13,$NA$14:$OC$14,0))))</f>
        <v/>
      </c>
      <c r="BY35" s="412"/>
      <c r="BZ35" s="412"/>
      <c r="CA35" s="1255" t="str">
        <f>IF(A35=FALSE,"",IF(LISTES!$A$17=1,Cotations!AG35,Cotations!AH35))</f>
        <v/>
      </c>
      <c r="CB35" s="1266" t="str">
        <f t="shared" si="243"/>
        <v/>
      </c>
      <c r="CC35" s="1120" t="str">
        <f t="shared" si="244"/>
        <v/>
      </c>
      <c r="CD35" s="1120" t="str">
        <f t="shared" si="245"/>
        <v/>
      </c>
      <c r="CE35" s="1120" t="str">
        <f t="shared" si="246"/>
        <v/>
      </c>
      <c r="CF35" s="1120" t="str">
        <f t="shared" si="247"/>
        <v/>
      </c>
      <c r="CG35" s="1267"/>
      <c r="CH35" s="1267"/>
      <c r="CI35" s="1268" t="str">
        <f t="shared" si="248"/>
        <v/>
      </c>
      <c r="CJ35" s="286" t="str">
        <f t="shared" si="249"/>
        <v/>
      </c>
      <c r="CK35" s="286" t="str">
        <f t="shared" si="250"/>
        <v/>
      </c>
      <c r="CL35" s="1263"/>
      <c r="CM35" s="1263"/>
      <c r="CN35" s="1263"/>
      <c r="CO35" s="1263"/>
      <c r="CP35" s="319" t="str">
        <f t="shared" si="251"/>
        <v/>
      </c>
      <c r="CQ35" s="443" t="str">
        <f>IF(A35=FALSE,"",Cotations!AM35)</f>
        <v/>
      </c>
      <c r="CR35" s="443" t="str">
        <f>IF(A35=FALSE,"",IF(Cotations!AN35="","",Cotations!AN35))</f>
        <v/>
      </c>
      <c r="CS35" s="433" t="str">
        <f>IF(A35=FALSE,"",Cotations!AO35)</f>
        <v/>
      </c>
      <c r="CT35" s="443" t="str">
        <f>IF(A35=FALSE,"",IF(CQ35="N/A",0,IF(INDEX(LISTES!$F$105:$F$109,MATCH(CQ35,LISTES!$C$105:$C$109,0))="FIX",IF(INDEX(LISTES!$E$105:$E$109,MATCH(CQ35,LISTES!$C$105:$C$109,0))=12,CR35/12*L35,CR35/365*M35),CS35*EQ35)))</f>
        <v/>
      </c>
      <c r="CU35" s="434" t="str">
        <f>IF(A35=FALSE,"",(CJ35+CK35)*Cotations!AP35)</f>
        <v/>
      </c>
      <c r="CV35" s="434" t="str">
        <f>IF(A35=FALSE,"",(CJ35+CK35)*Cotations!AQ35)</f>
        <v/>
      </c>
      <c r="DA35" s="1253" t="str">
        <f>IF(A35=FALSE,"",IF(LISTES!$A$17=1,Cotations!AV35,Cotations!AW35))</f>
        <v/>
      </c>
      <c r="DB35" s="1271" t="str">
        <f t="shared" si="252"/>
        <v/>
      </c>
      <c r="DC35" s="1270" t="str">
        <f t="shared" si="253"/>
        <v/>
      </c>
      <c r="DD35" s="1270" t="str">
        <f t="shared" si="254"/>
        <v/>
      </c>
      <c r="DE35" s="1270" t="str">
        <f t="shared" si="255"/>
        <v/>
      </c>
      <c r="DF35" s="1270" t="str">
        <f t="shared" si="256"/>
        <v/>
      </c>
      <c r="DG35" s="1270" t="str">
        <f t="shared" si="257"/>
        <v/>
      </c>
      <c r="DH35" s="1270" t="str">
        <f t="shared" si="258"/>
        <v/>
      </c>
      <c r="DI35" s="1271" t="str">
        <f t="shared" si="259"/>
        <v/>
      </c>
      <c r="DJ35" s="286" t="str">
        <f t="shared" si="260"/>
        <v/>
      </c>
      <c r="DK35" s="286" t="str">
        <f t="shared" si="261"/>
        <v/>
      </c>
      <c r="DL35" s="1264" t="str">
        <f t="shared" si="262"/>
        <v/>
      </c>
      <c r="DM35" s="1264" t="str">
        <f t="shared" si="263"/>
        <v/>
      </c>
      <c r="DN35" s="1264" t="str">
        <f t="shared" si="264"/>
        <v/>
      </c>
      <c r="DO35" s="1264" t="str">
        <f t="shared" si="265"/>
        <v/>
      </c>
      <c r="DP35" s="323" t="str">
        <f t="shared" si="132"/>
        <v/>
      </c>
      <c r="DQ35" s="444" t="str">
        <f>IF(A35=FALSE,"",Cotations!BW35)</f>
        <v/>
      </c>
      <c r="DR35" s="444" t="str">
        <f>IF(A35=FALSE,"",Cotations!BX35)</f>
        <v/>
      </c>
      <c r="DS35" s="433" t="str">
        <f>IF(A35=FALSE,"",Cotations!BY35)</f>
        <v/>
      </c>
      <c r="DT35" s="830" t="str">
        <f>IF(A35=FALSE,"",IF(DQ35="N/A",0,IF(INDEX(LISTES!$F$105:$F$109,MATCH(DQ35,LISTES!$C$105:$C$109,0))="FIX",IF(INDEX(LISTES!$E$105:$E$109,MATCH(DQ35,LISTES!$C$105:$C$109,0))=12,DR35/12*L35,DR35/365*M35),DS35*(DN35+DO35))))</f>
        <v/>
      </c>
      <c r="DU35" s="434" t="str">
        <f>IF(A35=FALSE,"",DJ35*Cotations!BZ35)</f>
        <v/>
      </c>
      <c r="DV35" s="434" t="str">
        <f>IF(A35=FALSE,"",DJ35*Cotations!CA35)</f>
        <v/>
      </c>
      <c r="EA35" s="432" t="str">
        <f>IF(A35=FALSE,"",Cotations!AT35)</f>
        <v/>
      </c>
      <c r="EB35" s="1234" t="str">
        <f>IF(A35=FALSE,"",YEAR(Detail!F35)&amp;Detail!AG35&amp;Detail!AD35&amp;"-"&amp;Detail!$AD$13&amp;Detail!AE35)</f>
        <v/>
      </c>
      <c r="EC35" s="434" t="str">
        <f>IF(A35=FALSE,"",IF(LISTES!$A$17=1,EB35,INDEX(colMOD1,MATCH(Cotations!AH35,colchoice,0))))</f>
        <v/>
      </c>
      <c r="ED35" s="277" t="str">
        <f t="shared" si="133"/>
        <v/>
      </c>
      <c r="EE35" s="277" t="str">
        <f t="shared" si="134"/>
        <v/>
      </c>
      <c r="EF35" s="277"/>
      <c r="EG35" s="277"/>
      <c r="EH35" s="277" t="str">
        <f t="shared" si="135"/>
        <v/>
      </c>
      <c r="EI35" s="1104" t="str">
        <f t="shared" si="136"/>
        <v/>
      </c>
      <c r="EJ35" s="1104" t="str">
        <f t="shared" si="137"/>
        <v/>
      </c>
      <c r="EK35" s="443" t="str">
        <f>IF(A35=FALSE,"",IF(Cotations!AF35="monthly",EH35/12*L35,EH35/365*M35))</f>
        <v/>
      </c>
      <c r="EL35" s="1103" t="str">
        <f>IF(A35=FALSE,"",IF(Cotations!AF35="monthly",EJ35/12*L35,EJ35/365*M35))</f>
        <v/>
      </c>
      <c r="EM35" s="433" t="str">
        <f>IF(A35=FALSE,"",IF(Cotations!AI35="","",Cotations!AI35))</f>
        <v/>
      </c>
      <c r="EN35" s="277" t="str">
        <f t="shared" si="266"/>
        <v/>
      </c>
      <c r="EO35" s="277" t="str">
        <f t="shared" si="138"/>
        <v/>
      </c>
      <c r="EP35" s="1104" t="str">
        <f t="shared" si="139"/>
        <v/>
      </c>
      <c r="EQ35" s="277" t="str">
        <f t="shared" si="267"/>
        <v/>
      </c>
      <c r="ER35" s="759" t="str">
        <f>IF(A35=FALSE,"",((EH35*TAXE)-(EH35*TAXE*EM35)+EI35)+IF(CQ35="N/A",0,IF(INDEX(LISTES!$F$105:$F$109,MATCH(CQ35,LISTES!$C$105:$C$109,0))="FIX",CR35,CS35*EQ35)))</f>
        <v/>
      </c>
      <c r="ET35" s="422"/>
      <c r="EU35" s="422"/>
      <c r="EV35" s="422"/>
      <c r="EW35" s="422"/>
      <c r="EX35" s="422"/>
      <c r="EY35" s="422"/>
      <c r="EZ35" s="422"/>
      <c r="FA35" s="432" t="str">
        <f>IF(A35=FALSE,"",Cotations!AT35)</f>
        <v/>
      </c>
      <c r="FB35" s="1235" t="str">
        <f>IF(A35=FALSE,"",IF(Detail!AL35="","N/A",YEAR(Detail!F35)&amp;Detail!AO35&amp;Detail!AL35&amp;"-"&amp;Detail!$AL$13&amp;Detail!AM35))</f>
        <v/>
      </c>
      <c r="FC35" s="434" t="str">
        <f>IF(A35=FALSE,"",IF(LISTES!$A$17=1,FB35,INDEX(colMOD2,MATCH(Cotations!AH35,colchoice,0))))</f>
        <v/>
      </c>
      <c r="FD35" s="277" t="str">
        <f t="shared" si="140"/>
        <v/>
      </c>
      <c r="FE35" s="443" t="str">
        <f>IF(A35=FALSE,"",IF(Detail!AM35="","",Detail!AM35))</f>
        <v/>
      </c>
      <c r="FF35" s="277"/>
      <c r="FG35" s="277"/>
      <c r="FH35" s="277" t="str">
        <f t="shared" si="141"/>
        <v/>
      </c>
      <c r="FI35" s="1104"/>
      <c r="FJ35" s="1104"/>
      <c r="FK35" s="443" t="str">
        <f>IF(A35=FALSE,"",IF(Cotations!AF35="monthly",FH35/12*L35,FH35/365*M35))</f>
        <v/>
      </c>
      <c r="FL35" s="1103" t="str">
        <f>IF(A35=FALSE,"",IF(Cotations!AF35="monthly",FJ35/12*L35,FJ35/365*M35))</f>
        <v/>
      </c>
      <c r="FM35" s="433" t="str">
        <f>IF(A35=FALSE,"",IF(Cotations!AJ35="","",Cotations!AJ35))</f>
        <v/>
      </c>
      <c r="FN35" s="277" t="str">
        <f t="shared" si="268"/>
        <v/>
      </c>
      <c r="FO35" s="277" t="str">
        <f t="shared" si="269"/>
        <v/>
      </c>
      <c r="FP35" s="1104"/>
      <c r="FQ35" s="277" t="str">
        <f t="shared" si="270"/>
        <v/>
      </c>
      <c r="FR35" s="759" t="str">
        <f>IF(A35=FALSE,"",((FH35*TAXE)-(FH35*TAXE*FM35))+IF(#REF!="N/A",0,IF(INDEX(LISTES!$F$105:$F$109,MATCH(#REF!,LISTES!$C$105:$C$109,0))="FIX",#REF!,#REF!*FQ35)))</f>
        <v/>
      </c>
      <c r="FS35" s="422"/>
      <c r="FT35" s="422"/>
      <c r="FU35" s="422"/>
      <c r="FV35" s="422"/>
      <c r="FW35" s="422"/>
      <c r="FX35" s="422"/>
      <c r="FY35" s="422"/>
      <c r="FZ35" s="422"/>
      <c r="GA35" s="432" t="str">
        <f t="shared" si="145"/>
        <v/>
      </c>
      <c r="GB35" s="1234" t="str">
        <f>IF(A35=FALSE,"",IF(Detail!DF35="","N/A",YEAR(Detail!F35)&amp;Detail!DI35&amp;Detail!DF35&amp;"-"&amp;Detail!$DF$13))</f>
        <v/>
      </c>
      <c r="GC35" s="434" t="str">
        <f>IF(A35=FALSE,"",IF(LISTES!$A$17=1,GB35,INDEX(colMOD3,MATCH(Cotations!AH35,colchoice,0))))</f>
        <v/>
      </c>
      <c r="GD35" s="277" t="str">
        <f t="shared" si="146"/>
        <v/>
      </c>
      <c r="GE35" s="277" t="str">
        <f t="shared" si="147"/>
        <v/>
      </c>
      <c r="GF35" s="277"/>
      <c r="GG35" s="277"/>
      <c r="GH35" s="277" t="str">
        <f t="shared" si="271"/>
        <v/>
      </c>
      <c r="GI35" s="1104" t="str">
        <f t="shared" si="272"/>
        <v/>
      </c>
      <c r="GJ35" s="1104" t="str">
        <f t="shared" si="273"/>
        <v/>
      </c>
      <c r="GK35" s="443" t="str">
        <f>IF(A35=FALSE,"",IF(Cotations!AF35="monthly",GH35/12*L35,GH35/365*M35))</f>
        <v/>
      </c>
      <c r="GL35" s="1103" t="str">
        <f>IF(A35=FALSE,"",IF(Cotations!AF35="monthly",GJ35/12*L35,GJ35/365*M35))</f>
        <v/>
      </c>
      <c r="GM35" s="433" t="str">
        <f>IF(A35=FALSE,"",IF(Cotations!AK35="","",Cotations!AK35))</f>
        <v/>
      </c>
      <c r="GN35" s="277" t="str">
        <f t="shared" si="274"/>
        <v/>
      </c>
      <c r="GO35" s="277" t="str">
        <f t="shared" si="275"/>
        <v/>
      </c>
      <c r="GP35" s="1104" t="str">
        <f t="shared" si="276"/>
        <v/>
      </c>
      <c r="GQ35" s="277" t="str">
        <f t="shared" si="277"/>
        <v/>
      </c>
      <c r="GR35" s="759" t="str">
        <f>IF(A35=FALSE,"",((GH35*TAXE)-(GH35*TAXE*GM35)+GI35)+IF(CQ35="N/A",0,IF(INDEX(LISTES!$F$105:$F$109,MATCH(CQ35,LISTES!$C$105:$C$109,0))="FIX",CR35,CS35*GQ35)))</f>
        <v/>
      </c>
      <c r="GS35" s="412"/>
      <c r="GT35" s="412"/>
      <c r="GU35" s="412"/>
      <c r="GV35" s="412"/>
      <c r="GW35" s="412"/>
      <c r="GX35" s="412"/>
      <c r="GY35" s="412"/>
      <c r="GZ35" s="412"/>
      <c r="HA35" s="432" t="str">
        <f t="shared" si="155"/>
        <v/>
      </c>
      <c r="HB35" s="1234" t="str">
        <f>IF(A35=FALSE,"",IF(Detail!DF35="","N/A",YEAR(Detail!F35)&amp;Detail!DI35&amp;Detail!DF35&amp;"-"&amp;Detail!$DF$13))</f>
        <v/>
      </c>
      <c r="HC35" s="434" t="str">
        <f>IF(A35=FALSE,"",IF(LISTES!$A$17=1,HB35,INDEX(colMOD4,MATCH(Cotations!AH35,colchoice,0))))</f>
        <v/>
      </c>
      <c r="HD35" s="277" t="str">
        <f t="shared" si="278"/>
        <v/>
      </c>
      <c r="HE35" s="277" t="str">
        <f t="shared" si="279"/>
        <v/>
      </c>
      <c r="HF35" s="277"/>
      <c r="HG35" s="277"/>
      <c r="HH35" s="277" t="str">
        <f t="shared" si="280"/>
        <v/>
      </c>
      <c r="HI35" s="1104" t="str">
        <f t="shared" si="281"/>
        <v/>
      </c>
      <c r="HJ35" s="1104" t="str">
        <f t="shared" si="282"/>
        <v/>
      </c>
      <c r="HK35" s="443" t="str">
        <f>IF(A35=FALSE,"",IF(Cotations!AF35="monthly",HH35/12*L35,HH35/365*M35))</f>
        <v/>
      </c>
      <c r="HL35" s="1103" t="str">
        <f>IF(A35=FALSE,"",IF(Cotations!AF35="monthly",HJ35/12*L35,HJ35/365*M35))</f>
        <v/>
      </c>
      <c r="HM35" s="433" t="str">
        <f>IF(A35=FALSE,"",IF(Cotations!AL35="","",Cotations!AL35))</f>
        <v/>
      </c>
      <c r="HN35" s="277" t="str">
        <f t="shared" si="283"/>
        <v/>
      </c>
      <c r="HO35" s="277" t="str">
        <f t="shared" si="284"/>
        <v/>
      </c>
      <c r="HP35" s="1104" t="str">
        <f t="shared" si="285"/>
        <v/>
      </c>
      <c r="HQ35" s="277" t="str">
        <f t="shared" si="286"/>
        <v/>
      </c>
      <c r="HR35" s="759" t="str">
        <f>IF(A35=FALSE,"",((HH35*TAXE)-(HH35*TAXE*HM35)+HI35)+IF(CQ35="N/A",0,IF(INDEX(LISTES!$F$105:$F$109,MATCH(CQ35,LISTES!$C$105:$C$109,0))="FIX",CR35,CS35*HQ35)))</f>
        <v/>
      </c>
      <c r="HS35" s="412"/>
      <c r="HT35" s="412"/>
      <c r="HU35" s="412"/>
      <c r="HV35" s="412"/>
      <c r="HW35" s="412"/>
      <c r="HX35" s="412"/>
      <c r="HY35" s="412"/>
      <c r="HZ35" s="1262"/>
      <c r="IA35" s="432" t="str">
        <f>IF(A35=FALSE,"",Cotations!AT35)</f>
        <v/>
      </c>
      <c r="IB35" s="1253" t="str">
        <f>IF(A35=FALSE,"",IF(Detail!AT35="","N/A",YEAR(Detail!F35)&amp;Detail!AW35&amp;Detail!AT35&amp;"-"&amp;Detail!$AT$13&amp;Detail!AU35))</f>
        <v/>
      </c>
      <c r="IC35" s="431" t="str">
        <f>IF(A35=FALSE,"",IF(LISTES!$A$17=1,IB35,INDEX(colMOD1,MATCH(DA35,colchoice,0))))</f>
        <v/>
      </c>
      <c r="ID35" s="759" t="str">
        <f t="shared" si="287"/>
        <v/>
      </c>
      <c r="IE35" s="292" t="str">
        <f>IF(A35=FALSE,"",IF(LISTES!$A$17=1,Detail!AU35,INDEX(Rates!$M$1:$M$270,MATCH(IC35,colMOD1,0))))</f>
        <v/>
      </c>
      <c r="IF35" s="409" t="str">
        <f t="shared" si="165"/>
        <v/>
      </c>
      <c r="IG35" s="430" t="str">
        <f>IF(A35=FALSE,"",IF(IA35="POEA",Cotations!AY35,IF(IA35="FIXE",Cotations!AZ35,IF(Cotations!BA35*Y35&lt;50000,Z35,Cotations!BA35*Y35))))</f>
        <v/>
      </c>
      <c r="IH35" s="292" t="str">
        <f t="shared" si="166"/>
        <v/>
      </c>
      <c r="II35" s="446" t="str">
        <f>IF(A35=FALSE,"",IF(Cotations!AU35="monthly",IH35/12*L35,IH35/365*M35))</f>
        <v/>
      </c>
      <c r="IJ35" s="429" t="str">
        <f>IF(A35=FALSE,"",IF(Cotations!BB35="","",Cotations!BB35))</f>
        <v/>
      </c>
      <c r="IK35" s="292" t="str">
        <f t="shared" si="167"/>
        <v/>
      </c>
      <c r="IL35" s="292" t="str">
        <f t="shared" si="168"/>
        <v/>
      </c>
      <c r="IM35" s="759" t="str">
        <f t="shared" si="169"/>
        <v/>
      </c>
      <c r="IN35" s="759" t="str">
        <f>IF(A35=FALSE,"",((IH35*TAXE)-(IH35*TAXE*IJ35))+IF(DQ35="N/A",0,IF(INDEX(LISTES!$F$105:$F$109,MATCH(DQ35,LISTES!$C$105:$C$109,0))="FIX",DR35,DS35*IM35)))</f>
        <v/>
      </c>
      <c r="JA35" s="432" t="str">
        <f>IF(A35=FALSE,"",Cotations!AT35)</f>
        <v/>
      </c>
      <c r="JB35" s="1234" t="str">
        <f>IF(A35=FALSE,"",IF(Detail!BB35="","N/A",YEAR(Detail!F35)&amp;Detail!BE35&amp;Detail!BB35&amp;"-"&amp;Detail!$BB$13&amp;Detail!BC35))</f>
        <v/>
      </c>
      <c r="JC35" s="431" t="str">
        <f>IF(A35=FALSE,"",IF(LISTES!$A$17=1,JB35,INDEX(colMOD2,MATCH(DA35,colchoice,0))))</f>
        <v/>
      </c>
      <c r="JD35" s="759" t="str">
        <f t="shared" si="170"/>
        <v/>
      </c>
      <c r="JE35" s="292"/>
      <c r="JF35" s="409" t="str">
        <f t="shared" si="171"/>
        <v/>
      </c>
      <c r="JG35" s="430" t="str">
        <f>IF(A35=FALSE,"",IF(JA35="POEA",Cotations!BC35,IF(JA35="FIXE",Cotations!BD35,IF(Cotations!BE35*Y35&lt;50000,Z35,Cotations!BE35*Y35))))</f>
        <v/>
      </c>
      <c r="JH35" s="292" t="str">
        <f t="shared" si="172"/>
        <v/>
      </c>
      <c r="JI35" s="446" t="str">
        <f>IF(A35=FALSE,"",IF(Cotations!AU35="monthly",JH35/12*L35,JH35/365*M35))</f>
        <v/>
      </c>
      <c r="JJ35" s="429" t="str">
        <f>IF(A35=FALSE,"",IF(Cotations!BF35="","",Cotations!BF35))</f>
        <v/>
      </c>
      <c r="JK35" s="292" t="str">
        <f t="shared" si="173"/>
        <v/>
      </c>
      <c r="JL35" s="292" t="str">
        <f t="shared" si="174"/>
        <v/>
      </c>
      <c r="JM35" s="759" t="str">
        <f t="shared" si="175"/>
        <v/>
      </c>
      <c r="JN35" s="759" t="str">
        <f>IF(A35=FALSE,"",((JH35*TAXE)-(JH35*TAXE*JJ35))+IF(#REF!="N/A",0,IF(INDEX(LISTES!$F$105:$F$109,MATCH(#REF!,LISTES!$C$105:$C$109,0))="FIX",#REF!,#REF!*JM35)))</f>
        <v/>
      </c>
      <c r="KA35" s="432" t="str">
        <f>IF(A35=FALSE,"",Cotations!AT35)</f>
        <v/>
      </c>
      <c r="KB35" s="1234" t="str">
        <f>IF(A35=FALSE,"",IF(Detail!BJ35="","N/A",YEAR(Detail!F35)&amp;Detail!BM35&amp;Detail!BJ35&amp;"-"&amp;Detail!$BJ$13&amp;Detail!BK35))</f>
        <v/>
      </c>
      <c r="KC35" s="431" t="str">
        <f>IF(A35=FALSE,"",IF(LISTES!$A$17=1,KB35,INDEX(colMOD3,MATCH(DA35,colchoice,0))))</f>
        <v/>
      </c>
      <c r="KD35" s="759" t="str">
        <f t="shared" si="176"/>
        <v/>
      </c>
      <c r="KE35" s="292"/>
      <c r="KF35" s="409" t="str">
        <f t="shared" si="177"/>
        <v/>
      </c>
      <c r="KG35" s="430" t="str">
        <f>IF(A35=FALSE,"",IF(KA35="POEA",Cotations!BG35,IF(KA35="FIXE",Cotations!BH35,IF(Cotations!BI35*Y35&lt;50000,Z35,Cotations!BI35*Y35))))</f>
        <v/>
      </c>
      <c r="KH35" s="292" t="str">
        <f t="shared" si="178"/>
        <v/>
      </c>
      <c r="KI35" s="446" t="str">
        <f>IF(A35=FALSE,"",IF(Cotations!AU35="monthly",KH35/12*L35,KH35/365*M35))</f>
        <v/>
      </c>
      <c r="KJ35" s="429" t="str">
        <f>IF(A35=FALSE,"",IF(Cotations!BJ35="","",Cotations!BJ35))</f>
        <v/>
      </c>
      <c r="KK35" s="292" t="str">
        <f t="shared" si="179"/>
        <v/>
      </c>
      <c r="KL35" s="292" t="str">
        <f t="shared" si="180"/>
        <v/>
      </c>
      <c r="KM35" s="759" t="str">
        <f t="shared" si="181"/>
        <v/>
      </c>
      <c r="KN35" s="759" t="str">
        <f>IF(A35=FALSE,"",((KH35*TAXE)-(KH35*TAXE*KJ35))+IF(#REF!="N/A",0,IF(INDEX(LISTES!$F$105:$F$109,MATCH(#REF!,LISTES!$C$105:$C$109,0))="FIX",#REF!,#REF!*KM35)))</f>
        <v/>
      </c>
      <c r="LA35" s="432" t="str">
        <f>IF(A35=FALSE,"",Cotations!AT35)</f>
        <v/>
      </c>
      <c r="LB35" s="1234" t="str">
        <f>IF(A35=FALSE,"",IF(Detail!BR35="","N/A",YEAR(Detail!F35)&amp;Detail!BU35&amp;Detail!BR35&amp;"-"&amp;Detail!$BR$13&amp;Detail!BS35))</f>
        <v/>
      </c>
      <c r="LC35" s="431" t="str">
        <f>IF(A35=FALSE,"",IF(LISTES!$A$17=1,LB35,INDEX(colMOD4,MATCH(DA35,colchoice,0))))</f>
        <v/>
      </c>
      <c r="LD35" s="759" t="str">
        <f t="shared" si="182"/>
        <v/>
      </c>
      <c r="LE35" s="292"/>
      <c r="LF35" s="409" t="str">
        <f t="shared" si="183"/>
        <v/>
      </c>
      <c r="LG35" s="430" t="str">
        <f>IF(A35=FALSE,"",IF(LA35="POEA",Cotations!BK35,IF(LA35="FIXE",Cotations!BL35,IF(Cotations!BM35*Y35&lt;50000,Z35,Cotations!BM35*Y35))))</f>
        <v/>
      </c>
      <c r="LH35" s="292" t="str">
        <f t="shared" si="184"/>
        <v/>
      </c>
      <c r="LI35" s="446" t="str">
        <f>IF(A35=FALSE,"",IF(Cotations!AU35="monthly",LH35/12*L35,LH35/365*M35))</f>
        <v/>
      </c>
      <c r="LJ35" s="429" t="str">
        <f>IF(A35=FALSE,"",IF(Cotations!BN35="","",Cotations!BN35))</f>
        <v/>
      </c>
      <c r="LK35" s="292" t="str">
        <f t="shared" si="185"/>
        <v/>
      </c>
      <c r="LL35" s="292" t="str">
        <f t="shared" si="186"/>
        <v/>
      </c>
      <c r="LM35" s="759" t="str">
        <f t="shared" si="187"/>
        <v/>
      </c>
      <c r="LN35" s="759" t="str">
        <f>IF(A35=FALSE,"",((LH35*TAXE)-(LH35*TAXE*LJ35))+IF(#REF!="N/A",0,IF(INDEX(LISTES!$F$105:$F$109,MATCH(#REF!,LISTES!$C$105:$C$109,0))="FIX",#REF!,#REF!*LM35)))</f>
        <v/>
      </c>
      <c r="MA35" s="432" t="str">
        <f t="shared" si="188"/>
        <v/>
      </c>
      <c r="MB35" s="1234" t="str">
        <f>IF(A35=FALSE,"",IF(Detail!BZ35="","N/A",YEAR(Detail!F35)&amp;Detail!CC35&amp;Detail!BZ35&amp;"-"&amp;Detail!$BZ$13&amp;" (100%/"&amp;Detail!CD35&amp;"/"&amp;Detail!CE35&amp;")"))</f>
        <v/>
      </c>
      <c r="MC35" s="431" t="str">
        <f>IF(A35=FALSE,"",IF(LISTES!$A$17=1,MB35,INDEX(colMOD5,MATCH(DA35,colchoice,0))))</f>
        <v/>
      </c>
      <c r="MD35" s="759" t="str">
        <f t="shared" si="189"/>
        <v/>
      </c>
      <c r="ME35" s="292"/>
      <c r="MF35" s="409" t="str">
        <f t="shared" si="190"/>
        <v/>
      </c>
      <c r="MG35" s="430" t="str">
        <f>IF(A35=FALSE,"",Cotations!BQ35*AA35)</f>
        <v/>
      </c>
      <c r="MH35" s="292" t="str">
        <f t="shared" si="191"/>
        <v/>
      </c>
      <c r="MI35" s="446" t="str">
        <f>IF(A35=FALSE,"",IF(Cotations!AU35="monthly",MH35/12*L35,MH35/365*M35))</f>
        <v/>
      </c>
      <c r="MJ35" s="429" t="str">
        <f>IF(A35=FALSE,"",IF(Cotations!BR35="","",Cotations!BR35))</f>
        <v/>
      </c>
      <c r="MK35" s="292" t="str">
        <f t="shared" si="192"/>
        <v/>
      </c>
      <c r="ML35" s="292" t="str">
        <f t="shared" si="193"/>
        <v/>
      </c>
      <c r="MM35" s="759" t="str">
        <f t="shared" si="194"/>
        <v/>
      </c>
      <c r="MN35" s="759" t="str">
        <f>IF(A35=FALSE,"",((MH35*TAXE)-(MH35*TAXE*MJ35))+IF(#REF!="N/A",0,IF(INDEX(LISTES!$F$105:$F$109,MATCH(#REF!,LISTES!$C$105:$C$109,0))="FIX",#REF!,#REF!*MM35)))</f>
        <v/>
      </c>
      <c r="NA35" s="432" t="str">
        <f t="shared" si="195"/>
        <v/>
      </c>
      <c r="NB35" s="1234" t="str">
        <f>IF(A35=FALSE,"",IF(Detail!CH35="","N/A",YEAR(Detail!F35)&amp;Detail!CK35&amp;Detail!CH35&amp;"-"&amp;Detail!$CH$13&amp;" (100%/"&amp;Detail!CL35&amp;"/"&amp;Detail!CM35&amp;")"))</f>
        <v/>
      </c>
      <c r="NC35" s="431" t="str">
        <f>IF(A35=FALSE,"",IF(LISTES!$A$17=1,NB35,INDEX(colMOD6,MATCH(DA35,colchoice,0))))</f>
        <v/>
      </c>
      <c r="ND35" s="759" t="str">
        <f t="shared" si="196"/>
        <v/>
      </c>
      <c r="NE35" s="292"/>
      <c r="NF35" s="409" t="str">
        <f t="shared" si="197"/>
        <v/>
      </c>
      <c r="NG35" s="430" t="str">
        <f>IF(A35=FALSE,"",Cotations!BU35*AA35)</f>
        <v/>
      </c>
      <c r="NH35" s="292" t="str">
        <f t="shared" si="198"/>
        <v/>
      </c>
      <c r="NI35" s="446" t="str">
        <f>IF(A35=FALSE,"",IF(Cotations!AU35="monthly",NH35/12*L35,NH35/365*M35))</f>
        <v/>
      </c>
      <c r="NJ35" s="429" t="str">
        <f>IF(A35=FALSE,"",IF(Cotations!BV35="","",Cotations!BV35))</f>
        <v/>
      </c>
      <c r="NK35" s="292" t="str">
        <f t="shared" si="199"/>
        <v/>
      </c>
      <c r="NL35" s="292" t="str">
        <f t="shared" si="200"/>
        <v/>
      </c>
      <c r="NM35" s="759" t="str">
        <f t="shared" si="201"/>
        <v/>
      </c>
      <c r="NN35" s="759" t="str">
        <f>IF(A35=FALSE,"",((NH35*TAXE)-(NH35*TAXE*NJ35))+IF(#REF!="N/A",0,IF(INDEX(LISTES!$F$105:$F$109,MATCH(#REF!,LISTES!$C$105:$C$109,0))="FIX",#REF!,#REF!*NM35)))</f>
        <v/>
      </c>
      <c r="NZ35" s="1281" t="str">
        <f>IF(A35=FALSE,"",IF(Detail!CP35="","N/A",YEAR(Detail!F35)&amp;Detail!CS35&amp;Detail!CP35&amp;"-"&amp;Detail!CQ35))</f>
        <v/>
      </c>
      <c r="OA35" s="432" t="str">
        <f>IF(A35=FALSE,"",Cotations!CF35)</f>
        <v/>
      </c>
      <c r="OB35" s="1282" t="str">
        <f>IF(A35=FALSE,"",IF(Detail!CP35="","N/A",YEAR(Detail!F35)&amp;Detail!CS35&amp;Detail!CP35&amp;"-"&amp;Detail!$CP$13&amp;Detail!CQ35))</f>
        <v/>
      </c>
      <c r="OC35" s="1283" t="str">
        <f>IF(A35=FALSE,"",IF(LISTES!$A$17=1,OB35,INDEX(colMOD1,MATCH(Cotations!CE35,colchoice,0))))</f>
        <v/>
      </c>
      <c r="OD35" s="759" t="str">
        <f t="shared" si="202"/>
        <v/>
      </c>
      <c r="OE35" s="292" t="str">
        <f>IF(A35=FALSE,"",Detail!CQ35)</f>
        <v/>
      </c>
      <c r="OF35" s="409" t="str">
        <f t="shared" si="203"/>
        <v/>
      </c>
      <c r="OG35" s="430" t="str">
        <f>IF(A35=FALSE,"",IF(OA35="FIXE",Cotations!CM35,Cotations!CN35*AA35))</f>
        <v/>
      </c>
      <c r="OH35" s="292" t="str">
        <f t="shared" si="288"/>
        <v/>
      </c>
      <c r="OI35" s="446" t="str">
        <f>IF(A35=FALSE,"",IF(Cotations!CF35="monthly",OH35/12*L35,OH35/365*M35))</f>
        <v/>
      </c>
      <c r="OJ35" s="429" t="str">
        <f>IF(A35=FALSE,"",IF(Cotations!CO35="","",Cotations!CO35))</f>
        <v/>
      </c>
      <c r="OK35" s="292" t="str">
        <f t="shared" si="289"/>
        <v/>
      </c>
      <c r="OL35" s="292" t="str">
        <f t="shared" si="290"/>
        <v/>
      </c>
      <c r="OM35" s="759" t="str">
        <f t="shared" si="207"/>
        <v/>
      </c>
      <c r="ON35" s="759" t="str">
        <f>IF(A35=FALSE,"",((OH35*(1+TAXE)-(OH35*(1+TAXE)*OJ35))+IF(#REF!="N/A",0,IF(INDEX(LISTES!$F$105:$F$109,MATCH(#REF!,LISTES!$C$105:$C$109,0))="FIX",#REF!,#REF!*OM35))))</f>
        <v/>
      </c>
      <c r="PA35" s="432" t="str">
        <f>IF(A35=FALSE,"",Cotations!CF35)</f>
        <v/>
      </c>
      <c r="PB35" s="1282" t="str">
        <f>IF(A35=FALSE,"",IF(Detail!CX35="","N/A",YEAR(Detail!F35)&amp;Detail!DA35&amp;Detail!CX35&amp;"-"&amp;Detail!$CX$13&amp;Detail!CY35))</f>
        <v/>
      </c>
      <c r="PC35" s="1283" t="str">
        <f>IF(A35=FALSE,"",IF(LISTES!$A$17=1,PB35,INDEX(colMOD3,MATCH(Cotations!CE35,colchoice,0))))</f>
        <v/>
      </c>
      <c r="PD35" s="759" t="str">
        <f t="shared" si="208"/>
        <v/>
      </c>
      <c r="PE35" s="292" t="str">
        <f>IF(A35=FALSE,"",IF(Detail!CY35="","",Detail!CY35))</f>
        <v/>
      </c>
      <c r="PF35" s="409" t="str">
        <f t="shared" si="291"/>
        <v/>
      </c>
      <c r="PG35" s="430" t="str">
        <f>IF(A35=FALSE,"",IF(PA35="FIXE",Cotations!CP35,Cotations!CQ35*AA35))</f>
        <v/>
      </c>
      <c r="PH35" s="292" t="str">
        <f t="shared" si="292"/>
        <v/>
      </c>
      <c r="PI35" s="446" t="str">
        <f>IF(A35=FALSE,"",IF(Cotations!CG35="monthly",PH35/12*L35,PH35/365*M35))</f>
        <v/>
      </c>
      <c r="PJ35" s="429" t="str">
        <f>IF(A35=FALSE,"",IF(Cotations!DA35="",0,Cotations!DA35))</f>
        <v/>
      </c>
      <c r="PK35" s="292" t="str">
        <f t="shared" si="293"/>
        <v/>
      </c>
      <c r="PL35" s="292" t="str">
        <f t="shared" si="294"/>
        <v/>
      </c>
      <c r="PM35" s="759" t="str">
        <f t="shared" si="211"/>
        <v/>
      </c>
      <c r="PN35" s="759" t="str">
        <f>IF(A35=FALSE,"",((PH35*(1+TAXE)-(PH35*(1+TAXE)*PJ35))+IF(#REF!="N/A",0,IF(INDEX(LISTES!$F$105:$F$109,MATCH(#REF!,LISTES!$C$105:$C$109,0))="FIX",#REF!,#REF!*PM35))))</f>
        <v/>
      </c>
    </row>
    <row r="36" spans="1:430">
      <c r="A36" s="779" t="b">
        <f t="shared" si="111"/>
        <v>0</v>
      </c>
      <c r="B36" s="779" t="b">
        <f>IF(NAMES!$B$9=TRUE,TRUE,FALSE)</f>
        <v>1</v>
      </c>
      <c r="C36" s="779" t="b">
        <f t="shared" si="212"/>
        <v>0</v>
      </c>
      <c r="D36" s="779" t="b">
        <f t="shared" si="213"/>
        <v>1</v>
      </c>
      <c r="E36" s="267" t="b">
        <f>IF(Cotations!C36="","",Cotations!C36)</f>
        <v>0</v>
      </c>
      <c r="F36" s="267" t="str">
        <f>IF(Cotations!AT36="","",Cotations!AT36)</f>
        <v>PROP</v>
      </c>
      <c r="G36" s="267" t="str">
        <f>IF(Cotations!D36="","",Cotations!D36)</f>
        <v>2016-2017!</v>
      </c>
      <c r="H36" s="267" t="str">
        <f>IF(Cotations!E36="","",Cotations!E36)</f>
        <v>SINGLE</v>
      </c>
      <c r="I36" s="267" t="str">
        <f>IF(Cotations!F36="","",Cotations!F36)</f>
        <v/>
      </c>
      <c r="J36" s="267" t="str">
        <f>IF(Cotations!G36="","",Cotations!G36)</f>
        <v/>
      </c>
      <c r="K36" s="267" t="str">
        <f>IF(Cotations!H36="","",Cotations!H36)</f>
        <v/>
      </c>
      <c r="L36" s="267" t="str">
        <f>IF(A36=FALSE,"",IF(Cotations!M36="","",Cotations!M36))</f>
        <v/>
      </c>
      <c r="M36" s="267" t="str">
        <f>IF(Cotations!O36="","",Cotations!O36)</f>
        <v/>
      </c>
      <c r="N36" s="588">
        <f>IF(NAMES!$B$10=TRUE,Cotations!I36,Cotations!K36)</f>
        <v>42566</v>
      </c>
      <c r="O36" s="588">
        <f>IF(NAMES!$B$10=TRUE,Cotations!J36,Cotations!L36)</f>
        <v>42674</v>
      </c>
      <c r="P36" s="780" t="str">
        <f t="shared" si="214"/>
        <v>juillet</v>
      </c>
      <c r="Q36" s="588" t="str">
        <f>IF(A36=FALSE,"",IF(Crewlist!Y36="","",Crewlist!Y36))</f>
        <v/>
      </c>
      <c r="R36" s="78" t="str">
        <f>IF(Cotations!T36="","",Cotations!T36)</f>
        <v/>
      </c>
      <c r="S36" s="780" t="str">
        <f t="shared" si="215"/>
        <v/>
      </c>
      <c r="T36" s="759" t="str">
        <f>IF(A36=FALSE,"",VLOOKUP($U$15:$U$120,Currency!$A$2:$D$10,4,0)*Crewlist!N36)</f>
        <v/>
      </c>
      <c r="U36" s="1097" t="str">
        <f>IF(A36=FALSE,"",IF(DP36=0,Crewlist!M36&amp;"/"&amp;CP36,Crewlist!M36&amp;"/"&amp;DP36))</f>
        <v/>
      </c>
      <c r="V36" s="759" t="str">
        <f>IF(A36=FALSE,"",VLOOKUP($U$15:$U$120,Currency!$A$2:$D$10,4,0)*Detail!Q36)</f>
        <v/>
      </c>
      <c r="W36" s="1097" t="str">
        <f>IF(A36=FALSE,"",IF(DP36=0,Detail!R36&amp;"/"&amp;CP36,Detail!R36&amp;"/"&amp;DP36))</f>
        <v/>
      </c>
      <c r="X36" s="759" t="str">
        <f>IF(A36=FALSE,"",IF(LISTES!$C$17="Crewlist",Calcul!T36,Calcul!V36))</f>
        <v/>
      </c>
      <c r="Y36" s="618" t="str">
        <f t="shared" si="216"/>
        <v/>
      </c>
      <c r="Z36" s="618" t="str">
        <f>IF(A36=FALSE,"",IF(X36=0,0,IF((Cotations!BA36*12*X36)&lt;50000,50000,(12*X36))))</f>
        <v/>
      </c>
      <c r="AA36" s="618" t="str">
        <f t="shared" si="217"/>
        <v/>
      </c>
      <c r="AB36" s="618" t="str">
        <f>IF(A36=FALSE,"",IF(Crewlist!O36=0,"",Crewlist!O36))</f>
        <v/>
      </c>
      <c r="AC36" s="618" t="str">
        <f>IF(I36="","",VLOOKUP($AB$15:$AB$120,Currency!$A$15:$B$34,2,0))</f>
        <v/>
      </c>
      <c r="AD36" s="618" t="str">
        <f t="shared" si="218"/>
        <v/>
      </c>
      <c r="AE36" s="618" t="str">
        <f t="shared" si="219"/>
        <v/>
      </c>
      <c r="AF36" s="618" t="str">
        <f t="shared" si="220"/>
        <v/>
      </c>
      <c r="AG36" s="618" t="str">
        <f t="shared" si="221"/>
        <v/>
      </c>
      <c r="AH36" s="1097" t="str">
        <f t="shared" si="112"/>
        <v/>
      </c>
      <c r="AI36" s="759" t="str">
        <f t="shared" si="222"/>
        <v/>
      </c>
      <c r="AJ36" s="1120" t="str">
        <f t="shared" si="223"/>
        <v/>
      </c>
      <c r="AK36" s="1120" t="str">
        <f t="shared" si="224"/>
        <v/>
      </c>
      <c r="AL36" s="236" t="str">
        <f t="shared" si="225"/>
        <v/>
      </c>
      <c r="AM36" s="236" t="str">
        <f t="shared" si="226"/>
        <v/>
      </c>
      <c r="AN36" s="1112" t="str">
        <f t="shared" si="227"/>
        <v/>
      </c>
      <c r="AO36" s="236" t="str">
        <f t="shared" si="228"/>
        <v/>
      </c>
      <c r="AP36" s="327" t="str">
        <f>IF(A36=FALSE,"",INDEX(Rates!$Q$1:$Q$278,MATCH(CA36,colchoice,0)))</f>
        <v/>
      </c>
      <c r="AQ36" s="236" t="str">
        <f t="shared" si="229"/>
        <v/>
      </c>
      <c r="AR36" s="236" t="str">
        <f t="shared" si="230"/>
        <v/>
      </c>
      <c r="AS36" s="236" t="str">
        <f t="shared" si="117"/>
        <v/>
      </c>
      <c r="AT36" s="236" t="str">
        <f t="shared" si="118"/>
        <v/>
      </c>
      <c r="AU36" s="236" t="str">
        <f t="shared" si="231"/>
        <v/>
      </c>
      <c r="AV36" s="236" t="str">
        <f t="shared" si="232"/>
        <v/>
      </c>
      <c r="AW36" s="236" t="str">
        <f t="shared" si="233"/>
        <v/>
      </c>
      <c r="AX36" s="236" t="str">
        <f t="shared" si="234"/>
        <v/>
      </c>
      <c r="AY36" s="236" t="str">
        <f t="shared" si="235"/>
        <v/>
      </c>
      <c r="AZ36" s="236" t="str">
        <f t="shared" si="236"/>
        <v/>
      </c>
      <c r="BA36" s="236" t="str">
        <f t="shared" si="237"/>
        <v/>
      </c>
      <c r="BB36" s="467" t="str">
        <f t="shared" si="238"/>
        <v/>
      </c>
      <c r="BC36" s="329" t="str">
        <f t="shared" si="239"/>
        <v/>
      </c>
      <c r="BD36" s="237" t="str">
        <f t="shared" si="240"/>
        <v/>
      </c>
      <c r="BE36" s="237" t="str">
        <f>IF(A36=FALSE,"",IF(ED36&lt;&gt;$BC$7,0,INDEX(EA36:EZ36,1,MATCH(Structure!$J$16,$EA$14:$EZ$14,0))))</f>
        <v/>
      </c>
      <c r="BF36" s="237" t="str">
        <f>IF(A36=FALSE,"",IF(FD36&lt;&gt;$BC$7,0,INDEX(FA36:FZ36,1,MATCH(Structure!$J$16,$FA$14:$FZ$14,0))))</f>
        <v/>
      </c>
      <c r="BG36" s="237" t="str">
        <f>IF(A36=FALSE,"",IF(GD36&lt;&gt;$BC$7,0,INDEX(GA36:GZ36,1,MATCH(Structure!$J$16,$GA$14:$GZ$14,0))))</f>
        <v/>
      </c>
      <c r="BH36" s="237" t="str">
        <f>IF(A36=FALSE,"",IF(HD36&lt;&gt;$BC$7,0,INDEX(HA36:HZ36,1,MATCH(Structure!$J$16,$HA$14:$HZ$14,0))))</f>
        <v/>
      </c>
      <c r="BI36" s="621" t="str">
        <f>IF(A36=FALSE,"",IF(ID36&lt;&gt;$BC$7,0,INDEX(IA36:IZ36,1,MATCH(Structure!$C$12,$IA$14:$IZ$14,0)))+OL36)</f>
        <v/>
      </c>
      <c r="BJ36" s="237" t="str">
        <f>IF(A36=FALSE,"",IF(JD36&lt;&gt;$BC$7,0,INDEX(JA36:JZ36,1,MATCH(Structure!$C$12,$JA$14:$JZ$14,0))))</f>
        <v/>
      </c>
      <c r="BK36" s="621" t="str">
        <f>IF(A36=FALSE,"",IF(KD36&lt;&gt;$BC$7,0,INDEX(KA36:KZ36,1,MATCH(Structure!$C$12,$KA$14:$KZ$14,0)))+PL36)</f>
        <v/>
      </c>
      <c r="BL36" s="237" t="str">
        <f>IF(A36=FALSE,"",IF(LD36&lt;&gt;$BC$7,0,INDEX(LA36:LZ36,1,MATCH(Structure!$C$12,$LA$14:$LZ$14,0))))</f>
        <v/>
      </c>
      <c r="BM36" s="237" t="str">
        <f>IF(A36=FALSE,"",IF(MD36&lt;&gt;$BC$7,0,INDEX(MA36:MZ36,1,MATCH(Structure!$C$12,$MA$14:$MZ$14,0))))</f>
        <v/>
      </c>
      <c r="BN36" s="326" t="str">
        <f>IF(A36=FALSE,"",IF(ND36&lt;&gt;$BC$7,0,INDEX(NA36:OC36,1,MATCH(Structure!$C$12,$NA$14:$OC$14,0))))</f>
        <v/>
      </c>
      <c r="BO36" s="435" t="str">
        <f t="shared" si="241"/>
        <v/>
      </c>
      <c r="BP36" s="237" t="str">
        <f t="shared" si="242"/>
        <v/>
      </c>
      <c r="BQ36" s="237" t="str">
        <f>IF(A36=FALSE,"",IF(ED36&lt;&gt;$BO$7,0,INDEX(EA36:EZ36,1,MATCH(Structure!$C$12,$EA$14:$EZ$14,0))))</f>
        <v/>
      </c>
      <c r="BR36" s="237" t="str">
        <f>IF(A36=FALSE,"",IF(FD36&lt;&gt;$BO$7,0,INDEX(FA36:FZ36,1,MATCH(Structure!$C$12,$FA$14:$FZ$14,0))))</f>
        <v/>
      </c>
      <c r="BS36" s="237" t="str">
        <f>IF(A36=FALSE,"",IF(ID36&lt;&gt;$BO$7,0,INDEX(IA36:IZ36,1,MATCH(Structure!$C$13,$IA$14:$IZ$14,0))))</f>
        <v/>
      </c>
      <c r="BT36" s="237" t="str">
        <f>IF(A36=FALSE,"",IF(JD36&lt;&gt;$BO$7,0,INDEX(JA36:JZ36,1,MATCH(Structure!$C$13,$JA$14:$JZ$14,0))))</f>
        <v/>
      </c>
      <c r="BU36" s="237" t="str">
        <f>IF(A36=FALSE,"",IF(KD36&lt;&gt;$BO$7,0,INDEX(KA36:KZ36,1,MATCH(Structure!$C$13,$KA$14:$KZ$14,0))))</f>
        <v/>
      </c>
      <c r="BV36" s="237" t="str">
        <f>IF(A36=FALSE,"",IF(LD36&lt;&gt;$BO$7,0,INDEX(LA36:LZ36,1,MATCH(Structure!$C$13,$LA$14:$LZ$14,0))))</f>
        <v/>
      </c>
      <c r="BW36" s="237" t="str">
        <f>IF(A36=FALSE,"",IF(MD36&lt;&gt;$BO$7,0,INDEX(MA36:MZ36,1,MATCH(Structure!$C$13,$MA$14:$MZ$14,0))))</f>
        <v/>
      </c>
      <c r="BX36" s="326" t="str">
        <f>IF(A36=FALSE,"",IF(ND36&lt;&gt;$BO$7,0,INDEX(NA36:OC36,1,MATCH(Structure!$C$13,$NA$14:$OC$14,0))))</f>
        <v/>
      </c>
      <c r="BY36" s="412"/>
      <c r="BZ36" s="412"/>
      <c r="CA36" s="1255" t="str">
        <f>IF(A36=FALSE,"",IF(LISTES!$A$17=1,Cotations!AG36,Cotations!AH36))</f>
        <v/>
      </c>
      <c r="CB36" s="1266" t="str">
        <f t="shared" si="243"/>
        <v/>
      </c>
      <c r="CC36" s="1120" t="str">
        <f t="shared" si="244"/>
        <v/>
      </c>
      <c r="CD36" s="1120" t="str">
        <f t="shared" si="245"/>
        <v/>
      </c>
      <c r="CE36" s="1120" t="str">
        <f t="shared" si="246"/>
        <v/>
      </c>
      <c r="CF36" s="1120" t="str">
        <f t="shared" si="247"/>
        <v/>
      </c>
      <c r="CG36" s="1267"/>
      <c r="CH36" s="1267"/>
      <c r="CI36" s="1268" t="str">
        <f t="shared" si="248"/>
        <v/>
      </c>
      <c r="CJ36" s="286" t="str">
        <f t="shared" si="249"/>
        <v/>
      </c>
      <c r="CK36" s="286" t="str">
        <f t="shared" si="250"/>
        <v/>
      </c>
      <c r="CL36" s="1263"/>
      <c r="CM36" s="1263"/>
      <c r="CN36" s="1263"/>
      <c r="CO36" s="1263"/>
      <c r="CP36" s="319" t="str">
        <f t="shared" si="251"/>
        <v/>
      </c>
      <c r="CQ36" s="443" t="str">
        <f>IF(A36=FALSE,"",Cotations!AM36)</f>
        <v/>
      </c>
      <c r="CR36" s="443" t="str">
        <f>IF(A36=FALSE,"",IF(Cotations!AN36="","",Cotations!AN36))</f>
        <v/>
      </c>
      <c r="CS36" s="433" t="str">
        <f>IF(A36=FALSE,"",Cotations!AO36)</f>
        <v/>
      </c>
      <c r="CT36" s="443" t="str">
        <f>IF(A36=FALSE,"",IF(CQ36="N/A",0,IF(INDEX(LISTES!$F$105:$F$109,MATCH(CQ36,LISTES!$C$105:$C$109,0))="FIX",IF(INDEX(LISTES!$E$105:$E$109,MATCH(CQ36,LISTES!$C$105:$C$109,0))=12,CR36/12*L36,CR36/365*M36),CS36*EQ36)))</f>
        <v/>
      </c>
      <c r="CU36" s="434" t="str">
        <f>IF(A36=FALSE,"",(CJ36+CK36)*Cotations!AP36)</f>
        <v/>
      </c>
      <c r="CV36" s="434" t="str">
        <f>IF(A36=FALSE,"",(CJ36+CK36)*Cotations!AQ36)</f>
        <v/>
      </c>
      <c r="DA36" s="1253" t="str">
        <f>IF(A36=FALSE,"",IF(LISTES!$A$17=1,Cotations!AV36,Cotations!AW36))</f>
        <v/>
      </c>
      <c r="DB36" s="1271" t="str">
        <f t="shared" si="252"/>
        <v/>
      </c>
      <c r="DC36" s="1270" t="str">
        <f t="shared" si="253"/>
        <v/>
      </c>
      <c r="DD36" s="1270" t="str">
        <f t="shared" si="254"/>
        <v/>
      </c>
      <c r="DE36" s="1270" t="str">
        <f t="shared" si="255"/>
        <v/>
      </c>
      <c r="DF36" s="1270" t="str">
        <f t="shared" si="256"/>
        <v/>
      </c>
      <c r="DG36" s="1270" t="str">
        <f t="shared" si="257"/>
        <v/>
      </c>
      <c r="DH36" s="1270" t="str">
        <f t="shared" si="258"/>
        <v/>
      </c>
      <c r="DI36" s="1271" t="str">
        <f t="shared" si="259"/>
        <v/>
      </c>
      <c r="DJ36" s="286" t="str">
        <f t="shared" si="260"/>
        <v/>
      </c>
      <c r="DK36" s="286" t="str">
        <f t="shared" si="261"/>
        <v/>
      </c>
      <c r="DL36" s="1264" t="str">
        <f t="shared" si="262"/>
        <v/>
      </c>
      <c r="DM36" s="1264" t="str">
        <f t="shared" si="263"/>
        <v/>
      </c>
      <c r="DN36" s="1264" t="str">
        <f t="shared" si="264"/>
        <v/>
      </c>
      <c r="DO36" s="1264" t="str">
        <f t="shared" si="265"/>
        <v/>
      </c>
      <c r="DP36" s="323" t="str">
        <f t="shared" si="132"/>
        <v/>
      </c>
      <c r="DQ36" s="444" t="str">
        <f>IF(A36=FALSE,"",Cotations!BW36)</f>
        <v/>
      </c>
      <c r="DR36" s="444" t="str">
        <f>IF(A36=FALSE,"",Cotations!BX36)</f>
        <v/>
      </c>
      <c r="DS36" s="433" t="str">
        <f>IF(A36=FALSE,"",Cotations!BY36)</f>
        <v/>
      </c>
      <c r="DT36" s="830" t="str">
        <f>IF(A36=FALSE,"",IF(DQ36="N/A",0,IF(INDEX(LISTES!$F$105:$F$109,MATCH(DQ36,LISTES!$C$105:$C$109,0))="FIX",IF(INDEX(LISTES!$E$105:$E$109,MATCH(DQ36,LISTES!$C$105:$C$109,0))=12,DR36/12*L36,DR36/365*M36),DS36*(DN36+DO36))))</f>
        <v/>
      </c>
      <c r="DU36" s="434" t="str">
        <f>IF(A36=FALSE,"",DJ36*Cotations!BZ36)</f>
        <v/>
      </c>
      <c r="DV36" s="434" t="str">
        <f>IF(A36=FALSE,"",DJ36*Cotations!CA36)</f>
        <v/>
      </c>
      <c r="EA36" s="432" t="str">
        <f>IF(A36=FALSE,"",Cotations!AT36)</f>
        <v/>
      </c>
      <c r="EB36" s="1234" t="str">
        <f>IF(A36=FALSE,"",YEAR(Detail!F36)&amp;Detail!AG36&amp;Detail!AD36&amp;"-"&amp;Detail!$AD$13&amp;Detail!AE36)</f>
        <v/>
      </c>
      <c r="EC36" s="434" t="str">
        <f>IF(A36=FALSE,"",IF(LISTES!$A$17=1,EB36,INDEX(colMOD1,MATCH(Cotations!AH36,colchoice,0))))</f>
        <v/>
      </c>
      <c r="ED36" s="277" t="str">
        <f t="shared" si="133"/>
        <v/>
      </c>
      <c r="EE36" s="277" t="str">
        <f t="shared" si="134"/>
        <v/>
      </c>
      <c r="EF36" s="277"/>
      <c r="EG36" s="277"/>
      <c r="EH36" s="277" t="str">
        <f t="shared" si="135"/>
        <v/>
      </c>
      <c r="EI36" s="1104" t="str">
        <f t="shared" si="136"/>
        <v/>
      </c>
      <c r="EJ36" s="1104" t="str">
        <f t="shared" si="137"/>
        <v/>
      </c>
      <c r="EK36" s="443" t="str">
        <f>IF(A36=FALSE,"",IF(Cotations!AF36="monthly",EH36/12*L36,EH36/365*M36))</f>
        <v/>
      </c>
      <c r="EL36" s="1103" t="str">
        <f>IF(A36=FALSE,"",IF(Cotations!AF36="monthly",EJ36/12*L36,EJ36/365*M36))</f>
        <v/>
      </c>
      <c r="EM36" s="433" t="str">
        <f>IF(A36=FALSE,"",IF(Cotations!AI36="","",Cotations!AI36))</f>
        <v/>
      </c>
      <c r="EN36" s="277" t="str">
        <f t="shared" si="266"/>
        <v/>
      </c>
      <c r="EO36" s="277" t="str">
        <f t="shared" si="138"/>
        <v/>
      </c>
      <c r="EP36" s="1104" t="str">
        <f t="shared" si="139"/>
        <v/>
      </c>
      <c r="EQ36" s="277" t="str">
        <f t="shared" si="267"/>
        <v/>
      </c>
      <c r="ER36" s="759" t="str">
        <f>IF(A36=FALSE,"",((EH36*TAXE)-(EH36*TAXE*EM36)+EI36)+IF(CQ36="N/A",0,IF(INDEX(LISTES!$F$105:$F$109,MATCH(CQ36,LISTES!$C$105:$C$109,0))="FIX",CR36,CS36*EQ36)))</f>
        <v/>
      </c>
      <c r="ET36" s="422"/>
      <c r="EU36" s="422"/>
      <c r="EV36" s="422"/>
      <c r="EW36" s="422"/>
      <c r="EX36" s="422"/>
      <c r="EY36" s="422"/>
      <c r="EZ36" s="422"/>
      <c r="FA36" s="432" t="str">
        <f>IF(A36=FALSE,"",Cotations!AT36)</f>
        <v/>
      </c>
      <c r="FB36" s="1235" t="str">
        <f>IF(A36=FALSE,"",IF(Detail!AL36="","N/A",YEAR(Detail!F36)&amp;Detail!AO36&amp;Detail!AL36&amp;"-"&amp;Detail!$AL$13&amp;Detail!AM36))</f>
        <v/>
      </c>
      <c r="FC36" s="434" t="str">
        <f>IF(A36=FALSE,"",IF(LISTES!$A$17=1,FB36,INDEX(colMOD2,MATCH(Cotations!AH36,colchoice,0))))</f>
        <v/>
      </c>
      <c r="FD36" s="277" t="str">
        <f t="shared" si="140"/>
        <v/>
      </c>
      <c r="FE36" s="443" t="str">
        <f>IF(A36=FALSE,"",IF(Detail!AM36="","",Detail!AM36))</f>
        <v/>
      </c>
      <c r="FF36" s="277"/>
      <c r="FG36" s="277"/>
      <c r="FH36" s="277" t="str">
        <f t="shared" si="141"/>
        <v/>
      </c>
      <c r="FI36" s="1104"/>
      <c r="FJ36" s="1104"/>
      <c r="FK36" s="443" t="str">
        <f>IF(A36=FALSE,"",IF(Cotations!AF36="monthly",FH36/12*L36,FH36/365*M36))</f>
        <v/>
      </c>
      <c r="FL36" s="1103" t="str">
        <f>IF(A36=FALSE,"",IF(Cotations!AF36="monthly",FJ36/12*L36,FJ36/365*M36))</f>
        <v/>
      </c>
      <c r="FM36" s="433" t="str">
        <f>IF(A36=FALSE,"",IF(Cotations!AJ36="","",Cotations!AJ36))</f>
        <v/>
      </c>
      <c r="FN36" s="277" t="str">
        <f t="shared" si="268"/>
        <v/>
      </c>
      <c r="FO36" s="277" t="str">
        <f t="shared" si="269"/>
        <v/>
      </c>
      <c r="FP36" s="1104"/>
      <c r="FQ36" s="277" t="str">
        <f t="shared" si="270"/>
        <v/>
      </c>
      <c r="FR36" s="759" t="str">
        <f>IF(A36=FALSE,"",((FH36*TAXE)-(FH36*TAXE*FM36))+IF(#REF!="N/A",0,IF(INDEX(LISTES!$F$105:$F$109,MATCH(#REF!,LISTES!$C$105:$C$109,0))="FIX",#REF!,#REF!*FQ36)))</f>
        <v/>
      </c>
      <c r="FS36" s="422"/>
      <c r="FT36" s="422"/>
      <c r="FU36" s="422"/>
      <c r="FV36" s="422"/>
      <c r="FW36" s="422"/>
      <c r="FX36" s="422"/>
      <c r="FY36" s="422"/>
      <c r="FZ36" s="422"/>
      <c r="GA36" s="432" t="str">
        <f t="shared" si="145"/>
        <v/>
      </c>
      <c r="GB36" s="1234" t="str">
        <f>IF(A36=FALSE,"",IF(Detail!DF36="","N/A",YEAR(Detail!F36)&amp;Detail!DI36&amp;Detail!DF36&amp;"-"&amp;Detail!$DF$13))</f>
        <v/>
      </c>
      <c r="GC36" s="434" t="str">
        <f>IF(A36=FALSE,"",IF(LISTES!$A$17=1,GB36,INDEX(colMOD3,MATCH(Cotations!AH36,colchoice,0))))</f>
        <v/>
      </c>
      <c r="GD36" s="277" t="str">
        <f t="shared" si="146"/>
        <v/>
      </c>
      <c r="GE36" s="277" t="str">
        <f t="shared" si="147"/>
        <v/>
      </c>
      <c r="GF36" s="277"/>
      <c r="GG36" s="277"/>
      <c r="GH36" s="277" t="str">
        <f t="shared" si="271"/>
        <v/>
      </c>
      <c r="GI36" s="1104" t="str">
        <f t="shared" si="272"/>
        <v/>
      </c>
      <c r="GJ36" s="1104" t="str">
        <f t="shared" si="273"/>
        <v/>
      </c>
      <c r="GK36" s="443" t="str">
        <f>IF(A36=FALSE,"",IF(Cotations!AF36="monthly",GH36/12*L36,GH36/365*M36))</f>
        <v/>
      </c>
      <c r="GL36" s="1103" t="str">
        <f>IF(A36=FALSE,"",IF(Cotations!AF36="monthly",GJ36/12*L36,GJ36/365*M36))</f>
        <v/>
      </c>
      <c r="GM36" s="433" t="str">
        <f>IF(A36=FALSE,"",IF(Cotations!AK36="","",Cotations!AK36))</f>
        <v/>
      </c>
      <c r="GN36" s="277" t="str">
        <f t="shared" si="274"/>
        <v/>
      </c>
      <c r="GO36" s="277" t="str">
        <f t="shared" si="275"/>
        <v/>
      </c>
      <c r="GP36" s="1104" t="str">
        <f t="shared" si="276"/>
        <v/>
      </c>
      <c r="GQ36" s="277" t="str">
        <f t="shared" si="277"/>
        <v/>
      </c>
      <c r="GR36" s="759" t="str">
        <f>IF(A36=FALSE,"",((GH36*TAXE)-(GH36*TAXE*GM36)+GI36)+IF(CQ36="N/A",0,IF(INDEX(LISTES!$F$105:$F$109,MATCH(CQ36,LISTES!$C$105:$C$109,0))="FIX",CR36,CS36*GQ36)))</f>
        <v/>
      </c>
      <c r="GS36" s="412"/>
      <c r="GT36" s="412"/>
      <c r="GU36" s="412"/>
      <c r="GV36" s="412"/>
      <c r="GW36" s="412"/>
      <c r="GX36" s="412"/>
      <c r="GY36" s="412"/>
      <c r="GZ36" s="412"/>
      <c r="HA36" s="432" t="str">
        <f t="shared" si="155"/>
        <v/>
      </c>
      <c r="HB36" s="1234" t="str">
        <f>IF(A36=FALSE,"",IF(Detail!DF36="","N/A",YEAR(Detail!F36)&amp;Detail!DI36&amp;Detail!DF36&amp;"-"&amp;Detail!$DF$13))</f>
        <v/>
      </c>
      <c r="HC36" s="434" t="str">
        <f>IF(A36=FALSE,"",IF(LISTES!$A$17=1,HB36,INDEX(colMOD4,MATCH(Cotations!AH36,colchoice,0))))</f>
        <v/>
      </c>
      <c r="HD36" s="277" t="str">
        <f t="shared" si="278"/>
        <v/>
      </c>
      <c r="HE36" s="277" t="str">
        <f t="shared" si="279"/>
        <v/>
      </c>
      <c r="HF36" s="277"/>
      <c r="HG36" s="277"/>
      <c r="HH36" s="277" t="str">
        <f t="shared" si="280"/>
        <v/>
      </c>
      <c r="HI36" s="1104" t="str">
        <f t="shared" si="281"/>
        <v/>
      </c>
      <c r="HJ36" s="1104" t="str">
        <f t="shared" si="282"/>
        <v/>
      </c>
      <c r="HK36" s="443" t="str">
        <f>IF(A36=FALSE,"",IF(Cotations!AF36="monthly",HH36/12*L36,HH36/365*M36))</f>
        <v/>
      </c>
      <c r="HL36" s="1103" t="str">
        <f>IF(A36=FALSE,"",IF(Cotations!AF36="monthly",HJ36/12*L36,HJ36/365*M36))</f>
        <v/>
      </c>
      <c r="HM36" s="433" t="str">
        <f>IF(A36=FALSE,"",IF(Cotations!AL36="","",Cotations!AL36))</f>
        <v/>
      </c>
      <c r="HN36" s="277" t="str">
        <f t="shared" si="283"/>
        <v/>
      </c>
      <c r="HO36" s="277" t="str">
        <f t="shared" si="284"/>
        <v/>
      </c>
      <c r="HP36" s="1104" t="str">
        <f t="shared" si="285"/>
        <v/>
      </c>
      <c r="HQ36" s="277" t="str">
        <f t="shared" si="286"/>
        <v/>
      </c>
      <c r="HR36" s="759" t="str">
        <f>IF(A36=FALSE,"",((HH36*TAXE)-(HH36*TAXE*HM36)+HI36)+IF(CQ36="N/A",0,IF(INDEX(LISTES!$F$105:$F$109,MATCH(CQ36,LISTES!$C$105:$C$109,0))="FIX",CR36,CS36*HQ36)))</f>
        <v/>
      </c>
      <c r="HS36" s="412"/>
      <c r="HT36" s="412"/>
      <c r="HU36" s="412"/>
      <c r="HV36" s="412"/>
      <c r="HW36" s="412"/>
      <c r="HX36" s="412"/>
      <c r="HY36" s="412"/>
      <c r="HZ36" s="1262"/>
      <c r="IA36" s="432" t="str">
        <f>IF(A36=FALSE,"",Cotations!AT36)</f>
        <v/>
      </c>
      <c r="IB36" s="1253" t="str">
        <f>IF(A36=FALSE,"",IF(Detail!AT36="","N/A",YEAR(Detail!F36)&amp;Detail!AW36&amp;Detail!AT36&amp;"-"&amp;Detail!$AT$13&amp;Detail!AU36))</f>
        <v/>
      </c>
      <c r="IC36" s="431" t="str">
        <f>IF(A36=FALSE,"",IF(LISTES!$A$17=1,IB36,INDEX(colMOD1,MATCH(DA36,colchoice,0))))</f>
        <v/>
      </c>
      <c r="ID36" s="759" t="str">
        <f t="shared" si="287"/>
        <v/>
      </c>
      <c r="IE36" s="292" t="str">
        <f>IF(A36=FALSE,"",IF(LISTES!$A$17=1,Detail!AU36,INDEX(Rates!$M$1:$M$270,MATCH(IC36,colMOD1,0))))</f>
        <v/>
      </c>
      <c r="IF36" s="409" t="str">
        <f t="shared" si="165"/>
        <v/>
      </c>
      <c r="IG36" s="430" t="str">
        <f>IF(A36=FALSE,"",IF(IA36="POEA",Cotations!AY36,IF(IA36="FIXE",Cotations!AZ36,IF(Cotations!BA36*Y36&lt;50000,Z36,Cotations!BA36*Y36))))</f>
        <v/>
      </c>
      <c r="IH36" s="292" t="str">
        <f t="shared" si="166"/>
        <v/>
      </c>
      <c r="II36" s="446" t="str">
        <f>IF(A36=FALSE,"",IF(Cotations!AU36="monthly",IH36/12*L36,IH36/365*M36))</f>
        <v/>
      </c>
      <c r="IJ36" s="429" t="str">
        <f>IF(A36=FALSE,"",IF(Cotations!BB36="","",Cotations!BB36))</f>
        <v/>
      </c>
      <c r="IK36" s="292" t="str">
        <f t="shared" si="167"/>
        <v/>
      </c>
      <c r="IL36" s="292" t="str">
        <f t="shared" si="168"/>
        <v/>
      </c>
      <c r="IM36" s="759" t="str">
        <f t="shared" si="169"/>
        <v/>
      </c>
      <c r="IN36" s="759" t="str">
        <f>IF(A36=FALSE,"",((IH36*TAXE)-(IH36*TAXE*IJ36))+IF(DQ36="N/A",0,IF(INDEX(LISTES!$F$105:$F$109,MATCH(DQ36,LISTES!$C$105:$C$109,0))="FIX",DR36,DS36*IM36)))</f>
        <v/>
      </c>
      <c r="JA36" s="432" t="str">
        <f>IF(A36=FALSE,"",Cotations!AT36)</f>
        <v/>
      </c>
      <c r="JB36" s="1234" t="str">
        <f>IF(A36=FALSE,"",IF(Detail!BB36="","N/A",YEAR(Detail!F36)&amp;Detail!BE36&amp;Detail!BB36&amp;"-"&amp;Detail!$BB$13&amp;Detail!BC36))</f>
        <v/>
      </c>
      <c r="JC36" s="431" t="str">
        <f>IF(A36=FALSE,"",IF(LISTES!$A$17=1,JB36,INDEX(colMOD2,MATCH(DA36,colchoice,0))))</f>
        <v/>
      </c>
      <c r="JD36" s="759" t="str">
        <f t="shared" si="170"/>
        <v/>
      </c>
      <c r="JE36" s="292"/>
      <c r="JF36" s="409" t="str">
        <f t="shared" si="171"/>
        <v/>
      </c>
      <c r="JG36" s="430" t="str">
        <f>IF(A36=FALSE,"",IF(JA36="POEA",Cotations!BC36,IF(JA36="FIXE",Cotations!BD36,IF(Cotations!BE36*Y36&lt;50000,Z36,Cotations!BE36*Y36))))</f>
        <v/>
      </c>
      <c r="JH36" s="292" t="str">
        <f t="shared" si="172"/>
        <v/>
      </c>
      <c r="JI36" s="446" t="str">
        <f>IF(A36=FALSE,"",IF(Cotations!AU36="monthly",JH36/12*L36,JH36/365*M36))</f>
        <v/>
      </c>
      <c r="JJ36" s="429" t="str">
        <f>IF(A36=FALSE,"",IF(Cotations!BF36="","",Cotations!BF36))</f>
        <v/>
      </c>
      <c r="JK36" s="292" t="str">
        <f t="shared" si="173"/>
        <v/>
      </c>
      <c r="JL36" s="292" t="str">
        <f t="shared" si="174"/>
        <v/>
      </c>
      <c r="JM36" s="759" t="str">
        <f t="shared" si="175"/>
        <v/>
      </c>
      <c r="JN36" s="759" t="str">
        <f>IF(A36=FALSE,"",((JH36*TAXE)-(JH36*TAXE*JJ36))+IF(#REF!="N/A",0,IF(INDEX(LISTES!$F$105:$F$109,MATCH(#REF!,LISTES!$C$105:$C$109,0))="FIX",#REF!,#REF!*JM36)))</f>
        <v/>
      </c>
      <c r="KA36" s="432" t="str">
        <f>IF(A36=FALSE,"",Cotations!AT36)</f>
        <v/>
      </c>
      <c r="KB36" s="1234" t="str">
        <f>IF(A36=FALSE,"",IF(Detail!BJ36="","N/A",YEAR(Detail!F36)&amp;Detail!BM36&amp;Detail!BJ36&amp;"-"&amp;Detail!$BJ$13&amp;Detail!BK36))</f>
        <v/>
      </c>
      <c r="KC36" s="431" t="str">
        <f>IF(A36=FALSE,"",IF(LISTES!$A$17=1,KB36,INDEX(colMOD3,MATCH(DA36,colchoice,0))))</f>
        <v/>
      </c>
      <c r="KD36" s="759" t="str">
        <f t="shared" si="176"/>
        <v/>
      </c>
      <c r="KE36" s="292"/>
      <c r="KF36" s="409" t="str">
        <f t="shared" si="177"/>
        <v/>
      </c>
      <c r="KG36" s="430" t="str">
        <f>IF(A36=FALSE,"",IF(KA36="POEA",Cotations!BG36,IF(KA36="FIXE",Cotations!BH36,IF(Cotations!BI36*Y36&lt;50000,Z36,Cotations!BI36*Y36))))</f>
        <v/>
      </c>
      <c r="KH36" s="292" t="str">
        <f t="shared" si="178"/>
        <v/>
      </c>
      <c r="KI36" s="446" t="str">
        <f>IF(A36=FALSE,"",IF(Cotations!AU36="monthly",KH36/12*L36,KH36/365*M36))</f>
        <v/>
      </c>
      <c r="KJ36" s="429" t="str">
        <f>IF(A36=FALSE,"",IF(Cotations!BJ36="","",Cotations!BJ36))</f>
        <v/>
      </c>
      <c r="KK36" s="292" t="str">
        <f t="shared" si="179"/>
        <v/>
      </c>
      <c r="KL36" s="292" t="str">
        <f t="shared" si="180"/>
        <v/>
      </c>
      <c r="KM36" s="759" t="str">
        <f t="shared" si="181"/>
        <v/>
      </c>
      <c r="KN36" s="759" t="str">
        <f>IF(A36=FALSE,"",((KH36*TAXE)-(KH36*TAXE*KJ36))+IF(#REF!="N/A",0,IF(INDEX(LISTES!$F$105:$F$109,MATCH(#REF!,LISTES!$C$105:$C$109,0))="FIX",#REF!,#REF!*KM36)))</f>
        <v/>
      </c>
      <c r="LA36" s="432" t="str">
        <f>IF(A36=FALSE,"",Cotations!AT36)</f>
        <v/>
      </c>
      <c r="LB36" s="1234" t="str">
        <f>IF(A36=FALSE,"",IF(Detail!BR36="","N/A",YEAR(Detail!F36)&amp;Detail!BU36&amp;Detail!BR36&amp;"-"&amp;Detail!$BR$13&amp;Detail!BS36))</f>
        <v/>
      </c>
      <c r="LC36" s="431" t="str">
        <f>IF(A36=FALSE,"",IF(LISTES!$A$17=1,LB36,INDEX(colMOD4,MATCH(DA36,colchoice,0))))</f>
        <v/>
      </c>
      <c r="LD36" s="759" t="str">
        <f t="shared" si="182"/>
        <v/>
      </c>
      <c r="LE36" s="292"/>
      <c r="LF36" s="409" t="str">
        <f t="shared" si="183"/>
        <v/>
      </c>
      <c r="LG36" s="430" t="str">
        <f>IF(A36=FALSE,"",IF(LA36="POEA",Cotations!BK36,IF(LA36="FIXE",Cotations!BL36,IF(Cotations!BM36*Y36&lt;50000,Z36,Cotations!BM36*Y36))))</f>
        <v/>
      </c>
      <c r="LH36" s="292" t="str">
        <f t="shared" si="184"/>
        <v/>
      </c>
      <c r="LI36" s="446" t="str">
        <f>IF(A36=FALSE,"",IF(Cotations!AU36="monthly",LH36/12*L36,LH36/365*M36))</f>
        <v/>
      </c>
      <c r="LJ36" s="429" t="str">
        <f>IF(A36=FALSE,"",IF(Cotations!BN36="","",Cotations!BN36))</f>
        <v/>
      </c>
      <c r="LK36" s="292" t="str">
        <f t="shared" si="185"/>
        <v/>
      </c>
      <c r="LL36" s="292" t="str">
        <f t="shared" si="186"/>
        <v/>
      </c>
      <c r="LM36" s="759" t="str">
        <f t="shared" si="187"/>
        <v/>
      </c>
      <c r="LN36" s="759" t="str">
        <f>IF(A36=FALSE,"",((LH36*TAXE)-(LH36*TAXE*LJ36))+IF(#REF!="N/A",0,IF(INDEX(LISTES!$F$105:$F$109,MATCH(#REF!,LISTES!$C$105:$C$109,0))="FIX",#REF!,#REF!*LM36)))</f>
        <v/>
      </c>
      <c r="MA36" s="432" t="str">
        <f t="shared" si="188"/>
        <v/>
      </c>
      <c r="MB36" s="1234" t="str">
        <f>IF(A36=FALSE,"",IF(Detail!BZ36="","N/A",YEAR(Detail!F36)&amp;Detail!CC36&amp;Detail!BZ36&amp;"-"&amp;Detail!$BZ$13&amp;" (100%/"&amp;Detail!CD36&amp;"/"&amp;Detail!CE36&amp;")"))</f>
        <v/>
      </c>
      <c r="MC36" s="431" t="str">
        <f>IF(A36=FALSE,"",IF(LISTES!$A$17=1,MB36,INDEX(colMOD5,MATCH(DA36,colchoice,0))))</f>
        <v/>
      </c>
      <c r="MD36" s="759" t="str">
        <f t="shared" si="189"/>
        <v/>
      </c>
      <c r="ME36" s="292"/>
      <c r="MF36" s="409" t="str">
        <f t="shared" si="190"/>
        <v/>
      </c>
      <c r="MG36" s="430" t="str">
        <f>IF(A36=FALSE,"",Cotations!BQ36*AA36)</f>
        <v/>
      </c>
      <c r="MH36" s="292" t="str">
        <f t="shared" si="191"/>
        <v/>
      </c>
      <c r="MI36" s="446" t="str">
        <f>IF(A36=FALSE,"",IF(Cotations!AU36="monthly",MH36/12*L36,MH36/365*M36))</f>
        <v/>
      </c>
      <c r="MJ36" s="429" t="str">
        <f>IF(A36=FALSE,"",IF(Cotations!BR36="","",Cotations!BR36))</f>
        <v/>
      </c>
      <c r="MK36" s="292" t="str">
        <f t="shared" si="192"/>
        <v/>
      </c>
      <c r="ML36" s="292" t="str">
        <f t="shared" si="193"/>
        <v/>
      </c>
      <c r="MM36" s="759" t="str">
        <f t="shared" si="194"/>
        <v/>
      </c>
      <c r="MN36" s="759" t="str">
        <f>IF(A36=FALSE,"",((MH36*TAXE)-(MH36*TAXE*MJ36))+IF(#REF!="N/A",0,IF(INDEX(LISTES!$F$105:$F$109,MATCH(#REF!,LISTES!$C$105:$C$109,0))="FIX",#REF!,#REF!*MM36)))</f>
        <v/>
      </c>
      <c r="NA36" s="432" t="str">
        <f t="shared" si="195"/>
        <v/>
      </c>
      <c r="NB36" s="1234" t="str">
        <f>IF(A36=FALSE,"",IF(Detail!CH36="","N/A",YEAR(Detail!F36)&amp;Detail!CK36&amp;Detail!CH36&amp;"-"&amp;Detail!$CH$13&amp;" (100%/"&amp;Detail!CL36&amp;"/"&amp;Detail!CM36&amp;")"))</f>
        <v/>
      </c>
      <c r="NC36" s="431" t="str">
        <f>IF(A36=FALSE,"",IF(LISTES!$A$17=1,NB36,INDEX(colMOD6,MATCH(DA36,colchoice,0))))</f>
        <v/>
      </c>
      <c r="ND36" s="759" t="str">
        <f t="shared" si="196"/>
        <v/>
      </c>
      <c r="NE36" s="292"/>
      <c r="NF36" s="409" t="str">
        <f t="shared" si="197"/>
        <v/>
      </c>
      <c r="NG36" s="430" t="str">
        <f>IF(A36=FALSE,"",Cotations!BU36*AA36)</f>
        <v/>
      </c>
      <c r="NH36" s="292" t="str">
        <f t="shared" si="198"/>
        <v/>
      </c>
      <c r="NI36" s="446" t="str">
        <f>IF(A36=FALSE,"",IF(Cotations!AU36="monthly",NH36/12*L36,NH36/365*M36))</f>
        <v/>
      </c>
      <c r="NJ36" s="429" t="str">
        <f>IF(A36=FALSE,"",IF(Cotations!BV36="","",Cotations!BV36))</f>
        <v/>
      </c>
      <c r="NK36" s="292" t="str">
        <f t="shared" si="199"/>
        <v/>
      </c>
      <c r="NL36" s="292" t="str">
        <f t="shared" si="200"/>
        <v/>
      </c>
      <c r="NM36" s="759" t="str">
        <f t="shared" si="201"/>
        <v/>
      </c>
      <c r="NN36" s="759" t="str">
        <f>IF(A36=FALSE,"",((NH36*TAXE)-(NH36*TAXE*NJ36))+IF(#REF!="N/A",0,IF(INDEX(LISTES!$F$105:$F$109,MATCH(#REF!,LISTES!$C$105:$C$109,0))="FIX",#REF!,#REF!*NM36)))</f>
        <v/>
      </c>
      <c r="NZ36" s="1281" t="str">
        <f>IF(A36=FALSE,"",IF(Detail!CP36="","N/A",YEAR(Detail!F36)&amp;Detail!CS36&amp;Detail!CP36&amp;"-"&amp;Detail!CQ36))</f>
        <v/>
      </c>
      <c r="OA36" s="432" t="str">
        <f>IF(A36=FALSE,"",Cotations!CF36)</f>
        <v/>
      </c>
      <c r="OB36" s="1282" t="str">
        <f>IF(A36=FALSE,"",IF(Detail!CP36="","N/A",YEAR(Detail!F36)&amp;Detail!CS36&amp;Detail!CP36&amp;"-"&amp;Detail!$CP$13&amp;Detail!CQ36))</f>
        <v/>
      </c>
      <c r="OC36" s="1283" t="str">
        <f>IF(A36=FALSE,"",IF(LISTES!$A$17=1,OB36,INDEX(colMOD1,MATCH(Cotations!CE36,colchoice,0))))</f>
        <v/>
      </c>
      <c r="OD36" s="759" t="str">
        <f t="shared" si="202"/>
        <v/>
      </c>
      <c r="OE36" s="292" t="str">
        <f>IF(A36=FALSE,"",Detail!CQ36)</f>
        <v/>
      </c>
      <c r="OF36" s="409" t="str">
        <f t="shared" si="203"/>
        <v/>
      </c>
      <c r="OG36" s="430" t="str">
        <f>IF(A36=FALSE,"",IF(OA36="FIXE",Cotations!CM36,Cotations!CN36*AA36))</f>
        <v/>
      </c>
      <c r="OH36" s="292" t="str">
        <f t="shared" si="288"/>
        <v/>
      </c>
      <c r="OI36" s="446" t="str">
        <f>IF(A36=FALSE,"",IF(Cotations!CF36="monthly",OH36/12*L36,OH36/365*M36))</f>
        <v/>
      </c>
      <c r="OJ36" s="429" t="str">
        <f>IF(A36=FALSE,"",IF(Cotations!CO36="","",Cotations!CO36))</f>
        <v/>
      </c>
      <c r="OK36" s="292" t="str">
        <f t="shared" si="289"/>
        <v/>
      </c>
      <c r="OL36" s="292" t="str">
        <f t="shared" si="290"/>
        <v/>
      </c>
      <c r="OM36" s="759" t="str">
        <f t="shared" si="207"/>
        <v/>
      </c>
      <c r="ON36" s="759" t="str">
        <f>IF(A36=FALSE,"",((OH36*(1+TAXE)-(OH36*(1+TAXE)*OJ36))+IF(#REF!="N/A",0,IF(INDEX(LISTES!$F$105:$F$109,MATCH(#REF!,LISTES!$C$105:$C$109,0))="FIX",#REF!,#REF!*OM36))))</f>
        <v/>
      </c>
      <c r="PA36" s="432" t="str">
        <f>IF(A36=FALSE,"",Cotations!CF36)</f>
        <v/>
      </c>
      <c r="PB36" s="1282" t="str">
        <f>IF(A36=FALSE,"",IF(Detail!CX36="","N/A",YEAR(Detail!F36)&amp;Detail!DA36&amp;Detail!CX36&amp;"-"&amp;Detail!$CX$13&amp;Detail!CY36))</f>
        <v/>
      </c>
      <c r="PC36" s="1283" t="str">
        <f>IF(A36=FALSE,"",IF(LISTES!$A$17=1,PB36,INDEX(colMOD3,MATCH(Cotations!CE36,colchoice,0))))</f>
        <v/>
      </c>
      <c r="PD36" s="759" t="str">
        <f t="shared" si="208"/>
        <v/>
      </c>
      <c r="PE36" s="292" t="str">
        <f>IF(A36=FALSE,"",IF(Detail!CY36="","",Detail!CY36))</f>
        <v/>
      </c>
      <c r="PF36" s="409" t="str">
        <f t="shared" si="291"/>
        <v/>
      </c>
      <c r="PG36" s="430" t="str">
        <f>IF(A36=FALSE,"",IF(PA36="FIXE",Cotations!CP36,Cotations!CQ36*AA36))</f>
        <v/>
      </c>
      <c r="PH36" s="292" t="str">
        <f t="shared" si="292"/>
        <v/>
      </c>
      <c r="PI36" s="446" t="str">
        <f>IF(A36=FALSE,"",IF(Cotations!CG36="monthly",PH36/12*L36,PH36/365*M36))</f>
        <v/>
      </c>
      <c r="PJ36" s="429" t="str">
        <f>IF(A36=FALSE,"",IF(Cotations!DA36="",0,Cotations!DA36))</f>
        <v/>
      </c>
      <c r="PK36" s="292" t="str">
        <f t="shared" si="293"/>
        <v/>
      </c>
      <c r="PL36" s="292" t="str">
        <f t="shared" si="294"/>
        <v/>
      </c>
      <c r="PM36" s="759" t="str">
        <f t="shared" si="211"/>
        <v/>
      </c>
      <c r="PN36" s="759" t="str">
        <f>IF(A36=FALSE,"",((PH36*(1+TAXE)-(PH36*(1+TAXE)*PJ36))+IF(#REF!="N/A",0,IF(INDEX(LISTES!$F$105:$F$109,MATCH(#REF!,LISTES!$C$105:$C$109,0))="FIX",#REF!,#REF!*PM36))))</f>
        <v/>
      </c>
    </row>
    <row r="37" spans="1:430" s="801" customFormat="1">
      <c r="A37" s="779" t="b">
        <f t="shared" si="111"/>
        <v>0</v>
      </c>
      <c r="B37" s="779" t="b">
        <f>IF(NAMES!$B$9=TRUE,TRUE,FALSE)</f>
        <v>1</v>
      </c>
      <c r="C37" s="779" t="b">
        <f t="shared" si="212"/>
        <v>0</v>
      </c>
      <c r="D37" s="779" t="b">
        <f t="shared" si="213"/>
        <v>1</v>
      </c>
      <c r="E37" s="652" t="b">
        <f>IF(Cotations!C37="","",Cotations!C37)</f>
        <v>0</v>
      </c>
      <c r="F37" s="652" t="str">
        <f>IF(Cotations!AT37="","",Cotations!AT37)</f>
        <v>PROP</v>
      </c>
      <c r="G37" s="652" t="str">
        <f>IF(Cotations!D37="","",Cotations!D37)</f>
        <v>2016-2017!</v>
      </c>
      <c r="H37" s="652" t="str">
        <f>IF(Cotations!E37="","",Cotations!E37)</f>
        <v>SINGLE</v>
      </c>
      <c r="I37" s="652" t="str">
        <f>IF(Cotations!F37="","",Cotations!F37)</f>
        <v/>
      </c>
      <c r="J37" s="652" t="str">
        <f>IF(Cotations!G37="","",Cotations!G37)</f>
        <v/>
      </c>
      <c r="K37" s="652" t="str">
        <f>IF(Cotations!H37="","",Cotations!H37)</f>
        <v/>
      </c>
      <c r="L37" s="652" t="str">
        <f>IF(A37=FALSE,"",IF(Cotations!M37="","",Cotations!M37))</f>
        <v/>
      </c>
      <c r="M37" s="652" t="str">
        <f>IF(Cotations!O37="","",Cotations!O37)</f>
        <v/>
      </c>
      <c r="N37" s="780">
        <f>IF(NAMES!$B$10=TRUE,Cotations!I37,Cotations!K37)</f>
        <v>42566</v>
      </c>
      <c r="O37" s="780">
        <f>IF(NAMES!$B$10=TRUE,Cotations!J37,Cotations!L37)</f>
        <v>42675</v>
      </c>
      <c r="P37" s="780" t="str">
        <f t="shared" si="214"/>
        <v>juillet</v>
      </c>
      <c r="Q37" s="780" t="str">
        <f>IF(A37=FALSE,"",IF(Crewlist!Y37="","",Crewlist!Y37))</f>
        <v/>
      </c>
      <c r="R37" s="800" t="str">
        <f>IF(Cotations!T37="","",Cotations!T37)</f>
        <v/>
      </c>
      <c r="S37" s="780" t="str">
        <f t="shared" si="215"/>
        <v/>
      </c>
      <c r="T37" s="759" t="str">
        <f>IF(A37=FALSE,"",VLOOKUP($U$15:$U$120,Currency!$A$2:$D$10,4,0)*Crewlist!N37)</f>
        <v/>
      </c>
      <c r="U37" s="1097" t="str">
        <f>IF(A37=FALSE,"",IF(DP37=0,Crewlist!M37&amp;"/"&amp;CP37,Crewlist!M37&amp;"/"&amp;DP37))</f>
        <v/>
      </c>
      <c r="V37" s="759" t="str">
        <f>IF(A37=FALSE,"",VLOOKUP($U$15:$U$120,Currency!$A$2:$D$10,4,0)*Detail!Q37)</f>
        <v/>
      </c>
      <c r="W37" s="1097" t="str">
        <f>IF(A37=FALSE,"",IF(DP37=0,Detail!R37&amp;"/"&amp;CP37,Detail!R37&amp;"/"&amp;DP37))</f>
        <v/>
      </c>
      <c r="X37" s="759" t="str">
        <f>IF(A37=FALSE,"",IF(LISTES!$C$17="Crewlist",Calcul!T37,Calcul!V37))</f>
        <v/>
      </c>
      <c r="Y37" s="618" t="str">
        <f t="shared" si="216"/>
        <v/>
      </c>
      <c r="Z37" s="618" t="str">
        <f>IF(A37=FALSE,"",IF(X37=0,0,IF((Cotations!BA37*12*X37)&lt;50000,50000,(12*X37))))</f>
        <v/>
      </c>
      <c r="AA37" s="618" t="str">
        <f t="shared" si="217"/>
        <v/>
      </c>
      <c r="AB37" s="618" t="str">
        <f>IF(A37=FALSE,"",IF(Crewlist!O37=0,"",Crewlist!O37))</f>
        <v/>
      </c>
      <c r="AC37" s="618" t="str">
        <f>IF(I37="","",VLOOKUP($AB$15:$AB$120,Currency!$A$15:$B$34,2,0))</f>
        <v/>
      </c>
      <c r="AD37" s="618" t="str">
        <f t="shared" si="218"/>
        <v/>
      </c>
      <c r="AE37" s="618" t="str">
        <f t="shared" si="219"/>
        <v/>
      </c>
      <c r="AF37" s="618" t="str">
        <f t="shared" si="220"/>
        <v/>
      </c>
      <c r="AG37" s="618" t="str">
        <f t="shared" si="221"/>
        <v/>
      </c>
      <c r="AH37" s="1097" t="str">
        <f t="shared" si="112"/>
        <v/>
      </c>
      <c r="AI37" s="759" t="str">
        <f t="shared" si="222"/>
        <v/>
      </c>
      <c r="AJ37" s="1120" t="str">
        <f t="shared" si="223"/>
        <v/>
      </c>
      <c r="AK37" s="1120" t="str">
        <f t="shared" si="224"/>
        <v/>
      </c>
      <c r="AL37" s="236" t="str">
        <f t="shared" si="225"/>
        <v/>
      </c>
      <c r="AM37" s="236" t="str">
        <f t="shared" si="226"/>
        <v/>
      </c>
      <c r="AN37" s="1112" t="str">
        <f t="shared" si="227"/>
        <v/>
      </c>
      <c r="AO37" s="236" t="str">
        <f t="shared" si="228"/>
        <v/>
      </c>
      <c r="AP37" s="327" t="str">
        <f>IF(A37=FALSE,"",INDEX(Rates!$Q$1:$Q$278,MATCH(CA37,colchoice,0)))</f>
        <v/>
      </c>
      <c r="AQ37" s="236" t="str">
        <f t="shared" si="229"/>
        <v/>
      </c>
      <c r="AR37" s="236" t="str">
        <f t="shared" si="230"/>
        <v/>
      </c>
      <c r="AS37" s="236" t="str">
        <f t="shared" si="117"/>
        <v/>
      </c>
      <c r="AT37" s="236" t="str">
        <f t="shared" si="118"/>
        <v/>
      </c>
      <c r="AU37" s="236" t="str">
        <f t="shared" si="231"/>
        <v/>
      </c>
      <c r="AV37" s="236" t="str">
        <f t="shared" si="232"/>
        <v/>
      </c>
      <c r="AW37" s="236" t="str">
        <f t="shared" si="233"/>
        <v/>
      </c>
      <c r="AX37" s="236" t="str">
        <f t="shared" si="234"/>
        <v/>
      </c>
      <c r="AY37" s="236" t="str">
        <f t="shared" si="235"/>
        <v/>
      </c>
      <c r="AZ37" s="236" t="str">
        <f t="shared" si="236"/>
        <v/>
      </c>
      <c r="BA37" s="236" t="str">
        <f t="shared" si="237"/>
        <v/>
      </c>
      <c r="BB37" s="467" t="str">
        <f t="shared" si="238"/>
        <v/>
      </c>
      <c r="BC37" s="329" t="str">
        <f t="shared" si="239"/>
        <v/>
      </c>
      <c r="BD37" s="237" t="str">
        <f t="shared" si="240"/>
        <v/>
      </c>
      <c r="BE37" s="237" t="str">
        <f>IF(A37=FALSE,"",IF(ED37&lt;&gt;$BC$7,0,INDEX(EA37:EZ37,1,MATCH(Structure!$J$16,$EA$14:$EZ$14,0))))</f>
        <v/>
      </c>
      <c r="BF37" s="237" t="str">
        <f>IF(A37=FALSE,"",IF(FD37&lt;&gt;$BC$7,0,INDEX(FA37:FZ37,1,MATCH(Structure!$J$16,$FA$14:$FZ$14,0))))</f>
        <v/>
      </c>
      <c r="BG37" s="237" t="str">
        <f>IF(A37=FALSE,"",IF(GD37&lt;&gt;$BC$7,0,INDEX(GA37:GZ37,1,MATCH(Structure!$J$16,$GA$14:$GZ$14,0))))</f>
        <v/>
      </c>
      <c r="BH37" s="237" t="str">
        <f>IF(A37=FALSE,"",IF(HD37&lt;&gt;$BC$7,0,INDEX(HA37:HZ37,1,MATCH(Structure!$J$16,$HA$14:$HZ$14,0))))</f>
        <v/>
      </c>
      <c r="BI37" s="621" t="str">
        <f>IF(A37=FALSE,"",IF(ID37&lt;&gt;$BC$7,0,INDEX(IA37:IZ37,1,MATCH(Structure!$C$12,$IA$14:$IZ$14,0)))+OL37)</f>
        <v/>
      </c>
      <c r="BJ37" s="237" t="str">
        <f>IF(A37=FALSE,"",IF(JD37&lt;&gt;$BC$7,0,INDEX(JA37:JZ37,1,MATCH(Structure!$C$12,$JA$14:$JZ$14,0))))</f>
        <v/>
      </c>
      <c r="BK37" s="621" t="str">
        <f>IF(A37=FALSE,"",IF(KD37&lt;&gt;$BC$7,0,INDEX(KA37:KZ37,1,MATCH(Structure!$C$12,$KA$14:$KZ$14,0)))+PL37)</f>
        <v/>
      </c>
      <c r="BL37" s="237" t="str">
        <f>IF(A37=FALSE,"",IF(LD37&lt;&gt;$BC$7,0,INDEX(LA37:LZ37,1,MATCH(Structure!$C$12,$LA$14:$LZ$14,0))))</f>
        <v/>
      </c>
      <c r="BM37" s="237" t="str">
        <f>IF(A37=FALSE,"",IF(MD37&lt;&gt;$BC$7,0,INDEX(MA37:MZ37,1,MATCH(Structure!$C$12,$MA$14:$MZ$14,0))))</f>
        <v/>
      </c>
      <c r="BN37" s="326" t="str">
        <f>IF(A37=FALSE,"",IF(ND37&lt;&gt;$BC$7,0,INDEX(NA37:OC37,1,MATCH(Structure!$C$12,$NA$14:$OC$14,0))))</f>
        <v/>
      </c>
      <c r="BO37" s="435" t="str">
        <f t="shared" si="241"/>
        <v/>
      </c>
      <c r="BP37" s="237" t="str">
        <f t="shared" si="242"/>
        <v/>
      </c>
      <c r="BQ37" s="237" t="str">
        <f>IF(A37=FALSE,"",IF(ED37&lt;&gt;$BO$7,0,INDEX(EA37:EZ37,1,MATCH(Structure!$C$12,$EA$14:$EZ$14,0))))</f>
        <v/>
      </c>
      <c r="BR37" s="237" t="str">
        <f>IF(A37=FALSE,"",IF(FD37&lt;&gt;$BO$7,0,INDEX(FA37:FZ37,1,MATCH(Structure!$C$12,$FA$14:$FZ$14,0))))</f>
        <v/>
      </c>
      <c r="BS37" s="237" t="str">
        <f>IF(A37=FALSE,"",IF(ID37&lt;&gt;$BO$7,0,INDEX(IA37:IZ37,1,MATCH(Structure!$C$13,$IA$14:$IZ$14,0))))</f>
        <v/>
      </c>
      <c r="BT37" s="237" t="str">
        <f>IF(A37=FALSE,"",IF(JD37&lt;&gt;$BO$7,0,INDEX(JA37:JZ37,1,MATCH(Structure!$C$13,$JA$14:$JZ$14,0))))</f>
        <v/>
      </c>
      <c r="BU37" s="237" t="str">
        <f>IF(A37=FALSE,"",IF(KD37&lt;&gt;$BO$7,0,INDEX(KA37:KZ37,1,MATCH(Structure!$C$13,$KA$14:$KZ$14,0))))</f>
        <v/>
      </c>
      <c r="BV37" s="237" t="str">
        <f>IF(A37=FALSE,"",IF(LD37&lt;&gt;$BO$7,0,INDEX(LA37:LZ37,1,MATCH(Structure!$C$13,$LA$14:$LZ$14,0))))</f>
        <v/>
      </c>
      <c r="BW37" s="237" t="str">
        <f>IF(A37=FALSE,"",IF(MD37&lt;&gt;$BO$7,0,INDEX(MA37:MZ37,1,MATCH(Structure!$C$13,$MA$14:$MZ$14,0))))</f>
        <v/>
      </c>
      <c r="BX37" s="326" t="str">
        <f>IF(A37=FALSE,"",IF(ND37&lt;&gt;$BO$7,0,INDEX(NA37:OC37,1,MATCH(Structure!$C$13,$NA$14:$OC$14,0))))</f>
        <v/>
      </c>
      <c r="BY37" s="807"/>
      <c r="BZ37" s="807"/>
      <c r="CA37" s="1255" t="str">
        <f>IF(A37=FALSE,"",IF(LISTES!$A$17=1,Cotations!AG37,Cotations!AH37))</f>
        <v/>
      </c>
      <c r="CB37" s="1266" t="str">
        <f t="shared" si="243"/>
        <v/>
      </c>
      <c r="CC37" s="1120" t="str">
        <f t="shared" si="244"/>
        <v/>
      </c>
      <c r="CD37" s="1120" t="str">
        <f t="shared" si="245"/>
        <v/>
      </c>
      <c r="CE37" s="1120" t="str">
        <f t="shared" si="246"/>
        <v/>
      </c>
      <c r="CF37" s="1120" t="str">
        <f t="shared" si="247"/>
        <v/>
      </c>
      <c r="CG37" s="1267"/>
      <c r="CH37" s="1267"/>
      <c r="CI37" s="1268" t="str">
        <f t="shared" si="248"/>
        <v/>
      </c>
      <c r="CJ37" s="286" t="str">
        <f t="shared" si="249"/>
        <v/>
      </c>
      <c r="CK37" s="286" t="str">
        <f t="shared" si="250"/>
        <v/>
      </c>
      <c r="CL37" s="1263"/>
      <c r="CM37" s="1263"/>
      <c r="CN37" s="1263"/>
      <c r="CO37" s="1263"/>
      <c r="CP37" s="319" t="str">
        <f t="shared" si="251"/>
        <v/>
      </c>
      <c r="CQ37" s="443" t="str">
        <f>IF(A37=FALSE,"",Cotations!AM37)</f>
        <v/>
      </c>
      <c r="CR37" s="443" t="str">
        <f>IF(A37=FALSE,"",IF(Cotations!AN37="","",Cotations!AN37))</f>
        <v/>
      </c>
      <c r="CS37" s="433" t="str">
        <f>IF(A37=FALSE,"",Cotations!AO37)</f>
        <v/>
      </c>
      <c r="CT37" s="443" t="str">
        <f>IF(A37=FALSE,"",IF(CQ37="N/A",0,IF(INDEX(LISTES!$F$105:$F$109,MATCH(CQ37,LISTES!$C$105:$C$109,0))="FIX",IF(INDEX(LISTES!$E$105:$E$109,MATCH(CQ37,LISTES!$C$105:$C$109,0))=12,CR37/12*L37,CR37/365*M37),CS37*EQ37)))</f>
        <v/>
      </c>
      <c r="CU37" s="434" t="str">
        <f>IF(A37=FALSE,"",(CJ37+CK37)*Cotations!AP37)</f>
        <v/>
      </c>
      <c r="CV37" s="434" t="str">
        <f>IF(A37=FALSE,"",(CJ37+CK37)*Cotations!AQ37)</f>
        <v/>
      </c>
      <c r="DA37" s="1253" t="str">
        <f>IF(A37=FALSE,"",IF(LISTES!$A$17=1,Cotations!AV37,Cotations!AW37))</f>
        <v/>
      </c>
      <c r="DB37" s="1271" t="str">
        <f t="shared" si="252"/>
        <v/>
      </c>
      <c r="DC37" s="1270" t="str">
        <f t="shared" si="253"/>
        <v/>
      </c>
      <c r="DD37" s="1270" t="str">
        <f t="shared" si="254"/>
        <v/>
      </c>
      <c r="DE37" s="1270" t="str">
        <f t="shared" si="255"/>
        <v/>
      </c>
      <c r="DF37" s="1270" t="str">
        <f t="shared" si="256"/>
        <v/>
      </c>
      <c r="DG37" s="1270" t="str">
        <f t="shared" si="257"/>
        <v/>
      </c>
      <c r="DH37" s="1270" t="str">
        <f t="shared" si="258"/>
        <v/>
      </c>
      <c r="DI37" s="1271" t="str">
        <f t="shared" si="259"/>
        <v/>
      </c>
      <c r="DJ37" s="286" t="str">
        <f t="shared" si="260"/>
        <v/>
      </c>
      <c r="DK37" s="286" t="str">
        <f t="shared" si="261"/>
        <v/>
      </c>
      <c r="DL37" s="1264" t="str">
        <f t="shared" si="262"/>
        <v/>
      </c>
      <c r="DM37" s="1264" t="str">
        <f t="shared" si="263"/>
        <v/>
      </c>
      <c r="DN37" s="1264" t="str">
        <f t="shared" si="264"/>
        <v/>
      </c>
      <c r="DO37" s="1264" t="str">
        <f t="shared" si="265"/>
        <v/>
      </c>
      <c r="DP37" s="323" t="str">
        <f t="shared" si="132"/>
        <v/>
      </c>
      <c r="DQ37" s="806" t="str">
        <f>IF(A37=FALSE,"",Cotations!BW37)</f>
        <v/>
      </c>
      <c r="DR37" s="806" t="str">
        <f>IF(A37=FALSE,"",Cotations!BX37)</f>
        <v/>
      </c>
      <c r="DS37" s="535" t="str">
        <f>IF(A37=FALSE,"",Cotations!BY37)</f>
        <v/>
      </c>
      <c r="DT37" s="830" t="str">
        <f>IF(A37=FALSE,"",IF(DQ37="N/A",0,IF(INDEX(LISTES!$F$105:$F$109,MATCH(DQ37,LISTES!$C$105:$C$109,0))="FIX",IF(INDEX(LISTES!$E$105:$E$109,MATCH(DQ37,LISTES!$C$105:$C$109,0))=12,DR37/12*L37,DR37/365*M37),DS37*(DN37+DO37))))</f>
        <v/>
      </c>
      <c r="DU37" s="805" t="str">
        <f>IF(A37=FALSE,"",DJ37*Cotations!BZ37)</f>
        <v/>
      </c>
      <c r="DV37" s="805" t="str">
        <f>IF(A37=FALSE,"",DJ37*Cotations!CA37)</f>
        <v/>
      </c>
      <c r="EA37" s="432" t="str">
        <f>IF(A37=FALSE,"",Cotations!AT37)</f>
        <v/>
      </c>
      <c r="EB37" s="1234" t="str">
        <f>IF(A37=FALSE,"",YEAR(Detail!F37)&amp;Detail!AG37&amp;Detail!AD37&amp;"-"&amp;Detail!$AD$13&amp;Detail!AE37)</f>
        <v/>
      </c>
      <c r="EC37" s="434" t="str">
        <f>IF(A37=FALSE,"",IF(LISTES!$A$17=1,EB37,INDEX(colMOD1,MATCH(Cotations!AH37,colchoice,0))))</f>
        <v/>
      </c>
      <c r="ED37" s="277" t="str">
        <f t="shared" si="133"/>
        <v/>
      </c>
      <c r="EE37" s="277" t="str">
        <f t="shared" si="134"/>
        <v/>
      </c>
      <c r="EF37" s="808"/>
      <c r="EG37" s="808"/>
      <c r="EH37" s="277" t="str">
        <f t="shared" si="135"/>
        <v/>
      </c>
      <c r="EI37" s="1104" t="str">
        <f t="shared" si="136"/>
        <v/>
      </c>
      <c r="EJ37" s="1104" t="str">
        <f t="shared" si="137"/>
        <v/>
      </c>
      <c r="EK37" s="443" t="str">
        <f>IF(A37=FALSE,"",IF(Cotations!AF37="monthly",EH37/12*L37,EH37/365*M37))</f>
        <v/>
      </c>
      <c r="EL37" s="1103" t="str">
        <f>IF(A37=FALSE,"",IF(Cotations!AF37="monthly",EJ37/12*L37,EJ37/365*M37))</f>
        <v/>
      </c>
      <c r="EM37" s="433" t="str">
        <f>IF(A37=FALSE,"",IF(Cotations!AI37="","",Cotations!AI37))</f>
        <v/>
      </c>
      <c r="EN37" s="808" t="str">
        <f t="shared" si="266"/>
        <v/>
      </c>
      <c r="EO37" s="277" t="str">
        <f t="shared" si="138"/>
        <v/>
      </c>
      <c r="EP37" s="1104" t="str">
        <f t="shared" si="139"/>
        <v/>
      </c>
      <c r="EQ37" s="277" t="str">
        <f t="shared" si="267"/>
        <v/>
      </c>
      <c r="ER37" s="759" t="str">
        <f>IF(A37=FALSE,"",((EH37*TAXE)-(EH37*TAXE*EM37)+EI37)+IF(CQ37="N/A",0,IF(INDEX(LISTES!$F$105:$F$109,MATCH(CQ37,LISTES!$C$105:$C$109,0))="FIX",CR37,CS37*EQ37)))</f>
        <v/>
      </c>
      <c r="ET37" s="809"/>
      <c r="EU37" s="809"/>
      <c r="EV37" s="809"/>
      <c r="EW37" s="809"/>
      <c r="EX37" s="809"/>
      <c r="EY37" s="809"/>
      <c r="EZ37" s="809"/>
      <c r="FA37" s="802" t="str">
        <f>IF(A37=FALSE,"",Cotations!AT37)</f>
        <v/>
      </c>
      <c r="FB37" s="1235" t="str">
        <f>IF(A37=FALSE,"",IF(Detail!AL37="","N/A",YEAR(Detail!F37)&amp;Detail!AO37&amp;Detail!AL37&amp;"-"&amp;Detail!$AL$13&amp;Detail!AM37))</f>
        <v/>
      </c>
      <c r="FC37" s="434" t="str">
        <f>IF(A37=FALSE,"",IF(LISTES!$A$17=1,FB37,INDEX(colMOD2,MATCH(Cotations!AH37,colchoice,0))))</f>
        <v/>
      </c>
      <c r="FD37" s="277" t="str">
        <f t="shared" si="140"/>
        <v/>
      </c>
      <c r="FE37" s="808" t="str">
        <f>IF(A37=FALSE,"",IF(Detail!AM37="","",Detail!AM37))</f>
        <v/>
      </c>
      <c r="FF37" s="808"/>
      <c r="FG37" s="808"/>
      <c r="FH37" s="277" t="str">
        <f t="shared" si="141"/>
        <v/>
      </c>
      <c r="FI37" s="1104"/>
      <c r="FJ37" s="1104"/>
      <c r="FK37" s="443" t="str">
        <f>IF(A37=FALSE,"",IF(Cotations!AF37="monthly",FH37/12*L37,FH37/365*M37))</f>
        <v/>
      </c>
      <c r="FL37" s="1103" t="str">
        <f>IF(A37=FALSE,"",IF(Cotations!AF37="monthly",FJ37/12*L37,FJ37/365*M37))</f>
        <v/>
      </c>
      <c r="FM37" s="433" t="str">
        <f>IF(A37=FALSE,"",IF(Cotations!AJ37="","",Cotations!AJ37))</f>
        <v/>
      </c>
      <c r="FN37" s="277" t="str">
        <f t="shared" si="268"/>
        <v/>
      </c>
      <c r="FO37" s="277" t="str">
        <f t="shared" si="269"/>
        <v/>
      </c>
      <c r="FP37" s="1104"/>
      <c r="FQ37" s="277" t="str">
        <f t="shared" si="270"/>
        <v/>
      </c>
      <c r="FR37" s="759" t="str">
        <f>IF(A37=FALSE,"",((FH37*TAXE)-(FH37*TAXE*FM37))+IF(#REF!="N/A",0,IF(INDEX(LISTES!$F$105:$F$109,MATCH(#REF!,LISTES!$C$105:$C$109,0))="FIX",#REF!,#REF!*FQ37)))</f>
        <v/>
      </c>
      <c r="FS37" s="809"/>
      <c r="FT37" s="809"/>
      <c r="FU37" s="809"/>
      <c r="FV37" s="809"/>
      <c r="FW37" s="809"/>
      <c r="FX37" s="809"/>
      <c r="FY37" s="809"/>
      <c r="FZ37" s="809"/>
      <c r="GA37" s="432" t="str">
        <f t="shared" si="145"/>
        <v/>
      </c>
      <c r="GB37" s="1234" t="str">
        <f>IF(A37=FALSE,"",IF(Detail!DF37="","N/A",YEAR(Detail!F37)&amp;Detail!DI37&amp;Detail!DF37&amp;"-"&amp;Detail!$DF$13))</f>
        <v/>
      </c>
      <c r="GC37" s="434" t="str">
        <f>IF(A37=FALSE,"",IF(LISTES!$A$17=1,GB37,INDEX(colMOD3,MATCH(Cotations!AH37,colchoice,0))))</f>
        <v/>
      </c>
      <c r="GD37" s="277" t="str">
        <f t="shared" si="146"/>
        <v/>
      </c>
      <c r="GE37" s="277" t="str">
        <f t="shared" si="147"/>
        <v/>
      </c>
      <c r="GF37" s="808"/>
      <c r="GG37" s="808"/>
      <c r="GH37" s="277" t="str">
        <f t="shared" si="271"/>
        <v/>
      </c>
      <c r="GI37" s="1104" t="str">
        <f t="shared" si="272"/>
        <v/>
      </c>
      <c r="GJ37" s="1104" t="str">
        <f t="shared" si="273"/>
        <v/>
      </c>
      <c r="GK37" s="443" t="str">
        <f>IF(A37=FALSE,"",IF(Cotations!AF37="monthly",GH37/12*L37,GH37/365*M37))</f>
        <v/>
      </c>
      <c r="GL37" s="1103" t="str">
        <f>IF(A37=FALSE,"",IF(Cotations!AF37="monthly",GJ37/12*L37,GJ37/365*M37))</f>
        <v/>
      </c>
      <c r="GM37" s="433" t="str">
        <f>IF(A37=FALSE,"",IF(Cotations!AK37="","",Cotations!AK37))</f>
        <v/>
      </c>
      <c r="GN37" s="277" t="str">
        <f t="shared" si="274"/>
        <v/>
      </c>
      <c r="GO37" s="277" t="str">
        <f t="shared" si="275"/>
        <v/>
      </c>
      <c r="GP37" s="1104" t="str">
        <f t="shared" si="276"/>
        <v/>
      </c>
      <c r="GQ37" s="277" t="str">
        <f t="shared" si="277"/>
        <v/>
      </c>
      <c r="GR37" s="759" t="str">
        <f>IF(A37=FALSE,"",((GH37*TAXE)-(GH37*TAXE*GM37)+GI37)+IF(CQ37="N/A",0,IF(INDEX(LISTES!$F$105:$F$109,MATCH(CQ37,LISTES!$C$105:$C$109,0))="FIX",CR37,CS37*GQ37)))</f>
        <v/>
      </c>
      <c r="GS37" s="807"/>
      <c r="GT37" s="807"/>
      <c r="GU37" s="807"/>
      <c r="GV37" s="807"/>
      <c r="GW37" s="807"/>
      <c r="GX37" s="807"/>
      <c r="GY37" s="807"/>
      <c r="GZ37" s="807"/>
      <c r="HA37" s="432" t="str">
        <f t="shared" si="155"/>
        <v/>
      </c>
      <c r="HB37" s="1234" t="str">
        <f>IF(A37=FALSE,"",IF(Detail!DF37="","N/A",YEAR(Detail!F37)&amp;Detail!DI37&amp;Detail!DF37&amp;"-"&amp;Detail!$DF$13))</f>
        <v/>
      </c>
      <c r="HC37" s="434" t="str">
        <f>IF(A37=FALSE,"",IF(LISTES!$A$17=1,HB37,INDEX(colMOD4,MATCH(Cotations!AH37,colchoice,0))))</f>
        <v/>
      </c>
      <c r="HD37" s="277" t="str">
        <f t="shared" si="278"/>
        <v/>
      </c>
      <c r="HE37" s="277" t="str">
        <f t="shared" si="279"/>
        <v/>
      </c>
      <c r="HF37" s="277"/>
      <c r="HG37" s="277"/>
      <c r="HH37" s="277" t="str">
        <f t="shared" si="280"/>
        <v/>
      </c>
      <c r="HI37" s="1104" t="str">
        <f t="shared" si="281"/>
        <v/>
      </c>
      <c r="HJ37" s="1104" t="str">
        <f t="shared" si="282"/>
        <v/>
      </c>
      <c r="HK37" s="443" t="str">
        <f>IF(A37=FALSE,"",IF(Cotations!AF37="monthly",HH37/12*L37,HH37/365*M37))</f>
        <v/>
      </c>
      <c r="HL37" s="1103" t="str">
        <f>IF(A37=FALSE,"",IF(Cotations!AF37="monthly",HJ37/12*L37,HJ37/365*M37))</f>
        <v/>
      </c>
      <c r="HM37" s="433" t="str">
        <f>IF(A37=FALSE,"",IF(Cotations!AL37="","",Cotations!AL37))</f>
        <v/>
      </c>
      <c r="HN37" s="277" t="str">
        <f t="shared" si="283"/>
        <v/>
      </c>
      <c r="HO37" s="277" t="str">
        <f t="shared" si="284"/>
        <v/>
      </c>
      <c r="HP37" s="1104" t="str">
        <f t="shared" si="285"/>
        <v/>
      </c>
      <c r="HQ37" s="277" t="str">
        <f t="shared" si="286"/>
        <v/>
      </c>
      <c r="HR37" s="759" t="str">
        <f>IF(A37=FALSE,"",((HH37*TAXE)-(HH37*TAXE*HM37)+HI37)+IF(CQ37="N/A",0,IF(INDEX(LISTES!$F$105:$F$109,MATCH(CQ37,LISTES!$C$105:$C$109,0))="FIX",CR37,CS37*HQ37)))</f>
        <v/>
      </c>
      <c r="HS37" s="807"/>
      <c r="HT37" s="807"/>
      <c r="HU37" s="807"/>
      <c r="HV37" s="807"/>
      <c r="HW37" s="807"/>
      <c r="HX37" s="807"/>
      <c r="HY37" s="807"/>
      <c r="HZ37" s="1262"/>
      <c r="IA37" s="802" t="str">
        <f>IF(A37=FALSE,"",Cotations!AT37)</f>
        <v/>
      </c>
      <c r="IB37" s="1253" t="str">
        <f>IF(A37=FALSE,"",IF(Detail!AT37="","N/A",YEAR(Detail!F37)&amp;Detail!AW37&amp;Detail!AT37&amp;"-"&amp;Detail!$AT$13&amp;Detail!AU37))</f>
        <v/>
      </c>
      <c r="IC37" s="431" t="str">
        <f>IF(A37=FALSE,"",IF(LISTES!$A$17=1,IB37,INDEX(colMOD1,MATCH(DA37,colchoice,0))))</f>
        <v/>
      </c>
      <c r="ID37" s="759" t="str">
        <f t="shared" si="287"/>
        <v/>
      </c>
      <c r="IE37" s="292" t="str">
        <f>IF(A37=FALSE,"",IF(LISTES!$A$17=1,Detail!AU37,INDEX(Rates!$M$1:$M$270,MATCH(IC37,colMOD1,0))))</f>
        <v/>
      </c>
      <c r="IF37" s="409" t="str">
        <f t="shared" si="165"/>
        <v/>
      </c>
      <c r="IG37" s="430" t="str">
        <f>IF(A37=FALSE,"",IF(IA37="POEA",Cotations!AY37,IF(IA37="FIXE",Cotations!AZ37,IF(Cotations!BA37*Y37&lt;50000,Z37,Cotations!BA37*Y37))))</f>
        <v/>
      </c>
      <c r="IH37" s="292" t="str">
        <f t="shared" si="166"/>
        <v/>
      </c>
      <c r="II37" s="803" t="str">
        <f>IF(A37=FALSE,"",IF(Cotations!AU37="monthly",IH37/12*L37,IH37/365*M37))</f>
        <v/>
      </c>
      <c r="IJ37" s="804" t="str">
        <f>IF(A37=FALSE,"",IF(Cotations!BB37="","",Cotations!BB37))</f>
        <v/>
      </c>
      <c r="IK37" s="803" t="str">
        <f t="shared" si="167"/>
        <v/>
      </c>
      <c r="IL37" s="803" t="str">
        <f t="shared" si="168"/>
        <v/>
      </c>
      <c r="IM37" s="759" t="str">
        <f t="shared" si="169"/>
        <v/>
      </c>
      <c r="IN37" s="759" t="str">
        <f>IF(A37=FALSE,"",((IH37*TAXE)-(IH37*TAXE*IJ37))+IF(DQ37="N/A",0,IF(INDEX(LISTES!$F$105:$F$109,MATCH(DQ37,LISTES!$C$105:$C$109,0))="FIX",DR37,DS37*IM37)))</f>
        <v/>
      </c>
      <c r="JA37" s="432" t="str">
        <f>IF(A37=FALSE,"",Cotations!AT37)</f>
        <v/>
      </c>
      <c r="JB37" s="1234" t="str">
        <f>IF(A37=FALSE,"",IF(Detail!BB37="","N/A",YEAR(Detail!F37)&amp;Detail!BE37&amp;Detail!BB37&amp;"-"&amp;Detail!$BB$13&amp;Detail!BC37))</f>
        <v/>
      </c>
      <c r="JC37" s="431" t="str">
        <f>IF(A37=FALSE,"",IF(LISTES!$A$17=1,JB37,INDEX(colMOD2,MATCH(DA37,colchoice,0))))</f>
        <v/>
      </c>
      <c r="JD37" s="759" t="str">
        <f t="shared" si="170"/>
        <v/>
      </c>
      <c r="JE37" s="803"/>
      <c r="JF37" s="409" t="str">
        <f t="shared" si="171"/>
        <v/>
      </c>
      <c r="JG37" s="430" t="str">
        <f>IF(A37=FALSE,"",IF(JA37="POEA",Cotations!BC37,IF(JA37="FIXE",Cotations!BD37,IF(Cotations!BE37*Y37&lt;50000,Z37,Cotations!BE37*Y37))))</f>
        <v/>
      </c>
      <c r="JH37" s="292" t="str">
        <f t="shared" si="172"/>
        <v/>
      </c>
      <c r="JI37" s="446" t="str">
        <f>IF(A37=FALSE,"",IF(Cotations!AU37="monthly",JH37/12*L37,JH37/365*M37))</f>
        <v/>
      </c>
      <c r="JJ37" s="804" t="str">
        <f>IF(A37=FALSE,"",IF(Cotations!BF37="","",Cotations!BF37))</f>
        <v/>
      </c>
      <c r="JK37" s="803" t="str">
        <f t="shared" si="173"/>
        <v/>
      </c>
      <c r="JL37" s="803" t="str">
        <f t="shared" si="174"/>
        <v/>
      </c>
      <c r="JM37" s="759" t="str">
        <f t="shared" si="175"/>
        <v/>
      </c>
      <c r="JN37" s="759" t="str">
        <f>IF(A37=FALSE,"",((JH37*TAXE)-(JH37*TAXE*JJ37))+IF(#REF!="N/A",0,IF(INDEX(LISTES!$F$105:$F$109,MATCH(#REF!,LISTES!$C$105:$C$109,0))="FIX",#REF!,#REF!*JM37)))</f>
        <v/>
      </c>
      <c r="KA37" s="802" t="str">
        <f>IF(A37=FALSE,"",Cotations!AT37)</f>
        <v/>
      </c>
      <c r="KB37" s="1234" t="str">
        <f>IF(A37=FALSE,"",IF(Detail!BJ37="","N/A",YEAR(Detail!F37)&amp;Detail!BM37&amp;Detail!BJ37&amp;"-"&amp;Detail!$BJ$13&amp;Detail!BK37))</f>
        <v/>
      </c>
      <c r="KC37" s="431" t="str">
        <f>IF(A37=FALSE,"",IF(LISTES!$A$17=1,KB37,INDEX(colMOD3,MATCH(DA37,colchoice,0))))</f>
        <v/>
      </c>
      <c r="KD37" s="759" t="str">
        <f t="shared" si="176"/>
        <v/>
      </c>
      <c r="KE37" s="803"/>
      <c r="KF37" s="409" t="str">
        <f t="shared" si="177"/>
        <v/>
      </c>
      <c r="KG37" s="810" t="str">
        <f>IF(A37=FALSE,"",IF(KA37="POEA",Cotations!BG37,IF(KA37="FIXE",Cotations!BH37,IF(Cotations!BI37*Y37&lt;50000,Z37,Cotations!BI37*Y37))))</f>
        <v/>
      </c>
      <c r="KH37" s="292" t="str">
        <f t="shared" si="178"/>
        <v/>
      </c>
      <c r="KI37" s="446" t="str">
        <f>IF(A37=FALSE,"",IF(Cotations!AU37="monthly",KH37/12*L37,KH37/365*M37))</f>
        <v/>
      </c>
      <c r="KJ37" s="804" t="str">
        <f>IF(A37=FALSE,"",IF(Cotations!BJ37="","",Cotations!BJ37))</f>
        <v/>
      </c>
      <c r="KK37" s="803" t="str">
        <f t="shared" si="179"/>
        <v/>
      </c>
      <c r="KL37" s="803" t="str">
        <f t="shared" si="180"/>
        <v/>
      </c>
      <c r="KM37" s="759" t="str">
        <f t="shared" si="181"/>
        <v/>
      </c>
      <c r="KN37" s="759" t="str">
        <f>IF(A37=FALSE,"",((KH37*TAXE)-(KH37*TAXE*KJ37))+IF(#REF!="N/A",0,IF(INDEX(LISTES!$F$105:$F$109,MATCH(#REF!,LISTES!$C$105:$C$109,0))="FIX",#REF!,#REF!*KM37)))</f>
        <v/>
      </c>
      <c r="LA37" s="432" t="str">
        <f>IF(A37=FALSE,"",Cotations!AT37)</f>
        <v/>
      </c>
      <c r="LB37" s="1234" t="str">
        <f>IF(A37=FALSE,"",IF(Detail!BR37="","N/A",YEAR(Detail!F37)&amp;Detail!BU37&amp;Detail!BR37&amp;"-"&amp;Detail!$BR$13&amp;Detail!BS37))</f>
        <v/>
      </c>
      <c r="LC37" s="431" t="str">
        <f>IF(A37=FALSE,"",IF(LISTES!$A$17=1,LB37,INDEX(colMOD4,MATCH(DA37,colchoice,0))))</f>
        <v/>
      </c>
      <c r="LD37" s="759" t="str">
        <f t="shared" si="182"/>
        <v/>
      </c>
      <c r="LE37" s="803"/>
      <c r="LF37" s="409" t="str">
        <f t="shared" si="183"/>
        <v/>
      </c>
      <c r="LG37" s="810" t="str">
        <f>IF(A37=FALSE,"",IF(LA37="POEA",Cotations!BK37,IF(LA37="FIXE",Cotations!BL37,IF(Cotations!BM37*Y37&lt;50000,Z37,Cotations!BM37*Y37))))</f>
        <v/>
      </c>
      <c r="LH37" s="292" t="str">
        <f t="shared" si="184"/>
        <v/>
      </c>
      <c r="LI37" s="446" t="str">
        <f>IF(A37=FALSE,"",IF(Cotations!AU37="monthly",LH37/12*L37,LH37/365*M37))</f>
        <v/>
      </c>
      <c r="LJ37" s="804" t="str">
        <f>IF(A37=FALSE,"",IF(Cotations!BN37="","",Cotations!BN37))</f>
        <v/>
      </c>
      <c r="LK37" s="803" t="str">
        <f t="shared" si="185"/>
        <v/>
      </c>
      <c r="LL37" s="803" t="str">
        <f t="shared" si="186"/>
        <v/>
      </c>
      <c r="LM37" s="759" t="str">
        <f t="shared" si="187"/>
        <v/>
      </c>
      <c r="LN37" s="759" t="str">
        <f>IF(A37=FALSE,"",((LH37*TAXE)-(LH37*TAXE*LJ37))+IF(#REF!="N/A",0,IF(INDEX(LISTES!$F$105:$F$109,MATCH(#REF!,LISTES!$C$105:$C$109,0))="FIX",#REF!,#REF!*LM37)))</f>
        <v/>
      </c>
      <c r="MA37" s="802" t="str">
        <f t="shared" si="188"/>
        <v/>
      </c>
      <c r="MB37" s="1234" t="str">
        <f>IF(A37=FALSE,"",IF(Detail!BZ37="","N/A",YEAR(Detail!F37)&amp;Detail!CC37&amp;Detail!BZ37&amp;"-"&amp;Detail!$BZ$13&amp;" (100%/"&amp;Detail!CD37&amp;"/"&amp;Detail!CE37&amp;")"))</f>
        <v/>
      </c>
      <c r="MC37" s="431" t="str">
        <f>IF(A37=FALSE,"",IF(LISTES!$A$17=1,MB37,INDEX(colMOD5,MATCH(DA37,colchoice,0))))</f>
        <v/>
      </c>
      <c r="MD37" s="759" t="str">
        <f t="shared" si="189"/>
        <v/>
      </c>
      <c r="ME37" s="803"/>
      <c r="MF37" s="409" t="str">
        <f t="shared" si="190"/>
        <v/>
      </c>
      <c r="MG37" s="810" t="str">
        <f>IF(A37=FALSE,"",Cotations!BQ37*AA37)</f>
        <v/>
      </c>
      <c r="MH37" s="292" t="str">
        <f t="shared" si="191"/>
        <v/>
      </c>
      <c r="MI37" s="446" t="str">
        <f>IF(A37=FALSE,"",IF(Cotations!AU37="monthly",MH37/12*L37,MH37/365*M37))</f>
        <v/>
      </c>
      <c r="MJ37" s="804" t="str">
        <f>IF(A37=FALSE,"",IF(Cotations!BR37="","",Cotations!BR37))</f>
        <v/>
      </c>
      <c r="MK37" s="803" t="str">
        <f t="shared" si="192"/>
        <v/>
      </c>
      <c r="ML37" s="803" t="str">
        <f t="shared" si="193"/>
        <v/>
      </c>
      <c r="MM37" s="759" t="str">
        <f t="shared" si="194"/>
        <v/>
      </c>
      <c r="MN37" s="759" t="str">
        <f>IF(A37=FALSE,"",((MH37*TAXE)-(MH37*TAXE*MJ37))+IF(#REF!="N/A",0,IF(INDEX(LISTES!$F$105:$F$109,MATCH(#REF!,LISTES!$C$105:$C$109,0))="FIX",#REF!,#REF!*MM37)))</f>
        <v/>
      </c>
      <c r="NA37" s="432" t="str">
        <f t="shared" si="195"/>
        <v/>
      </c>
      <c r="NB37" s="1234" t="str">
        <f>IF(A37=FALSE,"",IF(Detail!CH37="","N/A",YEAR(Detail!F37)&amp;Detail!CK37&amp;Detail!CH37&amp;"-"&amp;Detail!$CH$13&amp;" (100%/"&amp;Detail!CL37&amp;"/"&amp;Detail!CM37&amp;")"))</f>
        <v/>
      </c>
      <c r="NC37" s="431" t="str">
        <f>IF(A37=FALSE,"",IF(LISTES!$A$17=1,NB37,INDEX(colMOD6,MATCH(DA37,colchoice,0))))</f>
        <v/>
      </c>
      <c r="ND37" s="759" t="str">
        <f t="shared" si="196"/>
        <v/>
      </c>
      <c r="NE37" s="803"/>
      <c r="NF37" s="409" t="str">
        <f t="shared" si="197"/>
        <v/>
      </c>
      <c r="NG37" s="810" t="str">
        <f>IF(A37=FALSE,"",Cotations!BU37*AA37)</f>
        <v/>
      </c>
      <c r="NH37" s="292" t="str">
        <f t="shared" si="198"/>
        <v/>
      </c>
      <c r="NI37" s="446" t="str">
        <f>IF(A37=FALSE,"",IF(Cotations!AU37="monthly",NH37/12*L37,NH37/365*M37))</f>
        <v/>
      </c>
      <c r="NJ37" s="804" t="str">
        <f>IF(A37=FALSE,"",IF(Cotations!BV37="","",Cotations!BV37))</f>
        <v/>
      </c>
      <c r="NK37" s="803" t="str">
        <f t="shared" si="199"/>
        <v/>
      </c>
      <c r="NL37" s="803" t="str">
        <f t="shared" si="200"/>
        <v/>
      </c>
      <c r="NM37" s="759" t="str">
        <f t="shared" si="201"/>
        <v/>
      </c>
      <c r="NN37" s="759" t="str">
        <f>IF(A37=FALSE,"",((NH37*TAXE)-(NH37*TAXE*NJ37))+IF(#REF!="N/A",0,IF(INDEX(LISTES!$F$105:$F$109,MATCH(#REF!,LISTES!$C$105:$C$109,0))="FIX",#REF!,#REF!*NM37)))</f>
        <v/>
      </c>
      <c r="NZ37" s="1281" t="str">
        <f>IF(A37=FALSE,"",IF(Detail!CP37="","N/A",YEAR(Detail!F37)&amp;Detail!CS37&amp;Detail!CP37&amp;"-"&amp;Detail!CQ37))</f>
        <v/>
      </c>
      <c r="OA37" s="432" t="str">
        <f>IF(A37=FALSE,"",Cotations!CF37)</f>
        <v/>
      </c>
      <c r="OB37" s="1282" t="str">
        <f>IF(A37=FALSE,"",IF(Detail!CP37="","N/A",YEAR(Detail!F37)&amp;Detail!CS37&amp;Detail!CP37&amp;"-"&amp;Detail!$CP$13&amp;Detail!CQ37))</f>
        <v/>
      </c>
      <c r="OC37" s="1283" t="str">
        <f>IF(A37=FALSE,"",IF(LISTES!$A$17=1,OB37,INDEX(colMOD1,MATCH(Cotations!CE37,colchoice,0))))</f>
        <v/>
      </c>
      <c r="OD37" s="759" t="str">
        <f t="shared" si="202"/>
        <v/>
      </c>
      <c r="OE37" s="292" t="str">
        <f>IF(A37=FALSE,"",Detail!CQ37)</f>
        <v/>
      </c>
      <c r="OF37" s="409" t="str">
        <f t="shared" si="203"/>
        <v/>
      </c>
      <c r="OG37" s="430" t="str">
        <f>IF(A37=FALSE,"",IF(OA37="FIXE",Cotations!CM37,Cotations!CN37*AA37))</f>
        <v/>
      </c>
      <c r="OH37" s="292" t="str">
        <f t="shared" si="288"/>
        <v/>
      </c>
      <c r="OI37" s="446" t="str">
        <f>IF(A37=FALSE,"",IF(Cotations!CF37="monthly",OH37/12*L37,OH37/365*M37))</f>
        <v/>
      </c>
      <c r="OJ37" s="429" t="str">
        <f>IF(A37=FALSE,"",IF(Cotations!CO37="","",Cotations!CO37))</f>
        <v/>
      </c>
      <c r="OK37" s="292" t="str">
        <f t="shared" si="289"/>
        <v/>
      </c>
      <c r="OL37" s="292" t="str">
        <f t="shared" si="290"/>
        <v/>
      </c>
      <c r="OM37" s="759" t="str">
        <f t="shared" si="207"/>
        <v/>
      </c>
      <c r="ON37" s="759" t="str">
        <f>IF(A37=FALSE,"",((OH37*(1+TAXE)-(OH37*(1+TAXE)*OJ37))+IF(#REF!="N/A",0,IF(INDEX(LISTES!$F$105:$F$109,MATCH(#REF!,LISTES!$C$105:$C$109,0))="FIX",#REF!,#REF!*OM37))))</f>
        <v/>
      </c>
      <c r="PA37" s="432" t="str">
        <f>IF(A37=FALSE,"",Cotations!CF37)</f>
        <v/>
      </c>
      <c r="PB37" s="1282" t="str">
        <f>IF(A37=FALSE,"",IF(Detail!CX37="","N/A",YEAR(Detail!F37)&amp;Detail!DA37&amp;Detail!CX37&amp;"-"&amp;Detail!$CX$13&amp;Detail!CY37))</f>
        <v/>
      </c>
      <c r="PC37" s="1283" t="str">
        <f>IF(A37=FALSE,"",IF(LISTES!$A$17=1,PB37,INDEX(colMOD3,MATCH(Cotations!CE37,colchoice,0))))</f>
        <v/>
      </c>
      <c r="PD37" s="759" t="str">
        <f t="shared" si="208"/>
        <v/>
      </c>
      <c r="PE37" s="292" t="str">
        <f>IF(A37=FALSE,"",IF(Detail!CY37="","",Detail!CY37))</f>
        <v/>
      </c>
      <c r="PF37" s="409" t="str">
        <f t="shared" si="291"/>
        <v/>
      </c>
      <c r="PG37" s="430" t="str">
        <f>IF(A37=FALSE,"",IF(PA37="FIXE",Cotations!CP37,Cotations!CQ37*AA37))</f>
        <v/>
      </c>
      <c r="PH37" s="292" t="str">
        <f t="shared" si="292"/>
        <v/>
      </c>
      <c r="PI37" s="446" t="str">
        <f>IF(A37=FALSE,"",IF(Cotations!CG37="monthly",PH37/12*L37,PH37/365*M37))</f>
        <v/>
      </c>
      <c r="PJ37" s="429" t="str">
        <f>IF(A37=FALSE,"",IF(Cotations!DA37="",0,Cotations!DA37))</f>
        <v/>
      </c>
      <c r="PK37" s="292" t="str">
        <f t="shared" si="293"/>
        <v/>
      </c>
      <c r="PL37" s="292" t="str">
        <f t="shared" si="294"/>
        <v/>
      </c>
      <c r="PM37" s="759" t="str">
        <f t="shared" si="211"/>
        <v/>
      </c>
      <c r="PN37" s="759" t="str">
        <f>IF(A37=FALSE,"",((PH37*(1+TAXE)-(PH37*(1+TAXE)*PJ37))+IF(#REF!="N/A",0,IF(INDEX(LISTES!$F$105:$F$109,MATCH(#REF!,LISTES!$C$105:$C$109,0))="FIX",#REF!,#REF!*PM37))))</f>
        <v/>
      </c>
    </row>
    <row r="38" spans="1:430" s="801" customFormat="1">
      <c r="A38" s="779" t="b">
        <f t="shared" si="111"/>
        <v>0</v>
      </c>
      <c r="B38" s="779" t="b">
        <f>IF(NAMES!$B$9=TRUE,TRUE,FALSE)</f>
        <v>1</v>
      </c>
      <c r="C38" s="779" t="b">
        <f t="shared" si="212"/>
        <v>0</v>
      </c>
      <c r="D38" s="779" t="b">
        <f t="shared" si="213"/>
        <v>1</v>
      </c>
      <c r="E38" s="652" t="b">
        <f>IF(Cotations!C38="","",Cotations!C38)</f>
        <v>0</v>
      </c>
      <c r="F38" s="652" t="str">
        <f>IF(Cotations!AT38="","",Cotations!AT38)</f>
        <v>PROP</v>
      </c>
      <c r="G38" s="652" t="str">
        <f>IF(Cotations!D38="","",Cotations!D38)</f>
        <v>2016-2017!</v>
      </c>
      <c r="H38" s="652" t="str">
        <f>IF(Cotations!E38="","",Cotations!E38)</f>
        <v>SINGLE</v>
      </c>
      <c r="I38" s="652" t="str">
        <f>IF(Cotations!F38="","",Cotations!F38)</f>
        <v/>
      </c>
      <c r="J38" s="652" t="str">
        <f>IF(Cotations!G38="","",Cotations!G38)</f>
        <v/>
      </c>
      <c r="K38" s="652" t="str">
        <f>IF(Cotations!H38="","",Cotations!H38)</f>
        <v/>
      </c>
      <c r="L38" s="652" t="str">
        <f>IF(A38=FALSE,"",IF(Cotations!M38="","",Cotations!M38))</f>
        <v/>
      </c>
      <c r="M38" s="652" t="str">
        <f>IF(Cotations!O38="","",Cotations!O38)</f>
        <v/>
      </c>
      <c r="N38" s="780">
        <f>IF(NAMES!$B$10=TRUE,Cotations!I38,Cotations!K38)</f>
        <v>42566</v>
      </c>
      <c r="O38" s="780">
        <f>IF(NAMES!$B$10=TRUE,Cotations!J38,Cotations!L38)</f>
        <v>42675</v>
      </c>
      <c r="P38" s="780" t="str">
        <f t="shared" si="214"/>
        <v>juillet</v>
      </c>
      <c r="Q38" s="780" t="str">
        <f>IF(A38=FALSE,"",IF(Crewlist!Y38="","",Crewlist!Y38))</f>
        <v/>
      </c>
      <c r="R38" s="800" t="str">
        <f>IF(Cotations!T38="","",Cotations!T38)</f>
        <v/>
      </c>
      <c r="S38" s="780" t="str">
        <f t="shared" si="215"/>
        <v/>
      </c>
      <c r="T38" s="759" t="str">
        <f>IF(A38=FALSE,"",VLOOKUP($U$15:$U$120,Currency!$A$2:$D$10,4,0)*Crewlist!N38)</f>
        <v/>
      </c>
      <c r="U38" s="1097" t="str">
        <f>IF(A38=FALSE,"",IF(DP38=0,Crewlist!M38&amp;"/"&amp;CP38,Crewlist!M38&amp;"/"&amp;DP38))</f>
        <v/>
      </c>
      <c r="V38" s="759" t="str">
        <f>IF(A38=FALSE,"",VLOOKUP($U$15:$U$120,Currency!$A$2:$D$10,4,0)*Detail!Q38)</f>
        <v/>
      </c>
      <c r="W38" s="1097" t="str">
        <f>IF(A38=FALSE,"",IF(DP38=0,Detail!R38&amp;"/"&amp;CP38,Detail!R38&amp;"/"&amp;DP38))</f>
        <v/>
      </c>
      <c r="X38" s="759" t="str">
        <f>IF(A38=FALSE,"",IF(LISTES!$C$17="Crewlist",Calcul!T38,Calcul!V38))</f>
        <v/>
      </c>
      <c r="Y38" s="618" t="str">
        <f t="shared" si="216"/>
        <v/>
      </c>
      <c r="Z38" s="618" t="str">
        <f>IF(A38=FALSE,"",IF(X38=0,0,IF((Cotations!BA38*12*X38)&lt;50000,50000,(12*X38))))</f>
        <v/>
      </c>
      <c r="AA38" s="618" t="str">
        <f t="shared" si="217"/>
        <v/>
      </c>
      <c r="AB38" s="618" t="str">
        <f>IF(A38=FALSE,"",IF(Crewlist!O38=0,"",Crewlist!O38))</f>
        <v/>
      </c>
      <c r="AC38" s="618" t="str">
        <f>IF(I38="","",VLOOKUP($AB$15:$AB$120,Currency!$A$15:$B$34,2,0))</f>
        <v/>
      </c>
      <c r="AD38" s="618" t="str">
        <f t="shared" si="218"/>
        <v/>
      </c>
      <c r="AE38" s="618" t="str">
        <f t="shared" si="219"/>
        <v/>
      </c>
      <c r="AF38" s="618" t="str">
        <f t="shared" si="220"/>
        <v/>
      </c>
      <c r="AG38" s="618" t="str">
        <f t="shared" si="221"/>
        <v/>
      </c>
      <c r="AH38" s="1097" t="str">
        <f t="shared" si="112"/>
        <v/>
      </c>
      <c r="AI38" s="759" t="str">
        <f t="shared" si="222"/>
        <v/>
      </c>
      <c r="AJ38" s="1120" t="str">
        <f t="shared" si="223"/>
        <v/>
      </c>
      <c r="AK38" s="1120" t="str">
        <f t="shared" si="224"/>
        <v/>
      </c>
      <c r="AL38" s="236" t="str">
        <f t="shared" si="225"/>
        <v/>
      </c>
      <c r="AM38" s="236" t="str">
        <f t="shared" si="226"/>
        <v/>
      </c>
      <c r="AN38" s="1112" t="str">
        <f t="shared" si="227"/>
        <v/>
      </c>
      <c r="AO38" s="236" t="str">
        <f t="shared" si="228"/>
        <v/>
      </c>
      <c r="AP38" s="327" t="str">
        <f>IF(A38=FALSE,"",INDEX(Rates!$Q$1:$Q$278,MATCH(CA38,colchoice,0)))</f>
        <v/>
      </c>
      <c r="AQ38" s="236" t="str">
        <f t="shared" si="229"/>
        <v/>
      </c>
      <c r="AR38" s="236" t="str">
        <f t="shared" si="230"/>
        <v/>
      </c>
      <c r="AS38" s="236" t="str">
        <f t="shared" si="117"/>
        <v/>
      </c>
      <c r="AT38" s="236" t="str">
        <f t="shared" si="118"/>
        <v/>
      </c>
      <c r="AU38" s="236" t="str">
        <f t="shared" si="231"/>
        <v/>
      </c>
      <c r="AV38" s="236" t="str">
        <f t="shared" si="232"/>
        <v/>
      </c>
      <c r="AW38" s="236" t="str">
        <f t="shared" si="233"/>
        <v/>
      </c>
      <c r="AX38" s="236" t="str">
        <f t="shared" si="234"/>
        <v/>
      </c>
      <c r="AY38" s="236" t="str">
        <f t="shared" si="235"/>
        <v/>
      </c>
      <c r="AZ38" s="236" t="str">
        <f t="shared" si="236"/>
        <v/>
      </c>
      <c r="BA38" s="236" t="str">
        <f t="shared" si="237"/>
        <v/>
      </c>
      <c r="BB38" s="467" t="str">
        <f t="shared" si="238"/>
        <v/>
      </c>
      <c r="BC38" s="329" t="str">
        <f t="shared" si="239"/>
        <v/>
      </c>
      <c r="BD38" s="237" t="str">
        <f t="shared" si="240"/>
        <v/>
      </c>
      <c r="BE38" s="237" t="str">
        <f>IF(A38=FALSE,"",IF(ED38&lt;&gt;$BC$7,0,INDEX(EA38:EZ38,1,MATCH(Structure!$J$16,$EA$14:$EZ$14,0))))</f>
        <v/>
      </c>
      <c r="BF38" s="237" t="str">
        <f>IF(A38=FALSE,"",IF(FD38&lt;&gt;$BC$7,0,INDEX(FA38:FZ38,1,MATCH(Structure!$J$16,$FA$14:$FZ$14,0))))</f>
        <v/>
      </c>
      <c r="BG38" s="237" t="str">
        <f>IF(A38=FALSE,"",IF(GD38&lt;&gt;$BC$7,0,INDEX(GA38:GZ38,1,MATCH(Structure!$J$16,$GA$14:$GZ$14,0))))</f>
        <v/>
      </c>
      <c r="BH38" s="237" t="str">
        <f>IF(A38=FALSE,"",IF(HD38&lt;&gt;$BC$7,0,INDEX(HA38:HZ38,1,MATCH(Structure!$J$16,$HA$14:$HZ$14,0))))</f>
        <v/>
      </c>
      <c r="BI38" s="621" t="str">
        <f>IF(A38=FALSE,"",IF(ID38&lt;&gt;$BC$7,0,INDEX(IA38:IZ38,1,MATCH(Structure!$C$12,$IA$14:$IZ$14,0)))+OL38)</f>
        <v/>
      </c>
      <c r="BJ38" s="237" t="str">
        <f>IF(A38=FALSE,"",IF(JD38&lt;&gt;$BC$7,0,INDEX(JA38:JZ38,1,MATCH(Structure!$C$12,$JA$14:$JZ$14,0))))</f>
        <v/>
      </c>
      <c r="BK38" s="621" t="str">
        <f>IF(A38=FALSE,"",IF(KD38&lt;&gt;$BC$7,0,INDEX(KA38:KZ38,1,MATCH(Structure!$C$12,$KA$14:$KZ$14,0)))+PL38)</f>
        <v/>
      </c>
      <c r="BL38" s="237" t="str">
        <f>IF(A38=FALSE,"",IF(LD38&lt;&gt;$BC$7,0,INDEX(LA38:LZ38,1,MATCH(Structure!$C$12,$LA$14:$LZ$14,0))))</f>
        <v/>
      </c>
      <c r="BM38" s="237" t="str">
        <f>IF(A38=FALSE,"",IF(MD38&lt;&gt;$BC$7,0,INDEX(MA38:MZ38,1,MATCH(Structure!$C$12,$MA$14:$MZ$14,0))))</f>
        <v/>
      </c>
      <c r="BN38" s="326" t="str">
        <f>IF(A38=FALSE,"",IF(ND38&lt;&gt;$BC$7,0,INDEX(NA38:OC38,1,MATCH(Structure!$C$12,$NA$14:$OC$14,0))))</f>
        <v/>
      </c>
      <c r="BO38" s="435" t="str">
        <f t="shared" si="241"/>
        <v/>
      </c>
      <c r="BP38" s="237" t="str">
        <f t="shared" si="242"/>
        <v/>
      </c>
      <c r="BQ38" s="237" t="str">
        <f>IF(A38=FALSE,"",IF(ED38&lt;&gt;$BO$7,0,INDEX(EA38:EZ38,1,MATCH(Structure!$C$12,$EA$14:$EZ$14,0))))</f>
        <v/>
      </c>
      <c r="BR38" s="237" t="str">
        <f>IF(A38=FALSE,"",IF(FD38&lt;&gt;$BO$7,0,INDEX(FA38:FZ38,1,MATCH(Structure!$C$12,$FA$14:$FZ$14,0))))</f>
        <v/>
      </c>
      <c r="BS38" s="237" t="str">
        <f>IF(A38=FALSE,"",IF(ID38&lt;&gt;$BO$7,0,INDEX(IA38:IZ38,1,MATCH(Structure!$C$13,$IA$14:$IZ$14,0))))</f>
        <v/>
      </c>
      <c r="BT38" s="237" t="str">
        <f>IF(A38=FALSE,"",IF(JD38&lt;&gt;$BO$7,0,INDEX(JA38:JZ38,1,MATCH(Structure!$C$13,$JA$14:$JZ$14,0))))</f>
        <v/>
      </c>
      <c r="BU38" s="237" t="str">
        <f>IF(A38=FALSE,"",IF(KD38&lt;&gt;$BO$7,0,INDEX(KA38:KZ38,1,MATCH(Structure!$C$13,$KA$14:$KZ$14,0))))</f>
        <v/>
      </c>
      <c r="BV38" s="237" t="str">
        <f>IF(A38=FALSE,"",IF(LD38&lt;&gt;$BO$7,0,INDEX(LA38:LZ38,1,MATCH(Structure!$C$13,$LA$14:$LZ$14,0))))</f>
        <v/>
      </c>
      <c r="BW38" s="237" t="str">
        <f>IF(A38=FALSE,"",IF(MD38&lt;&gt;$BO$7,0,INDEX(MA38:MZ38,1,MATCH(Structure!$C$13,$MA$14:$MZ$14,0))))</f>
        <v/>
      </c>
      <c r="BX38" s="326" t="str">
        <f>IF(A38=FALSE,"",IF(ND38&lt;&gt;$BO$7,0,INDEX(NA38:OC38,1,MATCH(Structure!$C$13,$NA$14:$OC$14,0))))</f>
        <v/>
      </c>
      <c r="BY38" s="807"/>
      <c r="BZ38" s="807"/>
      <c r="CA38" s="1255" t="str">
        <f>IF(A38=FALSE,"",IF(LISTES!$A$17=1,Cotations!AG38,Cotations!AH38))</f>
        <v/>
      </c>
      <c r="CB38" s="1266" t="str">
        <f t="shared" si="243"/>
        <v/>
      </c>
      <c r="CC38" s="1120" t="str">
        <f t="shared" si="244"/>
        <v/>
      </c>
      <c r="CD38" s="1120" t="str">
        <f t="shared" si="245"/>
        <v/>
      </c>
      <c r="CE38" s="1120" t="str">
        <f t="shared" si="246"/>
        <v/>
      </c>
      <c r="CF38" s="1120" t="str">
        <f t="shared" si="247"/>
        <v/>
      </c>
      <c r="CG38" s="1267"/>
      <c r="CH38" s="1267"/>
      <c r="CI38" s="1268" t="str">
        <f t="shared" si="248"/>
        <v/>
      </c>
      <c r="CJ38" s="286" t="str">
        <f t="shared" si="249"/>
        <v/>
      </c>
      <c r="CK38" s="286" t="str">
        <f t="shared" si="250"/>
        <v/>
      </c>
      <c r="CL38" s="1263"/>
      <c r="CM38" s="1263"/>
      <c r="CN38" s="1263"/>
      <c r="CO38" s="1263"/>
      <c r="CP38" s="319" t="str">
        <f t="shared" si="251"/>
        <v/>
      </c>
      <c r="CQ38" s="443" t="str">
        <f>IF(A38=FALSE,"",Cotations!AM38)</f>
        <v/>
      </c>
      <c r="CR38" s="443" t="str">
        <f>IF(A38=FALSE,"",IF(Cotations!AN38="","",Cotations!AN38))</f>
        <v/>
      </c>
      <c r="CS38" s="433" t="str">
        <f>IF(A38=FALSE,"",Cotations!AO38)</f>
        <v/>
      </c>
      <c r="CT38" s="443" t="str">
        <f>IF(A38=FALSE,"",IF(CQ38="N/A",0,IF(INDEX(LISTES!$F$105:$F$109,MATCH(CQ38,LISTES!$C$105:$C$109,0))="FIX",IF(INDEX(LISTES!$E$105:$E$109,MATCH(CQ38,LISTES!$C$105:$C$109,0))=12,CR38/12*L38,CR38/365*M38),CS38*EQ38)))</f>
        <v/>
      </c>
      <c r="CU38" s="434" t="str">
        <f>IF(A38=FALSE,"",(CJ38+CK38)*Cotations!AP38)</f>
        <v/>
      </c>
      <c r="CV38" s="434" t="str">
        <f>IF(A38=FALSE,"",(CJ38+CK38)*Cotations!AQ38)</f>
        <v/>
      </c>
      <c r="DA38" s="1253" t="str">
        <f>IF(A38=FALSE,"",IF(LISTES!$A$17=1,Cotations!AV38,Cotations!AW38))</f>
        <v/>
      </c>
      <c r="DB38" s="1271" t="str">
        <f t="shared" si="252"/>
        <v/>
      </c>
      <c r="DC38" s="1270" t="str">
        <f t="shared" si="253"/>
        <v/>
      </c>
      <c r="DD38" s="1270" t="str">
        <f t="shared" si="254"/>
        <v/>
      </c>
      <c r="DE38" s="1270" t="str">
        <f t="shared" si="255"/>
        <v/>
      </c>
      <c r="DF38" s="1270" t="str">
        <f t="shared" si="256"/>
        <v/>
      </c>
      <c r="DG38" s="1270" t="str">
        <f t="shared" si="257"/>
        <v/>
      </c>
      <c r="DH38" s="1270" t="str">
        <f t="shared" si="258"/>
        <v/>
      </c>
      <c r="DI38" s="1271" t="str">
        <f t="shared" si="259"/>
        <v/>
      </c>
      <c r="DJ38" s="286" t="str">
        <f t="shared" si="260"/>
        <v/>
      </c>
      <c r="DK38" s="286" t="str">
        <f t="shared" si="261"/>
        <v/>
      </c>
      <c r="DL38" s="1264" t="str">
        <f t="shared" si="262"/>
        <v/>
      </c>
      <c r="DM38" s="1264" t="str">
        <f t="shared" si="263"/>
        <v/>
      </c>
      <c r="DN38" s="1264" t="str">
        <f t="shared" si="264"/>
        <v/>
      </c>
      <c r="DO38" s="1264" t="str">
        <f t="shared" si="265"/>
        <v/>
      </c>
      <c r="DP38" s="323" t="str">
        <f t="shared" si="132"/>
        <v/>
      </c>
      <c r="DQ38" s="806" t="str">
        <f>IF(A38=FALSE,"",Cotations!BW38)</f>
        <v/>
      </c>
      <c r="DR38" s="806" t="str">
        <f>IF(A38=FALSE,"",Cotations!BX38)</f>
        <v/>
      </c>
      <c r="DS38" s="535" t="str">
        <f>IF(A38=FALSE,"",Cotations!BY38)</f>
        <v/>
      </c>
      <c r="DT38" s="830" t="str">
        <f>IF(A38=FALSE,"",IF(DQ38="N/A",0,IF(INDEX(LISTES!$F$105:$F$109,MATCH(DQ38,LISTES!$C$105:$C$109,0))="FIX",IF(INDEX(LISTES!$E$105:$E$109,MATCH(DQ38,LISTES!$C$105:$C$109,0))=12,DR38/12*L38,DR38/365*M38),DS38*(DN38+DO38))))</f>
        <v/>
      </c>
      <c r="DU38" s="805" t="str">
        <f>IF(A38=FALSE,"",DJ38*Cotations!BZ38)</f>
        <v/>
      </c>
      <c r="DV38" s="805" t="str">
        <f>IF(A38=FALSE,"",DJ38*Cotations!CA38)</f>
        <v/>
      </c>
      <c r="EA38" s="432" t="str">
        <f>IF(A38=FALSE,"",Cotations!AT38)</f>
        <v/>
      </c>
      <c r="EB38" s="1234" t="str">
        <f>IF(A38=FALSE,"",YEAR(Detail!F38)&amp;Detail!AG38&amp;Detail!AD38&amp;"-"&amp;Detail!$AD$13&amp;Detail!AE38)</f>
        <v/>
      </c>
      <c r="EC38" s="434" t="str">
        <f>IF(A38=FALSE,"",IF(LISTES!$A$17=1,EB38,INDEX(colMOD1,MATCH(Cotations!AH38,colchoice,0))))</f>
        <v/>
      </c>
      <c r="ED38" s="277" t="str">
        <f t="shared" si="133"/>
        <v/>
      </c>
      <c r="EE38" s="277" t="str">
        <f t="shared" si="134"/>
        <v/>
      </c>
      <c r="EF38" s="808"/>
      <c r="EG38" s="808"/>
      <c r="EH38" s="277" t="str">
        <f t="shared" si="135"/>
        <v/>
      </c>
      <c r="EI38" s="1104" t="str">
        <f t="shared" si="136"/>
        <v/>
      </c>
      <c r="EJ38" s="1104" t="str">
        <f t="shared" si="137"/>
        <v/>
      </c>
      <c r="EK38" s="443" t="str">
        <f>IF(A38=FALSE,"",IF(Cotations!AF38="monthly",EH38/12*L38,EH38/365*M38))</f>
        <v/>
      </c>
      <c r="EL38" s="1103" t="str">
        <f>IF(A38=FALSE,"",IF(Cotations!AF38="monthly",EJ38/12*L38,EJ38/365*M38))</f>
        <v/>
      </c>
      <c r="EM38" s="433" t="str">
        <f>IF(A38=FALSE,"",IF(Cotations!AI38="","",Cotations!AI38))</f>
        <v/>
      </c>
      <c r="EN38" s="808" t="str">
        <f t="shared" si="266"/>
        <v/>
      </c>
      <c r="EO38" s="277" t="str">
        <f t="shared" si="138"/>
        <v/>
      </c>
      <c r="EP38" s="1104" t="str">
        <f t="shared" si="139"/>
        <v/>
      </c>
      <c r="EQ38" s="277" t="str">
        <f t="shared" si="267"/>
        <v/>
      </c>
      <c r="ER38" s="759" t="str">
        <f>IF(A38=FALSE,"",((EH38*TAXE)-(EH38*TAXE*EM38)+EI38)+IF(CQ38="N/A",0,IF(INDEX(LISTES!$F$105:$F$109,MATCH(CQ38,LISTES!$C$105:$C$109,0))="FIX",CR38,CS38*EQ38)))</f>
        <v/>
      </c>
      <c r="ET38" s="809"/>
      <c r="EU38" s="809"/>
      <c r="EV38" s="809"/>
      <c r="EW38" s="809"/>
      <c r="EX38" s="809"/>
      <c r="EY38" s="809"/>
      <c r="EZ38" s="809"/>
      <c r="FA38" s="802" t="str">
        <f>IF(A38=FALSE,"",Cotations!AT38)</f>
        <v/>
      </c>
      <c r="FB38" s="1235" t="str">
        <f>IF(A38=FALSE,"",IF(Detail!AL38="","N/A",YEAR(Detail!F38)&amp;Detail!AO38&amp;Detail!AL38&amp;"-"&amp;Detail!$AL$13&amp;Detail!AM38))</f>
        <v/>
      </c>
      <c r="FC38" s="434" t="str">
        <f>IF(A38=FALSE,"",IF(LISTES!$A$17=1,FB38,INDEX(colMOD2,MATCH(Cotations!AH38,colchoice,0))))</f>
        <v/>
      </c>
      <c r="FD38" s="277" t="str">
        <f t="shared" si="140"/>
        <v/>
      </c>
      <c r="FE38" s="808" t="str">
        <f>IF(A38=FALSE,"",IF(Detail!AM38="","",Detail!AM38))</f>
        <v/>
      </c>
      <c r="FF38" s="808"/>
      <c r="FG38" s="808"/>
      <c r="FH38" s="277" t="str">
        <f t="shared" si="141"/>
        <v/>
      </c>
      <c r="FI38" s="1104"/>
      <c r="FJ38" s="1104"/>
      <c r="FK38" s="443" t="str">
        <f>IF(A38=FALSE,"",IF(Cotations!AF38="monthly",FH38/12*L38,FH38/365*M38))</f>
        <v/>
      </c>
      <c r="FL38" s="1103" t="str">
        <f>IF(A38=FALSE,"",IF(Cotations!AF38="monthly",FJ38/12*L38,FJ38/365*M38))</f>
        <v/>
      </c>
      <c r="FM38" s="433" t="str">
        <f>IF(A38=FALSE,"",IF(Cotations!AJ38="","",Cotations!AJ38))</f>
        <v/>
      </c>
      <c r="FN38" s="277" t="str">
        <f t="shared" si="268"/>
        <v/>
      </c>
      <c r="FO38" s="277" t="str">
        <f t="shared" si="269"/>
        <v/>
      </c>
      <c r="FP38" s="1104"/>
      <c r="FQ38" s="277" t="str">
        <f t="shared" si="270"/>
        <v/>
      </c>
      <c r="FR38" s="759" t="str">
        <f>IF(A38=FALSE,"",((FH38*TAXE)-(FH38*TAXE*FM38))+IF(#REF!="N/A",0,IF(INDEX(LISTES!$F$105:$F$109,MATCH(#REF!,LISTES!$C$105:$C$109,0))="FIX",#REF!,#REF!*FQ38)))</f>
        <v/>
      </c>
      <c r="FS38" s="809"/>
      <c r="FT38" s="809"/>
      <c r="FU38" s="809"/>
      <c r="FV38" s="809"/>
      <c r="FW38" s="809"/>
      <c r="FX38" s="809"/>
      <c r="FY38" s="809"/>
      <c r="FZ38" s="809"/>
      <c r="GA38" s="432" t="str">
        <f t="shared" si="145"/>
        <v/>
      </c>
      <c r="GB38" s="1234" t="str">
        <f>IF(A38=FALSE,"",IF(Detail!DF38="","N/A",YEAR(Detail!F38)&amp;Detail!DI38&amp;Detail!DF38&amp;"-"&amp;Detail!$DF$13))</f>
        <v/>
      </c>
      <c r="GC38" s="434" t="str">
        <f>IF(A38=FALSE,"",IF(LISTES!$A$17=1,GB38,INDEX(colMOD3,MATCH(Cotations!AH38,colchoice,0))))</f>
        <v/>
      </c>
      <c r="GD38" s="277" t="str">
        <f t="shared" si="146"/>
        <v/>
      </c>
      <c r="GE38" s="277" t="str">
        <f t="shared" si="147"/>
        <v/>
      </c>
      <c r="GF38" s="808"/>
      <c r="GG38" s="808"/>
      <c r="GH38" s="277" t="str">
        <f t="shared" si="271"/>
        <v/>
      </c>
      <c r="GI38" s="1104" t="str">
        <f t="shared" si="272"/>
        <v/>
      </c>
      <c r="GJ38" s="1104" t="str">
        <f t="shared" si="273"/>
        <v/>
      </c>
      <c r="GK38" s="443" t="str">
        <f>IF(A38=FALSE,"",IF(Cotations!AF38="monthly",GH38/12*L38,GH38/365*M38))</f>
        <v/>
      </c>
      <c r="GL38" s="1103" t="str">
        <f>IF(A38=FALSE,"",IF(Cotations!AF38="monthly",GJ38/12*L38,GJ38/365*M38))</f>
        <v/>
      </c>
      <c r="GM38" s="433" t="str">
        <f>IF(A38=FALSE,"",IF(Cotations!AK38="","",Cotations!AK38))</f>
        <v/>
      </c>
      <c r="GN38" s="277" t="str">
        <f t="shared" si="274"/>
        <v/>
      </c>
      <c r="GO38" s="277" t="str">
        <f t="shared" si="275"/>
        <v/>
      </c>
      <c r="GP38" s="1104" t="str">
        <f t="shared" si="276"/>
        <v/>
      </c>
      <c r="GQ38" s="277" t="str">
        <f t="shared" si="277"/>
        <v/>
      </c>
      <c r="GR38" s="759" t="str">
        <f>IF(A38=FALSE,"",((GH38*TAXE)-(GH38*TAXE*GM38)+GI38)+IF(CQ38="N/A",0,IF(INDEX(LISTES!$F$105:$F$109,MATCH(CQ38,LISTES!$C$105:$C$109,0))="FIX",CR38,CS38*GQ38)))</f>
        <v/>
      </c>
      <c r="GS38" s="807"/>
      <c r="GT38" s="807"/>
      <c r="GU38" s="807"/>
      <c r="GV38" s="807"/>
      <c r="GW38" s="807"/>
      <c r="GX38" s="807"/>
      <c r="GY38" s="807"/>
      <c r="GZ38" s="807"/>
      <c r="HA38" s="432" t="str">
        <f t="shared" si="155"/>
        <v/>
      </c>
      <c r="HB38" s="1234" t="str">
        <f>IF(A38=FALSE,"",IF(Detail!DF38="","N/A",YEAR(Detail!F38)&amp;Detail!DI38&amp;Detail!DF38&amp;"-"&amp;Detail!$DF$13))</f>
        <v/>
      </c>
      <c r="HC38" s="434" t="str">
        <f>IF(A38=FALSE,"",IF(LISTES!$A$17=1,HB38,INDEX(colMOD4,MATCH(Cotations!AH38,colchoice,0))))</f>
        <v/>
      </c>
      <c r="HD38" s="277" t="str">
        <f t="shared" si="278"/>
        <v/>
      </c>
      <c r="HE38" s="277" t="str">
        <f t="shared" si="279"/>
        <v/>
      </c>
      <c r="HF38" s="277"/>
      <c r="HG38" s="277"/>
      <c r="HH38" s="277" t="str">
        <f t="shared" si="280"/>
        <v/>
      </c>
      <c r="HI38" s="1104" t="str">
        <f t="shared" si="281"/>
        <v/>
      </c>
      <c r="HJ38" s="1104" t="str">
        <f t="shared" si="282"/>
        <v/>
      </c>
      <c r="HK38" s="443" t="str">
        <f>IF(A38=FALSE,"",IF(Cotations!AF38="monthly",HH38/12*L38,HH38/365*M38))</f>
        <v/>
      </c>
      <c r="HL38" s="1103" t="str">
        <f>IF(A38=FALSE,"",IF(Cotations!AF38="monthly",HJ38/12*L38,HJ38/365*M38))</f>
        <v/>
      </c>
      <c r="HM38" s="433" t="str">
        <f>IF(A38=FALSE,"",IF(Cotations!AL38="","",Cotations!AL38))</f>
        <v/>
      </c>
      <c r="HN38" s="277" t="str">
        <f t="shared" si="283"/>
        <v/>
      </c>
      <c r="HO38" s="277" t="str">
        <f t="shared" si="284"/>
        <v/>
      </c>
      <c r="HP38" s="1104" t="str">
        <f t="shared" si="285"/>
        <v/>
      </c>
      <c r="HQ38" s="277" t="str">
        <f t="shared" si="286"/>
        <v/>
      </c>
      <c r="HR38" s="759" t="str">
        <f>IF(A38=FALSE,"",((HH38*TAXE)-(HH38*TAXE*HM38)+HI38)+IF(CQ38="N/A",0,IF(INDEX(LISTES!$F$105:$F$109,MATCH(CQ38,LISTES!$C$105:$C$109,0))="FIX",CR38,CS38*HQ38)))</f>
        <v/>
      </c>
      <c r="HS38" s="807"/>
      <c r="HT38" s="807"/>
      <c r="HU38" s="807"/>
      <c r="HV38" s="807"/>
      <c r="HW38" s="807"/>
      <c r="HX38" s="807"/>
      <c r="HY38" s="807"/>
      <c r="HZ38" s="1262"/>
      <c r="IA38" s="802" t="str">
        <f>IF(A38=FALSE,"",Cotations!AT38)</f>
        <v/>
      </c>
      <c r="IB38" s="1253" t="str">
        <f>IF(A38=FALSE,"",IF(Detail!AT38="","N/A",YEAR(Detail!F38)&amp;Detail!AW38&amp;Detail!AT38&amp;"-"&amp;Detail!$AT$13&amp;Detail!AU38))</f>
        <v/>
      </c>
      <c r="IC38" s="431" t="str">
        <f>IF(A38=FALSE,"",IF(LISTES!$A$17=1,IB38,INDEX(colMOD1,MATCH(DA38,colchoice,0))))</f>
        <v/>
      </c>
      <c r="ID38" s="759" t="str">
        <f t="shared" si="287"/>
        <v/>
      </c>
      <c r="IE38" s="292" t="str">
        <f>IF(A38=FALSE,"",IF(LISTES!$A$17=1,Detail!AU38,INDEX(Rates!$M$1:$M$270,MATCH(IC38,colMOD1,0))))</f>
        <v/>
      </c>
      <c r="IF38" s="409" t="str">
        <f t="shared" si="165"/>
        <v/>
      </c>
      <c r="IG38" s="430" t="str">
        <f>IF(A38=FALSE,"",IF(IA38="POEA",Cotations!AY38,IF(IA38="FIXE",Cotations!AZ38,IF(Cotations!BA38*Y38&lt;50000,Z38,Cotations!BA38*Y38))))</f>
        <v/>
      </c>
      <c r="IH38" s="292" t="str">
        <f t="shared" si="166"/>
        <v/>
      </c>
      <c r="II38" s="803" t="str">
        <f>IF(A38=FALSE,"",IF(Cotations!AU38="monthly",IH38/12*L38,IH38/365*M38))</f>
        <v/>
      </c>
      <c r="IJ38" s="804" t="str">
        <f>IF(A38=FALSE,"",IF(Cotations!BB38="","",Cotations!BB38))</f>
        <v/>
      </c>
      <c r="IK38" s="803" t="str">
        <f t="shared" si="167"/>
        <v/>
      </c>
      <c r="IL38" s="803" t="str">
        <f t="shared" si="168"/>
        <v/>
      </c>
      <c r="IM38" s="759" t="str">
        <f t="shared" si="169"/>
        <v/>
      </c>
      <c r="IN38" s="759" t="str">
        <f>IF(A38=FALSE,"",((IH38*TAXE)-(IH38*TAXE*IJ38))+IF(DQ38="N/A",0,IF(INDEX(LISTES!$F$105:$F$109,MATCH(DQ38,LISTES!$C$105:$C$109,0))="FIX",DR38,DS38*IM38)))</f>
        <v/>
      </c>
      <c r="JA38" s="432" t="str">
        <f>IF(A38=FALSE,"",Cotations!AT38)</f>
        <v/>
      </c>
      <c r="JB38" s="1234" t="str">
        <f>IF(A38=FALSE,"",IF(Detail!BB38="","N/A",YEAR(Detail!F38)&amp;Detail!BE38&amp;Detail!BB38&amp;"-"&amp;Detail!$BB$13&amp;Detail!BC38))</f>
        <v/>
      </c>
      <c r="JC38" s="431" t="str">
        <f>IF(A38=FALSE,"",IF(LISTES!$A$17=1,JB38,INDEX(colMOD2,MATCH(DA38,colchoice,0))))</f>
        <v/>
      </c>
      <c r="JD38" s="759" t="str">
        <f t="shared" si="170"/>
        <v/>
      </c>
      <c r="JE38" s="803"/>
      <c r="JF38" s="409" t="str">
        <f t="shared" si="171"/>
        <v/>
      </c>
      <c r="JG38" s="430" t="str">
        <f>IF(A38=FALSE,"",IF(JA38="POEA",Cotations!BC38,IF(JA38="FIXE",Cotations!BD38,IF(Cotations!BE38*Y38&lt;50000,Z38,Cotations!BE38*Y38))))</f>
        <v/>
      </c>
      <c r="JH38" s="292" t="str">
        <f t="shared" si="172"/>
        <v/>
      </c>
      <c r="JI38" s="446" t="str">
        <f>IF(A38=FALSE,"",IF(Cotations!AU38="monthly",JH38/12*L38,JH38/365*M38))</f>
        <v/>
      </c>
      <c r="JJ38" s="804" t="str">
        <f>IF(A38=FALSE,"",IF(Cotations!BF38="","",Cotations!BF38))</f>
        <v/>
      </c>
      <c r="JK38" s="803" t="str">
        <f t="shared" si="173"/>
        <v/>
      </c>
      <c r="JL38" s="803" t="str">
        <f t="shared" si="174"/>
        <v/>
      </c>
      <c r="JM38" s="759" t="str">
        <f t="shared" si="175"/>
        <v/>
      </c>
      <c r="JN38" s="759" t="str">
        <f>IF(A38=FALSE,"",((JH38*TAXE)-(JH38*TAXE*JJ38))+IF(#REF!="N/A",0,IF(INDEX(LISTES!$F$105:$F$109,MATCH(#REF!,LISTES!$C$105:$C$109,0))="FIX",#REF!,#REF!*JM38)))</f>
        <v/>
      </c>
      <c r="KA38" s="802" t="str">
        <f>IF(A38=FALSE,"",Cotations!AT38)</f>
        <v/>
      </c>
      <c r="KB38" s="1234" t="str">
        <f>IF(A38=FALSE,"",IF(Detail!BJ38="","N/A",YEAR(Detail!F38)&amp;Detail!BM38&amp;Detail!BJ38&amp;"-"&amp;Detail!$BJ$13&amp;Detail!BK38))</f>
        <v/>
      </c>
      <c r="KC38" s="431" t="str">
        <f>IF(A38=FALSE,"",IF(LISTES!$A$17=1,KB38,INDEX(colMOD3,MATCH(DA38,colchoice,0))))</f>
        <v/>
      </c>
      <c r="KD38" s="759" t="str">
        <f t="shared" si="176"/>
        <v/>
      </c>
      <c r="KE38" s="803"/>
      <c r="KF38" s="409" t="str">
        <f t="shared" si="177"/>
        <v/>
      </c>
      <c r="KG38" s="810" t="str">
        <f>IF(A38=FALSE,"",IF(KA38="POEA",Cotations!BG38,IF(KA38="FIXE",Cotations!BH38,IF(Cotations!BI38*Y38&lt;50000,Z38,Cotations!BI38*Y38))))</f>
        <v/>
      </c>
      <c r="KH38" s="292" t="str">
        <f t="shared" si="178"/>
        <v/>
      </c>
      <c r="KI38" s="446" t="str">
        <f>IF(A38=FALSE,"",IF(Cotations!AU38="monthly",KH38/12*L38,KH38/365*M38))</f>
        <v/>
      </c>
      <c r="KJ38" s="804" t="str">
        <f>IF(A38=FALSE,"",IF(Cotations!BJ38="","",Cotations!BJ38))</f>
        <v/>
      </c>
      <c r="KK38" s="803" t="str">
        <f t="shared" si="179"/>
        <v/>
      </c>
      <c r="KL38" s="803" t="str">
        <f t="shared" si="180"/>
        <v/>
      </c>
      <c r="KM38" s="759" t="str">
        <f t="shared" si="181"/>
        <v/>
      </c>
      <c r="KN38" s="759" t="str">
        <f>IF(A38=FALSE,"",((KH38*TAXE)-(KH38*TAXE*KJ38))+IF(#REF!="N/A",0,IF(INDEX(LISTES!$F$105:$F$109,MATCH(#REF!,LISTES!$C$105:$C$109,0))="FIX",#REF!,#REF!*KM38)))</f>
        <v/>
      </c>
      <c r="LA38" s="432" t="str">
        <f>IF(A38=FALSE,"",Cotations!AT38)</f>
        <v/>
      </c>
      <c r="LB38" s="1234" t="str">
        <f>IF(A38=FALSE,"",IF(Detail!BR38="","N/A",YEAR(Detail!F38)&amp;Detail!BU38&amp;Detail!BR38&amp;"-"&amp;Detail!$BR$13&amp;Detail!BS38))</f>
        <v/>
      </c>
      <c r="LC38" s="431" t="str">
        <f>IF(A38=FALSE,"",IF(LISTES!$A$17=1,LB38,INDEX(colMOD4,MATCH(DA38,colchoice,0))))</f>
        <v/>
      </c>
      <c r="LD38" s="759" t="str">
        <f t="shared" si="182"/>
        <v/>
      </c>
      <c r="LE38" s="803"/>
      <c r="LF38" s="409" t="str">
        <f t="shared" si="183"/>
        <v/>
      </c>
      <c r="LG38" s="810" t="str">
        <f>IF(A38=FALSE,"",IF(LA38="POEA",Cotations!BK38,IF(LA38="FIXE",Cotations!BL38,IF(Cotations!BM38*Y38&lt;50000,Z38,Cotations!BM38*Y38))))</f>
        <v/>
      </c>
      <c r="LH38" s="292" t="str">
        <f t="shared" si="184"/>
        <v/>
      </c>
      <c r="LI38" s="446" t="str">
        <f>IF(A38=FALSE,"",IF(Cotations!AU38="monthly",LH38/12*L38,LH38/365*M38))</f>
        <v/>
      </c>
      <c r="LJ38" s="804" t="str">
        <f>IF(A38=FALSE,"",IF(Cotations!BN38="","",Cotations!BN38))</f>
        <v/>
      </c>
      <c r="LK38" s="803" t="str">
        <f t="shared" si="185"/>
        <v/>
      </c>
      <c r="LL38" s="803" t="str">
        <f t="shared" si="186"/>
        <v/>
      </c>
      <c r="LM38" s="759" t="str">
        <f t="shared" si="187"/>
        <v/>
      </c>
      <c r="LN38" s="759" t="str">
        <f>IF(A38=FALSE,"",((LH38*TAXE)-(LH38*TAXE*LJ38))+IF(#REF!="N/A",0,IF(INDEX(LISTES!$F$105:$F$109,MATCH(#REF!,LISTES!$C$105:$C$109,0))="FIX",#REF!,#REF!*LM38)))</f>
        <v/>
      </c>
      <c r="MA38" s="802" t="str">
        <f t="shared" si="188"/>
        <v/>
      </c>
      <c r="MB38" s="1234" t="str">
        <f>IF(A38=FALSE,"",IF(Detail!BZ38="","N/A",YEAR(Detail!F38)&amp;Detail!CC38&amp;Detail!BZ38&amp;"-"&amp;Detail!$BZ$13&amp;" (100%/"&amp;Detail!CD38&amp;"/"&amp;Detail!CE38&amp;")"))</f>
        <v/>
      </c>
      <c r="MC38" s="431" t="str">
        <f>IF(A38=FALSE,"",IF(LISTES!$A$17=1,MB38,INDEX(colMOD5,MATCH(DA38,colchoice,0))))</f>
        <v/>
      </c>
      <c r="MD38" s="759" t="str">
        <f t="shared" si="189"/>
        <v/>
      </c>
      <c r="ME38" s="803"/>
      <c r="MF38" s="409" t="str">
        <f t="shared" si="190"/>
        <v/>
      </c>
      <c r="MG38" s="810" t="str">
        <f>IF(A38=FALSE,"",Cotations!BQ38*AA38)</f>
        <v/>
      </c>
      <c r="MH38" s="292" t="str">
        <f t="shared" si="191"/>
        <v/>
      </c>
      <c r="MI38" s="446" t="str">
        <f>IF(A38=FALSE,"",IF(Cotations!AU38="monthly",MH38/12*L38,MH38/365*M38))</f>
        <v/>
      </c>
      <c r="MJ38" s="804" t="str">
        <f>IF(A38=FALSE,"",IF(Cotations!BR38="","",Cotations!BR38))</f>
        <v/>
      </c>
      <c r="MK38" s="803" t="str">
        <f t="shared" si="192"/>
        <v/>
      </c>
      <c r="ML38" s="803" t="str">
        <f t="shared" si="193"/>
        <v/>
      </c>
      <c r="MM38" s="759" t="str">
        <f t="shared" si="194"/>
        <v/>
      </c>
      <c r="MN38" s="759" t="str">
        <f>IF(A38=FALSE,"",((MH38*TAXE)-(MH38*TAXE*MJ38))+IF(#REF!="N/A",0,IF(INDEX(LISTES!$F$105:$F$109,MATCH(#REF!,LISTES!$C$105:$C$109,0))="FIX",#REF!,#REF!*MM38)))</f>
        <v/>
      </c>
      <c r="NA38" s="432" t="str">
        <f t="shared" si="195"/>
        <v/>
      </c>
      <c r="NB38" s="1234" t="str">
        <f>IF(A38=FALSE,"",IF(Detail!CH38="","N/A",YEAR(Detail!F38)&amp;Detail!CK38&amp;Detail!CH38&amp;"-"&amp;Detail!$CH$13&amp;" (100%/"&amp;Detail!CL38&amp;"/"&amp;Detail!CM38&amp;")"))</f>
        <v/>
      </c>
      <c r="NC38" s="431" t="str">
        <f>IF(A38=FALSE,"",IF(LISTES!$A$17=1,NB38,INDEX(colMOD6,MATCH(DA38,colchoice,0))))</f>
        <v/>
      </c>
      <c r="ND38" s="759" t="str">
        <f t="shared" si="196"/>
        <v/>
      </c>
      <c r="NE38" s="803"/>
      <c r="NF38" s="409" t="str">
        <f t="shared" si="197"/>
        <v/>
      </c>
      <c r="NG38" s="810" t="str">
        <f>IF(A38=FALSE,"",Cotations!BU38*AA38)</f>
        <v/>
      </c>
      <c r="NH38" s="292" t="str">
        <f t="shared" si="198"/>
        <v/>
      </c>
      <c r="NI38" s="446" t="str">
        <f>IF(A38=FALSE,"",IF(Cotations!AU38="monthly",NH38/12*L38,NH38/365*M38))</f>
        <v/>
      </c>
      <c r="NJ38" s="804" t="str">
        <f>IF(A38=FALSE,"",IF(Cotations!BV38="","",Cotations!BV38))</f>
        <v/>
      </c>
      <c r="NK38" s="803" t="str">
        <f t="shared" si="199"/>
        <v/>
      </c>
      <c r="NL38" s="803" t="str">
        <f t="shared" si="200"/>
        <v/>
      </c>
      <c r="NM38" s="759" t="str">
        <f t="shared" si="201"/>
        <v/>
      </c>
      <c r="NN38" s="759" t="str">
        <f>IF(A38=FALSE,"",((NH38*TAXE)-(NH38*TAXE*NJ38))+IF(#REF!="N/A",0,IF(INDEX(LISTES!$F$105:$F$109,MATCH(#REF!,LISTES!$C$105:$C$109,0))="FIX",#REF!,#REF!*NM38)))</f>
        <v/>
      </c>
      <c r="NZ38" s="1281" t="str">
        <f>IF(A38=FALSE,"",IF(Detail!CP38="","N/A",YEAR(Detail!F38)&amp;Detail!CS38&amp;Detail!CP38&amp;"-"&amp;Detail!CQ38))</f>
        <v/>
      </c>
      <c r="OA38" s="432" t="str">
        <f>IF(A38=FALSE,"",Cotations!CF38)</f>
        <v/>
      </c>
      <c r="OB38" s="1282" t="str">
        <f>IF(A38=FALSE,"",IF(Detail!CP38="","N/A",YEAR(Detail!F38)&amp;Detail!CS38&amp;Detail!CP38&amp;"-"&amp;Detail!$CP$13&amp;Detail!CQ38))</f>
        <v/>
      </c>
      <c r="OC38" s="1283" t="str">
        <f>IF(A38=FALSE,"",IF(LISTES!$A$17=1,OB38,INDEX(colMOD1,MATCH(Cotations!CE38,colchoice,0))))</f>
        <v/>
      </c>
      <c r="OD38" s="759" t="str">
        <f t="shared" si="202"/>
        <v/>
      </c>
      <c r="OE38" s="292" t="str">
        <f>IF(A38=FALSE,"",Detail!CQ38)</f>
        <v/>
      </c>
      <c r="OF38" s="409" t="str">
        <f t="shared" si="203"/>
        <v/>
      </c>
      <c r="OG38" s="430" t="str">
        <f>IF(A38=FALSE,"",IF(OA38="FIXE",Cotations!CM38,Cotations!CN38*AA38))</f>
        <v/>
      </c>
      <c r="OH38" s="292" t="str">
        <f t="shared" si="288"/>
        <v/>
      </c>
      <c r="OI38" s="446" t="str">
        <f>IF(A38=FALSE,"",IF(Cotations!CF38="monthly",OH38/12*L38,OH38/365*M38))</f>
        <v/>
      </c>
      <c r="OJ38" s="429" t="str">
        <f>IF(A38=FALSE,"",IF(Cotations!CO38="","",Cotations!CO38))</f>
        <v/>
      </c>
      <c r="OK38" s="292" t="str">
        <f t="shared" si="289"/>
        <v/>
      </c>
      <c r="OL38" s="292" t="str">
        <f t="shared" si="290"/>
        <v/>
      </c>
      <c r="OM38" s="759" t="str">
        <f t="shared" si="207"/>
        <v/>
      </c>
      <c r="ON38" s="759" t="str">
        <f>IF(A38=FALSE,"",((OH38*(1+TAXE)-(OH38*(1+TAXE)*OJ38))+IF(#REF!="N/A",0,IF(INDEX(LISTES!$F$105:$F$109,MATCH(#REF!,LISTES!$C$105:$C$109,0))="FIX",#REF!,#REF!*OM38))))</f>
        <v/>
      </c>
      <c r="PA38" s="432" t="str">
        <f>IF(A38=FALSE,"",Cotations!CF38)</f>
        <v/>
      </c>
      <c r="PB38" s="1282" t="str">
        <f>IF(A38=FALSE,"",IF(Detail!CX38="","N/A",YEAR(Detail!F38)&amp;Detail!DA38&amp;Detail!CX38&amp;"-"&amp;Detail!$CX$13&amp;Detail!CY38))</f>
        <v/>
      </c>
      <c r="PC38" s="1283" t="str">
        <f>IF(A38=FALSE,"",IF(LISTES!$A$17=1,PB38,INDEX(colMOD3,MATCH(Cotations!CE38,colchoice,0))))</f>
        <v/>
      </c>
      <c r="PD38" s="759" t="str">
        <f t="shared" si="208"/>
        <v/>
      </c>
      <c r="PE38" s="292" t="str">
        <f>IF(A38=FALSE,"",IF(Detail!CY38="","",Detail!CY38))</f>
        <v/>
      </c>
      <c r="PF38" s="409" t="str">
        <f t="shared" si="291"/>
        <v/>
      </c>
      <c r="PG38" s="430" t="str">
        <f>IF(A38=FALSE,"",IF(PA38="FIXE",Cotations!CP38,Cotations!CQ38*AA38))</f>
        <v/>
      </c>
      <c r="PH38" s="292" t="str">
        <f t="shared" si="292"/>
        <v/>
      </c>
      <c r="PI38" s="446" t="str">
        <f>IF(A38=FALSE,"",IF(Cotations!CG38="monthly",PH38/12*L38,PH38/365*M38))</f>
        <v/>
      </c>
      <c r="PJ38" s="429" t="str">
        <f>IF(A38=FALSE,"",IF(Cotations!DA38="",0,Cotations!DA38))</f>
        <v/>
      </c>
      <c r="PK38" s="292" t="str">
        <f t="shared" si="293"/>
        <v/>
      </c>
      <c r="PL38" s="292" t="str">
        <f t="shared" si="294"/>
        <v/>
      </c>
      <c r="PM38" s="759" t="str">
        <f t="shared" si="211"/>
        <v/>
      </c>
      <c r="PN38" s="759" t="str">
        <f>IF(A38=FALSE,"",((PH38*(1+TAXE)-(PH38*(1+TAXE)*PJ38))+IF(#REF!="N/A",0,IF(INDEX(LISTES!$F$105:$F$109,MATCH(#REF!,LISTES!$C$105:$C$109,0))="FIX",#REF!,#REF!*PM38))))</f>
        <v/>
      </c>
    </row>
    <row r="39" spans="1:430">
      <c r="A39" s="779" t="b">
        <f t="shared" si="111"/>
        <v>0</v>
      </c>
      <c r="B39" s="779" t="b">
        <f>IF(NAMES!$B$9=TRUE,TRUE,FALSE)</f>
        <v>1</v>
      </c>
      <c r="C39" s="779" t="b">
        <f t="shared" si="212"/>
        <v>0</v>
      </c>
      <c r="D39" s="779" t="b">
        <f t="shared" si="213"/>
        <v>1</v>
      </c>
      <c r="E39" s="267" t="b">
        <f>IF(Cotations!C39="","",Cotations!C39)</f>
        <v>0</v>
      </c>
      <c r="F39" s="267" t="str">
        <f>IF(Cotations!AT39="","",Cotations!AT39)</f>
        <v>PROP</v>
      </c>
      <c r="G39" s="267" t="str">
        <f>IF(Cotations!D39="","",Cotations!D39)</f>
        <v>2016-2017!</v>
      </c>
      <c r="H39" s="267" t="str">
        <f>IF(Cotations!E39="","",Cotations!E39)</f>
        <v>SINGLE</v>
      </c>
      <c r="I39" s="267" t="str">
        <f>IF(Cotations!F39="","",Cotations!F39)</f>
        <v/>
      </c>
      <c r="J39" s="267" t="str">
        <f>IF(Cotations!G39="","",Cotations!G39)</f>
        <v/>
      </c>
      <c r="K39" s="267" t="str">
        <f>IF(Cotations!H39="","",Cotations!H39)</f>
        <v/>
      </c>
      <c r="L39" s="267" t="str">
        <f>IF(A39=FALSE,"",IF(Cotations!M39="","",Cotations!M39))</f>
        <v/>
      </c>
      <c r="M39" s="267" t="str">
        <f>IF(Cotations!O39="","",Cotations!O39)</f>
        <v/>
      </c>
      <c r="N39" s="588">
        <f>IF(NAMES!$B$10=TRUE,Cotations!I39,Cotations!K39)</f>
        <v>42566</v>
      </c>
      <c r="O39" s="588">
        <f>IF(NAMES!$B$10=TRUE,Cotations!J39,Cotations!L39)</f>
        <v>42749</v>
      </c>
      <c r="P39" s="780" t="str">
        <f t="shared" si="214"/>
        <v>juillet</v>
      </c>
      <c r="Q39" s="588" t="str">
        <f>IF(A39=FALSE,"",IF(Crewlist!Y39="","",Crewlist!Y39))</f>
        <v/>
      </c>
      <c r="R39" s="78" t="str">
        <f>IF(Cotations!T39="","",Cotations!T39)</f>
        <v/>
      </c>
      <c r="S39" s="780" t="str">
        <f t="shared" si="215"/>
        <v/>
      </c>
      <c r="T39" s="759" t="str">
        <f>IF(A39=FALSE,"",VLOOKUP($U$15:$U$120,Currency!$A$2:$D$10,4,0)*Crewlist!N39)</f>
        <v/>
      </c>
      <c r="U39" s="1097" t="str">
        <f>IF(A39=FALSE,"",IF(DP39=0,Crewlist!M39&amp;"/"&amp;CP39,Crewlist!M39&amp;"/"&amp;DP39))</f>
        <v/>
      </c>
      <c r="V39" s="759" t="str">
        <f>IF(A39=FALSE,"",VLOOKUP($U$15:$U$120,Currency!$A$2:$D$10,4,0)*Detail!Q39)</f>
        <v/>
      </c>
      <c r="W39" s="1097" t="str">
        <f>IF(A39=FALSE,"",IF(DP39=0,Detail!R39&amp;"/"&amp;CP39,Detail!R39&amp;"/"&amp;DP39))</f>
        <v/>
      </c>
      <c r="X39" s="759" t="str">
        <f>IF(A39=FALSE,"",IF(LISTES!$C$17="Crewlist",Calcul!T39,Calcul!V39))</f>
        <v/>
      </c>
      <c r="Y39" s="618" t="str">
        <f t="shared" si="216"/>
        <v/>
      </c>
      <c r="Z39" s="618" t="str">
        <f>IF(A39=FALSE,"",IF(X39=0,0,IF((Cotations!BA39*12*X39)&lt;50000,50000,(12*X39))))</f>
        <v/>
      </c>
      <c r="AA39" s="618" t="str">
        <f t="shared" si="217"/>
        <v/>
      </c>
      <c r="AB39" s="618" t="str">
        <f>IF(A39=FALSE,"",IF(Crewlist!O39=0,"",Crewlist!O39))</f>
        <v/>
      </c>
      <c r="AC39" s="618" t="str">
        <f>IF(I39="","",VLOOKUP($AB$15:$AB$120,Currency!$A$15:$B$34,2,0))</f>
        <v/>
      </c>
      <c r="AD39" s="618" t="str">
        <f t="shared" si="218"/>
        <v/>
      </c>
      <c r="AE39" s="618" t="str">
        <f t="shared" si="219"/>
        <v/>
      </c>
      <c r="AF39" s="618" t="str">
        <f t="shared" si="220"/>
        <v/>
      </c>
      <c r="AG39" s="618" t="str">
        <f t="shared" si="221"/>
        <v/>
      </c>
      <c r="AH39" s="1097" t="str">
        <f t="shared" si="112"/>
        <v/>
      </c>
      <c r="AI39" s="759" t="str">
        <f t="shared" si="222"/>
        <v/>
      </c>
      <c r="AJ39" s="1120" t="str">
        <f t="shared" si="223"/>
        <v/>
      </c>
      <c r="AK39" s="1120" t="str">
        <f t="shared" si="224"/>
        <v/>
      </c>
      <c r="AL39" s="236" t="str">
        <f t="shared" si="225"/>
        <v/>
      </c>
      <c r="AM39" s="236" t="str">
        <f t="shared" si="226"/>
        <v/>
      </c>
      <c r="AN39" s="1112" t="str">
        <f t="shared" si="227"/>
        <v/>
      </c>
      <c r="AO39" s="236" t="str">
        <f t="shared" si="228"/>
        <v/>
      </c>
      <c r="AP39" s="327" t="str">
        <f>IF(A39=FALSE,"",INDEX(Rates!$Q$1:$Q$278,MATCH(CA39,colchoice,0)))</f>
        <v/>
      </c>
      <c r="AQ39" s="236" t="str">
        <f t="shared" si="229"/>
        <v/>
      </c>
      <c r="AR39" s="236" t="str">
        <f t="shared" si="230"/>
        <v/>
      </c>
      <c r="AS39" s="236" t="str">
        <f t="shared" si="117"/>
        <v/>
      </c>
      <c r="AT39" s="236" t="str">
        <f t="shared" si="118"/>
        <v/>
      </c>
      <c r="AU39" s="236" t="str">
        <f t="shared" si="231"/>
        <v/>
      </c>
      <c r="AV39" s="236" t="str">
        <f t="shared" si="232"/>
        <v/>
      </c>
      <c r="AW39" s="236" t="str">
        <f t="shared" si="233"/>
        <v/>
      </c>
      <c r="AX39" s="236" t="str">
        <f t="shared" si="234"/>
        <v/>
      </c>
      <c r="AY39" s="236" t="str">
        <f t="shared" si="235"/>
        <v/>
      </c>
      <c r="AZ39" s="236" t="str">
        <f t="shared" si="236"/>
        <v/>
      </c>
      <c r="BA39" s="236" t="str">
        <f t="shared" si="237"/>
        <v/>
      </c>
      <c r="BB39" s="467" t="str">
        <f t="shared" si="238"/>
        <v/>
      </c>
      <c r="BC39" s="329" t="str">
        <f t="shared" si="239"/>
        <v/>
      </c>
      <c r="BD39" s="237" t="str">
        <f t="shared" si="240"/>
        <v/>
      </c>
      <c r="BE39" s="237" t="str">
        <f>IF(A39=FALSE,"",IF(ED39&lt;&gt;$BC$7,0,INDEX(EA39:EZ39,1,MATCH(Structure!$J$16,$EA$14:$EZ$14,0))))</f>
        <v/>
      </c>
      <c r="BF39" s="237" t="str">
        <f>IF(A39=FALSE,"",IF(FD39&lt;&gt;$BC$7,0,INDEX(FA39:FZ39,1,MATCH(Structure!$J$16,$FA$14:$FZ$14,0))))</f>
        <v/>
      </c>
      <c r="BG39" s="237" t="str">
        <f>IF(A39=FALSE,"",IF(GD39&lt;&gt;$BC$7,0,INDEX(GA39:GZ39,1,MATCH(Structure!$J$16,$GA$14:$GZ$14,0))))</f>
        <v/>
      </c>
      <c r="BH39" s="237" t="str">
        <f>IF(A39=FALSE,"",IF(HD39&lt;&gt;$BC$7,0,INDEX(HA39:HZ39,1,MATCH(Structure!$J$16,$HA$14:$HZ$14,0))))</f>
        <v/>
      </c>
      <c r="BI39" s="621" t="str">
        <f>IF(A39=FALSE,"",IF(ID39&lt;&gt;$BC$7,0,INDEX(IA39:IZ39,1,MATCH(Structure!$C$12,$IA$14:$IZ$14,0)))+OL39)</f>
        <v/>
      </c>
      <c r="BJ39" s="237" t="str">
        <f>IF(A39=FALSE,"",IF(JD39&lt;&gt;$BC$7,0,INDEX(JA39:JZ39,1,MATCH(Structure!$C$12,$JA$14:$JZ$14,0))))</f>
        <v/>
      </c>
      <c r="BK39" s="621" t="str">
        <f>IF(A39=FALSE,"",IF(KD39&lt;&gt;$BC$7,0,INDEX(KA39:KZ39,1,MATCH(Structure!$C$12,$KA$14:$KZ$14,0)))+PL39)</f>
        <v/>
      </c>
      <c r="BL39" s="237" t="str">
        <f>IF(A39=FALSE,"",IF(LD39&lt;&gt;$BC$7,0,INDEX(LA39:LZ39,1,MATCH(Structure!$C$12,$LA$14:$LZ$14,0))))</f>
        <v/>
      </c>
      <c r="BM39" s="237" t="str">
        <f>IF(A39=FALSE,"",IF(MD39&lt;&gt;$BC$7,0,INDEX(MA39:MZ39,1,MATCH(Structure!$C$12,$MA$14:$MZ$14,0))))</f>
        <v/>
      </c>
      <c r="BN39" s="326" t="str">
        <f>IF(A39=FALSE,"",IF(ND39&lt;&gt;$BC$7,0,INDEX(NA39:OC39,1,MATCH(Structure!$C$12,$NA$14:$OC$14,0))))</f>
        <v/>
      </c>
      <c r="BO39" s="435" t="str">
        <f t="shared" si="241"/>
        <v/>
      </c>
      <c r="BP39" s="237" t="str">
        <f t="shared" si="242"/>
        <v/>
      </c>
      <c r="BQ39" s="237" t="str">
        <f>IF(A39=FALSE,"",IF(ED39&lt;&gt;$BO$7,0,INDEX(EA39:EZ39,1,MATCH(Structure!$C$12,$EA$14:$EZ$14,0))))</f>
        <v/>
      </c>
      <c r="BR39" s="237" t="str">
        <f>IF(A39=FALSE,"",IF(FD39&lt;&gt;$BO$7,0,INDEX(FA39:FZ39,1,MATCH(Structure!$C$12,$FA$14:$FZ$14,0))))</f>
        <v/>
      </c>
      <c r="BS39" s="237" t="str">
        <f>IF(A39=FALSE,"",IF(ID39&lt;&gt;$BO$7,0,INDEX(IA39:IZ39,1,MATCH(Structure!$C$13,$IA$14:$IZ$14,0))))</f>
        <v/>
      </c>
      <c r="BT39" s="237" t="str">
        <f>IF(A39=FALSE,"",IF(JD39&lt;&gt;$BO$7,0,INDEX(JA39:JZ39,1,MATCH(Structure!$C$13,$JA$14:$JZ$14,0))))</f>
        <v/>
      </c>
      <c r="BU39" s="237" t="str">
        <f>IF(A39=FALSE,"",IF(KD39&lt;&gt;$BO$7,0,INDEX(KA39:KZ39,1,MATCH(Structure!$C$13,$KA$14:$KZ$14,0))))</f>
        <v/>
      </c>
      <c r="BV39" s="237" t="str">
        <f>IF(A39=FALSE,"",IF(LD39&lt;&gt;$BO$7,0,INDEX(LA39:LZ39,1,MATCH(Structure!$C$13,$LA$14:$LZ$14,0))))</f>
        <v/>
      </c>
      <c r="BW39" s="237" t="str">
        <f>IF(A39=FALSE,"",IF(MD39&lt;&gt;$BO$7,0,INDEX(MA39:MZ39,1,MATCH(Structure!$C$13,$MA$14:$MZ$14,0))))</f>
        <v/>
      </c>
      <c r="BX39" s="326" t="str">
        <f>IF(A39=FALSE,"",IF(ND39&lt;&gt;$BO$7,0,INDEX(NA39:OC39,1,MATCH(Structure!$C$13,$NA$14:$OC$14,0))))</f>
        <v/>
      </c>
      <c r="BY39" s="412"/>
      <c r="BZ39" s="412"/>
      <c r="CA39" s="1255" t="str">
        <f>IF(A39=FALSE,"",IF(LISTES!$A$17=1,Cotations!AG39,Cotations!AH39))</f>
        <v/>
      </c>
      <c r="CB39" s="1266" t="str">
        <f t="shared" si="243"/>
        <v/>
      </c>
      <c r="CC39" s="1120" t="str">
        <f t="shared" si="244"/>
        <v/>
      </c>
      <c r="CD39" s="1120" t="str">
        <f t="shared" si="245"/>
        <v/>
      </c>
      <c r="CE39" s="1120" t="str">
        <f t="shared" si="246"/>
        <v/>
      </c>
      <c r="CF39" s="1120" t="str">
        <f t="shared" si="247"/>
        <v/>
      </c>
      <c r="CG39" s="1267"/>
      <c r="CH39" s="1267"/>
      <c r="CI39" s="1268" t="str">
        <f t="shared" si="248"/>
        <v/>
      </c>
      <c r="CJ39" s="286" t="str">
        <f t="shared" si="249"/>
        <v/>
      </c>
      <c r="CK39" s="286" t="str">
        <f t="shared" si="250"/>
        <v/>
      </c>
      <c r="CL39" s="1263"/>
      <c r="CM39" s="1263"/>
      <c r="CN39" s="1263"/>
      <c r="CO39" s="1263"/>
      <c r="CP39" s="319" t="str">
        <f t="shared" si="251"/>
        <v/>
      </c>
      <c r="CQ39" s="443" t="str">
        <f>IF(A39=FALSE,"",Cotations!AM39)</f>
        <v/>
      </c>
      <c r="CR39" s="443" t="str">
        <f>IF(A39=FALSE,"",IF(Cotations!AN39="","",Cotations!AN39))</f>
        <v/>
      </c>
      <c r="CS39" s="433" t="str">
        <f>IF(A39=FALSE,"",Cotations!AO39)</f>
        <v/>
      </c>
      <c r="CT39" s="443" t="str">
        <f>IF(A39=FALSE,"",IF(CQ39="N/A",0,IF(INDEX(LISTES!$F$105:$F$109,MATCH(CQ39,LISTES!$C$105:$C$109,0))="FIX",IF(INDEX(LISTES!$E$105:$E$109,MATCH(CQ39,LISTES!$C$105:$C$109,0))=12,CR39/12*L39,CR39/365*M39),CS39*EQ39)))</f>
        <v/>
      </c>
      <c r="CU39" s="434" t="str">
        <f>IF(A39=FALSE,"",(CJ39+CK39)*Cotations!AP39)</f>
        <v/>
      </c>
      <c r="CV39" s="434" t="str">
        <f>IF(A39=FALSE,"",(CJ39+CK39)*Cotations!AQ39)</f>
        <v/>
      </c>
      <c r="DA39" s="1253" t="str">
        <f>IF(A39=FALSE,"",IF(LISTES!$A$17=1,Cotations!AV39,Cotations!AW39))</f>
        <v/>
      </c>
      <c r="DB39" s="1271" t="str">
        <f t="shared" si="252"/>
        <v/>
      </c>
      <c r="DC39" s="1270" t="str">
        <f t="shared" si="253"/>
        <v/>
      </c>
      <c r="DD39" s="1270" t="str">
        <f t="shared" si="254"/>
        <v/>
      </c>
      <c r="DE39" s="1270" t="str">
        <f t="shared" si="255"/>
        <v/>
      </c>
      <c r="DF39" s="1270" t="str">
        <f t="shared" si="256"/>
        <v/>
      </c>
      <c r="DG39" s="1270" t="str">
        <f t="shared" si="257"/>
        <v/>
      </c>
      <c r="DH39" s="1270" t="str">
        <f t="shared" si="258"/>
        <v/>
      </c>
      <c r="DI39" s="1271" t="str">
        <f t="shared" si="259"/>
        <v/>
      </c>
      <c r="DJ39" s="286" t="str">
        <f t="shared" si="260"/>
        <v/>
      </c>
      <c r="DK39" s="286" t="str">
        <f t="shared" si="261"/>
        <v/>
      </c>
      <c r="DL39" s="1264" t="str">
        <f t="shared" si="262"/>
        <v/>
      </c>
      <c r="DM39" s="1264" t="str">
        <f t="shared" si="263"/>
        <v/>
      </c>
      <c r="DN39" s="1264" t="str">
        <f t="shared" si="264"/>
        <v/>
      </c>
      <c r="DO39" s="1264" t="str">
        <f t="shared" si="265"/>
        <v/>
      </c>
      <c r="DP39" s="323" t="str">
        <f t="shared" si="132"/>
        <v/>
      </c>
      <c r="DQ39" s="444" t="str">
        <f>IF(A39=FALSE,"",Cotations!BW39)</f>
        <v/>
      </c>
      <c r="DR39" s="444" t="str">
        <f>IF(A39=FALSE,"",Cotations!BX39)</f>
        <v/>
      </c>
      <c r="DS39" s="433" t="str">
        <f>IF(A39=FALSE,"",Cotations!BY39)</f>
        <v/>
      </c>
      <c r="DT39" s="830" t="str">
        <f>IF(A39=FALSE,"",IF(DQ39="N/A",0,IF(INDEX(LISTES!$F$105:$F$109,MATCH(DQ39,LISTES!$C$105:$C$109,0))="FIX",IF(INDEX(LISTES!$E$105:$E$109,MATCH(DQ39,LISTES!$C$105:$C$109,0))=12,DR39/12*L39,DR39/365*M39),DS39*(DN39+DO39))))</f>
        <v/>
      </c>
      <c r="DU39" s="434" t="str">
        <f>IF(A39=FALSE,"",DJ39*Cotations!BZ39)</f>
        <v/>
      </c>
      <c r="DV39" s="434" t="str">
        <f>IF(A39=FALSE,"",DJ39*Cotations!CA39)</f>
        <v/>
      </c>
      <c r="EA39" s="432" t="str">
        <f>IF(A39=FALSE,"",Cotations!AT39)</f>
        <v/>
      </c>
      <c r="EB39" s="1234" t="str">
        <f>IF(A39=FALSE,"",YEAR(Detail!F39)&amp;Detail!AG39&amp;Detail!AD39&amp;"-"&amp;Detail!$AD$13&amp;Detail!AE39)</f>
        <v/>
      </c>
      <c r="EC39" s="434" t="str">
        <f>IF(A39=FALSE,"",IF(LISTES!$A$17=1,EB39,INDEX(colMOD1,MATCH(Cotations!AH39,colchoice,0))))</f>
        <v/>
      </c>
      <c r="ED39" s="277" t="str">
        <f t="shared" si="133"/>
        <v/>
      </c>
      <c r="EE39" s="277" t="str">
        <f t="shared" si="134"/>
        <v/>
      </c>
      <c r="EF39" s="277"/>
      <c r="EG39" s="277"/>
      <c r="EH39" s="277" t="str">
        <f t="shared" si="135"/>
        <v/>
      </c>
      <c r="EI39" s="1104" t="str">
        <f t="shared" si="136"/>
        <v/>
      </c>
      <c r="EJ39" s="1104" t="str">
        <f t="shared" si="137"/>
        <v/>
      </c>
      <c r="EK39" s="443" t="str">
        <f>IF(A39=FALSE,"",IF(Cotations!AF39="monthly",EH39/12*L39,EH39/365*M39))</f>
        <v/>
      </c>
      <c r="EL39" s="1103" t="str">
        <f>IF(A39=FALSE,"",IF(Cotations!AF39="monthly",EJ39/12*L39,EJ39/365*M39))</f>
        <v/>
      </c>
      <c r="EM39" s="433" t="str">
        <f>IF(A39=FALSE,"",IF(Cotations!AI39="","",Cotations!AI39))</f>
        <v/>
      </c>
      <c r="EN39" s="277" t="str">
        <f t="shared" si="266"/>
        <v/>
      </c>
      <c r="EO39" s="277" t="str">
        <f t="shared" si="138"/>
        <v/>
      </c>
      <c r="EP39" s="1104" t="str">
        <f t="shared" si="139"/>
        <v/>
      </c>
      <c r="EQ39" s="277" t="str">
        <f t="shared" si="267"/>
        <v/>
      </c>
      <c r="ER39" s="759" t="str">
        <f>IF(A39=FALSE,"",((EH39*TAXE)-(EH39*TAXE*EM39)+EI39)+IF(CQ39="N/A",0,IF(INDEX(LISTES!$F$105:$F$109,MATCH(CQ39,LISTES!$C$105:$C$109,0))="FIX",CR39,CS39*EQ39)))</f>
        <v/>
      </c>
      <c r="ET39" s="422"/>
      <c r="EU39" s="422"/>
      <c r="EV39" s="422"/>
      <c r="EW39" s="422"/>
      <c r="EX39" s="422"/>
      <c r="EY39" s="422"/>
      <c r="EZ39" s="422"/>
      <c r="FA39" s="432" t="str">
        <f>IF(A39=FALSE,"",Cotations!AT39)</f>
        <v/>
      </c>
      <c r="FB39" s="1235" t="str">
        <f>IF(A39=FALSE,"",IF(Detail!AL39="","N/A",YEAR(Detail!F39)&amp;Detail!AO39&amp;Detail!AL39&amp;"-"&amp;Detail!$AL$13&amp;Detail!AM39))</f>
        <v/>
      </c>
      <c r="FC39" s="434" t="str">
        <f>IF(A39=FALSE,"",IF(LISTES!$A$17=1,FB39,INDEX(colMOD2,MATCH(Cotations!AH39,colchoice,0))))</f>
        <v/>
      </c>
      <c r="FD39" s="277" t="str">
        <f t="shared" si="140"/>
        <v/>
      </c>
      <c r="FE39" s="443" t="str">
        <f>IF(A39=FALSE,"",IF(Detail!AM39="","",Detail!AM39))</f>
        <v/>
      </c>
      <c r="FF39" s="277"/>
      <c r="FG39" s="277"/>
      <c r="FH39" s="277" t="str">
        <f t="shared" si="141"/>
        <v/>
      </c>
      <c r="FI39" s="1104"/>
      <c r="FJ39" s="1104"/>
      <c r="FK39" s="443" t="str">
        <f>IF(A39=FALSE,"",IF(Cotations!AF39="monthly",FH39/12*L39,FH39/365*M39))</f>
        <v/>
      </c>
      <c r="FL39" s="1103" t="str">
        <f>IF(A39=FALSE,"",IF(Cotations!AF39="monthly",FJ39/12*L39,FJ39/365*M39))</f>
        <v/>
      </c>
      <c r="FM39" s="433" t="str">
        <f>IF(A39=FALSE,"",IF(Cotations!AJ39="","",Cotations!AJ39))</f>
        <v/>
      </c>
      <c r="FN39" s="277" t="str">
        <f t="shared" si="268"/>
        <v/>
      </c>
      <c r="FO39" s="277" t="str">
        <f t="shared" si="269"/>
        <v/>
      </c>
      <c r="FP39" s="1104"/>
      <c r="FQ39" s="277" t="str">
        <f t="shared" si="270"/>
        <v/>
      </c>
      <c r="FR39" s="759" t="str">
        <f>IF(A39=FALSE,"",((FH39*TAXE)-(FH39*TAXE*FM39))+IF(#REF!="N/A",0,IF(INDEX(LISTES!$F$105:$F$109,MATCH(#REF!,LISTES!$C$105:$C$109,0))="FIX",#REF!,#REF!*FQ39)))</f>
        <v/>
      </c>
      <c r="FS39" s="422"/>
      <c r="FT39" s="422"/>
      <c r="FU39" s="422"/>
      <c r="FV39" s="422"/>
      <c r="FW39" s="422"/>
      <c r="FX39" s="422"/>
      <c r="FY39" s="422"/>
      <c r="FZ39" s="422"/>
      <c r="GA39" s="432" t="str">
        <f t="shared" si="145"/>
        <v/>
      </c>
      <c r="GB39" s="1234" t="str">
        <f>IF(A39=FALSE,"",IF(Detail!DF39="","N/A",YEAR(Detail!F39)&amp;Detail!DI39&amp;Detail!DF39&amp;"-"&amp;Detail!$DF$13))</f>
        <v/>
      </c>
      <c r="GC39" s="434" t="str">
        <f>IF(A39=FALSE,"",IF(LISTES!$A$17=1,GB39,INDEX(colMOD3,MATCH(Cotations!AH39,colchoice,0))))</f>
        <v/>
      </c>
      <c r="GD39" s="277" t="str">
        <f t="shared" si="146"/>
        <v/>
      </c>
      <c r="GE39" s="277" t="str">
        <f t="shared" si="147"/>
        <v/>
      </c>
      <c r="GF39" s="277"/>
      <c r="GG39" s="277"/>
      <c r="GH39" s="277" t="str">
        <f t="shared" si="271"/>
        <v/>
      </c>
      <c r="GI39" s="1104" t="str">
        <f t="shared" si="272"/>
        <v/>
      </c>
      <c r="GJ39" s="1104" t="str">
        <f t="shared" si="273"/>
        <v/>
      </c>
      <c r="GK39" s="443" t="str">
        <f>IF(A39=FALSE,"",IF(Cotations!AF39="monthly",GH39/12*L39,GH39/365*M39))</f>
        <v/>
      </c>
      <c r="GL39" s="1103" t="str">
        <f>IF(A39=FALSE,"",IF(Cotations!AF39="monthly",GJ39/12*L39,GJ39/365*M39))</f>
        <v/>
      </c>
      <c r="GM39" s="433" t="str">
        <f>IF(A39=FALSE,"",IF(Cotations!AK39="","",Cotations!AK39))</f>
        <v/>
      </c>
      <c r="GN39" s="277" t="str">
        <f t="shared" si="274"/>
        <v/>
      </c>
      <c r="GO39" s="277" t="str">
        <f t="shared" si="275"/>
        <v/>
      </c>
      <c r="GP39" s="1104" t="str">
        <f t="shared" si="276"/>
        <v/>
      </c>
      <c r="GQ39" s="277" t="str">
        <f t="shared" si="277"/>
        <v/>
      </c>
      <c r="GR39" s="759" t="str">
        <f>IF(A39=FALSE,"",((GH39*TAXE)-(GH39*TAXE*GM39)+GI39)+IF(CQ39="N/A",0,IF(INDEX(LISTES!$F$105:$F$109,MATCH(CQ39,LISTES!$C$105:$C$109,0))="FIX",CR39,CS39*GQ39)))</f>
        <v/>
      </c>
      <c r="GS39" s="412"/>
      <c r="GT39" s="412"/>
      <c r="GU39" s="412"/>
      <c r="GV39" s="412"/>
      <c r="GW39" s="412"/>
      <c r="GX39" s="412"/>
      <c r="GY39" s="412"/>
      <c r="GZ39" s="412"/>
      <c r="HA39" s="432" t="str">
        <f t="shared" si="155"/>
        <v/>
      </c>
      <c r="HB39" s="1234" t="str">
        <f>IF(A39=FALSE,"",IF(Detail!DF39="","N/A",YEAR(Detail!F39)&amp;Detail!DI39&amp;Detail!DF39&amp;"-"&amp;Detail!$DF$13))</f>
        <v/>
      </c>
      <c r="HC39" s="434" t="str">
        <f>IF(A39=FALSE,"",IF(LISTES!$A$17=1,HB39,INDEX(colMOD4,MATCH(Cotations!AH39,colchoice,0))))</f>
        <v/>
      </c>
      <c r="HD39" s="277" t="str">
        <f t="shared" si="278"/>
        <v/>
      </c>
      <c r="HE39" s="277" t="str">
        <f t="shared" si="279"/>
        <v/>
      </c>
      <c r="HF39" s="277"/>
      <c r="HG39" s="277"/>
      <c r="HH39" s="277" t="str">
        <f t="shared" si="280"/>
        <v/>
      </c>
      <c r="HI39" s="1104" t="str">
        <f t="shared" si="281"/>
        <v/>
      </c>
      <c r="HJ39" s="1104" t="str">
        <f t="shared" si="282"/>
        <v/>
      </c>
      <c r="HK39" s="443" t="str">
        <f>IF(A39=FALSE,"",IF(Cotations!AF39="monthly",HH39/12*L39,HH39/365*M39))</f>
        <v/>
      </c>
      <c r="HL39" s="1103" t="str">
        <f>IF(A39=FALSE,"",IF(Cotations!AF39="monthly",HJ39/12*L39,HJ39/365*M39))</f>
        <v/>
      </c>
      <c r="HM39" s="433" t="str">
        <f>IF(A39=FALSE,"",IF(Cotations!AL39="","",Cotations!AL39))</f>
        <v/>
      </c>
      <c r="HN39" s="277" t="str">
        <f t="shared" si="283"/>
        <v/>
      </c>
      <c r="HO39" s="277" t="str">
        <f t="shared" si="284"/>
        <v/>
      </c>
      <c r="HP39" s="1104" t="str">
        <f t="shared" si="285"/>
        <v/>
      </c>
      <c r="HQ39" s="277" t="str">
        <f t="shared" si="286"/>
        <v/>
      </c>
      <c r="HR39" s="759" t="str">
        <f>IF(A39=FALSE,"",((HH39*TAXE)-(HH39*TAXE*HM39)+HI39)+IF(CQ39="N/A",0,IF(INDEX(LISTES!$F$105:$F$109,MATCH(CQ39,LISTES!$C$105:$C$109,0))="FIX",CR39,CS39*HQ39)))</f>
        <v/>
      </c>
      <c r="HS39" s="412"/>
      <c r="HT39" s="412"/>
      <c r="HU39" s="412"/>
      <c r="HV39" s="412"/>
      <c r="HW39" s="412"/>
      <c r="HX39" s="412"/>
      <c r="HY39" s="412"/>
      <c r="HZ39" s="1262"/>
      <c r="IA39" s="432" t="str">
        <f>IF(A39=FALSE,"",Cotations!AT39)</f>
        <v/>
      </c>
      <c r="IB39" s="1253" t="str">
        <f>IF(A39=FALSE,"",IF(Detail!AT39="","N/A",YEAR(Detail!F39)&amp;Detail!AW39&amp;Detail!AT39&amp;"-"&amp;Detail!$AT$13&amp;Detail!AU39))</f>
        <v/>
      </c>
      <c r="IC39" s="431" t="str">
        <f>IF(A39=FALSE,"",IF(LISTES!$A$17=1,IB39,INDEX(colMOD1,MATCH(DA39,colchoice,0))))</f>
        <v/>
      </c>
      <c r="ID39" s="759" t="str">
        <f t="shared" si="287"/>
        <v/>
      </c>
      <c r="IE39" s="292" t="str">
        <f>IF(A39=FALSE,"",IF(LISTES!$A$17=1,Detail!AU39,INDEX(Rates!$M$1:$M$270,MATCH(IC39,colMOD1,0))))</f>
        <v/>
      </c>
      <c r="IF39" s="409" t="str">
        <f t="shared" si="165"/>
        <v/>
      </c>
      <c r="IG39" s="430" t="str">
        <f>IF(A39=FALSE,"",IF(IA39="POEA",Cotations!AY39,IF(IA39="FIXE",Cotations!AZ39,IF(Cotations!BA39*Y39&lt;50000,Z39,Cotations!BA39*Y39))))</f>
        <v/>
      </c>
      <c r="IH39" s="292" t="str">
        <f t="shared" si="166"/>
        <v/>
      </c>
      <c r="II39" s="446" t="str">
        <f>IF(A39=FALSE,"",IF(Cotations!AU39="monthly",IH39/12*L39,IH39/365*M39))</f>
        <v/>
      </c>
      <c r="IJ39" s="429" t="str">
        <f>IF(A39=FALSE,"",IF(Cotations!BB39="","",Cotations!BB39))</f>
        <v/>
      </c>
      <c r="IK39" s="292" t="str">
        <f t="shared" si="167"/>
        <v/>
      </c>
      <c r="IL39" s="292" t="str">
        <f t="shared" si="168"/>
        <v/>
      </c>
      <c r="IM39" s="759" t="str">
        <f t="shared" si="169"/>
        <v/>
      </c>
      <c r="IN39" s="759" t="str">
        <f>IF(A39=FALSE,"",((IH39*TAXE)-(IH39*TAXE*IJ39))+IF(DQ39="N/A",0,IF(INDEX(LISTES!$F$105:$F$109,MATCH(DQ39,LISTES!$C$105:$C$109,0))="FIX",DR39,DS39*IM39)))</f>
        <v/>
      </c>
      <c r="JA39" s="432" t="str">
        <f>IF(A39=FALSE,"",Cotations!AT39)</f>
        <v/>
      </c>
      <c r="JB39" s="1234" t="str">
        <f>IF(A39=FALSE,"",IF(Detail!BB39="","N/A",YEAR(Detail!F39)&amp;Detail!BE39&amp;Detail!BB39&amp;"-"&amp;Detail!$BB$13&amp;Detail!BC39))</f>
        <v/>
      </c>
      <c r="JC39" s="431" t="str">
        <f>IF(A39=FALSE,"",IF(LISTES!$A$17=1,JB39,INDEX(colMOD2,MATCH(DA39,colchoice,0))))</f>
        <v/>
      </c>
      <c r="JD39" s="759" t="str">
        <f t="shared" si="170"/>
        <v/>
      </c>
      <c r="JE39" s="292"/>
      <c r="JF39" s="409" t="str">
        <f t="shared" si="171"/>
        <v/>
      </c>
      <c r="JG39" s="430" t="str">
        <f>IF(A39=FALSE,"",IF(JA39="POEA",Cotations!BC39,IF(JA39="FIXE",Cotations!BD39,IF(Cotations!BE39*Y39&lt;50000,Z39,Cotations!BE39*Y39))))</f>
        <v/>
      </c>
      <c r="JH39" s="292" t="str">
        <f t="shared" si="172"/>
        <v/>
      </c>
      <c r="JI39" s="446" t="str">
        <f>IF(A39=FALSE,"",IF(Cotations!AU39="monthly",JH39/12*L39,JH39/365*M39))</f>
        <v/>
      </c>
      <c r="JJ39" s="429" t="str">
        <f>IF(A39=FALSE,"",IF(Cotations!BF39="","",Cotations!BF39))</f>
        <v/>
      </c>
      <c r="JK39" s="292" t="str">
        <f t="shared" si="173"/>
        <v/>
      </c>
      <c r="JL39" s="292" t="str">
        <f t="shared" si="174"/>
        <v/>
      </c>
      <c r="JM39" s="759" t="str">
        <f t="shared" si="175"/>
        <v/>
      </c>
      <c r="JN39" s="759" t="str">
        <f>IF(A39=FALSE,"",((JH39*TAXE)-(JH39*TAXE*JJ39))+IF(#REF!="N/A",0,IF(INDEX(LISTES!$F$105:$F$109,MATCH(#REF!,LISTES!$C$105:$C$109,0))="FIX",#REF!,#REF!*JM39)))</f>
        <v/>
      </c>
      <c r="KA39" s="432" t="str">
        <f>IF(A39=FALSE,"",Cotations!AT39)</f>
        <v/>
      </c>
      <c r="KB39" s="1234" t="str">
        <f>IF(A39=FALSE,"",IF(Detail!BJ39="","N/A",YEAR(Detail!F39)&amp;Detail!BM39&amp;Detail!BJ39&amp;"-"&amp;Detail!$BJ$13&amp;Detail!BK39))</f>
        <v/>
      </c>
      <c r="KC39" s="431" t="str">
        <f>IF(A39=FALSE,"",IF(LISTES!$A$17=1,KB39,INDEX(colMOD3,MATCH(DA39,colchoice,0))))</f>
        <v/>
      </c>
      <c r="KD39" s="759" t="str">
        <f t="shared" si="176"/>
        <v/>
      </c>
      <c r="KE39" s="292"/>
      <c r="KF39" s="409" t="str">
        <f t="shared" si="177"/>
        <v/>
      </c>
      <c r="KG39" s="430" t="str">
        <f>IF(A39=FALSE,"",IF(KA39="POEA",Cotations!BG39,IF(KA39="FIXE",Cotations!BH39,IF(Cotations!BI39*Y39&lt;50000,Z39,Cotations!BI39*Y39))))</f>
        <v/>
      </c>
      <c r="KH39" s="292" t="str">
        <f t="shared" si="178"/>
        <v/>
      </c>
      <c r="KI39" s="446" t="str">
        <f>IF(A39=FALSE,"",IF(Cotations!AU39="monthly",KH39/12*L39,KH39/365*M39))</f>
        <v/>
      </c>
      <c r="KJ39" s="429" t="str">
        <f>IF(A39=FALSE,"",IF(Cotations!BJ39="","",Cotations!BJ39))</f>
        <v/>
      </c>
      <c r="KK39" s="292" t="str">
        <f t="shared" si="179"/>
        <v/>
      </c>
      <c r="KL39" s="292" t="str">
        <f t="shared" si="180"/>
        <v/>
      </c>
      <c r="KM39" s="759" t="str">
        <f t="shared" si="181"/>
        <v/>
      </c>
      <c r="KN39" s="759" t="str">
        <f>IF(A39=FALSE,"",((KH39*TAXE)-(KH39*TAXE*KJ39))+IF(#REF!="N/A",0,IF(INDEX(LISTES!$F$105:$F$109,MATCH(#REF!,LISTES!$C$105:$C$109,0))="FIX",#REF!,#REF!*KM39)))</f>
        <v/>
      </c>
      <c r="LA39" s="432" t="str">
        <f>IF(A39=FALSE,"",Cotations!AT39)</f>
        <v/>
      </c>
      <c r="LB39" s="1234" t="str">
        <f>IF(A39=FALSE,"",IF(Detail!BR39="","N/A",YEAR(Detail!F39)&amp;Detail!BU39&amp;Detail!BR39&amp;"-"&amp;Detail!$BR$13&amp;Detail!BS39))</f>
        <v/>
      </c>
      <c r="LC39" s="431" t="str">
        <f>IF(A39=FALSE,"",IF(LISTES!$A$17=1,LB39,INDEX(colMOD4,MATCH(DA39,colchoice,0))))</f>
        <v/>
      </c>
      <c r="LD39" s="759" t="str">
        <f t="shared" si="182"/>
        <v/>
      </c>
      <c r="LE39" s="292"/>
      <c r="LF39" s="409" t="str">
        <f t="shared" si="183"/>
        <v/>
      </c>
      <c r="LG39" s="430" t="str">
        <f>IF(A39=FALSE,"",IF(LA39="POEA",Cotations!BK39,IF(LA39="FIXE",Cotations!BL39,IF(Cotations!BM39*Y39&lt;50000,Z39,Cotations!BM39*Y39))))</f>
        <v/>
      </c>
      <c r="LH39" s="292" t="str">
        <f t="shared" si="184"/>
        <v/>
      </c>
      <c r="LI39" s="446" t="str">
        <f>IF(A39=FALSE,"",IF(Cotations!AU39="monthly",LH39/12*L39,LH39/365*M39))</f>
        <v/>
      </c>
      <c r="LJ39" s="429" t="str">
        <f>IF(A39=FALSE,"",IF(Cotations!BN39="","",Cotations!BN39))</f>
        <v/>
      </c>
      <c r="LK39" s="292" t="str">
        <f t="shared" si="185"/>
        <v/>
      </c>
      <c r="LL39" s="292" t="str">
        <f t="shared" si="186"/>
        <v/>
      </c>
      <c r="LM39" s="759" t="str">
        <f t="shared" si="187"/>
        <v/>
      </c>
      <c r="LN39" s="759" t="str">
        <f>IF(A39=FALSE,"",((LH39*TAXE)-(LH39*TAXE*LJ39))+IF(#REF!="N/A",0,IF(INDEX(LISTES!$F$105:$F$109,MATCH(#REF!,LISTES!$C$105:$C$109,0))="FIX",#REF!,#REF!*LM39)))</f>
        <v/>
      </c>
      <c r="MA39" s="432" t="str">
        <f t="shared" si="188"/>
        <v/>
      </c>
      <c r="MB39" s="1234" t="str">
        <f>IF(A39=FALSE,"",IF(Detail!BZ39="","N/A",YEAR(Detail!F39)&amp;Detail!CC39&amp;Detail!BZ39&amp;"-"&amp;Detail!$BZ$13&amp;" (100%/"&amp;Detail!CD39&amp;"/"&amp;Detail!CE39&amp;")"))</f>
        <v/>
      </c>
      <c r="MC39" s="431" t="str">
        <f>IF(A39=FALSE,"",IF(LISTES!$A$17=1,MB39,INDEX(colMOD5,MATCH(DA39,colchoice,0))))</f>
        <v/>
      </c>
      <c r="MD39" s="759" t="str">
        <f t="shared" si="189"/>
        <v/>
      </c>
      <c r="ME39" s="292"/>
      <c r="MF39" s="409" t="str">
        <f t="shared" si="190"/>
        <v/>
      </c>
      <c r="MG39" s="430" t="str">
        <f>IF(A39=FALSE,"",Cotations!BQ39*AA39)</f>
        <v/>
      </c>
      <c r="MH39" s="292" t="str">
        <f t="shared" si="191"/>
        <v/>
      </c>
      <c r="MI39" s="446" t="str">
        <f>IF(A39=FALSE,"",IF(Cotations!AU39="monthly",MH39/12*L39,MH39/365*M39))</f>
        <v/>
      </c>
      <c r="MJ39" s="429" t="str">
        <f>IF(A39=FALSE,"",IF(Cotations!BR39="","",Cotations!BR39))</f>
        <v/>
      </c>
      <c r="MK39" s="292" t="str">
        <f t="shared" si="192"/>
        <v/>
      </c>
      <c r="ML39" s="292" t="str">
        <f t="shared" si="193"/>
        <v/>
      </c>
      <c r="MM39" s="759" t="str">
        <f t="shared" si="194"/>
        <v/>
      </c>
      <c r="MN39" s="759" t="str">
        <f>IF(A39=FALSE,"",((MH39*TAXE)-(MH39*TAXE*MJ39))+IF(#REF!="N/A",0,IF(INDEX(LISTES!$F$105:$F$109,MATCH(#REF!,LISTES!$C$105:$C$109,0))="FIX",#REF!,#REF!*MM39)))</f>
        <v/>
      </c>
      <c r="NA39" s="432" t="str">
        <f t="shared" si="195"/>
        <v/>
      </c>
      <c r="NB39" s="1234" t="str">
        <f>IF(A39=FALSE,"",IF(Detail!CH39="","N/A",YEAR(Detail!F39)&amp;Detail!CK39&amp;Detail!CH39&amp;"-"&amp;Detail!$CH$13&amp;" (100%/"&amp;Detail!CL39&amp;"/"&amp;Detail!CM39&amp;")"))</f>
        <v/>
      </c>
      <c r="NC39" s="431" t="str">
        <f>IF(A39=FALSE,"",IF(LISTES!$A$17=1,NB39,INDEX(colMOD6,MATCH(DA39,colchoice,0))))</f>
        <v/>
      </c>
      <c r="ND39" s="759" t="str">
        <f t="shared" si="196"/>
        <v/>
      </c>
      <c r="NE39" s="292"/>
      <c r="NF39" s="409" t="str">
        <f t="shared" si="197"/>
        <v/>
      </c>
      <c r="NG39" s="430" t="str">
        <f>IF(A39=FALSE,"",Cotations!BU39*AA39)</f>
        <v/>
      </c>
      <c r="NH39" s="292" t="str">
        <f t="shared" si="198"/>
        <v/>
      </c>
      <c r="NI39" s="446" t="str">
        <f>IF(A39=FALSE,"",IF(Cotations!AU39="monthly",NH39/12*L39,NH39/365*M39))</f>
        <v/>
      </c>
      <c r="NJ39" s="429" t="str">
        <f>IF(A39=FALSE,"",IF(Cotations!BV39="","",Cotations!BV39))</f>
        <v/>
      </c>
      <c r="NK39" s="292" t="str">
        <f t="shared" si="199"/>
        <v/>
      </c>
      <c r="NL39" s="292" t="str">
        <f t="shared" si="200"/>
        <v/>
      </c>
      <c r="NM39" s="759" t="str">
        <f t="shared" si="201"/>
        <v/>
      </c>
      <c r="NN39" s="759" t="str">
        <f>IF(A39=FALSE,"",((NH39*TAXE)-(NH39*TAXE*NJ39))+IF(#REF!="N/A",0,IF(INDEX(LISTES!$F$105:$F$109,MATCH(#REF!,LISTES!$C$105:$C$109,0))="FIX",#REF!,#REF!*NM39)))</f>
        <v/>
      </c>
      <c r="NZ39" s="1281" t="str">
        <f>IF(A39=FALSE,"",IF(Detail!CP39="","N/A",YEAR(Detail!F39)&amp;Detail!CS39&amp;Detail!CP39&amp;"-"&amp;Detail!CQ39))</f>
        <v/>
      </c>
      <c r="OA39" s="432" t="str">
        <f>IF(A39=FALSE,"",Cotations!CF39)</f>
        <v/>
      </c>
      <c r="OB39" s="1282" t="str">
        <f>IF(A39=FALSE,"",IF(Detail!CP39="","N/A",YEAR(Detail!F39)&amp;Detail!CS39&amp;Detail!CP39&amp;"-"&amp;Detail!$CP$13&amp;Detail!CQ39))</f>
        <v/>
      </c>
      <c r="OC39" s="1283" t="str">
        <f>IF(A39=FALSE,"",IF(LISTES!$A$17=1,OB39,INDEX(colMOD1,MATCH(Cotations!CE39,colchoice,0))))</f>
        <v/>
      </c>
      <c r="OD39" s="759" t="str">
        <f t="shared" si="202"/>
        <v/>
      </c>
      <c r="OE39" s="292" t="str">
        <f>IF(A39=FALSE,"",Detail!CQ39)</f>
        <v/>
      </c>
      <c r="OF39" s="409" t="str">
        <f t="shared" si="203"/>
        <v/>
      </c>
      <c r="OG39" s="430" t="str">
        <f>IF(A39=FALSE,"",IF(OA39="FIXE",Cotations!CM39,Cotations!CN39*AA39))</f>
        <v/>
      </c>
      <c r="OH39" s="292" t="str">
        <f t="shared" si="288"/>
        <v/>
      </c>
      <c r="OI39" s="446" t="str">
        <f>IF(A39=FALSE,"",IF(Cotations!CF39="monthly",OH39/12*L39,OH39/365*M39))</f>
        <v/>
      </c>
      <c r="OJ39" s="429" t="str">
        <f>IF(A39=FALSE,"",IF(Cotations!CO39="","",Cotations!CO39))</f>
        <v/>
      </c>
      <c r="OK39" s="292" t="str">
        <f t="shared" si="289"/>
        <v/>
      </c>
      <c r="OL39" s="292" t="str">
        <f t="shared" si="290"/>
        <v/>
      </c>
      <c r="OM39" s="759" t="str">
        <f t="shared" si="207"/>
        <v/>
      </c>
      <c r="ON39" s="759" t="str">
        <f>IF(A39=FALSE,"",((OH39*(1+TAXE)-(OH39*(1+TAXE)*OJ39))+IF(#REF!="N/A",0,IF(INDEX(LISTES!$F$105:$F$109,MATCH(#REF!,LISTES!$C$105:$C$109,0))="FIX",#REF!,#REF!*OM39))))</f>
        <v/>
      </c>
      <c r="PA39" s="432" t="str">
        <f>IF(A39=FALSE,"",Cotations!CF39)</f>
        <v/>
      </c>
      <c r="PB39" s="1282" t="str">
        <f>IF(A39=FALSE,"",IF(Detail!CX39="","N/A",YEAR(Detail!F39)&amp;Detail!DA39&amp;Detail!CX39&amp;"-"&amp;Detail!$CX$13&amp;Detail!CY39))</f>
        <v/>
      </c>
      <c r="PC39" s="1283" t="str">
        <f>IF(A39=FALSE,"",IF(LISTES!$A$17=1,PB39,INDEX(colMOD3,MATCH(Cotations!CE39,colchoice,0))))</f>
        <v/>
      </c>
      <c r="PD39" s="759" t="str">
        <f t="shared" si="208"/>
        <v/>
      </c>
      <c r="PE39" s="292" t="str">
        <f>IF(A39=FALSE,"",IF(Detail!CY39="","",Detail!CY39))</f>
        <v/>
      </c>
      <c r="PF39" s="409" t="str">
        <f t="shared" si="291"/>
        <v/>
      </c>
      <c r="PG39" s="430" t="str">
        <f>IF(A39=FALSE,"",IF(PA39="FIXE",Cotations!CP39,Cotations!CQ39*AA39))</f>
        <v/>
      </c>
      <c r="PH39" s="292" t="str">
        <f t="shared" si="292"/>
        <v/>
      </c>
      <c r="PI39" s="446" t="str">
        <f>IF(A39=FALSE,"",IF(Cotations!CG39="monthly",PH39/12*L39,PH39/365*M39))</f>
        <v/>
      </c>
      <c r="PJ39" s="429" t="str">
        <f>IF(A39=FALSE,"",IF(Cotations!DA39="",0,Cotations!DA39))</f>
        <v/>
      </c>
      <c r="PK39" s="292" t="str">
        <f t="shared" si="293"/>
        <v/>
      </c>
      <c r="PL39" s="292" t="str">
        <f t="shared" si="294"/>
        <v/>
      </c>
      <c r="PM39" s="759" t="str">
        <f t="shared" si="211"/>
        <v/>
      </c>
      <c r="PN39" s="759" t="str">
        <f>IF(A39=FALSE,"",((PH39*(1+TAXE)-(PH39*(1+TAXE)*PJ39))+IF(#REF!="N/A",0,IF(INDEX(LISTES!$F$105:$F$109,MATCH(#REF!,LISTES!$C$105:$C$109,0))="FIX",#REF!,#REF!*PM39))))</f>
        <v/>
      </c>
    </row>
    <row r="40" spans="1:430">
      <c r="A40" s="779" t="b">
        <f t="shared" si="111"/>
        <v>1</v>
      </c>
      <c r="B40" s="779" t="b">
        <f>IF(NAMES!$B$9=TRUE,TRUE,FALSE)</f>
        <v>1</v>
      </c>
      <c r="C40" s="779" t="b">
        <f t="shared" si="212"/>
        <v>1</v>
      </c>
      <c r="D40" s="779" t="b">
        <f t="shared" si="213"/>
        <v>1</v>
      </c>
      <c r="E40" s="267" t="b">
        <f>IF(Cotations!C40="","",Cotations!C40)</f>
        <v>1</v>
      </c>
      <c r="F40" s="267" t="str">
        <f>IF(Cotations!AT40="","",Cotations!AT40)</f>
        <v>PROP</v>
      </c>
      <c r="G40" s="267" t="str">
        <f>IF(Cotations!D40="","",Cotations!D40)</f>
        <v>2017-2017!</v>
      </c>
      <c r="H40" s="267" t="str">
        <f>IF(Cotations!E40="","",Cotations!E40)</f>
        <v>SINGLE</v>
      </c>
      <c r="I40" s="267">
        <f>IF(Cotations!F40="","",Cotations!F40)</f>
        <v>33</v>
      </c>
      <c r="J40" s="267" t="str">
        <f>IF(Cotations!G40="","",Cotations!G40)</f>
        <v>Captain/Master</v>
      </c>
      <c r="K40" s="267" t="str">
        <f>IF(Cotations!H40="","",Cotations!H40)</f>
        <v>PIALLES</v>
      </c>
      <c r="L40" s="267">
        <f>IF(A40=FALSE,"",IF(Cotations!M40="","",Cotations!M40))</f>
        <v>6</v>
      </c>
      <c r="M40" s="267">
        <f>IF(Cotations!O40="","",Cotations!O40)</f>
        <v>181</v>
      </c>
      <c r="N40" s="588">
        <f>IF(NAMES!$B$10=TRUE,Cotations!I40,Cotations!K40)</f>
        <v>42750</v>
      </c>
      <c r="O40" s="588">
        <f>IF(NAMES!$B$10=TRUE,Cotations!J40,Cotations!L40)</f>
        <v>42930</v>
      </c>
      <c r="P40" s="780" t="str">
        <f t="shared" si="214"/>
        <v>janvier</v>
      </c>
      <c r="Q40" s="588">
        <f>IF(A40=FALSE,"",IF(Crewlist!Y40="","",Crewlist!Y40))</f>
        <v>42930</v>
      </c>
      <c r="R40" s="78" t="str">
        <f>IF(Cotations!T40="","",Cotations!T40)</f>
        <v>annual</v>
      </c>
      <c r="S40" s="780" t="str">
        <f t="shared" si="215"/>
        <v>VRAI33janvier42750</v>
      </c>
      <c r="T40" s="759">
        <f>IF(A40=FALSE,"",VLOOKUP($U$15:$U$120,Currency!$A$2:$D$10,4,0)*Crewlist!N40)</f>
        <v>12000</v>
      </c>
      <c r="U40" s="1097" t="str">
        <f>IF(A40=FALSE,"",IF(DP40=0,Crewlist!M40&amp;"/"&amp;CP40,Crewlist!M40&amp;"/"&amp;DP40))</f>
        <v>EUR/EUR</v>
      </c>
      <c r="V40" s="759">
        <f>IF(A40=FALSE,"",VLOOKUP($U$15:$U$120,Currency!$A$2:$D$10,4,0)*Detail!Q40)</f>
        <v>12000</v>
      </c>
      <c r="W40" s="1097" t="str">
        <f>IF(A40=FALSE,"",IF(DP40=0,Detail!R40&amp;"/"&amp;CP40,Detail!R40&amp;"/"&amp;DP40))</f>
        <v>EUR/EUR</v>
      </c>
      <c r="X40" s="759">
        <f>IF(A40=FALSE,"",IF(LISTES!$C$17="Crewlist",Calcul!T40,Calcul!V40))</f>
        <v>12000</v>
      </c>
      <c r="Y40" s="618">
        <f t="shared" si="216"/>
        <v>144000</v>
      </c>
      <c r="Z40" s="618">
        <f>IF(A40=FALSE,"",IF(X40=0,0,IF((Cotations!BA40*12*X40)&lt;50000,50000,(12*X40))))</f>
        <v>144000</v>
      </c>
      <c r="AA40" s="618">
        <f t="shared" si="217"/>
        <v>125000</v>
      </c>
      <c r="AB40" s="618">
        <f>IF(A40=FALSE,"",IF(Crewlist!O40=0,"",Crewlist!O40))</f>
        <v>2500</v>
      </c>
      <c r="AC40" s="618" t="e">
        <f>IF(I40="","",VLOOKUP($AB$15:$AB$120,Currency!$A$15:$B$34,2,0))</f>
        <v>#N/A</v>
      </c>
      <c r="AD40" s="618" t="e">
        <f t="shared" si="218"/>
        <v>#N/A</v>
      </c>
      <c r="AE40" s="618" t="e">
        <f t="shared" si="219"/>
        <v>#N/A</v>
      </c>
      <c r="AF40" s="618" t="e">
        <f t="shared" si="220"/>
        <v>#N/A</v>
      </c>
      <c r="AG40" s="618">
        <f t="shared" si="221"/>
        <v>71408.219178082189</v>
      </c>
      <c r="AH40" s="1097" t="str">
        <f t="shared" si="112"/>
        <v>EUR</v>
      </c>
      <c r="AI40" s="759">
        <f t="shared" si="222"/>
        <v>3402.8171626263584</v>
      </c>
      <c r="AJ40" s="1120">
        <f>IF(A40=FALSE,"",AS40+AL40+AN40)</f>
        <v>641.5</v>
      </c>
      <c r="AK40" s="1120">
        <f t="shared" si="224"/>
        <v>2755.3171626263584</v>
      </c>
      <c r="AL40" s="236">
        <f t="shared" si="225"/>
        <v>7</v>
      </c>
      <c r="AM40" s="236">
        <f t="shared" si="226"/>
        <v>130.37758317793697</v>
      </c>
      <c r="AN40" s="1112">
        <f t="shared" si="227"/>
        <v>0</v>
      </c>
      <c r="AO40" s="236">
        <f t="shared" si="228"/>
        <v>137.37758317793697</v>
      </c>
      <c r="AP40" s="327" t="str">
        <f>IF(A40=FALSE,"",INDEX(Rates!$Q$1:$Q$278,MATCH(CA40,colchoice,0)))</f>
        <v>WCA</v>
      </c>
      <c r="AQ40" s="236">
        <f t="shared" si="229"/>
        <v>6</v>
      </c>
      <c r="AR40" s="236">
        <f t="shared" si="230"/>
        <v>3259.4395794484212</v>
      </c>
      <c r="AS40" s="236">
        <f t="shared" si="117"/>
        <v>634.5</v>
      </c>
      <c r="AT40" s="236">
        <f t="shared" si="118"/>
        <v>2755.3171626263584</v>
      </c>
      <c r="AU40" s="236">
        <f t="shared" si="231"/>
        <v>524.42307692307691</v>
      </c>
      <c r="AV40" s="236">
        <f t="shared" si="232"/>
        <v>85.67307692307692</v>
      </c>
      <c r="AW40" s="236">
        <f t="shared" si="233"/>
        <v>148.03662541332073</v>
      </c>
      <c r="AX40" s="236">
        <f t="shared" si="234"/>
        <v>370.2393046764289</v>
      </c>
      <c r="AY40" s="236">
        <f t="shared" si="235"/>
        <v>182.90353519130846</v>
      </c>
      <c r="AZ40" s="236">
        <f t="shared" si="236"/>
        <v>439.97312423240442</v>
      </c>
      <c r="BA40" s="236">
        <f t="shared" si="237"/>
        <v>502.98677373641948</v>
      </c>
      <c r="BB40" s="467">
        <f t="shared" si="238"/>
        <v>1005.2040623523856</v>
      </c>
      <c r="BC40" s="329">
        <f t="shared" si="239"/>
        <v>634.5</v>
      </c>
      <c r="BD40" s="237">
        <f t="shared" si="240"/>
        <v>610.09615384615381</v>
      </c>
      <c r="BE40" s="237">
        <f>IF(A40=FALSE,"",IF(ED40&lt;&gt;$BC$7,0,INDEX(EA40:EZ40,1,MATCH(Structure!$J$16,$EA$14:$EZ$14,0))))</f>
        <v>524.42307692307691</v>
      </c>
      <c r="BF40" s="237">
        <f>IF(A40=FALSE,"",IF(FD40&lt;&gt;$BC$7,0,INDEX(FA40:FZ40,1,MATCH(Structure!$J$16,$FA$14:$FZ$14,0))))</f>
        <v>85.67307692307692</v>
      </c>
      <c r="BG40" s="237">
        <f>IF(A40=FALSE,"",IF(GD40&lt;&gt;$BC$7,0,INDEX(GA40:GZ40,1,MATCH(Structure!$J$16,$GA$14:$GZ$14,0))))</f>
        <v>0</v>
      </c>
      <c r="BH40" s="237">
        <f>IF(A40=FALSE,"",IF(HD40&lt;&gt;$BC$7,0,INDEX(HA40:HZ40,1,MATCH(Structure!$J$16,$HA$14:$HZ$14,0))))</f>
        <v>0</v>
      </c>
      <c r="BI40" s="621">
        <f>IF(A40=FALSE,"",IF(ID40&lt;&gt;$BC$7,0,INDEX(IA40:IZ40,1,MATCH(Structure!$C$12,$IA$14:$IZ$14,0)))+OL40)</f>
        <v>0</v>
      </c>
      <c r="BJ40" s="237">
        <f>IF(A40=FALSE,"",IF(JD40&lt;&gt;$BC$7,0,INDEX(JA40:JZ40,1,MATCH(Structure!$C$12,$JA$14:$JZ$14,0))))</f>
        <v>0</v>
      </c>
      <c r="BK40" s="621">
        <f>IF(A40=FALSE,"",IF(KD40&lt;&gt;$BC$7,0,INDEX(KA40:KZ40,1,MATCH(Structure!$C$12,$KA$14:$KZ$14,0)))+PL40)</f>
        <v>0</v>
      </c>
      <c r="BL40" s="237">
        <f>IF(A40=FALSE,"",IF(LD40&lt;&gt;$BC$7,0,INDEX(LA40:LZ40,1,MATCH(Structure!$C$12,$LA$14:$LZ$14,0))))</f>
        <v>0</v>
      </c>
      <c r="BM40" s="237">
        <f>IF(A40=FALSE,"",IF(MD40&lt;&gt;$BC$7,0,INDEX(MA40:MZ40,1,MATCH(Structure!$C$12,$MA$14:$MZ$14,0))))</f>
        <v>0</v>
      </c>
      <c r="BN40" s="326">
        <f>IF(A40=FALSE,"",IF(ND40&lt;&gt;$BC$7,0,INDEX(NA40:OC40,1,MATCH(Structure!$C$12,$NA$14:$OC$14,0))))</f>
        <v>0</v>
      </c>
      <c r="BO40" s="435">
        <f t="shared" si="241"/>
        <v>2755.3171626263584</v>
      </c>
      <c r="BP40" s="237">
        <f t="shared" si="242"/>
        <v>2649.3434256022674</v>
      </c>
      <c r="BQ40" s="237">
        <f>IF(A40=FALSE,"",IF(ED40&lt;&gt;$BO$7,0,INDEX(EA40:EZ40,1,MATCH(Structure!$C$12,$EA$14:$EZ$14,0))))</f>
        <v>0</v>
      </c>
      <c r="BR40" s="237">
        <f>IF(A40=FALSE,"",IF(FD40&lt;&gt;$BO$7,0,INDEX(FA40:FZ40,1,MATCH(Structure!$C$12,$FA$14:$FZ$14,0))))</f>
        <v>0</v>
      </c>
      <c r="BS40" s="237">
        <f>IF(A40=FALSE,"",IF(ID40&lt;&gt;$BO$7,0,INDEX(IA40:IZ40,1,MATCH(Structure!$C$13,$IA$14:$IZ$14,0))))</f>
        <v>148.03662541332073</v>
      </c>
      <c r="BT40" s="237">
        <f>IF(A40=FALSE,"",IF(JD40&lt;&gt;$BO$7,0,INDEX(JA40:JZ40,1,MATCH(Structure!$C$13,$JA$14:$JZ$14,0))))</f>
        <v>370.2393046764289</v>
      </c>
      <c r="BU40" s="237">
        <f>IF(A40=FALSE,"",IF(KD40&lt;&gt;$BO$7,0,INDEX(KA40:KZ40,1,MATCH(Structure!$C$13,$KA$14:$KZ$14,0))))</f>
        <v>182.90353519130846</v>
      </c>
      <c r="BV40" s="237">
        <f>IF(A40=FALSE,"",IF(LD40&lt;&gt;$BO$7,0,INDEX(LA40:LZ40,1,MATCH(Structure!$C$13,$LA$14:$LZ$14,0))))</f>
        <v>439.97312423240442</v>
      </c>
      <c r="BW40" s="237">
        <f>IF(A40=FALSE,"",IF(MD40&lt;&gt;$BO$7,0,INDEX(MA40:MZ40,1,MATCH(Structure!$C$13,$MA$14:$MZ$14,0))))</f>
        <v>502.98677373641948</v>
      </c>
      <c r="BX40" s="326">
        <f>IF(A40=FALSE,"",IF(ND40&lt;&gt;$BO$7,0,INDEX(NA40:OC40,1,MATCH(Structure!$C$13,$NA$14:$OC$14,0))))</f>
        <v>1005.2040623523856</v>
      </c>
      <c r="BY40" s="412"/>
      <c r="BZ40" s="412"/>
      <c r="CA40" s="1255" t="str">
        <f>IF(A40=FALSE,"",IF(LISTES!$A$17=1,Cotations!AG40,Cotations!AH40))</f>
        <v>2017EURAIG Luxembourg-Perfect S</v>
      </c>
      <c r="CB40" s="1266">
        <f t="shared" si="243"/>
        <v>610.09615384615381</v>
      </c>
      <c r="CC40" s="1120">
        <f t="shared" si="244"/>
        <v>524.42307692307691</v>
      </c>
      <c r="CD40" s="1120">
        <f t="shared" si="245"/>
        <v>85.67307692307692</v>
      </c>
      <c r="CE40" s="1120">
        <f t="shared" si="246"/>
        <v>0</v>
      </c>
      <c r="CF40" s="1120">
        <f t="shared" si="247"/>
        <v>0</v>
      </c>
      <c r="CG40" s="1267"/>
      <c r="CH40" s="1267"/>
      <c r="CI40" s="1268">
        <f t="shared" si="248"/>
        <v>634.5</v>
      </c>
      <c r="CJ40" s="286">
        <f t="shared" si="249"/>
        <v>545.4</v>
      </c>
      <c r="CK40" s="286">
        <f t="shared" si="250"/>
        <v>89.1</v>
      </c>
      <c r="CL40" s="1263"/>
      <c r="CM40" s="1263"/>
      <c r="CN40" s="1263"/>
      <c r="CO40" s="1263"/>
      <c r="CP40" s="319" t="str">
        <f t="shared" si="251"/>
        <v>EUR</v>
      </c>
      <c r="CQ40" s="443" t="str">
        <f>IF(A40=FALSE,"",Cotations!AM40)</f>
        <v>fix Fees pro rata month</v>
      </c>
      <c r="CR40" s="443">
        <f>IF(A40=FALSE,"",IF(Cotations!AN40="","",Cotations!AN40))</f>
        <v>14</v>
      </c>
      <c r="CS40" s="433">
        <f>IF(A40=FALSE,"",Cotations!AO40)</f>
        <v>0</v>
      </c>
      <c r="CT40" s="443">
        <f>IF(A40=FALSE,"",IF(CQ40="N/A",0,IF(INDEX(LISTES!$F$105:$F$109,MATCH(CQ40,LISTES!$C$105:$C$109,0))="FIX",IF(INDEX(LISTES!$E$105:$E$109,MATCH(CQ40,LISTES!$C$105:$C$109,0))=12,CR40/12*L40,CR40/365*M40),CS40*EQ40)))</f>
        <v>7</v>
      </c>
      <c r="CU40" s="434">
        <f>IF(A40=FALSE,"",(CJ40+CK40)*Cotations!AP40)</f>
        <v>634.5</v>
      </c>
      <c r="CV40" s="434">
        <f>IF(A40=FALSE,"",(CJ40+CK40)*Cotations!AQ40)</f>
        <v>0</v>
      </c>
      <c r="DA40" s="1253" t="str">
        <f>IF(A40=FALSE,"",IF(LISTES!$A$17=1,Cotations!AV40,Cotations!AW40))</f>
        <v>2017EURAnker Verzekeringen n.v.-Formula 3 (7/365)</v>
      </c>
      <c r="DB40" s="1271">
        <f t="shared" si="252"/>
        <v>2649.3434256022674</v>
      </c>
      <c r="DC40" s="1270">
        <f t="shared" si="253"/>
        <v>148.03662541332073</v>
      </c>
      <c r="DD40" s="1270">
        <f t="shared" si="254"/>
        <v>370.2393046764289</v>
      </c>
      <c r="DE40" s="1270">
        <f t="shared" si="255"/>
        <v>182.90353519130846</v>
      </c>
      <c r="DF40" s="1270">
        <f t="shared" si="256"/>
        <v>439.97312423240442</v>
      </c>
      <c r="DG40" s="1270">
        <f t="shared" si="257"/>
        <v>502.98677373641948</v>
      </c>
      <c r="DH40" s="1270">
        <f t="shared" si="258"/>
        <v>1005.2040623523856</v>
      </c>
      <c r="DI40" s="1271">
        <f t="shared" si="259"/>
        <v>2755.3171626263584</v>
      </c>
      <c r="DJ40" s="286">
        <f t="shared" si="260"/>
        <v>153.95809042985357</v>
      </c>
      <c r="DK40" s="286">
        <f t="shared" si="261"/>
        <v>385.04887686348604</v>
      </c>
      <c r="DL40" s="1264">
        <f t="shared" si="262"/>
        <v>190.2196765989608</v>
      </c>
      <c r="DM40" s="1264">
        <f t="shared" si="263"/>
        <v>457.57204920170062</v>
      </c>
      <c r="DN40" s="1264">
        <f t="shared" si="264"/>
        <v>523.10624468587628</v>
      </c>
      <c r="DO40" s="1264">
        <f t="shared" si="265"/>
        <v>1045.412224846481</v>
      </c>
      <c r="DP40" s="323" t="str">
        <f t="shared" si="132"/>
        <v>EUR</v>
      </c>
      <c r="DQ40" s="444" t="str">
        <f>IF(A40=FALSE,"",Cotations!BW40)</f>
        <v>N/A</v>
      </c>
      <c r="DR40" s="444">
        <f>IF(A40=FALSE,"",Cotations!BX40)</f>
        <v>0</v>
      </c>
      <c r="DS40" s="433">
        <f>IF(A40=FALSE,"",Cotations!BY40)</f>
        <v>0</v>
      </c>
      <c r="DT40" s="830">
        <f>IF(A40=FALSE,"",IF(DQ40="N/A",0,IF(INDEX(LISTES!$F$105:$F$109,MATCH(DQ40,LISTES!$C$105:$C$109,0))="FIX",IF(INDEX(LISTES!$E$105:$E$109,MATCH(DQ40,LISTES!$C$105:$C$109,0))=12,DR40/12*L40,DR40/365*M40),DS40*(DN40+DO40))))</f>
        <v>0</v>
      </c>
      <c r="DU40" s="434">
        <f>IF(A40=FALSE,"",DJ40*Cotations!BZ40)</f>
        <v>153.95809042985357</v>
      </c>
      <c r="DV40" s="434">
        <f>IF(A40=FALSE,"",DJ40*Cotations!CA40)</f>
        <v>0</v>
      </c>
      <c r="EA40" s="432" t="str">
        <f>IF(A40=FALSE,"",Cotations!AT40)</f>
        <v>PROP</v>
      </c>
      <c r="EB40" s="1234" t="str">
        <f>IF(A40=FALSE,"",YEAR(Detail!F40)&amp;Detail!AG40&amp;Detail!AD40&amp;"-"&amp;Detail!$AD$13&amp;Detail!AE40)</f>
        <v>2017EURAIG Luxembourg-Healthcare PlanPerfect S</v>
      </c>
      <c r="EC40" s="434" t="str">
        <f>IF(A40=FALSE,"",IF(LISTES!$A$17=1,EB40,INDEX(colMOD1,MATCH(Cotations!AH40,colchoice,0))))</f>
        <v>2017EURAIG Luxembourg-Healthcare PlanPerfect S</v>
      </c>
      <c r="ED40" s="277" t="str">
        <f t="shared" si="133"/>
        <v>AIG Luxembourg</v>
      </c>
      <c r="EE40" s="277" t="str">
        <f t="shared" si="134"/>
        <v>Perfect S</v>
      </c>
      <c r="EF40" s="277"/>
      <c r="EG40" s="277"/>
      <c r="EH40" s="277">
        <f t="shared" si="135"/>
        <v>1165.3846153846152</v>
      </c>
      <c r="EI40" s="1104">
        <f t="shared" si="136"/>
        <v>0</v>
      </c>
      <c r="EJ40" s="1104">
        <f t="shared" si="137"/>
        <v>1165.3846153846152</v>
      </c>
      <c r="EK40" s="443">
        <f>IF(A40=FALSE,"",IF(Cotations!AF40="monthly",EH40/12*L40,EH40/365*M40))</f>
        <v>582.69230769230762</v>
      </c>
      <c r="EL40" s="1103">
        <f>IF(A40=FALSE,"",IF(Cotations!AF40="monthly",EJ40/12*L40,EJ40/365*M40))</f>
        <v>582.69230769230762</v>
      </c>
      <c r="EM40" s="433">
        <f>IF(A40=FALSE,"",IF(Cotations!AI40="","",Cotations!AI40))</f>
        <v>0.1</v>
      </c>
      <c r="EN40" s="277">
        <f t="shared" si="266"/>
        <v>58.269230769230766</v>
      </c>
      <c r="EO40" s="277">
        <f t="shared" si="138"/>
        <v>524.42307692307691</v>
      </c>
      <c r="EP40" s="1104">
        <f t="shared" si="139"/>
        <v>0</v>
      </c>
      <c r="EQ40" s="277">
        <f t="shared" si="267"/>
        <v>545.4</v>
      </c>
      <c r="ER40" s="759">
        <f>IF(A40=FALSE,"",((EH40*TAXE)-(EH40*TAXE*EM40)+EI40)+IF(CQ40="N/A",0,IF(INDEX(LISTES!$F$105:$F$109,MATCH(CQ40,LISTES!$C$105:$C$109,0))="FIX",CR40,CS40*EQ40)))</f>
        <v>1104.8</v>
      </c>
      <c r="ET40" s="422"/>
      <c r="EU40" s="422"/>
      <c r="EV40" s="422"/>
      <c r="EW40" s="422"/>
      <c r="EX40" s="422"/>
      <c r="EY40" s="422"/>
      <c r="EZ40" s="422"/>
      <c r="FA40" s="432" t="str">
        <f>IF(A40=FALSE,"",Cotations!AT40)</f>
        <v>PROP</v>
      </c>
      <c r="FB40" s="1235" t="str">
        <f>IF(A40=FALSE,"",IF(Detail!AL40="","N/A",YEAR(Detail!F40)&amp;Detail!AO40&amp;Detail!AL40&amp;"-"&amp;Detail!$AL$13&amp;Detail!AM40))</f>
        <v>2017EURAIG Luxembourg-Assistance and RepatriationPerfect S</v>
      </c>
      <c r="FC40" s="434" t="str">
        <f>IF(A40=FALSE,"",IF(LISTES!$A$17=1,FB40,INDEX(colMOD2,MATCH(Cotations!AH40,colchoice,0))))</f>
        <v>2017EURAIG Luxembourg-Assistance and RepatriationPerfect S</v>
      </c>
      <c r="FD40" s="277" t="str">
        <f t="shared" si="140"/>
        <v>AIG Luxembourg</v>
      </c>
      <c r="FE40" s="443" t="str">
        <f>IF(A40=FALSE,"",IF(Detail!AM40="","",Detail!AM40))</f>
        <v>Perfect S</v>
      </c>
      <c r="FF40" s="277"/>
      <c r="FG40" s="277"/>
      <c r="FH40" s="277">
        <f t="shared" si="141"/>
        <v>190.38461538461539</v>
      </c>
      <c r="FI40" s="1104"/>
      <c r="FJ40" s="1104"/>
      <c r="FK40" s="443">
        <f>IF(A40=FALSE,"",IF(Cotations!AF40="monthly",FH40/12*L40,FH40/365*M40))</f>
        <v>95.192307692307693</v>
      </c>
      <c r="FL40" s="1103">
        <f>IF(A40=FALSE,"",IF(Cotations!AF40="monthly",FJ40/12*L40,FJ40/365*M40))</f>
        <v>0</v>
      </c>
      <c r="FM40" s="433">
        <f>IF(A40=FALSE,"",IF(Cotations!AJ40="","",Cotations!AJ40))</f>
        <v>0.1</v>
      </c>
      <c r="FN40" s="277">
        <f t="shared" si="268"/>
        <v>9.5192307692307701</v>
      </c>
      <c r="FO40" s="277">
        <f t="shared" si="269"/>
        <v>85.67307692307692</v>
      </c>
      <c r="FP40" s="1104"/>
      <c r="FQ40" s="277">
        <f t="shared" si="270"/>
        <v>89.1</v>
      </c>
      <c r="FR40" s="759" t="e">
        <f>IF(A40=FALSE,"",((FH40*TAXE)-(FH40*TAXE*FM40))+IF(#REF!="N/A",0,IF(INDEX(LISTES!$F$105:$F$109,MATCH(#REF!,LISTES!$C$105:$C$109,0))="FIX",#REF!,#REF!*FQ40)))</f>
        <v>#REF!</v>
      </c>
      <c r="FS40" s="422"/>
      <c r="FT40" s="422"/>
      <c r="FU40" s="422"/>
      <c r="FV40" s="422"/>
      <c r="FW40" s="422"/>
      <c r="FX40" s="422"/>
      <c r="FY40" s="422"/>
      <c r="FZ40" s="422"/>
      <c r="GA40" s="432" t="str">
        <f t="shared" si="145"/>
        <v>PROP</v>
      </c>
      <c r="GB40" s="1234" t="str">
        <f>IF(A40=FALSE,"",IF(Detail!DF40="","N/A",YEAR(Detail!F40)&amp;Detail!DI40&amp;Detail!DF40&amp;"-"&amp;Detail!$DF$13))</f>
        <v>N/A</v>
      </c>
      <c r="GC40" s="434" t="str">
        <f>IF(A40=FALSE,"",IF(LISTES!$A$17=1,GB40,INDEX(colMOD3,MATCH(Cotations!AH40,colchoice,0))))</f>
        <v>N/A</v>
      </c>
      <c r="GD40" s="277" t="str">
        <f t="shared" si="146"/>
        <v>N/A</v>
      </c>
      <c r="GE40" s="277">
        <f t="shared" si="147"/>
        <v>0</v>
      </c>
      <c r="GF40" s="277"/>
      <c r="GG40" s="277"/>
      <c r="GH40" s="277">
        <f t="shared" si="271"/>
        <v>0</v>
      </c>
      <c r="GI40" s="1104">
        <f t="shared" si="272"/>
        <v>0</v>
      </c>
      <c r="GJ40" s="1104">
        <f t="shared" si="273"/>
        <v>0</v>
      </c>
      <c r="GK40" s="443">
        <f>IF(A40=FALSE,"",IF(Cotations!AF40="monthly",GH40/12*L40,GH40/365*M40))</f>
        <v>0</v>
      </c>
      <c r="GL40" s="1103">
        <f>IF(A40=FALSE,"",IF(Cotations!AF40="monthly",GJ40/12*L40,GJ40/365*M40))</f>
        <v>0</v>
      </c>
      <c r="GM40" s="433">
        <f>IF(A40=FALSE,"",IF(Cotations!AK40="","",Cotations!AK40))</f>
        <v>0</v>
      </c>
      <c r="GN40" s="277">
        <f t="shared" si="274"/>
        <v>0</v>
      </c>
      <c r="GO40" s="277">
        <f t="shared" si="275"/>
        <v>0</v>
      </c>
      <c r="GP40" s="1104">
        <f t="shared" si="276"/>
        <v>0</v>
      </c>
      <c r="GQ40" s="277">
        <f t="shared" si="277"/>
        <v>0</v>
      </c>
      <c r="GR40" s="759">
        <f>IF(A40=FALSE,"",((GH40*TAXE)-(GH40*TAXE*GM40)+GI40)+IF(CQ40="N/A",0,IF(INDEX(LISTES!$F$105:$F$109,MATCH(CQ40,LISTES!$C$105:$C$109,0))="FIX",CR40,CS40*GQ40)))</f>
        <v>14</v>
      </c>
      <c r="GS40" s="412"/>
      <c r="GT40" s="412"/>
      <c r="GU40" s="412"/>
      <c r="GV40" s="412"/>
      <c r="GW40" s="412"/>
      <c r="GX40" s="412"/>
      <c r="GY40" s="412"/>
      <c r="GZ40" s="412"/>
      <c r="HA40" s="432" t="str">
        <f t="shared" si="155"/>
        <v>PROP</v>
      </c>
      <c r="HB40" s="1234" t="str">
        <f>IF(A40=FALSE,"",IF(Detail!DF40="","N/A",YEAR(Detail!F40)&amp;Detail!DI40&amp;Detail!DF40&amp;"-"&amp;Detail!$DF$13))</f>
        <v>N/A</v>
      </c>
      <c r="HC40" s="434" t="str">
        <f>IF(A40=FALSE,"",IF(LISTES!$A$17=1,HB40,INDEX(colMOD4,MATCH(Cotations!AH40,colchoice,0))))</f>
        <v>N/A</v>
      </c>
      <c r="HD40" s="277" t="str">
        <f t="shared" si="278"/>
        <v>N/A</v>
      </c>
      <c r="HE40" s="277">
        <f t="shared" si="279"/>
        <v>0</v>
      </c>
      <c r="HF40" s="277"/>
      <c r="HG40" s="277"/>
      <c r="HH40" s="277">
        <f t="shared" si="280"/>
        <v>0</v>
      </c>
      <c r="HI40" s="1104">
        <f t="shared" si="281"/>
        <v>0</v>
      </c>
      <c r="HJ40" s="1104">
        <f t="shared" si="282"/>
        <v>0</v>
      </c>
      <c r="HK40" s="443">
        <f>IF(A40=FALSE,"",IF(Cotations!AF40="monthly",HH40/12*L40,HH40/365*M40))</f>
        <v>0</v>
      </c>
      <c r="HL40" s="1103">
        <f>IF(A40=FALSE,"",IF(Cotations!AF40="monthly",HJ40/12*L40,HJ40/365*M40))</f>
        <v>0</v>
      </c>
      <c r="HM40" s="433">
        <f>IF(A40=FALSE,"",IF(Cotations!AL40="","",Cotations!AL40))</f>
        <v>0</v>
      </c>
      <c r="HN40" s="277">
        <f t="shared" si="283"/>
        <v>0</v>
      </c>
      <c r="HO40" s="277">
        <f t="shared" si="284"/>
        <v>0</v>
      </c>
      <c r="HP40" s="1104">
        <f t="shared" si="285"/>
        <v>0</v>
      </c>
      <c r="HQ40" s="277">
        <f t="shared" si="286"/>
        <v>0</v>
      </c>
      <c r="HR40" s="759">
        <f>IF(A40=FALSE,"",((HH40*TAXE)-(HH40*TAXE*HM40)+HI40)+IF(CQ40="N/A",0,IF(INDEX(LISTES!$F$105:$F$109,MATCH(CQ40,LISTES!$C$105:$C$109,0))="FIX",CR40,CS40*HQ40)))</f>
        <v>14</v>
      </c>
      <c r="HS40" s="412"/>
      <c r="HT40" s="412"/>
      <c r="HU40" s="412"/>
      <c r="HV40" s="412"/>
      <c r="HW40" s="412"/>
      <c r="HX40" s="412"/>
      <c r="HY40" s="412"/>
      <c r="HZ40" s="1262"/>
      <c r="IA40" s="432" t="str">
        <f>IF(A40=FALSE,"",Cotations!AT40)</f>
        <v>PROP</v>
      </c>
      <c r="IB40" s="1253" t="str">
        <f>IF(A40=FALSE,"",IF(Detail!AT40="","N/A",YEAR(Detail!F40)&amp;Detail!AW40&amp;Detail!AT40&amp;"-"&amp;Detail!$AT$13&amp;Detail!AU40))</f>
        <v>2017EURAnker Verzekeringen n.v.-Death AccidentFormula 3</v>
      </c>
      <c r="IC40" s="431" t="str">
        <f>IF(A40=FALSE,"",IF(LISTES!$A$17=1,IB40,INDEX(colMOD1,MATCH(DA40,colchoice,0))))</f>
        <v>2017EURAnker Verzekeringen n.v.-Death AccidentFormula 3</v>
      </c>
      <c r="ID40" s="759" t="str">
        <f t="shared" si="287"/>
        <v>Anker Verzekeringen n.v.</v>
      </c>
      <c r="IE40" s="292" t="str">
        <f>IF(A40=FALSE,"",IF(LISTES!$A$17=1,Detail!AU40,INDEX(Rates!$M$1:$M$270,MATCH(IC40,colMOD1,0))))</f>
        <v>Formula 3</v>
      </c>
      <c r="IF40" s="409">
        <f t="shared" si="165"/>
        <v>6.9103448275862072E-4</v>
      </c>
      <c r="IG40" s="430">
        <f>IF(A40=FALSE,"",IF(IA40="POEA",Cotations!AY40,IF(IA40="FIXE",Cotations!AZ40,IF(Cotations!BA40*Y40&lt;50000,Z40,Cotations!BA40*Y40))))</f>
        <v>432000</v>
      </c>
      <c r="IH40" s="292">
        <f t="shared" si="166"/>
        <v>298.52689655172412</v>
      </c>
      <c r="II40" s="446">
        <f>IF(A40=FALSE,"",IF(Cotations!AU40="monthly",IH40/12*L40,IH40/365*M40))</f>
        <v>148.03662541332073</v>
      </c>
      <c r="IJ40" s="429">
        <f>IF(A40=FALSE,"",IF(Cotations!BB40="","",Cotations!BB40))</f>
        <v>0</v>
      </c>
      <c r="IK40" s="292">
        <f t="shared" si="167"/>
        <v>0</v>
      </c>
      <c r="IL40" s="292">
        <f t="shared" si="168"/>
        <v>148.03662541332073</v>
      </c>
      <c r="IM40" s="759">
        <f t="shared" si="169"/>
        <v>153.95809042985357</v>
      </c>
      <c r="IN40" s="759">
        <f>IF(A40=FALSE,"",((IH40*TAXE)-(IH40*TAXE*IJ40))+IF(DQ40="N/A",0,IF(INDEX(LISTES!$F$105:$F$109,MATCH(DQ40,LISTES!$C$105:$C$109,0))="FIX",DR40,DS40*IM40)))</f>
        <v>310.46797241379312</v>
      </c>
      <c r="JA40" s="432" t="str">
        <f>IF(A40=FALSE,"",Cotations!AT40)</f>
        <v>PROP</v>
      </c>
      <c r="JB40" s="1234" t="str">
        <f>IF(A40=FALSE,"",IF(Detail!BB40="","N/A",YEAR(Detail!F40)&amp;Detail!BE40&amp;Detail!BB40&amp;"-"&amp;Detail!$BB$13&amp;Detail!BC40))</f>
        <v>2017EURAnker Verzekeringen n.v.-Death IllnessFormula 3</v>
      </c>
      <c r="JC40" s="431" t="str">
        <f>IF(A40=FALSE,"",IF(LISTES!$A$17=1,JB40,INDEX(colMOD2,MATCH(DA40,colchoice,0))))</f>
        <v>2017EURAnker Verzekeringen n.v.-Death illnessFormula 3</v>
      </c>
      <c r="JD40" s="759" t="str">
        <f t="shared" si="170"/>
        <v>Anker Verzekeringen n.v.</v>
      </c>
      <c r="JE40" s="292"/>
      <c r="JF40" s="409">
        <f t="shared" si="171"/>
        <v>1.7282758620689655E-3</v>
      </c>
      <c r="JG40" s="430">
        <f>IF(A40=FALSE,"",IF(JA40="POEA",Cotations!BC40,IF(JA40="FIXE",Cotations!BD40,IF(Cotations!BE40*Y40&lt;50000,Z40,Cotations!BE40*Y40))))</f>
        <v>432000</v>
      </c>
      <c r="JH40" s="292">
        <f t="shared" si="172"/>
        <v>746.61517241379306</v>
      </c>
      <c r="JI40" s="446">
        <f>IF(A40=FALSE,"",IF(Cotations!AU40="monthly",JH40/12*L40,JH40/365*M40))</f>
        <v>370.2393046764289</v>
      </c>
      <c r="JJ40" s="429">
        <f>IF(A40=FALSE,"",IF(Cotations!BF40="","",Cotations!BF40))</f>
        <v>0</v>
      </c>
      <c r="JK40" s="292">
        <f t="shared" si="173"/>
        <v>0</v>
      </c>
      <c r="JL40" s="292">
        <f t="shared" si="174"/>
        <v>370.2393046764289</v>
      </c>
      <c r="JM40" s="759">
        <f t="shared" si="175"/>
        <v>385.04887686348604</v>
      </c>
      <c r="JN40" s="759" t="e">
        <f>IF(A40=FALSE,"",((JH40*TAXE)-(JH40*TAXE*JJ40))+IF(#REF!="N/A",0,IF(INDEX(LISTES!$F$105:$F$109,MATCH(#REF!,LISTES!$C$105:$C$109,0))="FIX",#REF!,#REF!*JM40)))</f>
        <v>#REF!</v>
      </c>
      <c r="KA40" s="432" t="str">
        <f>IF(A40=FALSE,"",Cotations!AT40)</f>
        <v>PROP</v>
      </c>
      <c r="KB40" s="1234" t="str">
        <f>IF(A40=FALSE,"",IF(Detail!BJ40="","N/A",YEAR(Detail!F40)&amp;Detail!BM40&amp;Detail!BJ40&amp;"-"&amp;Detail!$BJ$13&amp;Detail!BK40))</f>
        <v>2017EURAnker Verzekeringen n.v.-Permanent Disability AccidentFormula 3</v>
      </c>
      <c r="KC40" s="431" t="str">
        <f>IF(A40=FALSE,"",IF(LISTES!$A$17=1,KB40,INDEX(colMOD3,MATCH(DA40,colchoice,0))))</f>
        <v>2017EURAnker Verzekeringen n.v.-Permanent Disability AccidentFormula 3</v>
      </c>
      <c r="KD40" s="759" t="str">
        <f t="shared" si="176"/>
        <v>Anker Verzekeringen n.v.</v>
      </c>
      <c r="KE40" s="292"/>
      <c r="KF40" s="409">
        <f t="shared" si="177"/>
        <v>6.9103448275862072E-4</v>
      </c>
      <c r="KG40" s="430">
        <f>IF(A40=FALSE,"",IF(KA40="POEA",Cotations!BG40,IF(KA40="FIXE",Cotations!BH40,IF(Cotations!BI40*Y40&lt;50000,Z40,Cotations!BI40*Y40))))</f>
        <v>432000</v>
      </c>
      <c r="KH40" s="292">
        <f t="shared" si="178"/>
        <v>368.83862068965516</v>
      </c>
      <c r="KI40" s="446">
        <f>IF(A40=FALSE,"",IF(Cotations!AU40="monthly",KH40/12*L40,KH40/365*M40))</f>
        <v>182.90353519130846</v>
      </c>
      <c r="KJ40" s="429">
        <f>IF(A40=FALSE,"",IF(Cotations!BJ40="","",Cotations!BJ40))</f>
        <v>0</v>
      </c>
      <c r="KK40" s="292">
        <f t="shared" si="179"/>
        <v>0</v>
      </c>
      <c r="KL40" s="292">
        <f t="shared" si="180"/>
        <v>182.90353519130846</v>
      </c>
      <c r="KM40" s="759">
        <f t="shared" si="181"/>
        <v>190.2196765989608</v>
      </c>
      <c r="KN40" s="759" t="e">
        <f>IF(A40=FALSE,"",((KH40*TAXE)-(KH40*TAXE*KJ40))+IF(#REF!="N/A",0,IF(INDEX(LISTES!$F$105:$F$109,MATCH(#REF!,LISTES!$C$105:$C$109,0))="FIX",#REF!,#REF!*KM40)))</f>
        <v>#REF!</v>
      </c>
      <c r="LA40" s="432" t="str">
        <f>IF(A40=FALSE,"",Cotations!AT40)</f>
        <v>PROP</v>
      </c>
      <c r="LB40" s="1234" t="str">
        <f>IF(A40=FALSE,"",IF(Detail!BR40="","N/A",YEAR(Detail!F40)&amp;Detail!BU40&amp;Detail!BR40&amp;"-"&amp;Detail!$BR$13&amp;Detail!BS40))</f>
        <v>2017EURAnker Verzekeringen n.v.-Permanent Disability IllnessFormula 3</v>
      </c>
      <c r="LC40" s="431" t="str">
        <f>IF(A40=FALSE,"",IF(LISTES!$A$17=1,LB40,INDEX(colMOD4,MATCH(DA40,colchoice,0))))</f>
        <v>2017EURAnker Verzekeringen n.v.-Permanent Disability illnessFormula 3</v>
      </c>
      <c r="LD40" s="759" t="str">
        <f t="shared" si="182"/>
        <v>Anker Verzekeringen n.v.</v>
      </c>
      <c r="LE40" s="292"/>
      <c r="LF40" s="409">
        <f t="shared" si="183"/>
        <v>2.0537931034482759E-3</v>
      </c>
      <c r="LG40" s="430">
        <f>IF(A40=FALSE,"",IF(LA40="POEA",Cotations!BK40,IF(LA40="FIXE",Cotations!BL40,IF(Cotations!BM40*Y40&lt;50000,Z40,Cotations!BM40*Y40))))</f>
        <v>432000</v>
      </c>
      <c r="LH40" s="292">
        <f t="shared" si="184"/>
        <v>887.23862068965525</v>
      </c>
      <c r="LI40" s="446">
        <f>IF(A40=FALSE,"",IF(Cotations!AU40="monthly",LH40/12*L40,LH40/365*M40))</f>
        <v>439.97312423240442</v>
      </c>
      <c r="LJ40" s="429">
        <f>IF(A40=FALSE,"",IF(Cotations!BN40="","",Cotations!BN40))</f>
        <v>0</v>
      </c>
      <c r="LK40" s="292">
        <f t="shared" si="185"/>
        <v>0</v>
      </c>
      <c r="LL40" s="292">
        <f t="shared" si="186"/>
        <v>439.97312423240442</v>
      </c>
      <c r="LM40" s="759">
        <f t="shared" si="187"/>
        <v>457.57204920170062</v>
      </c>
      <c r="LN40" s="759" t="e">
        <f>IF(A40=FALSE,"",((LH40*TAXE)-(LH40*TAXE*LJ40))+IF(#REF!="N/A",0,IF(INDEX(LISTES!$F$105:$F$109,MATCH(#REF!,LISTES!$C$105:$C$109,0))="FIX",#REF!,#REF!*LM40)))</f>
        <v>#REF!</v>
      </c>
      <c r="MA40" s="432" t="str">
        <f t="shared" si="188"/>
        <v>PROP</v>
      </c>
      <c r="MB40" s="1234" t="str">
        <f>IF(A40=FALSE,"",IF(Detail!BZ40="","N/A",YEAR(Detail!F40)&amp;Detail!CC40&amp;Detail!BZ40&amp;"-"&amp;Detail!$BZ$13&amp;" (100%/"&amp;Detail!CD40&amp;"/"&amp;Detail!CE40&amp;")"))</f>
        <v>2017EURAnker Verzekeringen n.v.-Temporary Disability Accident (100%/7/365)</v>
      </c>
      <c r="MC40" s="431" t="str">
        <f>IF(A40=FALSE,"",IF(LISTES!$A$17=1,MB40,INDEX(colMOD5,MATCH(DA40,colchoice,0))))</f>
        <v>2017EURAnker Verzekeringen n.v.-Temporary Disability Accident (100%/7/365)</v>
      </c>
      <c r="MD40" s="759" t="str">
        <f t="shared" si="189"/>
        <v>Anker Verzekeringen n.v.</v>
      </c>
      <c r="ME40" s="292"/>
      <c r="MF40" s="409">
        <f t="shared" si="190"/>
        <v>8.1144827586206898E-3</v>
      </c>
      <c r="MG40" s="430">
        <f>IF(A40=FALSE,"",Cotations!BQ40*AA40)</f>
        <v>125000</v>
      </c>
      <c r="MH40" s="292">
        <f t="shared" si="191"/>
        <v>1014.3103448275863</v>
      </c>
      <c r="MI40" s="446">
        <f>IF(A40=FALSE,"",IF(Cotations!AU40="monthly",MH40/12*L40,MH40/365*M40))</f>
        <v>502.98677373641948</v>
      </c>
      <c r="MJ40" s="429">
        <f>IF(A40=FALSE,"",IF(Cotations!BR40="","",Cotations!BR40))</f>
        <v>0</v>
      </c>
      <c r="MK40" s="292">
        <f t="shared" si="192"/>
        <v>0</v>
      </c>
      <c r="ML40" s="292">
        <f t="shared" si="193"/>
        <v>502.98677373641948</v>
      </c>
      <c r="MM40" s="759">
        <f t="shared" si="194"/>
        <v>523.10624468587628</v>
      </c>
      <c r="MN40" s="759" t="e">
        <f>IF(A40=FALSE,"",((MH40*TAXE)-(MH40*TAXE*MJ40))+IF(#REF!="N/A",0,IF(INDEX(LISTES!$F$105:$F$109,MATCH(#REF!,LISTES!$C$105:$C$109,0))="FIX",#REF!,#REF!*MM40)))</f>
        <v>#REF!</v>
      </c>
      <c r="NA40" s="432" t="str">
        <f t="shared" si="195"/>
        <v>PROP</v>
      </c>
      <c r="NB40" s="1234" t="str">
        <f>IF(A40=FALSE,"",IF(Detail!CH40="","N/A",YEAR(Detail!F40)&amp;Detail!CK40&amp;Detail!CH40&amp;"-"&amp;Detail!$CH$13&amp;" (100%/"&amp;Detail!CL40&amp;"/"&amp;Detail!CM40&amp;")"))</f>
        <v>2017EURAnker Verzekeringen n.v.-Temporary Disability Illness (100%/7/365)</v>
      </c>
      <c r="NC40" s="431" t="str">
        <f>IF(A40=FALSE,"",IF(LISTES!$A$17=1,NB40,INDEX(colMOD6,MATCH(DA40,colchoice,0))))</f>
        <v>2017EURAnker Verzekeringen n.v.-Temporary Disability illness (100%/7/365)</v>
      </c>
      <c r="ND40" s="759" t="str">
        <f t="shared" si="196"/>
        <v>Anker Verzekeringen n.v.</v>
      </c>
      <c r="NE40" s="292"/>
      <c r="NF40" s="409">
        <f t="shared" si="197"/>
        <v>8.1144827586206898E-3</v>
      </c>
      <c r="NG40" s="430">
        <f>IF(A40=FALSE,"",Cotations!BU40*AA40)</f>
        <v>125000</v>
      </c>
      <c r="NH40" s="292">
        <f t="shared" si="198"/>
        <v>2027.0689655172416</v>
      </c>
      <c r="NI40" s="446">
        <f>IF(A40=FALSE,"",IF(Cotations!AU40="monthly",NH40/12*L40,NH40/365*M40))</f>
        <v>1005.2040623523856</v>
      </c>
      <c r="NJ40" s="429">
        <f>IF(A40=FALSE,"",IF(Cotations!BV40="","",Cotations!BV40))</f>
        <v>0</v>
      </c>
      <c r="NK40" s="292">
        <f t="shared" si="199"/>
        <v>0</v>
      </c>
      <c r="NL40" s="292">
        <f t="shared" si="200"/>
        <v>1005.2040623523856</v>
      </c>
      <c r="NM40" s="759">
        <f t="shared" si="201"/>
        <v>1045.412224846481</v>
      </c>
      <c r="NN40" s="759" t="e">
        <f>IF(A40=FALSE,"",((NH40*TAXE)-(NH40*TAXE*NJ40))+IF(#REF!="N/A",0,IF(INDEX(LISTES!$F$105:$F$109,MATCH(#REF!,LISTES!$C$105:$C$109,0))="FIX",#REF!,#REF!*NM40)))</f>
        <v>#REF!</v>
      </c>
      <c r="NZ40" s="1281" t="str">
        <f>IF(A40=FALSE,"",IF(Detail!CP40="","N/A",YEAR(Detail!F40)&amp;Detail!CS40&amp;Detail!CP40&amp;"-"&amp;Detail!CQ40))</f>
        <v>N/A</v>
      </c>
      <c r="OA40" s="432" t="str">
        <f>IF(A40=FALSE,"",Cotations!CF40)</f>
        <v>FIXE</v>
      </c>
      <c r="OB40" s="1282" t="str">
        <f>IF(A40=FALSE,"",IF(Detail!CP40="","N/A",YEAR(Detail!F40)&amp;Detail!CS40&amp;Detail!CP40&amp;"-"&amp;Detail!$CP$13&amp;Detail!CQ40))</f>
        <v>N/A</v>
      </c>
      <c r="OC40" s="1283" t="str">
        <f>IF(A40=FALSE,"",IF(LISTES!$A$17=1,OB40,INDEX(colMOD1,MATCH(Cotations!CE40,colchoice,0))))</f>
        <v>N/A</v>
      </c>
      <c r="OD40" s="759" t="str">
        <f t="shared" si="202"/>
        <v>N/A</v>
      </c>
      <c r="OE40" s="292">
        <f>IF(A40=FALSE,"",Detail!CQ40)</f>
        <v>0</v>
      </c>
      <c r="OF40" s="409" t="str">
        <f t="shared" si="203"/>
        <v/>
      </c>
      <c r="OG40" s="430">
        <f>IF(A40=FALSE,"",IF(OA40="FIXE",Cotations!CM40,Cotations!CN40*AA40))</f>
        <v>100000</v>
      </c>
      <c r="OH40" s="292">
        <f t="shared" si="288"/>
        <v>0</v>
      </c>
      <c r="OI40" s="446">
        <f>IF(A40=FALSE,"",IF(Cotations!CF40="monthly",OH40/12*L40,OH40/365*M40))</f>
        <v>0</v>
      </c>
      <c r="OJ40" s="429">
        <f>IF(A40=FALSE,"",IF(Cotations!CO40="","",Cotations!CO40))</f>
        <v>0</v>
      </c>
      <c r="OK40" s="292">
        <f t="shared" si="289"/>
        <v>0</v>
      </c>
      <c r="OL40" s="292">
        <f t="shared" si="290"/>
        <v>0</v>
      </c>
      <c r="OM40" s="759">
        <f t="shared" si="207"/>
        <v>0</v>
      </c>
      <c r="ON40" s="759" t="e">
        <f>IF(A40=FALSE,"",((OH40*(1+TAXE)-(OH40*(1+TAXE)*OJ40))+IF(#REF!="N/A",0,IF(INDEX(LISTES!$F$105:$F$109,MATCH(#REF!,LISTES!$C$105:$C$109,0))="FIX",#REF!,#REF!*OM40))))</f>
        <v>#REF!</v>
      </c>
      <c r="PA40" s="432" t="str">
        <f>IF(A40=FALSE,"",Cotations!CF40)</f>
        <v>FIXE</v>
      </c>
      <c r="PB40" s="1282" t="str">
        <f>IF(A40=FALSE,"",IF(Detail!CX40="","N/A",YEAR(Detail!F40)&amp;Detail!DA40&amp;Detail!CX40&amp;"-"&amp;Detail!$CX$13&amp;Detail!CY40))</f>
        <v>N/A</v>
      </c>
      <c r="PC40" s="1283" t="str">
        <f>IF(A40=FALSE,"",IF(LISTES!$A$17=1,PB40,INDEX(colMOD3,MATCH(Cotations!CE40,colchoice,0))))</f>
        <v>N/A</v>
      </c>
      <c r="PD40" s="759" t="str">
        <f t="shared" si="208"/>
        <v>N/A</v>
      </c>
      <c r="PE40" s="292" t="str">
        <f>IF(A40=FALSE,"",IF(Detail!CY40="","",Detail!CY40))</f>
        <v/>
      </c>
      <c r="PF40" s="409">
        <f t="shared" si="291"/>
        <v>0</v>
      </c>
      <c r="PG40" s="430">
        <f>IF(A40=FALSE,"",IF(PA40="FIXE",Cotations!CP40,Cotations!CQ40*AA40))</f>
        <v>100000</v>
      </c>
      <c r="PH40" s="292">
        <f t="shared" si="292"/>
        <v>0</v>
      </c>
      <c r="PI40" s="446">
        <f>IF(A40=FALSE,"",IF(Cotations!CG40="monthly",PH40/12*L40,PH40/365*M40))</f>
        <v>0</v>
      </c>
      <c r="PJ40" s="429">
        <f>IF(A40=FALSE,"",IF(Cotations!DA40="",0,Cotations!DA40))</f>
        <v>0</v>
      </c>
      <c r="PK40" s="292">
        <f t="shared" si="293"/>
        <v>0</v>
      </c>
      <c r="PL40" s="292">
        <f t="shared" si="294"/>
        <v>0</v>
      </c>
      <c r="PM40" s="759">
        <f t="shared" si="211"/>
        <v>0</v>
      </c>
      <c r="PN40" s="759" t="e">
        <f>IF(A40=FALSE,"",((PH40*(1+TAXE)-(PH40*(1+TAXE)*PJ40))+IF(#REF!="N/A",0,IF(INDEX(LISTES!$F$105:$F$109,MATCH(#REF!,LISTES!$C$105:$C$109,0))="FIX",#REF!,#REF!*PM40))))</f>
        <v>#REF!</v>
      </c>
    </row>
    <row r="41" spans="1:430">
      <c r="A41" s="779" t="b">
        <f t="shared" si="111"/>
        <v>1</v>
      </c>
      <c r="B41" s="779" t="b">
        <f>IF(NAMES!$B$9=TRUE,TRUE,FALSE)</f>
        <v>1</v>
      </c>
      <c r="C41" s="779" t="b">
        <f t="shared" si="212"/>
        <v>1</v>
      </c>
      <c r="D41" s="779" t="b">
        <f t="shared" si="213"/>
        <v>1</v>
      </c>
      <c r="E41" s="267" t="b">
        <f>IF(Cotations!C41="","",Cotations!C41)</f>
        <v>1</v>
      </c>
      <c r="F41" s="267" t="str">
        <f>IF(Cotations!AT41="","",Cotations!AT41)</f>
        <v>PROP</v>
      </c>
      <c r="G41" s="267" t="str">
        <f>IF(Cotations!D41="","",Cotations!D41)</f>
        <v>2017-2017!</v>
      </c>
      <c r="H41" s="267" t="str">
        <f>IF(Cotations!E41="","",Cotations!E41)</f>
        <v>SINGLE</v>
      </c>
      <c r="I41" s="267">
        <f>IF(Cotations!F41="","",Cotations!F41)</f>
        <v>135202</v>
      </c>
      <c r="J41" s="267" t="str">
        <f>IF(Cotations!G41="","",Cotations!G41)</f>
        <v>sous Chef</v>
      </c>
      <c r="K41" s="267" t="str">
        <f>IF(Cotations!H41="","",Cotations!H41)</f>
        <v>CSONGRADI</v>
      </c>
      <c r="L41" s="267">
        <f>IF(A41=FALSE,"",IF(Cotations!M41="","",Cotations!M41))</f>
        <v>6</v>
      </c>
      <c r="M41" s="267">
        <f>IF(Cotations!O41="","",Cotations!O41)</f>
        <v>181</v>
      </c>
      <c r="N41" s="588">
        <f>IF(NAMES!$B$10=TRUE,Cotations!I41,Cotations!K41)</f>
        <v>42750</v>
      </c>
      <c r="O41" s="588">
        <f>IF(NAMES!$B$10=TRUE,Cotations!J41,Cotations!L41)</f>
        <v>42930</v>
      </c>
      <c r="P41" s="780" t="str">
        <f t="shared" si="214"/>
        <v>janvier</v>
      </c>
      <c r="Q41" s="588">
        <f>IF(A41=FALSE,"",IF(Crewlist!Y41="","",Crewlist!Y41))</f>
        <v>42930</v>
      </c>
      <c r="R41" s="78" t="str">
        <f>IF(Cotations!T41="","",Cotations!T41)</f>
        <v>annual</v>
      </c>
      <c r="S41" s="780" t="str">
        <f t="shared" si="215"/>
        <v>VRAI135202janvier42750</v>
      </c>
      <c r="T41" s="759">
        <f>IF(A41=FALSE,"",VLOOKUP($U$15:$U$120,Currency!$A$2:$D$10,4,0)*Crewlist!N41)</f>
        <v>4000</v>
      </c>
      <c r="U41" s="1097" t="str">
        <f>IF(A41=FALSE,"",IF(DP41=0,Crewlist!M41&amp;"/"&amp;CP41,Crewlist!M41&amp;"/"&amp;DP41))</f>
        <v>EUR/EUR</v>
      </c>
      <c r="V41" s="759">
        <f>IF(A41=FALSE,"",VLOOKUP($U$15:$U$120,Currency!$A$2:$D$10,4,0)*Detail!Q41)</f>
        <v>4000</v>
      </c>
      <c r="W41" s="1097" t="str">
        <f>IF(A41=FALSE,"",IF(DP41=0,Detail!R41&amp;"/"&amp;CP41,Detail!R41&amp;"/"&amp;DP41))</f>
        <v>EUR/EUR</v>
      </c>
      <c r="X41" s="759">
        <f>IF(A41=FALSE,"",IF(LISTES!$C$17="Crewlist",Calcul!T41,Calcul!V41))</f>
        <v>4000</v>
      </c>
      <c r="Y41" s="618">
        <f t="shared" si="216"/>
        <v>48000</v>
      </c>
      <c r="Z41" s="618">
        <f>IF(A41=FALSE,"",IF(X41=0,0,IF((Cotations!BA41*12*X41)&lt;50000,50000,(12*X41))))</f>
        <v>48000</v>
      </c>
      <c r="AA41" s="618">
        <f t="shared" si="217"/>
        <v>48000</v>
      </c>
      <c r="AB41" s="618">
        <f>IF(A41=FALSE,"",IF(Crewlist!O41=0,"",Crewlist!O41))</f>
        <v>7500</v>
      </c>
      <c r="AC41" s="618" t="e">
        <f>IF(I41="","",VLOOKUP($AB$15:$AB$120,Currency!$A$15:$B$34,2,0))</f>
        <v>#N/A</v>
      </c>
      <c r="AD41" s="618" t="e">
        <f t="shared" si="218"/>
        <v>#N/A</v>
      </c>
      <c r="AE41" s="618" t="e">
        <f t="shared" si="219"/>
        <v>#N/A</v>
      </c>
      <c r="AF41" s="618" t="e">
        <f t="shared" si="220"/>
        <v>#N/A</v>
      </c>
      <c r="AG41" s="618">
        <f t="shared" si="221"/>
        <v>23802.739726027401</v>
      </c>
      <c r="AH41" s="1097" t="str">
        <f t="shared" si="112"/>
        <v>EUR</v>
      </c>
      <c r="AI41" s="759">
        <f t="shared" si="222"/>
        <v>1337.208256665092</v>
      </c>
      <c r="AJ41" s="1120">
        <f>IF(A41=FALSE,"",AS41+AL41+AN41)</f>
        <v>333.29759999999999</v>
      </c>
      <c r="AK41" s="1120">
        <f t="shared" si="224"/>
        <v>997.91065666509223</v>
      </c>
      <c r="AL41" s="236">
        <f t="shared" si="225"/>
        <v>7.5876000000000001</v>
      </c>
      <c r="AM41" s="236">
        <f t="shared" si="226"/>
        <v>50.908486794811282</v>
      </c>
      <c r="AN41" s="1112">
        <f t="shared" si="227"/>
        <v>0</v>
      </c>
      <c r="AO41" s="236">
        <f t="shared" si="228"/>
        <v>58.496086794811283</v>
      </c>
      <c r="AP41" s="327" t="str">
        <f>IF(A41=FALSE,"",INDEX(Rates!$Q$1:$Q$278,MATCH(CA41,colchoice,0)))</f>
        <v>WCA</v>
      </c>
      <c r="AQ41" s="236">
        <f t="shared" si="229"/>
        <v>6</v>
      </c>
      <c r="AR41" s="236">
        <f t="shared" si="230"/>
        <v>1272.7121698702808</v>
      </c>
      <c r="AS41" s="236">
        <f>IF(A41=FALSE,"",SUM(AU41:AV41)*TAXE)</f>
        <v>325.70999999999998</v>
      </c>
      <c r="AT41" s="236">
        <f t="shared" si="118"/>
        <v>997.91065666509223</v>
      </c>
      <c r="AU41" s="236">
        <f t="shared" si="231"/>
        <v>256.06730769230762</v>
      </c>
      <c r="AV41" s="236">
        <f t="shared" si="232"/>
        <v>57.115384615384613</v>
      </c>
      <c r="AW41" s="236">
        <f t="shared" si="233"/>
        <v>49.345541804440245</v>
      </c>
      <c r="AX41" s="236">
        <f t="shared" si="234"/>
        <v>123.41310155880964</v>
      </c>
      <c r="AY41" s="236">
        <f t="shared" si="235"/>
        <v>60.967845063769481</v>
      </c>
      <c r="AZ41" s="236">
        <f t="shared" si="236"/>
        <v>146.65770807746813</v>
      </c>
      <c r="BA41" s="236">
        <f t="shared" si="237"/>
        <v>193.14692111478507</v>
      </c>
      <c r="BB41" s="467">
        <f t="shared" si="238"/>
        <v>385.99835994331607</v>
      </c>
      <c r="BC41" s="329">
        <f t="shared" si="239"/>
        <v>325.70999999999998</v>
      </c>
      <c r="BD41" s="237">
        <f t="shared" si="240"/>
        <v>313.18269230769226</v>
      </c>
      <c r="BE41" s="237">
        <f>IF(A41=FALSE,"",IF(ED41&lt;&gt;$BC$7,0,INDEX(EA41:EZ41,1,MATCH(Structure!$J$16,$EA$14:$EZ$14,0))))</f>
        <v>256.06730769230762</v>
      </c>
      <c r="BF41" s="237">
        <f>IF(A41=FALSE,"",IF(FD41&lt;&gt;$BC$7,0,INDEX(FA41:FZ41,1,MATCH(Structure!$J$16,$FA$14:$FZ$14,0))))</f>
        <v>57.115384615384613</v>
      </c>
      <c r="BG41" s="237">
        <f>IF(A41=FALSE,"",IF(GD41&lt;&gt;$BC$7,0,INDEX(GA41:GZ41,1,MATCH(Structure!$J$16,$GA$14:$GZ$14,0))))</f>
        <v>0</v>
      </c>
      <c r="BH41" s="237">
        <f>IF(A41=FALSE,"",IF(HD41&lt;&gt;$BC$7,0,INDEX(HA41:HZ41,1,MATCH(Structure!$J$16,$HA$14:$HZ$14,0))))</f>
        <v>0</v>
      </c>
      <c r="BI41" s="621">
        <f>IF(A41=FALSE,"",IF(ID41&lt;&gt;$BC$7,0,INDEX(IA41:IZ41,1,MATCH(Structure!$C$12,$IA$14:$IZ$14,0)))+OL41)</f>
        <v>0</v>
      </c>
      <c r="BJ41" s="237">
        <f>IF(A41=FALSE,"",IF(JD41&lt;&gt;$BC$7,0,INDEX(JA41:JZ41,1,MATCH(Structure!$C$12,$JA$14:$JZ$14,0))))</f>
        <v>0</v>
      </c>
      <c r="BK41" s="621">
        <f>IF(A41=FALSE,"",IF(KD41&lt;&gt;$BC$7,0,INDEX(KA41:KZ41,1,MATCH(Structure!$C$12,$KA$14:$KZ$14,0)))+PL41)</f>
        <v>0</v>
      </c>
      <c r="BL41" s="237">
        <f>IF(A41=FALSE,"",IF(LD41&lt;&gt;$BC$7,0,INDEX(LA41:LZ41,1,MATCH(Structure!$C$12,$LA$14:$LZ$14,0))))</f>
        <v>0</v>
      </c>
      <c r="BM41" s="237">
        <f>IF(A41=FALSE,"",IF(MD41&lt;&gt;$BC$7,0,INDEX(MA41:MZ41,1,MATCH(Structure!$C$12,$MA$14:$MZ$14,0))))</f>
        <v>0</v>
      </c>
      <c r="BN41" s="326">
        <f>IF(A41=FALSE,"",IF(ND41&lt;&gt;$BC$7,0,INDEX(NA41:OC41,1,MATCH(Structure!$C$12,$NA$14:$OC$14,0))))</f>
        <v>0</v>
      </c>
      <c r="BO41" s="435">
        <f t="shared" si="241"/>
        <v>997.91065666509223</v>
      </c>
      <c r="BP41" s="237">
        <f t="shared" si="242"/>
        <v>959.52947756258868</v>
      </c>
      <c r="BQ41" s="237">
        <f>IF(A41=FALSE,"",IF(ED41&lt;&gt;$BO$7,0,INDEX(EA41:EZ41,1,MATCH(Structure!$C$12,$EA$14:$EZ$14,0))))</f>
        <v>0</v>
      </c>
      <c r="BR41" s="237">
        <f>IF(A41=FALSE,"",IF(FD41&lt;&gt;$BO$7,0,INDEX(FA41:FZ41,1,MATCH(Structure!$C$12,$FA$14:$FZ$14,0))))</f>
        <v>0</v>
      </c>
      <c r="BS41" s="237">
        <f>IF(A41=FALSE,"",IF(ID41&lt;&gt;$BO$7,0,INDEX(IA41:IZ41,1,MATCH(Structure!$C$13,$IA$14:$IZ$14,0))))</f>
        <v>49.345541804440245</v>
      </c>
      <c r="BT41" s="237">
        <f>IF(A41=FALSE,"",IF(JD41&lt;&gt;$BO$7,0,INDEX(JA41:JZ41,1,MATCH(Structure!$C$13,$JA$14:$JZ$14,0))))</f>
        <v>123.41310155880964</v>
      </c>
      <c r="BU41" s="237">
        <f>IF(A41=FALSE,"",IF(KD41&lt;&gt;$BO$7,0,INDEX(KA41:KZ41,1,MATCH(Structure!$C$13,$KA$14:$KZ$14,0))))</f>
        <v>60.967845063769481</v>
      </c>
      <c r="BV41" s="237">
        <f>IF(A41=FALSE,"",IF(LD41&lt;&gt;$BO$7,0,INDEX(LA41:LZ41,1,MATCH(Structure!$C$13,$LA$14:$LZ$14,0))))</f>
        <v>146.65770807746813</v>
      </c>
      <c r="BW41" s="237">
        <f>IF(A41=FALSE,"",IF(MD41&lt;&gt;$BO$7,0,INDEX(MA41:MZ41,1,MATCH(Structure!$C$13,$MA$14:$MZ$14,0))))</f>
        <v>193.14692111478507</v>
      </c>
      <c r="BX41" s="326">
        <f>IF(A41=FALSE,"",IF(ND41&lt;&gt;$BO$7,0,INDEX(NA41:OC41,1,MATCH(Structure!$C$13,$NA$14:$OC$14,0))))</f>
        <v>385.99835994331607</v>
      </c>
      <c r="BY41" s="412"/>
      <c r="BZ41" s="412"/>
      <c r="CA41" s="1255" t="str">
        <f>IF(A41=FALSE,"",IF(LISTES!$A$17=1,Cotations!AG41,Cotations!AH41))</f>
        <v>2017EURAIG Luxembourg-StandardMLC S</v>
      </c>
      <c r="CB41" s="1266">
        <f t="shared" si="243"/>
        <v>313.18269230769226</v>
      </c>
      <c r="CC41" s="1120">
        <f t="shared" si="244"/>
        <v>256.06730769230762</v>
      </c>
      <c r="CD41" s="1120">
        <f t="shared" si="245"/>
        <v>57.115384615384613</v>
      </c>
      <c r="CE41" s="1120">
        <f t="shared" si="246"/>
        <v>0</v>
      </c>
      <c r="CF41" s="1120">
        <f t="shared" si="247"/>
        <v>0</v>
      </c>
      <c r="CG41" s="1267"/>
      <c r="CH41" s="1267"/>
      <c r="CI41" s="1268">
        <f t="shared" si="248"/>
        <v>325.70999999999992</v>
      </c>
      <c r="CJ41" s="286">
        <f t="shared" si="249"/>
        <v>266.30999999999995</v>
      </c>
      <c r="CK41" s="286">
        <f t="shared" si="250"/>
        <v>59.4</v>
      </c>
      <c r="CL41" s="1263"/>
      <c r="CM41" s="1263"/>
      <c r="CN41" s="1263"/>
      <c r="CO41" s="1263"/>
      <c r="CP41" s="319" t="str">
        <f t="shared" si="251"/>
        <v>EUR</v>
      </c>
      <c r="CQ41" s="443" t="str">
        <f>IF(A41=FALSE,"",Cotations!AM41)</f>
        <v>fix Fees pro rata month</v>
      </c>
      <c r="CR41" s="443">
        <f>IF(A41=FALSE,"",IF(Cotations!AN41="","",Cotations!AN41))</f>
        <v>15.1752</v>
      </c>
      <c r="CS41" s="433">
        <f>IF(A41=FALSE,"",Cotations!AO41)</f>
        <v>0</v>
      </c>
      <c r="CT41" s="443">
        <f>IF(A41=FALSE,"",IF(CQ41="N/A",0,IF(INDEX(LISTES!$F$105:$F$109,MATCH(CQ41,LISTES!$C$105:$C$109,0))="FIX",IF(INDEX(LISTES!$E$105:$E$109,MATCH(CQ41,LISTES!$C$105:$C$109,0))=12,CR41/12*L41,CR41/365*M41),CS41*EQ41)))</f>
        <v>7.5876000000000001</v>
      </c>
      <c r="CU41" s="434">
        <f>IF(A41=FALSE,"",(CJ41+CK41)*Cotations!AP41)</f>
        <v>325.70999999999992</v>
      </c>
      <c r="CV41" s="434">
        <f>IF(A41=FALSE,"",(CJ41+CK41)*Cotations!AQ41)</f>
        <v>0</v>
      </c>
      <c r="DA41" s="1253" t="str">
        <f>IF(A41=FALSE,"",IF(LISTES!$A$17=1,Cotations!AV41,Cotations!AW41))</f>
        <v>2017EURAnker Verzekeringen n.v.-Formula 3 (7/365)</v>
      </c>
      <c r="DB41" s="1271">
        <f t="shared" si="252"/>
        <v>959.52947756258868</v>
      </c>
      <c r="DC41" s="1270">
        <f t="shared" si="253"/>
        <v>49.345541804440245</v>
      </c>
      <c r="DD41" s="1270">
        <f t="shared" si="254"/>
        <v>123.41310155880964</v>
      </c>
      <c r="DE41" s="1270">
        <f t="shared" si="255"/>
        <v>60.967845063769481</v>
      </c>
      <c r="DF41" s="1270">
        <f t="shared" si="256"/>
        <v>146.65770807746813</v>
      </c>
      <c r="DG41" s="1270">
        <f t="shared" si="257"/>
        <v>193.14692111478507</v>
      </c>
      <c r="DH41" s="1270">
        <f t="shared" si="258"/>
        <v>385.99835994331607</v>
      </c>
      <c r="DI41" s="1271">
        <f t="shared" si="259"/>
        <v>997.91065666509223</v>
      </c>
      <c r="DJ41" s="286">
        <f t="shared" si="260"/>
        <v>51.319363476617859</v>
      </c>
      <c r="DK41" s="286">
        <f t="shared" si="261"/>
        <v>128.34962562116203</v>
      </c>
      <c r="DL41" s="1264">
        <f t="shared" si="262"/>
        <v>63.40655886632026</v>
      </c>
      <c r="DM41" s="1264">
        <f t="shared" si="263"/>
        <v>152.52401640056686</v>
      </c>
      <c r="DN41" s="1264">
        <f t="shared" si="264"/>
        <v>200.87279795937647</v>
      </c>
      <c r="DO41" s="1264">
        <f t="shared" si="265"/>
        <v>401.43829434104873</v>
      </c>
      <c r="DP41" s="323" t="str">
        <f t="shared" si="132"/>
        <v>EUR</v>
      </c>
      <c r="DQ41" s="444" t="str">
        <f>IF(A41=FALSE,"",Cotations!BW41)</f>
        <v>N/A</v>
      </c>
      <c r="DR41" s="444">
        <f>IF(A41=FALSE,"",Cotations!BX41)</f>
        <v>0</v>
      </c>
      <c r="DS41" s="433">
        <f>IF(A41=FALSE,"",Cotations!BY41)</f>
        <v>0</v>
      </c>
      <c r="DT41" s="830">
        <f>IF(A41=FALSE,"",IF(DQ41="N/A",0,IF(INDEX(LISTES!$F$105:$F$109,MATCH(DQ41,LISTES!$C$105:$C$109,0))="FIX",IF(INDEX(LISTES!$E$105:$E$109,MATCH(DQ41,LISTES!$C$105:$C$109,0))=12,DR41/12*L41,DR41/365*M41),DS41*(DN41+DO41))))</f>
        <v>0</v>
      </c>
      <c r="DU41" s="434">
        <f>IF(A41=FALSE,"",DJ41*Cotations!BZ41)</f>
        <v>51.319363476617859</v>
      </c>
      <c r="DV41" s="434">
        <f>IF(A41=FALSE,"",DJ41*Cotations!CA41)</f>
        <v>0</v>
      </c>
      <c r="EA41" s="432" t="str">
        <f>IF(A41=FALSE,"",Cotations!AT41)</f>
        <v>PROP</v>
      </c>
      <c r="EB41" s="1234" t="str">
        <f>IF(A41=FALSE,"",YEAR(Detail!F41)&amp;Detail!AG41&amp;Detail!AD41&amp;"-"&amp;Detail!$AD$13&amp;Detail!AE41)</f>
        <v>2017EURAIG Luxembourg-Healthcare PlanStandardMLC S</v>
      </c>
      <c r="EC41" s="434" t="str">
        <f>IF(A41=FALSE,"",IF(LISTES!$A$17=1,EB41,INDEX(colMOD1,MATCH(Cotations!AH41,colchoice,0))))</f>
        <v>2017EURAIG Luxembourg-Healthcare PlanStandardMLC S</v>
      </c>
      <c r="ED41" s="277" t="str">
        <f t="shared" si="133"/>
        <v>AIG Luxembourg</v>
      </c>
      <c r="EE41" s="277" t="str">
        <f t="shared" si="134"/>
        <v>StandardMLC S</v>
      </c>
      <c r="EF41" s="277"/>
      <c r="EG41" s="277"/>
      <c r="EH41" s="277">
        <f t="shared" si="135"/>
        <v>569.03846153846143</v>
      </c>
      <c r="EI41" s="1104">
        <f t="shared" si="136"/>
        <v>0</v>
      </c>
      <c r="EJ41" s="1104">
        <f t="shared" si="137"/>
        <v>569.03846153846143</v>
      </c>
      <c r="EK41" s="443">
        <f>IF(A41=FALSE,"",IF(Cotations!AF41="monthly",EH41/12*L41,EH41/365*M41))</f>
        <v>284.51923076923072</v>
      </c>
      <c r="EL41" s="1103">
        <f>IF(A41=FALSE,"",IF(Cotations!AF41="monthly",EJ41/12*L41,EJ41/365*M41))</f>
        <v>284.51923076923072</v>
      </c>
      <c r="EM41" s="433">
        <f>IF(A41=FALSE,"",IF(Cotations!AI41="","",Cotations!AI41))</f>
        <v>0.1</v>
      </c>
      <c r="EN41" s="277">
        <f t="shared" si="266"/>
        <v>28.451923076923073</v>
      </c>
      <c r="EO41" s="277">
        <f t="shared" si="138"/>
        <v>256.06730769230762</v>
      </c>
      <c r="EP41" s="1104">
        <f t="shared" si="139"/>
        <v>0</v>
      </c>
      <c r="EQ41" s="277">
        <f t="shared" si="267"/>
        <v>266.30999999999995</v>
      </c>
      <c r="ER41" s="759">
        <f>IF(A41=FALSE,"",((EH41*TAXE)-(EH41*TAXE*EM41)+EI41)+IF(CQ41="N/A",0,IF(INDEX(LISTES!$F$105:$F$109,MATCH(CQ41,LISTES!$C$105:$C$109,0))="FIX",CR41,CS41*EQ41)))</f>
        <v>547.79520000000002</v>
      </c>
      <c r="ET41" s="422"/>
      <c r="EU41" s="422"/>
      <c r="EV41" s="422"/>
      <c r="EW41" s="422"/>
      <c r="EX41" s="422"/>
      <c r="EY41" s="422"/>
      <c r="EZ41" s="422"/>
      <c r="FA41" s="432" t="str">
        <f>IF(A41=FALSE,"",Cotations!AT41)</f>
        <v>PROP</v>
      </c>
      <c r="FB41" s="1235" t="str">
        <f>IF(A41=FALSE,"",IF(Detail!AL41="","N/A",YEAR(Detail!F41)&amp;Detail!AO41&amp;Detail!AL41&amp;"-"&amp;Detail!$AL$13&amp;Detail!AM41))</f>
        <v>2017EURAIG Luxembourg-Assistance and RepatriationStandardMLC S</v>
      </c>
      <c r="FC41" s="434" t="str">
        <f>IF(A41=FALSE,"",IF(LISTES!$A$17=1,FB41,INDEX(colMOD2,MATCH(Cotations!AH41,colchoice,0))))</f>
        <v>2017EURAIG Luxembourg-Assistance and RepatriationStandardMLC S</v>
      </c>
      <c r="FD41" s="277" t="str">
        <f t="shared" si="140"/>
        <v>AIG Luxembourg</v>
      </c>
      <c r="FE41" s="443" t="str">
        <f>IF(A41=FALSE,"",IF(Detail!AM41="","",Detail!AM41))</f>
        <v>StandardMLC S</v>
      </c>
      <c r="FF41" s="277"/>
      <c r="FG41" s="277"/>
      <c r="FH41" s="277">
        <f t="shared" si="141"/>
        <v>126.92307692307692</v>
      </c>
      <c r="FI41" s="1104"/>
      <c r="FJ41" s="1104"/>
      <c r="FK41" s="443">
        <f>IF(A41=FALSE,"",IF(Cotations!AF41="monthly",FH41/12*L41,FH41/365*M41))</f>
        <v>63.46153846153846</v>
      </c>
      <c r="FL41" s="1103">
        <f>IF(A41=FALSE,"",IF(Cotations!AF41="monthly",FJ41/12*L41,FJ41/365*M41))</f>
        <v>0</v>
      </c>
      <c r="FM41" s="433">
        <f>IF(A41=FALSE,"",IF(Cotations!AJ41="","",Cotations!AJ41))</f>
        <v>0.1</v>
      </c>
      <c r="FN41" s="277">
        <f t="shared" si="268"/>
        <v>6.3461538461538467</v>
      </c>
      <c r="FO41" s="277">
        <f t="shared" si="269"/>
        <v>57.115384615384613</v>
      </c>
      <c r="FP41" s="1104"/>
      <c r="FQ41" s="277">
        <f t="shared" si="270"/>
        <v>59.4</v>
      </c>
      <c r="FR41" s="759" t="e">
        <f>IF(A41=FALSE,"",((FH41*TAXE)-(FH41*TAXE*FM41))+IF(#REF!="N/A",0,IF(INDEX(LISTES!$F$105:$F$109,MATCH(#REF!,LISTES!$C$105:$C$109,0))="FIX",#REF!,#REF!*FQ41)))</f>
        <v>#REF!</v>
      </c>
      <c r="FS41" s="422"/>
      <c r="FT41" s="422"/>
      <c r="FU41" s="422"/>
      <c r="FV41" s="422"/>
      <c r="FW41" s="422"/>
      <c r="FX41" s="422"/>
      <c r="FY41" s="422"/>
      <c r="FZ41" s="422"/>
      <c r="GA41" s="432" t="str">
        <f t="shared" si="145"/>
        <v>PROP</v>
      </c>
      <c r="GB41" s="1234" t="str">
        <f>IF(A41=FALSE,"",IF(Detail!DF41="","N/A",YEAR(Detail!F41)&amp;Detail!DI41&amp;Detail!DF41&amp;"-"&amp;Detail!$DF$13))</f>
        <v>N/A</v>
      </c>
      <c r="GC41" s="434" t="str">
        <f>IF(A41=FALSE,"",IF(LISTES!$A$17=1,GB41,INDEX(colMOD3,MATCH(Cotations!AH41,colchoice,0))))</f>
        <v>N/A</v>
      </c>
      <c r="GD41" s="277" t="str">
        <f t="shared" si="146"/>
        <v>N/A</v>
      </c>
      <c r="GE41" s="277">
        <f t="shared" si="147"/>
        <v>0</v>
      </c>
      <c r="GF41" s="277"/>
      <c r="GG41" s="277"/>
      <c r="GH41" s="277">
        <f t="shared" si="271"/>
        <v>0</v>
      </c>
      <c r="GI41" s="1104">
        <f t="shared" si="272"/>
        <v>0</v>
      </c>
      <c r="GJ41" s="1104">
        <f t="shared" si="273"/>
        <v>0</v>
      </c>
      <c r="GK41" s="443">
        <f>IF(A41=FALSE,"",IF(Cotations!AF41="monthly",GH41/12*L41,GH41/365*M41))</f>
        <v>0</v>
      </c>
      <c r="GL41" s="1103">
        <f>IF(A41=FALSE,"",IF(Cotations!AF41="monthly",GJ41/12*L41,GJ41/365*M41))</f>
        <v>0</v>
      </c>
      <c r="GM41" s="433">
        <f>IF(A41=FALSE,"",IF(Cotations!AK41="","",Cotations!AK41))</f>
        <v>0</v>
      </c>
      <c r="GN41" s="277">
        <f t="shared" si="274"/>
        <v>0</v>
      </c>
      <c r="GO41" s="277">
        <f t="shared" si="275"/>
        <v>0</v>
      </c>
      <c r="GP41" s="1104">
        <f t="shared" si="276"/>
        <v>0</v>
      </c>
      <c r="GQ41" s="277">
        <f t="shared" si="277"/>
        <v>0</v>
      </c>
      <c r="GR41" s="759">
        <f>IF(A41=FALSE,"",((GH41*TAXE)-(GH41*TAXE*GM41)+GI41)+IF(CQ41="N/A",0,IF(INDEX(LISTES!$F$105:$F$109,MATCH(CQ41,LISTES!$C$105:$C$109,0))="FIX",CR41,CS41*GQ41)))</f>
        <v>15.1752</v>
      </c>
      <c r="GS41" s="412"/>
      <c r="GT41" s="412"/>
      <c r="GU41" s="412"/>
      <c r="GV41" s="412"/>
      <c r="GW41" s="412"/>
      <c r="GX41" s="412"/>
      <c r="GY41" s="412"/>
      <c r="GZ41" s="412"/>
      <c r="HA41" s="432" t="str">
        <f t="shared" si="155"/>
        <v>PROP</v>
      </c>
      <c r="HB41" s="1234" t="str">
        <f>IF(A41=FALSE,"",IF(Detail!DF41="","N/A",YEAR(Detail!F41)&amp;Detail!DI41&amp;Detail!DF41&amp;"-"&amp;Detail!$DF$13))</f>
        <v>N/A</v>
      </c>
      <c r="HC41" s="434" t="str">
        <f>IF(A41=FALSE,"",IF(LISTES!$A$17=1,HB41,INDEX(colMOD4,MATCH(Cotations!AH41,colchoice,0))))</f>
        <v>N/A</v>
      </c>
      <c r="HD41" s="277" t="str">
        <f t="shared" si="278"/>
        <v>N/A</v>
      </c>
      <c r="HE41" s="277">
        <f t="shared" si="279"/>
        <v>0</v>
      </c>
      <c r="HF41" s="277"/>
      <c r="HG41" s="277"/>
      <c r="HH41" s="277">
        <f t="shared" si="280"/>
        <v>0</v>
      </c>
      <c r="HI41" s="1104">
        <f t="shared" si="281"/>
        <v>0</v>
      </c>
      <c r="HJ41" s="1104">
        <f t="shared" si="282"/>
        <v>0</v>
      </c>
      <c r="HK41" s="443">
        <f>IF(A41=FALSE,"",IF(Cotations!AF41="monthly",HH41/12*L41,HH41/365*M41))</f>
        <v>0</v>
      </c>
      <c r="HL41" s="1103">
        <f>IF(A41=FALSE,"",IF(Cotations!AF41="monthly",HJ41/12*L41,HJ41/365*M41))</f>
        <v>0</v>
      </c>
      <c r="HM41" s="433">
        <f>IF(A41=FALSE,"",IF(Cotations!AL41="","",Cotations!AL41))</f>
        <v>0</v>
      </c>
      <c r="HN41" s="277">
        <f t="shared" si="283"/>
        <v>0</v>
      </c>
      <c r="HO41" s="277">
        <f t="shared" si="284"/>
        <v>0</v>
      </c>
      <c r="HP41" s="1104">
        <f t="shared" si="285"/>
        <v>0</v>
      </c>
      <c r="HQ41" s="277">
        <f t="shared" si="286"/>
        <v>0</v>
      </c>
      <c r="HR41" s="759">
        <f>IF(A41=FALSE,"",((HH41*TAXE)-(HH41*TAXE*HM41)+HI41)+IF(CQ41="N/A",0,IF(INDEX(LISTES!$F$105:$F$109,MATCH(CQ41,LISTES!$C$105:$C$109,0))="FIX",CR41,CS41*HQ41)))</f>
        <v>15.1752</v>
      </c>
      <c r="HS41" s="412"/>
      <c r="HT41" s="412"/>
      <c r="HU41" s="412"/>
      <c r="HV41" s="412"/>
      <c r="HW41" s="412"/>
      <c r="HX41" s="412"/>
      <c r="HY41" s="412"/>
      <c r="HZ41" s="1262"/>
      <c r="IA41" s="432" t="str">
        <f>IF(A41=FALSE,"",Cotations!AT41)</f>
        <v>PROP</v>
      </c>
      <c r="IB41" s="1253" t="str">
        <f>IF(A41=FALSE,"",IF(Detail!AT41="","N/A",YEAR(Detail!F41)&amp;Detail!AW41&amp;Detail!AT41&amp;"-"&amp;Detail!$AT$13&amp;Detail!AU41))</f>
        <v>2017EURAnker Verzekeringen n.v.-Death AccidentFormula 3</v>
      </c>
      <c r="IC41" s="431" t="str">
        <f>IF(A41=FALSE,"",IF(LISTES!$A$17=1,IB41,INDEX(colMOD1,MATCH(DA41,colchoice,0))))</f>
        <v>2017EURAnker Verzekeringen n.v.-Death AccidentFormula 3</v>
      </c>
      <c r="ID41" s="759" t="str">
        <f t="shared" si="287"/>
        <v>Anker Verzekeringen n.v.</v>
      </c>
      <c r="IE41" s="292" t="str">
        <f>IF(A41=FALSE,"",IF(LISTES!$A$17=1,Detail!AU41,INDEX(Rates!$M$1:$M$270,MATCH(IC41,colMOD1,0))))</f>
        <v>Formula 3</v>
      </c>
      <c r="IF41" s="409">
        <f t="shared" si="165"/>
        <v>6.9103448275862072E-4</v>
      </c>
      <c r="IG41" s="430">
        <f>IF(A41=FALSE,"",IF(IA41="POEA",Cotations!AY41,IF(IA41="FIXE",Cotations!AZ41,IF(Cotations!BA41*Y41&lt;50000,Z41,Cotations!BA41*Y41))))</f>
        <v>144000</v>
      </c>
      <c r="IH41" s="292">
        <f t="shared" si="166"/>
        <v>99.508965517241379</v>
      </c>
      <c r="II41" s="446">
        <f>IF(A41=FALSE,"",IF(Cotations!AU41="monthly",IH41/12*L41,IH41/365*M41))</f>
        <v>49.345541804440245</v>
      </c>
      <c r="IJ41" s="429">
        <f>IF(A41=FALSE,"",IF(Cotations!BB41="","",Cotations!BB41))</f>
        <v>0</v>
      </c>
      <c r="IK41" s="292">
        <f t="shared" si="167"/>
        <v>0</v>
      </c>
      <c r="IL41" s="292">
        <f t="shared" si="168"/>
        <v>49.345541804440245</v>
      </c>
      <c r="IM41" s="759">
        <f t="shared" si="169"/>
        <v>51.319363476617859</v>
      </c>
      <c r="IN41" s="759">
        <f>IF(A41=FALSE,"",((IH41*TAXE)-(IH41*TAXE*IJ41))+IF(DQ41="N/A",0,IF(INDEX(LISTES!$F$105:$F$109,MATCH(DQ41,LISTES!$C$105:$C$109,0))="FIX",DR41,DS41*IM41)))</f>
        <v>103.48932413793104</v>
      </c>
      <c r="JA41" s="432" t="str">
        <f>IF(A41=FALSE,"",Cotations!AT41)</f>
        <v>PROP</v>
      </c>
      <c r="JB41" s="1234" t="str">
        <f>IF(A41=FALSE,"",IF(Detail!BB41="","N/A",YEAR(Detail!F41)&amp;Detail!BE41&amp;Detail!BB41&amp;"-"&amp;Detail!$BB$13&amp;Detail!BC41))</f>
        <v>2017EURAnker Verzekeringen n.v.-Death IllnessFormula 3</v>
      </c>
      <c r="JC41" s="431" t="str">
        <f>IF(A41=FALSE,"",IF(LISTES!$A$17=1,JB41,INDEX(colMOD2,MATCH(DA41,colchoice,0))))</f>
        <v>2017EURAnker Verzekeringen n.v.-Death illnessFormula 3</v>
      </c>
      <c r="JD41" s="759" t="str">
        <f t="shared" si="170"/>
        <v>Anker Verzekeringen n.v.</v>
      </c>
      <c r="JE41" s="292"/>
      <c r="JF41" s="409">
        <f t="shared" si="171"/>
        <v>1.7282758620689655E-3</v>
      </c>
      <c r="JG41" s="430">
        <f>IF(A41=FALSE,"",IF(JA41="POEA",Cotations!BC41,IF(JA41="FIXE",Cotations!BD41,IF(Cotations!BE41*Y41&lt;50000,Z41,Cotations!BE41*Y41))))</f>
        <v>144000</v>
      </c>
      <c r="JH41" s="292">
        <f t="shared" si="172"/>
        <v>248.87172413793104</v>
      </c>
      <c r="JI41" s="446">
        <f>IF(A41=FALSE,"",IF(Cotations!AU41="monthly",JH41/12*L41,JH41/365*M41))</f>
        <v>123.41310155880964</v>
      </c>
      <c r="JJ41" s="429">
        <f>IF(A41=FALSE,"",IF(Cotations!BF41="","",Cotations!BF41))</f>
        <v>0</v>
      </c>
      <c r="JK41" s="292">
        <f t="shared" si="173"/>
        <v>0</v>
      </c>
      <c r="JL41" s="292">
        <f t="shared" si="174"/>
        <v>123.41310155880964</v>
      </c>
      <c r="JM41" s="759">
        <f t="shared" si="175"/>
        <v>128.34962562116203</v>
      </c>
      <c r="JN41" s="759" t="e">
        <f>IF(A41=FALSE,"",((JH41*TAXE)-(JH41*TAXE*JJ41))+IF(#REF!="N/A",0,IF(INDEX(LISTES!$F$105:$F$109,MATCH(#REF!,LISTES!$C$105:$C$109,0))="FIX",#REF!,#REF!*JM41)))</f>
        <v>#REF!</v>
      </c>
      <c r="KA41" s="432" t="str">
        <f>IF(A41=FALSE,"",Cotations!AT41)</f>
        <v>PROP</v>
      </c>
      <c r="KB41" s="1234" t="str">
        <f>IF(A41=FALSE,"",IF(Detail!BJ41="","N/A",YEAR(Detail!F41)&amp;Detail!BM41&amp;Detail!BJ41&amp;"-"&amp;Detail!$BJ$13&amp;Detail!BK41))</f>
        <v>2017EURAnker Verzekeringen n.v.-Permanent Disability AccidentFormula 3</v>
      </c>
      <c r="KC41" s="431" t="str">
        <f>IF(A41=FALSE,"",IF(LISTES!$A$17=1,KB41,INDEX(colMOD3,MATCH(DA41,colchoice,0))))</f>
        <v>2017EURAnker Verzekeringen n.v.-Permanent Disability AccidentFormula 3</v>
      </c>
      <c r="KD41" s="759" t="str">
        <f t="shared" si="176"/>
        <v>Anker Verzekeringen n.v.</v>
      </c>
      <c r="KE41" s="292"/>
      <c r="KF41" s="409">
        <f t="shared" si="177"/>
        <v>6.9103448275862072E-4</v>
      </c>
      <c r="KG41" s="430">
        <f>IF(A41=FALSE,"",IF(KA41="POEA",Cotations!BG41,IF(KA41="FIXE",Cotations!BH41,IF(Cotations!BI41*Y41&lt;50000,Z41,Cotations!BI41*Y41))))</f>
        <v>144000</v>
      </c>
      <c r="KH41" s="292">
        <f t="shared" si="178"/>
        <v>122.94620689655171</v>
      </c>
      <c r="KI41" s="446">
        <f>IF(A41=FALSE,"",IF(Cotations!AU41="monthly",KH41/12*L41,KH41/365*M41))</f>
        <v>60.967845063769481</v>
      </c>
      <c r="KJ41" s="429">
        <f>IF(A41=FALSE,"",IF(Cotations!BJ41="","",Cotations!BJ41))</f>
        <v>0</v>
      </c>
      <c r="KK41" s="292">
        <f t="shared" si="179"/>
        <v>0</v>
      </c>
      <c r="KL41" s="292">
        <f t="shared" si="180"/>
        <v>60.967845063769481</v>
      </c>
      <c r="KM41" s="759">
        <f t="shared" si="181"/>
        <v>63.40655886632026</v>
      </c>
      <c r="KN41" s="759" t="e">
        <f>IF(A41=FALSE,"",((KH41*TAXE)-(KH41*TAXE*KJ41))+IF(#REF!="N/A",0,IF(INDEX(LISTES!$F$105:$F$109,MATCH(#REF!,LISTES!$C$105:$C$109,0))="FIX",#REF!,#REF!*KM41)))</f>
        <v>#REF!</v>
      </c>
      <c r="LA41" s="432" t="str">
        <f>IF(A41=FALSE,"",Cotations!AT41)</f>
        <v>PROP</v>
      </c>
      <c r="LB41" s="1234" t="str">
        <f>IF(A41=FALSE,"",IF(Detail!BR41="","N/A",YEAR(Detail!F41)&amp;Detail!BU41&amp;Detail!BR41&amp;"-"&amp;Detail!$BR$13&amp;Detail!BS41))</f>
        <v>2017EURAnker Verzekeringen n.v.-Permanent Disability IllnessFormula 3</v>
      </c>
      <c r="LC41" s="431" t="str">
        <f>IF(A41=FALSE,"",IF(LISTES!$A$17=1,LB41,INDEX(colMOD4,MATCH(DA41,colchoice,0))))</f>
        <v>2017EURAnker Verzekeringen n.v.-Permanent Disability illnessFormula 3</v>
      </c>
      <c r="LD41" s="759" t="str">
        <f t="shared" si="182"/>
        <v>Anker Verzekeringen n.v.</v>
      </c>
      <c r="LE41" s="292"/>
      <c r="LF41" s="409">
        <f t="shared" si="183"/>
        <v>2.0537931034482759E-3</v>
      </c>
      <c r="LG41" s="430">
        <f>IF(A41=FALSE,"",IF(LA41="POEA",Cotations!BK41,IF(LA41="FIXE",Cotations!BL41,IF(Cotations!BM41*Y41&lt;50000,Z41,Cotations!BM41*Y41))))</f>
        <v>144000</v>
      </c>
      <c r="LH41" s="292">
        <f t="shared" si="184"/>
        <v>295.74620689655171</v>
      </c>
      <c r="LI41" s="446">
        <f>IF(A41=FALSE,"",IF(Cotations!AU41="monthly",LH41/12*L41,LH41/365*M41))</f>
        <v>146.65770807746813</v>
      </c>
      <c r="LJ41" s="429">
        <f>IF(A41=FALSE,"",IF(Cotations!BN41="","",Cotations!BN41))</f>
        <v>0</v>
      </c>
      <c r="LK41" s="292">
        <f t="shared" si="185"/>
        <v>0</v>
      </c>
      <c r="LL41" s="292">
        <f t="shared" si="186"/>
        <v>146.65770807746813</v>
      </c>
      <c r="LM41" s="759">
        <f t="shared" si="187"/>
        <v>152.52401640056686</v>
      </c>
      <c r="LN41" s="759" t="e">
        <f>IF(A41=FALSE,"",((LH41*TAXE)-(LH41*TAXE*LJ41))+IF(#REF!="N/A",0,IF(INDEX(LISTES!$F$105:$F$109,MATCH(#REF!,LISTES!$C$105:$C$109,0))="FIX",#REF!,#REF!*LM41)))</f>
        <v>#REF!</v>
      </c>
      <c r="MA41" s="432" t="str">
        <f t="shared" si="188"/>
        <v>PROP</v>
      </c>
      <c r="MB41" s="1234" t="str">
        <f>IF(A41=FALSE,"",IF(Detail!BZ41="","N/A",YEAR(Detail!F41)&amp;Detail!CC41&amp;Detail!BZ41&amp;"-"&amp;Detail!$BZ$13&amp;" (100%/"&amp;Detail!CD41&amp;"/"&amp;Detail!CE41&amp;")"))</f>
        <v>2017EURAnker Verzekeringen n.v.-Temporary Disability Accident (100%/7/365)</v>
      </c>
      <c r="MC41" s="431" t="str">
        <f>IF(A41=FALSE,"",IF(LISTES!$A$17=1,MB41,INDEX(colMOD5,MATCH(DA41,colchoice,0))))</f>
        <v>2017EURAnker Verzekeringen n.v.-Temporary Disability Accident (100%/7/365)</v>
      </c>
      <c r="MD41" s="759" t="str">
        <f t="shared" si="189"/>
        <v>Anker Verzekeringen n.v.</v>
      </c>
      <c r="ME41" s="292"/>
      <c r="MF41" s="409">
        <f t="shared" si="190"/>
        <v>8.1144827586206898E-3</v>
      </c>
      <c r="MG41" s="430">
        <f>IF(A41=FALSE,"",Cotations!BQ41*AA41)</f>
        <v>48000</v>
      </c>
      <c r="MH41" s="292">
        <f t="shared" si="191"/>
        <v>389.49517241379311</v>
      </c>
      <c r="MI41" s="446">
        <f>IF(A41=FALSE,"",IF(Cotations!AU41="monthly",MH41/12*L41,MH41/365*M41))</f>
        <v>193.14692111478507</v>
      </c>
      <c r="MJ41" s="429">
        <f>IF(A41=FALSE,"",IF(Cotations!BR41="","",Cotations!BR41))</f>
        <v>0</v>
      </c>
      <c r="MK41" s="292">
        <f t="shared" si="192"/>
        <v>0</v>
      </c>
      <c r="ML41" s="292">
        <f t="shared" si="193"/>
        <v>193.14692111478507</v>
      </c>
      <c r="MM41" s="759">
        <f t="shared" si="194"/>
        <v>200.87279795937647</v>
      </c>
      <c r="MN41" s="759" t="e">
        <f>IF(A41=FALSE,"",((MH41*TAXE)-(MH41*TAXE*MJ41))+IF(#REF!="N/A",0,IF(INDEX(LISTES!$F$105:$F$109,MATCH(#REF!,LISTES!$C$105:$C$109,0))="FIX",#REF!,#REF!*MM41)))</f>
        <v>#REF!</v>
      </c>
      <c r="NA41" s="432" t="str">
        <f t="shared" si="195"/>
        <v>PROP</v>
      </c>
      <c r="NB41" s="1234" t="str">
        <f>IF(A41=FALSE,"",IF(Detail!CH41="","N/A",YEAR(Detail!F41)&amp;Detail!CK41&amp;Detail!CH41&amp;"-"&amp;Detail!$CH$13&amp;" (100%/"&amp;Detail!CL41&amp;"/"&amp;Detail!CM41&amp;")"))</f>
        <v>2017EURAnker Verzekeringen n.v.-Temporary Disability Illness (100%/7/365)</v>
      </c>
      <c r="NC41" s="431" t="str">
        <f>IF(A41=FALSE,"",IF(LISTES!$A$17=1,NB41,INDEX(colMOD6,MATCH(DA41,colchoice,0))))</f>
        <v>2017EURAnker Verzekeringen n.v.-Temporary Disability illness (100%/7/365)</v>
      </c>
      <c r="ND41" s="759" t="str">
        <f t="shared" si="196"/>
        <v>Anker Verzekeringen n.v.</v>
      </c>
      <c r="NE41" s="292"/>
      <c r="NF41" s="409">
        <f t="shared" si="197"/>
        <v>8.1144827586206898E-3</v>
      </c>
      <c r="NG41" s="430">
        <f>IF(A41=FALSE,"",Cotations!BU41*AA41)</f>
        <v>48000</v>
      </c>
      <c r="NH41" s="292">
        <f t="shared" si="198"/>
        <v>778.39448275862082</v>
      </c>
      <c r="NI41" s="446">
        <f>IF(A41=FALSE,"",IF(Cotations!AU41="monthly",NH41/12*L41,NH41/365*M41))</f>
        <v>385.99835994331607</v>
      </c>
      <c r="NJ41" s="429">
        <f>IF(A41=FALSE,"",IF(Cotations!BV41="","",Cotations!BV41))</f>
        <v>0</v>
      </c>
      <c r="NK41" s="292">
        <f t="shared" si="199"/>
        <v>0</v>
      </c>
      <c r="NL41" s="292">
        <f t="shared" si="200"/>
        <v>385.99835994331607</v>
      </c>
      <c r="NM41" s="759">
        <f t="shared" si="201"/>
        <v>401.43829434104873</v>
      </c>
      <c r="NN41" s="759" t="e">
        <f>IF(A41=FALSE,"",((NH41*TAXE)-(NH41*TAXE*NJ41))+IF(#REF!="N/A",0,IF(INDEX(LISTES!$F$105:$F$109,MATCH(#REF!,LISTES!$C$105:$C$109,0))="FIX",#REF!,#REF!*NM41)))</f>
        <v>#REF!</v>
      </c>
      <c r="NZ41" s="1281" t="str">
        <f>IF(A41=FALSE,"",IF(Detail!CP41="","N/A",YEAR(Detail!F41)&amp;Detail!CS41&amp;Detail!CP41&amp;"-"&amp;Detail!CQ41))</f>
        <v>N/A</v>
      </c>
      <c r="OA41" s="432" t="str">
        <f>IF(A41=FALSE,"",Cotations!CF41)</f>
        <v>FIXE</v>
      </c>
      <c r="OB41" s="1282" t="str">
        <f>IF(A41=FALSE,"",IF(Detail!CP41="","N/A",YEAR(Detail!F41)&amp;Detail!CS41&amp;Detail!CP41&amp;"-"&amp;Detail!$CP$13&amp;Detail!CQ41))</f>
        <v>N/A</v>
      </c>
      <c r="OC41" s="1283" t="str">
        <f>IF(A41=FALSE,"",IF(LISTES!$A$17=1,OB41,INDEX(colMOD1,MATCH(Cotations!CE41,colchoice,0))))</f>
        <v>N/A</v>
      </c>
      <c r="OD41" s="759" t="str">
        <f t="shared" si="202"/>
        <v>N/A</v>
      </c>
      <c r="OE41" s="292">
        <f>IF(A41=FALSE,"",Detail!CQ41)</f>
        <v>0</v>
      </c>
      <c r="OF41" s="409" t="str">
        <f t="shared" si="203"/>
        <v/>
      </c>
      <c r="OG41" s="430">
        <f>IF(A41=FALSE,"",IF(OA41="FIXE",Cotations!CM41,Cotations!CN41*AA41))</f>
        <v>100000</v>
      </c>
      <c r="OH41" s="292">
        <f t="shared" si="288"/>
        <v>0</v>
      </c>
      <c r="OI41" s="446">
        <f>IF(A41=FALSE,"",IF(Cotations!CF41="monthly",OH41/12*L41,OH41/365*M41))</f>
        <v>0</v>
      </c>
      <c r="OJ41" s="429">
        <f>IF(A41=FALSE,"",IF(Cotations!CO41="","",Cotations!CO41))</f>
        <v>0</v>
      </c>
      <c r="OK41" s="292">
        <f t="shared" si="289"/>
        <v>0</v>
      </c>
      <c r="OL41" s="292">
        <f t="shared" si="290"/>
        <v>0</v>
      </c>
      <c r="OM41" s="759">
        <f t="shared" si="207"/>
        <v>0</v>
      </c>
      <c r="ON41" s="759" t="e">
        <f>IF(A41=FALSE,"",((OH41*(1+TAXE)-(OH41*(1+TAXE)*OJ41))+IF(#REF!="N/A",0,IF(INDEX(LISTES!$F$105:$F$109,MATCH(#REF!,LISTES!$C$105:$C$109,0))="FIX",#REF!,#REF!*OM41))))</f>
        <v>#REF!</v>
      </c>
      <c r="PA41" s="432" t="str">
        <f>IF(A41=FALSE,"",Cotations!CF41)</f>
        <v>FIXE</v>
      </c>
      <c r="PB41" s="1282" t="str">
        <f>IF(A41=FALSE,"",IF(Detail!CX41="","N/A",YEAR(Detail!F41)&amp;Detail!DA41&amp;Detail!CX41&amp;"-"&amp;Detail!$CX$13&amp;Detail!CY41))</f>
        <v>N/A</v>
      </c>
      <c r="PC41" s="1283" t="str">
        <f>IF(A41=FALSE,"",IF(LISTES!$A$17=1,PB41,INDEX(colMOD3,MATCH(Cotations!CE41,colchoice,0))))</f>
        <v>N/A</v>
      </c>
      <c r="PD41" s="759" t="str">
        <f t="shared" si="208"/>
        <v>N/A</v>
      </c>
      <c r="PE41" s="292" t="str">
        <f>IF(A41=FALSE,"",IF(Detail!CY41="","",Detail!CY41))</f>
        <v/>
      </c>
      <c r="PF41" s="409">
        <f t="shared" si="291"/>
        <v>0</v>
      </c>
      <c r="PG41" s="430">
        <f>IF(A41=FALSE,"",IF(PA41="FIXE",Cotations!CP41,Cotations!CQ41*AA41))</f>
        <v>100000</v>
      </c>
      <c r="PH41" s="292">
        <f t="shared" si="292"/>
        <v>0</v>
      </c>
      <c r="PI41" s="446">
        <f>IF(A41=FALSE,"",IF(Cotations!CG41="monthly",PH41/12*L41,PH41/365*M41))</f>
        <v>0</v>
      </c>
      <c r="PJ41" s="429">
        <f>IF(A41=FALSE,"",IF(Cotations!DA41="",0,Cotations!DA41))</f>
        <v>0</v>
      </c>
      <c r="PK41" s="292">
        <f t="shared" si="293"/>
        <v>0</v>
      </c>
      <c r="PL41" s="292">
        <f t="shared" si="294"/>
        <v>0</v>
      </c>
      <c r="PM41" s="759">
        <f t="shared" si="211"/>
        <v>0</v>
      </c>
      <c r="PN41" s="759" t="e">
        <f>IF(A41=FALSE,"",((PH41*(1+TAXE)-(PH41*(1+TAXE)*PJ41))+IF(#REF!="N/A",0,IF(INDEX(LISTES!$F$105:$F$109,MATCH(#REF!,LISTES!$C$105:$C$109,0))="FIX",#REF!,#REF!*PM41))))</f>
        <v>#REF!</v>
      </c>
    </row>
    <row r="42" spans="1:430">
      <c r="A42" s="779" t="b">
        <f t="shared" si="111"/>
        <v>1</v>
      </c>
      <c r="B42" s="779" t="b">
        <f>IF(NAMES!$B$9=TRUE,TRUE,FALSE)</f>
        <v>1</v>
      </c>
      <c r="C42" s="779" t="b">
        <f t="shared" si="212"/>
        <v>1</v>
      </c>
      <c r="D42" s="779" t="b">
        <f t="shared" si="213"/>
        <v>1</v>
      </c>
      <c r="E42" s="267" t="b">
        <f>IF(Cotations!C42="","",Cotations!C42)</f>
        <v>1</v>
      </c>
      <c r="F42" s="267" t="str">
        <f>IF(Cotations!AT42="","",Cotations!AT42)</f>
        <v>PROP</v>
      </c>
      <c r="G42" s="267" t="str">
        <f>IF(Cotations!D42="","",Cotations!D42)</f>
        <v>2017-2017!</v>
      </c>
      <c r="H42" s="267" t="str">
        <f>IF(Cotations!E42="","",Cotations!E42)</f>
        <v>SINGLE</v>
      </c>
      <c r="I42" s="267">
        <f>IF(Cotations!F42="","",Cotations!F42)</f>
        <v>133440</v>
      </c>
      <c r="J42" s="267" t="str">
        <f>IF(Cotations!G42="","",Cotations!G42)</f>
        <v>2nd engineer</v>
      </c>
      <c r="K42" s="267" t="str">
        <f>IF(Cotations!H42="","",Cotations!H42)</f>
        <v>ISAIC</v>
      </c>
      <c r="L42" s="267">
        <f>IF(A42=FALSE,"",IF(Cotations!M42="","",Cotations!M42))</f>
        <v>6</v>
      </c>
      <c r="M42" s="267">
        <f>IF(Cotations!O42="","",Cotations!O42)</f>
        <v>181</v>
      </c>
      <c r="N42" s="588">
        <f>IF(NAMES!$B$10=TRUE,Cotations!I42,Cotations!K42)</f>
        <v>42750</v>
      </c>
      <c r="O42" s="588">
        <f>IF(NAMES!$B$10=TRUE,Cotations!J42,Cotations!L42)</f>
        <v>42930</v>
      </c>
      <c r="P42" s="780" t="str">
        <f t="shared" si="214"/>
        <v>janvier</v>
      </c>
      <c r="Q42" s="588">
        <f>IF(A42=FALSE,"",IF(Crewlist!Y42="","",Crewlist!Y42))</f>
        <v>42930</v>
      </c>
      <c r="R42" s="78" t="str">
        <f>IF(Cotations!T42="","",Cotations!T42)</f>
        <v>annual</v>
      </c>
      <c r="S42" s="780" t="str">
        <f t="shared" si="215"/>
        <v>VRAI133440janvier42750</v>
      </c>
      <c r="T42" s="759">
        <f>IF(A42=FALSE,"",VLOOKUP($U$15:$U$120,Currency!$A$2:$D$10,4,0)*Crewlist!N42)</f>
        <v>4000</v>
      </c>
      <c r="U42" s="1097" t="str">
        <f>IF(A42=FALSE,"",IF(DP42=0,Crewlist!M42&amp;"/"&amp;CP42,Crewlist!M42&amp;"/"&amp;DP42))</f>
        <v>EUR/EUR</v>
      </c>
      <c r="V42" s="759">
        <f>IF(A42=FALSE,"",VLOOKUP($U$15:$U$120,Currency!$A$2:$D$10,4,0)*Detail!Q42)</f>
        <v>4000</v>
      </c>
      <c r="W42" s="1097" t="str">
        <f>IF(A42=FALSE,"",IF(DP42=0,Detail!R42&amp;"/"&amp;CP42,Detail!R42&amp;"/"&amp;DP42))</f>
        <v>EUR/EUR</v>
      </c>
      <c r="X42" s="759">
        <f>IF(A42=FALSE,"",IF(LISTES!$C$17="Crewlist",Calcul!T42,Calcul!V42))</f>
        <v>4000</v>
      </c>
      <c r="Y42" s="618">
        <f t="shared" si="216"/>
        <v>48000</v>
      </c>
      <c r="Z42" s="618">
        <f>IF(A42=FALSE,"",IF(X42=0,0,IF((Cotations!BA42*12*X42)&lt;50000,50000,(12*X42))))</f>
        <v>48000</v>
      </c>
      <c r="AA42" s="618">
        <f t="shared" si="217"/>
        <v>48000</v>
      </c>
      <c r="AB42" s="618">
        <f>IF(A42=FALSE,"",IF(Crewlist!O42=0,"",Crewlist!O42))</f>
        <v>5000</v>
      </c>
      <c r="AC42" s="618" t="e">
        <f>IF(I42="","",VLOOKUP($AB$15:$AB$120,Currency!$A$15:$B$34,2,0))</f>
        <v>#N/A</v>
      </c>
      <c r="AD42" s="618" t="e">
        <f t="shared" si="218"/>
        <v>#N/A</v>
      </c>
      <c r="AE42" s="618" t="e">
        <f t="shared" si="219"/>
        <v>#N/A</v>
      </c>
      <c r="AF42" s="618" t="e">
        <f t="shared" si="220"/>
        <v>#N/A</v>
      </c>
      <c r="AG42" s="618">
        <f t="shared" si="221"/>
        <v>23802.739726027401</v>
      </c>
      <c r="AH42" s="1097" t="str">
        <f t="shared" si="112"/>
        <v>EUR</v>
      </c>
      <c r="AI42" s="759">
        <f t="shared" si="222"/>
        <v>1337.208256665092</v>
      </c>
      <c r="AJ42" s="1120">
        <f t="shared" si="223"/>
        <v>333.29759999999999</v>
      </c>
      <c r="AK42" s="1120">
        <f t="shared" si="224"/>
        <v>997.91065666509223</v>
      </c>
      <c r="AL42" s="236">
        <f t="shared" si="225"/>
        <v>7.5876000000000001</v>
      </c>
      <c r="AM42" s="236">
        <f t="shared" si="226"/>
        <v>50.908486794811282</v>
      </c>
      <c r="AN42" s="1112">
        <f t="shared" si="227"/>
        <v>0</v>
      </c>
      <c r="AO42" s="236">
        <f t="shared" si="228"/>
        <v>58.496086794811283</v>
      </c>
      <c r="AP42" s="327" t="str">
        <f>IF(A42=FALSE,"",INDEX(Rates!$Q$1:$Q$278,MATCH(CA42,colchoice,0)))</f>
        <v>WCA</v>
      </c>
      <c r="AQ42" s="236">
        <f t="shared" si="229"/>
        <v>6</v>
      </c>
      <c r="AR42" s="236">
        <f t="shared" si="230"/>
        <v>1272.7121698702808</v>
      </c>
      <c r="AS42" s="236">
        <f t="shared" si="117"/>
        <v>325.70999999999998</v>
      </c>
      <c r="AT42" s="236">
        <f t="shared" si="118"/>
        <v>997.91065666509223</v>
      </c>
      <c r="AU42" s="236">
        <f t="shared" si="231"/>
        <v>256.06730769230762</v>
      </c>
      <c r="AV42" s="236">
        <f t="shared" si="232"/>
        <v>57.115384615384613</v>
      </c>
      <c r="AW42" s="236">
        <f t="shared" si="233"/>
        <v>49.345541804440245</v>
      </c>
      <c r="AX42" s="236">
        <f t="shared" si="234"/>
        <v>123.41310155880964</v>
      </c>
      <c r="AY42" s="236">
        <f t="shared" si="235"/>
        <v>60.967845063769481</v>
      </c>
      <c r="AZ42" s="236">
        <f t="shared" si="236"/>
        <v>146.65770807746813</v>
      </c>
      <c r="BA42" s="236">
        <f t="shared" si="237"/>
        <v>193.14692111478507</v>
      </c>
      <c r="BB42" s="467">
        <f t="shared" si="238"/>
        <v>385.99835994331607</v>
      </c>
      <c r="BC42" s="329">
        <f t="shared" si="239"/>
        <v>325.70999999999998</v>
      </c>
      <c r="BD42" s="237">
        <f t="shared" si="240"/>
        <v>313.18269230769226</v>
      </c>
      <c r="BE42" s="237">
        <f>IF(A42=FALSE,"",IF(ED42&lt;&gt;$BC$7,0,INDEX(EA42:EZ42,1,MATCH(Structure!$J$16,$EA$14:$EZ$14,0))))</f>
        <v>256.06730769230762</v>
      </c>
      <c r="BF42" s="237">
        <f>IF(A42=FALSE,"",IF(FD42&lt;&gt;$BC$7,0,INDEX(FA42:FZ42,1,MATCH(Structure!$J$16,$FA$14:$FZ$14,0))))</f>
        <v>57.115384615384613</v>
      </c>
      <c r="BG42" s="237">
        <f>IF(A42=FALSE,"",IF(GD42&lt;&gt;$BC$7,0,INDEX(GA42:GZ42,1,MATCH(Structure!$J$16,$GA$14:$GZ$14,0))))</f>
        <v>0</v>
      </c>
      <c r="BH42" s="237">
        <f>IF(A42=FALSE,"",IF(HD42&lt;&gt;$BC$7,0,INDEX(HA42:HZ42,1,MATCH(Structure!$J$16,$HA$14:$HZ$14,0))))</f>
        <v>0</v>
      </c>
      <c r="BI42" s="621">
        <f>IF(A42=FALSE,"",IF(ID42&lt;&gt;$BC$7,0,INDEX(IA42:IZ42,1,MATCH(Structure!$C$12,$IA$14:$IZ$14,0)))+OL42)</f>
        <v>0</v>
      </c>
      <c r="BJ42" s="237">
        <f>IF(A42=FALSE,"",IF(JD42&lt;&gt;$BC$7,0,INDEX(JA42:JZ42,1,MATCH(Structure!$C$12,$JA$14:$JZ$14,0))))</f>
        <v>0</v>
      </c>
      <c r="BK42" s="621">
        <f>IF(A42=FALSE,"",IF(KD42&lt;&gt;$BC$7,0,INDEX(KA42:KZ42,1,MATCH(Structure!$C$12,$KA$14:$KZ$14,0)))+PL42)</f>
        <v>0</v>
      </c>
      <c r="BL42" s="237">
        <f>IF(A42=FALSE,"",IF(LD42&lt;&gt;$BC$7,0,INDEX(LA42:LZ42,1,MATCH(Structure!$C$12,$LA$14:$LZ$14,0))))</f>
        <v>0</v>
      </c>
      <c r="BM42" s="237">
        <f>IF(A42=FALSE,"",IF(MD42&lt;&gt;$BC$7,0,INDEX(MA42:MZ42,1,MATCH(Structure!$C$12,$MA$14:$MZ$14,0))))</f>
        <v>0</v>
      </c>
      <c r="BN42" s="326">
        <f>IF(A42=FALSE,"",IF(ND42&lt;&gt;$BC$7,0,INDEX(NA42:OC42,1,MATCH(Structure!$C$12,$NA$14:$OC$14,0))))</f>
        <v>0</v>
      </c>
      <c r="BO42" s="435">
        <f t="shared" si="241"/>
        <v>997.91065666509223</v>
      </c>
      <c r="BP42" s="237">
        <f t="shared" si="242"/>
        <v>959.52947756258868</v>
      </c>
      <c r="BQ42" s="237">
        <f>IF(A42=FALSE,"",IF(ED42&lt;&gt;$BO$7,0,INDEX(EA42:EZ42,1,MATCH(Structure!$C$12,$EA$14:$EZ$14,0))))</f>
        <v>0</v>
      </c>
      <c r="BR42" s="237">
        <f>IF(A42=FALSE,"",IF(FD42&lt;&gt;$BO$7,0,INDEX(FA42:FZ42,1,MATCH(Structure!$C$12,$FA$14:$FZ$14,0))))</f>
        <v>0</v>
      </c>
      <c r="BS42" s="237">
        <f>IF(A42=FALSE,"",IF(ID42&lt;&gt;$BO$7,0,INDEX(IA42:IZ42,1,MATCH(Structure!$C$13,$IA$14:$IZ$14,0))))</f>
        <v>49.345541804440245</v>
      </c>
      <c r="BT42" s="237">
        <f>IF(A42=FALSE,"",IF(JD42&lt;&gt;$BO$7,0,INDEX(JA42:JZ42,1,MATCH(Structure!$C$13,$JA$14:$JZ$14,0))))</f>
        <v>123.41310155880964</v>
      </c>
      <c r="BU42" s="237">
        <f>IF(A42=FALSE,"",IF(KD42&lt;&gt;$BO$7,0,INDEX(KA42:KZ42,1,MATCH(Structure!$C$13,$KA$14:$KZ$14,0))))</f>
        <v>60.967845063769481</v>
      </c>
      <c r="BV42" s="237">
        <f>IF(A42=FALSE,"",IF(LD42&lt;&gt;$BO$7,0,INDEX(LA42:LZ42,1,MATCH(Structure!$C$13,$LA$14:$LZ$14,0))))</f>
        <v>146.65770807746813</v>
      </c>
      <c r="BW42" s="237">
        <f>IF(A42=FALSE,"",IF(MD42&lt;&gt;$BO$7,0,INDEX(MA42:MZ42,1,MATCH(Structure!$C$13,$MA$14:$MZ$14,0))))</f>
        <v>193.14692111478507</v>
      </c>
      <c r="BX42" s="326">
        <f>IF(A42=FALSE,"",IF(ND42&lt;&gt;$BO$7,0,INDEX(NA42:OC42,1,MATCH(Structure!$C$13,$NA$14:$OC$14,0))))</f>
        <v>385.99835994331607</v>
      </c>
      <c r="BY42" s="412"/>
      <c r="BZ42" s="412"/>
      <c r="CA42" s="1255" t="str">
        <f>IF(A42=FALSE,"",IF(LISTES!$A$17=1,Cotations!AG42,Cotations!AH42))</f>
        <v>2017EURAIG Luxembourg-StandardMLC S</v>
      </c>
      <c r="CB42" s="1266">
        <f t="shared" si="243"/>
        <v>313.18269230769226</v>
      </c>
      <c r="CC42" s="1120">
        <f t="shared" si="244"/>
        <v>256.06730769230762</v>
      </c>
      <c r="CD42" s="1120">
        <f t="shared" si="245"/>
        <v>57.115384615384613</v>
      </c>
      <c r="CE42" s="1120">
        <f t="shared" si="246"/>
        <v>0</v>
      </c>
      <c r="CF42" s="1120">
        <f t="shared" si="247"/>
        <v>0</v>
      </c>
      <c r="CG42" s="1267"/>
      <c r="CH42" s="1267"/>
      <c r="CI42" s="1268">
        <f t="shared" si="248"/>
        <v>325.70999999999992</v>
      </c>
      <c r="CJ42" s="286">
        <f t="shared" si="249"/>
        <v>266.30999999999995</v>
      </c>
      <c r="CK42" s="286">
        <f t="shared" si="250"/>
        <v>59.4</v>
      </c>
      <c r="CL42" s="1263"/>
      <c r="CM42" s="1263"/>
      <c r="CN42" s="1263"/>
      <c r="CO42" s="1263"/>
      <c r="CP42" s="319" t="str">
        <f t="shared" si="251"/>
        <v>EUR</v>
      </c>
      <c r="CQ42" s="443" t="str">
        <f>IF(A42=FALSE,"",Cotations!AM42)</f>
        <v>fix Fees pro rata month</v>
      </c>
      <c r="CR42" s="443">
        <f>IF(A42=FALSE,"",IF(Cotations!AN42="","",Cotations!AN42))</f>
        <v>15.1752</v>
      </c>
      <c r="CS42" s="433">
        <f>IF(A42=FALSE,"",Cotations!AO42)</f>
        <v>0</v>
      </c>
      <c r="CT42" s="443">
        <f>IF(A42=FALSE,"",IF(CQ42="N/A",0,IF(INDEX(LISTES!$F$105:$F$109,MATCH(CQ42,LISTES!$C$105:$C$109,0))="FIX",IF(INDEX(LISTES!$E$105:$E$109,MATCH(CQ42,LISTES!$C$105:$C$109,0))=12,CR42/12*L42,CR42/365*M42),CS42*EQ42)))</f>
        <v>7.5876000000000001</v>
      </c>
      <c r="CU42" s="434">
        <f>IF(A42=FALSE,"",(CJ42+CK42)*Cotations!AP42)</f>
        <v>325.70999999999992</v>
      </c>
      <c r="CV42" s="434">
        <f>IF(A42=FALSE,"",(CJ42+CK42)*Cotations!AQ42)</f>
        <v>0</v>
      </c>
      <c r="DA42" s="1253" t="str">
        <f>IF(A42=FALSE,"",IF(LISTES!$A$17=1,Cotations!AV42,Cotations!AW42))</f>
        <v>2017EURAnker Verzekeringen n.v.-Formula 3 (7/365)</v>
      </c>
      <c r="DB42" s="1271">
        <f t="shared" si="252"/>
        <v>959.52947756258868</v>
      </c>
      <c r="DC42" s="1270">
        <f t="shared" si="253"/>
        <v>49.345541804440245</v>
      </c>
      <c r="DD42" s="1270">
        <f t="shared" si="254"/>
        <v>123.41310155880964</v>
      </c>
      <c r="DE42" s="1270">
        <f t="shared" si="255"/>
        <v>60.967845063769481</v>
      </c>
      <c r="DF42" s="1270">
        <f t="shared" si="256"/>
        <v>146.65770807746813</v>
      </c>
      <c r="DG42" s="1270">
        <f t="shared" si="257"/>
        <v>193.14692111478507</v>
      </c>
      <c r="DH42" s="1270">
        <f t="shared" si="258"/>
        <v>385.99835994331607</v>
      </c>
      <c r="DI42" s="1271">
        <f t="shared" si="259"/>
        <v>997.91065666509223</v>
      </c>
      <c r="DJ42" s="286">
        <f t="shared" si="260"/>
        <v>51.319363476617859</v>
      </c>
      <c r="DK42" s="286">
        <f t="shared" si="261"/>
        <v>128.34962562116203</v>
      </c>
      <c r="DL42" s="1264">
        <f t="shared" si="262"/>
        <v>63.40655886632026</v>
      </c>
      <c r="DM42" s="1264">
        <f t="shared" si="263"/>
        <v>152.52401640056686</v>
      </c>
      <c r="DN42" s="1264">
        <f t="shared" si="264"/>
        <v>200.87279795937647</v>
      </c>
      <c r="DO42" s="1264">
        <f t="shared" si="265"/>
        <v>401.43829434104873</v>
      </c>
      <c r="DP42" s="323" t="str">
        <f t="shared" si="132"/>
        <v>EUR</v>
      </c>
      <c r="DQ42" s="444" t="str">
        <f>IF(A42=FALSE,"",Cotations!BW42)</f>
        <v>N/A</v>
      </c>
      <c r="DR42" s="444">
        <f>IF(A42=FALSE,"",Cotations!BX42)</f>
        <v>0</v>
      </c>
      <c r="DS42" s="433">
        <f>IF(A42=FALSE,"",Cotations!BY42)</f>
        <v>0</v>
      </c>
      <c r="DT42" s="830">
        <f>IF(A42=FALSE,"",IF(DQ42="N/A",0,IF(INDEX(LISTES!$F$105:$F$109,MATCH(DQ42,LISTES!$C$105:$C$109,0))="FIX",IF(INDEX(LISTES!$E$105:$E$109,MATCH(DQ42,LISTES!$C$105:$C$109,0))=12,DR42/12*L42,DR42/365*M42),DS42*(DN42+DO42))))</f>
        <v>0</v>
      </c>
      <c r="DU42" s="434">
        <f>IF(A42=FALSE,"",DJ42*Cotations!BZ42)</f>
        <v>51.319363476617859</v>
      </c>
      <c r="DV42" s="434">
        <f>IF(A42=FALSE,"",DJ42*Cotations!CA42)</f>
        <v>0</v>
      </c>
      <c r="EA42" s="432" t="str">
        <f>IF(A42=FALSE,"",Cotations!AT42)</f>
        <v>PROP</v>
      </c>
      <c r="EB42" s="1234" t="str">
        <f>IF(A42=FALSE,"",YEAR(Detail!F42)&amp;Detail!AG42&amp;Detail!AD42&amp;"-"&amp;Detail!$AD$13&amp;Detail!AE42)</f>
        <v>2017EURAIG Luxembourg-Healthcare PlanStandardMLC S</v>
      </c>
      <c r="EC42" s="434" t="str">
        <f>IF(A42=FALSE,"",IF(LISTES!$A$17=1,EB42,INDEX(colMOD1,MATCH(Cotations!AH42,colchoice,0))))</f>
        <v>2017EURAIG Luxembourg-Healthcare PlanStandardMLC S</v>
      </c>
      <c r="ED42" s="277" t="str">
        <f t="shared" si="133"/>
        <v>AIG Luxembourg</v>
      </c>
      <c r="EE42" s="277" t="str">
        <f t="shared" si="134"/>
        <v>StandardMLC S</v>
      </c>
      <c r="EF42" s="277"/>
      <c r="EG42" s="277"/>
      <c r="EH42" s="277">
        <f t="shared" si="135"/>
        <v>569.03846153846143</v>
      </c>
      <c r="EI42" s="1104">
        <f t="shared" si="136"/>
        <v>0</v>
      </c>
      <c r="EJ42" s="1104">
        <f t="shared" si="137"/>
        <v>569.03846153846143</v>
      </c>
      <c r="EK42" s="443">
        <f>IF(A42=FALSE,"",IF(Cotations!AF42="monthly",EH42/12*L42,EH42/365*M42))</f>
        <v>284.51923076923072</v>
      </c>
      <c r="EL42" s="1103">
        <f>IF(A42=FALSE,"",IF(Cotations!AF42="monthly",EJ42/12*L42,EJ42/365*M42))</f>
        <v>284.51923076923072</v>
      </c>
      <c r="EM42" s="433">
        <f>IF(A42=FALSE,"",IF(Cotations!AI42="","",Cotations!AI42))</f>
        <v>0.1</v>
      </c>
      <c r="EN42" s="277">
        <f t="shared" si="266"/>
        <v>28.451923076923073</v>
      </c>
      <c r="EO42" s="277">
        <f t="shared" si="138"/>
        <v>256.06730769230762</v>
      </c>
      <c r="EP42" s="1104">
        <f t="shared" si="139"/>
        <v>0</v>
      </c>
      <c r="EQ42" s="277">
        <f t="shared" si="267"/>
        <v>266.30999999999995</v>
      </c>
      <c r="ER42" s="759">
        <f>IF(A42=FALSE,"",((EH42*TAXE)-(EH42*TAXE*EM42)+EI42)+IF(CQ42="N/A",0,IF(INDEX(LISTES!$F$105:$F$109,MATCH(CQ42,LISTES!$C$105:$C$109,0))="FIX",CR42,CS42*EQ42)))</f>
        <v>547.79520000000002</v>
      </c>
      <c r="ET42" s="422"/>
      <c r="EU42" s="422"/>
      <c r="EV42" s="422"/>
      <c r="EW42" s="422"/>
      <c r="EX42" s="422"/>
      <c r="EY42" s="422"/>
      <c r="EZ42" s="422"/>
      <c r="FA42" s="432" t="str">
        <f>IF(A42=FALSE,"",Cotations!AT42)</f>
        <v>PROP</v>
      </c>
      <c r="FB42" s="1235" t="str">
        <f>IF(A42=FALSE,"",IF(Detail!AL42="","N/A",YEAR(Detail!F42)&amp;Detail!AO42&amp;Detail!AL42&amp;"-"&amp;Detail!$AL$13&amp;Detail!AM42))</f>
        <v>2017EURAIG Luxembourg-Assistance and RepatriationStandardMLC S</v>
      </c>
      <c r="FC42" s="434" t="str">
        <f>IF(A42=FALSE,"",IF(LISTES!$A$17=1,FB42,INDEX(colMOD2,MATCH(Cotations!AH42,colchoice,0))))</f>
        <v>2017EURAIG Luxembourg-Assistance and RepatriationStandardMLC S</v>
      </c>
      <c r="FD42" s="277" t="str">
        <f t="shared" si="140"/>
        <v>AIG Luxembourg</v>
      </c>
      <c r="FE42" s="443" t="str">
        <f>IF(A42=FALSE,"",IF(Detail!AM42="","",Detail!AM42))</f>
        <v>StandardMLC S</v>
      </c>
      <c r="FF42" s="277"/>
      <c r="FG42" s="277"/>
      <c r="FH42" s="277">
        <f t="shared" si="141"/>
        <v>126.92307692307692</v>
      </c>
      <c r="FI42" s="1104"/>
      <c r="FJ42" s="1104"/>
      <c r="FK42" s="443">
        <f>IF(A42=FALSE,"",IF(Cotations!AF42="monthly",FH42/12*L42,FH42/365*M42))</f>
        <v>63.46153846153846</v>
      </c>
      <c r="FL42" s="1103">
        <f>IF(A42=FALSE,"",IF(Cotations!AF42="monthly",FJ42/12*L42,FJ42/365*M42))</f>
        <v>0</v>
      </c>
      <c r="FM42" s="433">
        <f>IF(A42=FALSE,"",IF(Cotations!AJ42="","",Cotations!AJ42))</f>
        <v>0.1</v>
      </c>
      <c r="FN42" s="277">
        <f t="shared" si="268"/>
        <v>6.3461538461538467</v>
      </c>
      <c r="FO42" s="277">
        <f t="shared" si="269"/>
        <v>57.115384615384613</v>
      </c>
      <c r="FP42" s="1104"/>
      <c r="FQ42" s="277">
        <f t="shared" si="270"/>
        <v>59.4</v>
      </c>
      <c r="FR42" s="759" t="e">
        <f>IF(A42=FALSE,"",((FH42*TAXE)-(FH42*TAXE*FM42))+IF(#REF!="N/A",0,IF(INDEX(LISTES!$F$105:$F$109,MATCH(#REF!,LISTES!$C$105:$C$109,0))="FIX",#REF!,#REF!*FQ42)))</f>
        <v>#REF!</v>
      </c>
      <c r="FS42" s="422"/>
      <c r="FT42" s="422"/>
      <c r="FU42" s="422"/>
      <c r="FV42" s="422"/>
      <c r="FW42" s="422"/>
      <c r="FX42" s="422"/>
      <c r="FY42" s="422"/>
      <c r="FZ42" s="422"/>
      <c r="GA42" s="432" t="str">
        <f t="shared" si="145"/>
        <v>PROP</v>
      </c>
      <c r="GB42" s="1234" t="str">
        <f>IF(A42=FALSE,"",IF(Detail!DF42="","N/A",YEAR(Detail!F42)&amp;Detail!DI42&amp;Detail!DF42&amp;"-"&amp;Detail!$DF$13))</f>
        <v>N/A</v>
      </c>
      <c r="GC42" s="434" t="str">
        <f>IF(A42=FALSE,"",IF(LISTES!$A$17=1,GB42,INDEX(colMOD3,MATCH(Cotations!AH42,colchoice,0))))</f>
        <v>N/A</v>
      </c>
      <c r="GD42" s="277" t="str">
        <f t="shared" si="146"/>
        <v>N/A</v>
      </c>
      <c r="GE42" s="277">
        <f t="shared" si="147"/>
        <v>0</v>
      </c>
      <c r="GF42" s="277"/>
      <c r="GG42" s="277"/>
      <c r="GH42" s="277">
        <f t="shared" si="271"/>
        <v>0</v>
      </c>
      <c r="GI42" s="1104">
        <f t="shared" si="272"/>
        <v>0</v>
      </c>
      <c r="GJ42" s="1104">
        <f t="shared" si="273"/>
        <v>0</v>
      </c>
      <c r="GK42" s="443">
        <f>IF(A42=FALSE,"",IF(Cotations!AF42="monthly",GH42/12*L42,GH42/365*M42))</f>
        <v>0</v>
      </c>
      <c r="GL42" s="1103">
        <f>IF(A42=FALSE,"",IF(Cotations!AF42="monthly",GJ42/12*L42,GJ42/365*M42))</f>
        <v>0</v>
      </c>
      <c r="GM42" s="433">
        <f>IF(A42=FALSE,"",IF(Cotations!AK42="","",Cotations!AK42))</f>
        <v>0</v>
      </c>
      <c r="GN42" s="277">
        <f t="shared" si="274"/>
        <v>0</v>
      </c>
      <c r="GO42" s="277">
        <f t="shared" si="275"/>
        <v>0</v>
      </c>
      <c r="GP42" s="1104">
        <f t="shared" si="276"/>
        <v>0</v>
      </c>
      <c r="GQ42" s="277">
        <f t="shared" si="277"/>
        <v>0</v>
      </c>
      <c r="GR42" s="759">
        <f>IF(A42=FALSE,"",((GH42*TAXE)-(GH42*TAXE*GM42)+GI42)+IF(CQ42="N/A",0,IF(INDEX(LISTES!$F$105:$F$109,MATCH(CQ42,LISTES!$C$105:$C$109,0))="FIX",CR42,CS42*GQ42)))</f>
        <v>15.1752</v>
      </c>
      <c r="GS42" s="412"/>
      <c r="GT42" s="412"/>
      <c r="GU42" s="412"/>
      <c r="GV42" s="412"/>
      <c r="GW42" s="412"/>
      <c r="GX42" s="412"/>
      <c r="GY42" s="412"/>
      <c r="GZ42" s="412"/>
      <c r="HA42" s="432" t="str">
        <f t="shared" si="155"/>
        <v>PROP</v>
      </c>
      <c r="HB42" s="1234" t="str">
        <f>IF(A42=FALSE,"",IF(Detail!DF42="","N/A",YEAR(Detail!F42)&amp;Detail!DI42&amp;Detail!DF42&amp;"-"&amp;Detail!$DF$13))</f>
        <v>N/A</v>
      </c>
      <c r="HC42" s="434" t="str">
        <f>IF(A42=FALSE,"",IF(LISTES!$A$17=1,HB42,INDEX(colMOD4,MATCH(Cotations!AH42,colchoice,0))))</f>
        <v>N/A</v>
      </c>
      <c r="HD42" s="277" t="str">
        <f t="shared" si="278"/>
        <v>N/A</v>
      </c>
      <c r="HE42" s="277">
        <f t="shared" si="279"/>
        <v>0</v>
      </c>
      <c r="HF42" s="277"/>
      <c r="HG42" s="277"/>
      <c r="HH42" s="277">
        <f t="shared" si="280"/>
        <v>0</v>
      </c>
      <c r="HI42" s="1104">
        <f t="shared" si="281"/>
        <v>0</v>
      </c>
      <c r="HJ42" s="1104">
        <f t="shared" si="282"/>
        <v>0</v>
      </c>
      <c r="HK42" s="443">
        <f>IF(A42=FALSE,"",IF(Cotations!AF42="monthly",HH42/12*L42,HH42/365*M42))</f>
        <v>0</v>
      </c>
      <c r="HL42" s="1103">
        <f>IF(A42=FALSE,"",IF(Cotations!AF42="monthly",HJ42/12*L42,HJ42/365*M42))</f>
        <v>0</v>
      </c>
      <c r="HM42" s="433">
        <f>IF(A42=FALSE,"",IF(Cotations!AL42="","",Cotations!AL42))</f>
        <v>0</v>
      </c>
      <c r="HN42" s="277">
        <f t="shared" si="283"/>
        <v>0</v>
      </c>
      <c r="HO42" s="277">
        <f t="shared" si="284"/>
        <v>0</v>
      </c>
      <c r="HP42" s="1104">
        <f t="shared" si="285"/>
        <v>0</v>
      </c>
      <c r="HQ42" s="277">
        <f t="shared" si="286"/>
        <v>0</v>
      </c>
      <c r="HR42" s="759">
        <f>IF(A42=FALSE,"",((HH42*TAXE)-(HH42*TAXE*HM42)+HI42)+IF(CQ42="N/A",0,IF(INDEX(LISTES!$F$105:$F$109,MATCH(CQ42,LISTES!$C$105:$C$109,0))="FIX",CR42,CS42*HQ42)))</f>
        <v>15.1752</v>
      </c>
      <c r="HS42" s="412"/>
      <c r="HT42" s="412"/>
      <c r="HU42" s="412"/>
      <c r="HV42" s="412"/>
      <c r="HW42" s="412"/>
      <c r="HX42" s="412"/>
      <c r="HY42" s="412"/>
      <c r="HZ42" s="1262"/>
      <c r="IA42" s="432" t="str">
        <f>IF(A42=FALSE,"",Cotations!AT42)</f>
        <v>PROP</v>
      </c>
      <c r="IB42" s="1253" t="str">
        <f>IF(A42=FALSE,"",IF(Detail!AT42="","N/A",YEAR(Detail!F42)&amp;Detail!AW42&amp;Detail!AT42&amp;"-"&amp;Detail!$AT$13&amp;Detail!AU42))</f>
        <v>2017EURAnker Verzekeringen n.v.-Death AccidentFormula 3</v>
      </c>
      <c r="IC42" s="431" t="str">
        <f>IF(A42=FALSE,"",IF(LISTES!$A$17=1,IB42,INDEX(colMOD1,MATCH(DA42,colchoice,0))))</f>
        <v>2017EURAnker Verzekeringen n.v.-Death AccidentFormula 3</v>
      </c>
      <c r="ID42" s="759" t="str">
        <f t="shared" si="287"/>
        <v>Anker Verzekeringen n.v.</v>
      </c>
      <c r="IE42" s="292" t="str">
        <f>IF(A42=FALSE,"",IF(LISTES!$A$17=1,Detail!AU42,INDEX(Rates!$M$1:$M$270,MATCH(IC42,colMOD1,0))))</f>
        <v>Formula 3</v>
      </c>
      <c r="IF42" s="409">
        <f t="shared" si="165"/>
        <v>6.9103448275862072E-4</v>
      </c>
      <c r="IG42" s="430">
        <f>IF(A42=FALSE,"",IF(IA42="POEA",Cotations!AY42,IF(IA42="FIXE",Cotations!AZ42,IF(Cotations!BA42*Y42&lt;50000,Z42,Cotations!BA42*Y42))))</f>
        <v>144000</v>
      </c>
      <c r="IH42" s="292">
        <f t="shared" si="166"/>
        <v>99.508965517241379</v>
      </c>
      <c r="II42" s="446">
        <f>IF(A42=FALSE,"",IF(Cotations!AU42="monthly",IH42/12*L42,IH42/365*M42))</f>
        <v>49.345541804440245</v>
      </c>
      <c r="IJ42" s="429">
        <f>IF(A42=FALSE,"",IF(Cotations!BB42="","",Cotations!BB42))</f>
        <v>0</v>
      </c>
      <c r="IK42" s="292">
        <f t="shared" si="167"/>
        <v>0</v>
      </c>
      <c r="IL42" s="292">
        <f t="shared" si="168"/>
        <v>49.345541804440245</v>
      </c>
      <c r="IM42" s="759">
        <f t="shared" si="169"/>
        <v>51.319363476617859</v>
      </c>
      <c r="IN42" s="759">
        <f>IF(A42=FALSE,"",((IH42*TAXE)-(IH42*TAXE*IJ42))+IF(DQ42="N/A",0,IF(INDEX(LISTES!$F$105:$F$109,MATCH(DQ42,LISTES!$C$105:$C$109,0))="FIX",DR42,DS42*IM42)))</f>
        <v>103.48932413793104</v>
      </c>
      <c r="JA42" s="432" t="str">
        <f>IF(A42=FALSE,"",Cotations!AT42)</f>
        <v>PROP</v>
      </c>
      <c r="JB42" s="1234" t="str">
        <f>IF(A42=FALSE,"",IF(Detail!BB42="","N/A",YEAR(Detail!F42)&amp;Detail!BE42&amp;Detail!BB42&amp;"-"&amp;Detail!$BB$13&amp;Detail!BC42))</f>
        <v>2017EURAnker Verzekeringen n.v.-Death IllnessFormula 3</v>
      </c>
      <c r="JC42" s="431" t="str">
        <f>IF(A42=FALSE,"",IF(LISTES!$A$17=1,JB42,INDEX(colMOD2,MATCH(DA42,colchoice,0))))</f>
        <v>2017EURAnker Verzekeringen n.v.-Death illnessFormula 3</v>
      </c>
      <c r="JD42" s="759" t="str">
        <f t="shared" si="170"/>
        <v>Anker Verzekeringen n.v.</v>
      </c>
      <c r="JE42" s="292"/>
      <c r="JF42" s="409">
        <f t="shared" si="171"/>
        <v>1.7282758620689655E-3</v>
      </c>
      <c r="JG42" s="430">
        <f>IF(A42=FALSE,"",IF(JA42="POEA",Cotations!BC42,IF(JA42="FIXE",Cotations!BD42,IF(Cotations!BE42*Y42&lt;50000,Z42,Cotations!BE42*Y42))))</f>
        <v>144000</v>
      </c>
      <c r="JH42" s="292">
        <f t="shared" si="172"/>
        <v>248.87172413793104</v>
      </c>
      <c r="JI42" s="446">
        <f>IF(A42=FALSE,"",IF(Cotations!AU42="monthly",JH42/12*L42,JH42/365*M42))</f>
        <v>123.41310155880964</v>
      </c>
      <c r="JJ42" s="429">
        <f>IF(A42=FALSE,"",IF(Cotations!BF42="","",Cotations!BF42))</f>
        <v>0</v>
      </c>
      <c r="JK42" s="292">
        <f t="shared" si="173"/>
        <v>0</v>
      </c>
      <c r="JL42" s="292">
        <f t="shared" si="174"/>
        <v>123.41310155880964</v>
      </c>
      <c r="JM42" s="759">
        <f t="shared" si="175"/>
        <v>128.34962562116203</v>
      </c>
      <c r="JN42" s="759" t="e">
        <f>IF(A42=FALSE,"",((JH42*TAXE)-(JH42*TAXE*JJ42))+IF(#REF!="N/A",0,IF(INDEX(LISTES!$F$105:$F$109,MATCH(#REF!,LISTES!$C$105:$C$109,0))="FIX",#REF!,#REF!*JM42)))</f>
        <v>#REF!</v>
      </c>
      <c r="KA42" s="432" t="str">
        <f>IF(A42=FALSE,"",Cotations!AT42)</f>
        <v>PROP</v>
      </c>
      <c r="KB42" s="1234" t="str">
        <f>IF(A42=FALSE,"",IF(Detail!BJ42="","N/A",YEAR(Detail!F42)&amp;Detail!BM42&amp;Detail!BJ42&amp;"-"&amp;Detail!$BJ$13&amp;Detail!BK42))</f>
        <v>2017EURAnker Verzekeringen n.v.-Permanent Disability AccidentFormula 3</v>
      </c>
      <c r="KC42" s="431" t="str">
        <f>IF(A42=FALSE,"",IF(LISTES!$A$17=1,KB42,INDEX(colMOD3,MATCH(DA42,colchoice,0))))</f>
        <v>2017EURAnker Verzekeringen n.v.-Permanent Disability AccidentFormula 3</v>
      </c>
      <c r="KD42" s="759" t="str">
        <f t="shared" si="176"/>
        <v>Anker Verzekeringen n.v.</v>
      </c>
      <c r="KE42" s="292"/>
      <c r="KF42" s="409">
        <f t="shared" si="177"/>
        <v>6.9103448275862072E-4</v>
      </c>
      <c r="KG42" s="430">
        <f>IF(A42=FALSE,"",IF(KA42="POEA",Cotations!BG42,IF(KA42="FIXE",Cotations!BH42,IF(Cotations!BI42*Y42&lt;50000,Z42,Cotations!BI42*Y42))))</f>
        <v>144000</v>
      </c>
      <c r="KH42" s="292">
        <f t="shared" si="178"/>
        <v>122.94620689655171</v>
      </c>
      <c r="KI42" s="446">
        <f>IF(A42=FALSE,"",IF(Cotations!AU42="monthly",KH42/12*L42,KH42/365*M42))</f>
        <v>60.967845063769481</v>
      </c>
      <c r="KJ42" s="429">
        <f>IF(A42=FALSE,"",IF(Cotations!BJ42="","",Cotations!BJ42))</f>
        <v>0</v>
      </c>
      <c r="KK42" s="292">
        <f t="shared" si="179"/>
        <v>0</v>
      </c>
      <c r="KL42" s="292">
        <f t="shared" si="180"/>
        <v>60.967845063769481</v>
      </c>
      <c r="KM42" s="759">
        <f t="shared" si="181"/>
        <v>63.40655886632026</v>
      </c>
      <c r="KN42" s="759" t="e">
        <f>IF(A42=FALSE,"",((KH42*TAXE)-(KH42*TAXE*KJ42))+IF(#REF!="N/A",0,IF(INDEX(LISTES!$F$105:$F$109,MATCH(#REF!,LISTES!$C$105:$C$109,0))="FIX",#REF!,#REF!*KM42)))</f>
        <v>#REF!</v>
      </c>
      <c r="LA42" s="432" t="str">
        <f>IF(A42=FALSE,"",Cotations!AT42)</f>
        <v>PROP</v>
      </c>
      <c r="LB42" s="1234" t="str">
        <f>IF(A42=FALSE,"",IF(Detail!BR42="","N/A",YEAR(Detail!F42)&amp;Detail!BU42&amp;Detail!BR42&amp;"-"&amp;Detail!$BR$13&amp;Detail!BS42))</f>
        <v>2017EURAnker Verzekeringen n.v.-Permanent Disability IllnessFormula 3</v>
      </c>
      <c r="LC42" s="431" t="str">
        <f>IF(A42=FALSE,"",IF(LISTES!$A$17=1,LB42,INDEX(colMOD4,MATCH(DA42,colchoice,0))))</f>
        <v>2017EURAnker Verzekeringen n.v.-Permanent Disability illnessFormula 3</v>
      </c>
      <c r="LD42" s="759" t="str">
        <f t="shared" si="182"/>
        <v>Anker Verzekeringen n.v.</v>
      </c>
      <c r="LE42" s="292"/>
      <c r="LF42" s="409">
        <f t="shared" si="183"/>
        <v>2.0537931034482759E-3</v>
      </c>
      <c r="LG42" s="430">
        <f>IF(A42=FALSE,"",IF(LA42="POEA",Cotations!BK42,IF(LA42="FIXE",Cotations!BL42,IF(Cotations!BM42*Y42&lt;50000,Z42,Cotations!BM42*Y42))))</f>
        <v>144000</v>
      </c>
      <c r="LH42" s="292">
        <f t="shared" si="184"/>
        <v>295.74620689655171</v>
      </c>
      <c r="LI42" s="446">
        <f>IF(A42=FALSE,"",IF(Cotations!AU42="monthly",LH42/12*L42,LH42/365*M42))</f>
        <v>146.65770807746813</v>
      </c>
      <c r="LJ42" s="429">
        <f>IF(A42=FALSE,"",IF(Cotations!BN42="","",Cotations!BN42))</f>
        <v>0</v>
      </c>
      <c r="LK42" s="292">
        <f t="shared" si="185"/>
        <v>0</v>
      </c>
      <c r="LL42" s="292">
        <f t="shared" si="186"/>
        <v>146.65770807746813</v>
      </c>
      <c r="LM42" s="759">
        <f t="shared" si="187"/>
        <v>152.52401640056686</v>
      </c>
      <c r="LN42" s="759" t="e">
        <f>IF(A42=FALSE,"",((LH42*TAXE)-(LH42*TAXE*LJ42))+IF(#REF!="N/A",0,IF(INDEX(LISTES!$F$105:$F$109,MATCH(#REF!,LISTES!$C$105:$C$109,0))="FIX",#REF!,#REF!*LM42)))</f>
        <v>#REF!</v>
      </c>
      <c r="MA42" s="432" t="str">
        <f t="shared" si="188"/>
        <v>PROP</v>
      </c>
      <c r="MB42" s="1234" t="str">
        <f>IF(A42=FALSE,"",IF(Detail!BZ42="","N/A",YEAR(Detail!F42)&amp;Detail!CC42&amp;Detail!BZ42&amp;"-"&amp;Detail!$BZ$13&amp;" (100%/"&amp;Detail!CD42&amp;"/"&amp;Detail!CE42&amp;")"))</f>
        <v>2017EURAnker Verzekeringen n.v.-Temporary Disability Accident (100%/7/365)</v>
      </c>
      <c r="MC42" s="431" t="str">
        <f>IF(A42=FALSE,"",IF(LISTES!$A$17=1,MB42,INDEX(colMOD5,MATCH(DA42,colchoice,0))))</f>
        <v>2017EURAnker Verzekeringen n.v.-Temporary Disability Accident (100%/7/365)</v>
      </c>
      <c r="MD42" s="759" t="str">
        <f t="shared" si="189"/>
        <v>Anker Verzekeringen n.v.</v>
      </c>
      <c r="ME42" s="292"/>
      <c r="MF42" s="409">
        <f t="shared" si="190"/>
        <v>8.1144827586206898E-3</v>
      </c>
      <c r="MG42" s="430">
        <f>IF(A42=FALSE,"",Cotations!BQ42*AA42)</f>
        <v>48000</v>
      </c>
      <c r="MH42" s="292">
        <f t="shared" si="191"/>
        <v>389.49517241379311</v>
      </c>
      <c r="MI42" s="446">
        <f>IF(A42=FALSE,"",IF(Cotations!AU42="monthly",MH42/12*L42,MH42/365*M42))</f>
        <v>193.14692111478507</v>
      </c>
      <c r="MJ42" s="429">
        <f>IF(A42=FALSE,"",IF(Cotations!BR42="","",Cotations!BR42))</f>
        <v>0</v>
      </c>
      <c r="MK42" s="292">
        <f t="shared" si="192"/>
        <v>0</v>
      </c>
      <c r="ML42" s="292">
        <f t="shared" si="193"/>
        <v>193.14692111478507</v>
      </c>
      <c r="MM42" s="759">
        <f t="shared" si="194"/>
        <v>200.87279795937647</v>
      </c>
      <c r="MN42" s="759" t="e">
        <f>IF(A42=FALSE,"",((MH42*TAXE)-(MH42*TAXE*MJ42))+IF(#REF!="N/A",0,IF(INDEX(LISTES!$F$105:$F$109,MATCH(#REF!,LISTES!$C$105:$C$109,0))="FIX",#REF!,#REF!*MM42)))</f>
        <v>#REF!</v>
      </c>
      <c r="NA42" s="432" t="str">
        <f t="shared" si="195"/>
        <v>PROP</v>
      </c>
      <c r="NB42" s="1234" t="str">
        <f>IF(A42=FALSE,"",IF(Detail!CH42="","N/A",YEAR(Detail!F42)&amp;Detail!CK42&amp;Detail!CH42&amp;"-"&amp;Detail!$CH$13&amp;" (100%/"&amp;Detail!CL42&amp;"/"&amp;Detail!CM42&amp;")"))</f>
        <v>2017EURAnker Verzekeringen n.v.-Temporary Disability Illness (100%/7/365)</v>
      </c>
      <c r="NC42" s="431" t="str">
        <f>IF(A42=FALSE,"",IF(LISTES!$A$17=1,NB42,INDEX(colMOD6,MATCH(DA42,colchoice,0))))</f>
        <v>2017EURAnker Verzekeringen n.v.-Temporary Disability illness (100%/7/365)</v>
      </c>
      <c r="ND42" s="759" t="str">
        <f t="shared" si="196"/>
        <v>Anker Verzekeringen n.v.</v>
      </c>
      <c r="NE42" s="292"/>
      <c r="NF42" s="409">
        <f t="shared" si="197"/>
        <v>8.1144827586206898E-3</v>
      </c>
      <c r="NG42" s="430">
        <f>IF(A42=FALSE,"",Cotations!BU42*AA42)</f>
        <v>48000</v>
      </c>
      <c r="NH42" s="292">
        <f t="shared" si="198"/>
        <v>778.39448275862082</v>
      </c>
      <c r="NI42" s="446">
        <f>IF(A42=FALSE,"",IF(Cotations!AU42="monthly",NH42/12*L42,NH42/365*M42))</f>
        <v>385.99835994331607</v>
      </c>
      <c r="NJ42" s="429">
        <f>IF(A42=FALSE,"",IF(Cotations!BV42="","",Cotations!BV42))</f>
        <v>0</v>
      </c>
      <c r="NK42" s="292">
        <f t="shared" si="199"/>
        <v>0</v>
      </c>
      <c r="NL42" s="292">
        <f t="shared" si="200"/>
        <v>385.99835994331607</v>
      </c>
      <c r="NM42" s="759">
        <f t="shared" si="201"/>
        <v>401.43829434104873</v>
      </c>
      <c r="NN42" s="759" t="e">
        <f>IF(A42=FALSE,"",((NH42*TAXE)-(NH42*TAXE*NJ42))+IF(#REF!="N/A",0,IF(INDEX(LISTES!$F$105:$F$109,MATCH(#REF!,LISTES!$C$105:$C$109,0))="FIX",#REF!,#REF!*NM42)))</f>
        <v>#REF!</v>
      </c>
      <c r="NZ42" s="1281" t="str">
        <f>IF(A42=FALSE,"",IF(Detail!CP42="","N/A",YEAR(Detail!F42)&amp;Detail!CS42&amp;Detail!CP42&amp;"-"&amp;Detail!CQ42))</f>
        <v>N/A</v>
      </c>
      <c r="OA42" s="432" t="str">
        <f>IF(A42=FALSE,"",Cotations!CF42)</f>
        <v>FIXE</v>
      </c>
      <c r="OB42" s="1282" t="str">
        <f>IF(A42=FALSE,"",IF(Detail!CP42="","N/A",YEAR(Detail!F42)&amp;Detail!CS42&amp;Detail!CP42&amp;"-"&amp;Detail!$CP$13&amp;Detail!CQ42))</f>
        <v>N/A</v>
      </c>
      <c r="OC42" s="1283" t="str">
        <f>IF(A42=FALSE,"",IF(LISTES!$A$17=1,OB42,INDEX(colMOD1,MATCH(Cotations!CE42,colchoice,0))))</f>
        <v>N/A</v>
      </c>
      <c r="OD42" s="759" t="str">
        <f t="shared" si="202"/>
        <v>N/A</v>
      </c>
      <c r="OE42" s="292">
        <f>IF(A42=FALSE,"",Detail!CQ42)</f>
        <v>0</v>
      </c>
      <c r="OF42" s="409" t="str">
        <f t="shared" si="203"/>
        <v/>
      </c>
      <c r="OG42" s="430">
        <f>IF(A42=FALSE,"",IF(OA42="FIXE",Cotations!CM42,Cotations!CN42*AA42))</f>
        <v>100000</v>
      </c>
      <c r="OH42" s="292">
        <f t="shared" si="288"/>
        <v>0</v>
      </c>
      <c r="OI42" s="446">
        <f>IF(A42=FALSE,"",IF(Cotations!CF42="monthly",OH42/12*L42,OH42/365*M42))</f>
        <v>0</v>
      </c>
      <c r="OJ42" s="429">
        <f>IF(A42=FALSE,"",IF(Cotations!CO42="","",Cotations!CO42))</f>
        <v>0</v>
      </c>
      <c r="OK42" s="292">
        <f t="shared" si="289"/>
        <v>0</v>
      </c>
      <c r="OL42" s="292">
        <f t="shared" si="290"/>
        <v>0</v>
      </c>
      <c r="OM42" s="759">
        <f t="shared" si="207"/>
        <v>0</v>
      </c>
      <c r="ON42" s="759" t="e">
        <f>IF(A42=FALSE,"",((OH42*(1+TAXE)-(OH42*(1+TAXE)*OJ42))+IF(#REF!="N/A",0,IF(INDEX(LISTES!$F$105:$F$109,MATCH(#REF!,LISTES!$C$105:$C$109,0))="FIX",#REF!,#REF!*OM42))))</f>
        <v>#REF!</v>
      </c>
      <c r="PA42" s="432" t="str">
        <f>IF(A42=FALSE,"",Cotations!CF42)</f>
        <v>FIXE</v>
      </c>
      <c r="PB42" s="1282" t="str">
        <f>IF(A42=FALSE,"",IF(Detail!CX42="","N/A",YEAR(Detail!F42)&amp;Detail!DA42&amp;Detail!CX42&amp;"-"&amp;Detail!$CX$13&amp;Detail!CY42))</f>
        <v>N/A</v>
      </c>
      <c r="PC42" s="1283" t="str">
        <f>IF(A42=FALSE,"",IF(LISTES!$A$17=1,PB42,INDEX(colMOD3,MATCH(Cotations!CE42,colchoice,0))))</f>
        <v>N/A</v>
      </c>
      <c r="PD42" s="759" t="str">
        <f t="shared" si="208"/>
        <v>N/A</v>
      </c>
      <c r="PE42" s="292" t="str">
        <f>IF(A42=FALSE,"",IF(Detail!CY42="","",Detail!CY42))</f>
        <v/>
      </c>
      <c r="PF42" s="409">
        <f t="shared" si="291"/>
        <v>0</v>
      </c>
      <c r="PG42" s="430">
        <f>IF(A42=FALSE,"",IF(PA42="FIXE",Cotations!CP42,Cotations!CQ42*AA42))</f>
        <v>100000</v>
      </c>
      <c r="PH42" s="292">
        <f t="shared" si="292"/>
        <v>0</v>
      </c>
      <c r="PI42" s="446">
        <f>IF(A42=FALSE,"",IF(Cotations!CG42="monthly",PH42/12*L42,PH42/365*M42))</f>
        <v>0</v>
      </c>
      <c r="PJ42" s="429">
        <f>IF(A42=FALSE,"",IF(Cotations!DA42="",0,Cotations!DA42))</f>
        <v>0</v>
      </c>
      <c r="PK42" s="292">
        <f t="shared" si="293"/>
        <v>0</v>
      </c>
      <c r="PL42" s="292">
        <f t="shared" si="294"/>
        <v>0</v>
      </c>
      <c r="PM42" s="759">
        <f t="shared" si="211"/>
        <v>0</v>
      </c>
      <c r="PN42" s="759" t="e">
        <f>IF(A42=FALSE,"",((PH42*(1+TAXE)-(PH42*(1+TAXE)*PJ42))+IF(#REF!="N/A",0,IF(INDEX(LISTES!$F$105:$F$109,MATCH(#REF!,LISTES!$C$105:$C$109,0))="FIX",#REF!,#REF!*PM42))))</f>
        <v>#REF!</v>
      </c>
    </row>
    <row r="43" spans="1:430">
      <c r="A43" s="779" t="b">
        <f t="shared" si="111"/>
        <v>1</v>
      </c>
      <c r="B43" s="779" t="b">
        <f>IF(NAMES!$B$9=TRUE,TRUE,FALSE)</f>
        <v>1</v>
      </c>
      <c r="C43" s="779" t="b">
        <f t="shared" si="212"/>
        <v>1</v>
      </c>
      <c r="D43" s="779" t="b">
        <f t="shared" si="213"/>
        <v>1</v>
      </c>
      <c r="E43" s="267" t="b">
        <f>IF(Cotations!C43="","",Cotations!C43)</f>
        <v>1</v>
      </c>
      <c r="F43" s="267" t="str">
        <f>IF(Cotations!AT43="","",Cotations!AT43)</f>
        <v>PROP</v>
      </c>
      <c r="G43" s="267" t="str">
        <f>IF(Cotations!D43="","",Cotations!D43)</f>
        <v>2017-2017!</v>
      </c>
      <c r="H43" s="267" t="str">
        <f>IF(Cotations!E43="","",Cotations!E43)</f>
        <v>SINGLE</v>
      </c>
      <c r="I43" s="267">
        <f>IF(Cotations!F43="","",Cotations!F43)</f>
        <v>133586</v>
      </c>
      <c r="J43" s="267" t="str">
        <f>IF(Cotations!G43="","",Cotations!G43)</f>
        <v>Chief Engineer</v>
      </c>
      <c r="K43" s="267" t="str">
        <f>IF(Cotations!H43="","",Cotations!H43)</f>
        <v>IVANCIU</v>
      </c>
      <c r="L43" s="267">
        <f>IF(A43=FALSE,"",IF(Cotations!M43="","",Cotations!M43))</f>
        <v>6</v>
      </c>
      <c r="M43" s="267">
        <f>IF(Cotations!O43="","",Cotations!O43)</f>
        <v>181</v>
      </c>
      <c r="N43" s="588">
        <f>IF(NAMES!$B$10=TRUE,Cotations!I43,Cotations!K43)</f>
        <v>42750</v>
      </c>
      <c r="O43" s="588">
        <f>IF(NAMES!$B$10=TRUE,Cotations!J43,Cotations!L43)</f>
        <v>42930</v>
      </c>
      <c r="P43" s="780" t="str">
        <f t="shared" si="214"/>
        <v>janvier</v>
      </c>
      <c r="Q43" s="588">
        <f>IF(A43=FALSE,"",IF(Crewlist!Y43="","",Crewlist!Y43))</f>
        <v>42930</v>
      </c>
      <c r="R43" s="78" t="str">
        <f>IF(Cotations!T43="","",Cotations!T43)</f>
        <v>annual</v>
      </c>
      <c r="S43" s="780" t="str">
        <f t="shared" si="215"/>
        <v>VRAI133586janvier42750</v>
      </c>
      <c r="T43" s="759">
        <f>IF(A43=FALSE,"",VLOOKUP($U$15:$U$120,Currency!$A$2:$D$10,4,0)*Crewlist!N43)</f>
        <v>7000</v>
      </c>
      <c r="U43" s="1097" t="str">
        <f>IF(A43=FALSE,"",IF(DP43=0,Crewlist!M43&amp;"/"&amp;CP43,Crewlist!M43&amp;"/"&amp;DP43))</f>
        <v>EUR/EUR</v>
      </c>
      <c r="V43" s="759">
        <f>IF(A43=FALSE,"",VLOOKUP($U$15:$U$120,Currency!$A$2:$D$10,4,0)*Detail!Q43)</f>
        <v>7000</v>
      </c>
      <c r="W43" s="1097" t="str">
        <f>IF(A43=FALSE,"",IF(DP43=0,Detail!R43&amp;"/"&amp;CP43,Detail!R43&amp;"/"&amp;DP43))</f>
        <v>EUR/EUR</v>
      </c>
      <c r="X43" s="759">
        <f>IF(A43=FALSE,"",IF(LISTES!$C$17="Crewlist",Calcul!T43,Calcul!V43))</f>
        <v>7000</v>
      </c>
      <c r="Y43" s="618">
        <f t="shared" si="216"/>
        <v>84000</v>
      </c>
      <c r="Z43" s="618">
        <f>IF(A43=FALSE,"",IF(X43=0,0,IF((Cotations!BA43*12*X43)&lt;50000,50000,(12*X43))))</f>
        <v>84000</v>
      </c>
      <c r="AA43" s="618">
        <f t="shared" si="217"/>
        <v>84000</v>
      </c>
      <c r="AB43" s="618">
        <f>IF(A43=FALSE,"",IF(Crewlist!O43=0,"",Crewlist!O43))</f>
        <v>5000</v>
      </c>
      <c r="AC43" s="618" t="e">
        <f>IF(I43="","",VLOOKUP($AB$15:$AB$120,Currency!$A$15:$B$34,2,0))</f>
        <v>#N/A</v>
      </c>
      <c r="AD43" s="618" t="e">
        <f t="shared" si="218"/>
        <v>#N/A</v>
      </c>
      <c r="AE43" s="618" t="e">
        <f t="shared" si="219"/>
        <v>#N/A</v>
      </c>
      <c r="AF43" s="618" t="e">
        <f t="shared" si="220"/>
        <v>#N/A</v>
      </c>
      <c r="AG43" s="618">
        <f t="shared" si="221"/>
        <v>41654.794520547941</v>
      </c>
      <c r="AH43" s="1097" t="str">
        <f t="shared" si="112"/>
        <v>EUR</v>
      </c>
      <c r="AI43" s="759">
        <f t="shared" si="222"/>
        <v>2085.6412491639112</v>
      </c>
      <c r="AJ43" s="1120">
        <f t="shared" si="223"/>
        <v>333.29759999999999</v>
      </c>
      <c r="AK43" s="1120">
        <f t="shared" si="224"/>
        <v>1746.3436491639113</v>
      </c>
      <c r="AL43" s="236">
        <f t="shared" si="225"/>
        <v>7.5876000000000001</v>
      </c>
      <c r="AM43" s="236">
        <f t="shared" si="226"/>
        <v>79.69437112168896</v>
      </c>
      <c r="AN43" s="1112">
        <f t="shared" si="227"/>
        <v>0</v>
      </c>
      <c r="AO43" s="236">
        <f t="shared" si="228"/>
        <v>87.281971121688954</v>
      </c>
      <c r="AP43" s="327" t="str">
        <f>IF(A43=FALSE,"",INDEX(Rates!$Q$1:$Q$278,MATCH(CA43,colchoice,0)))</f>
        <v>WCA</v>
      </c>
      <c r="AQ43" s="236">
        <f t="shared" si="229"/>
        <v>6</v>
      </c>
      <c r="AR43" s="236">
        <f t="shared" si="230"/>
        <v>1992.3592780422223</v>
      </c>
      <c r="AS43" s="236">
        <f t="shared" si="117"/>
        <v>325.70999999999998</v>
      </c>
      <c r="AT43" s="236">
        <f t="shared" si="118"/>
        <v>1746.3436491639113</v>
      </c>
      <c r="AU43" s="236">
        <f t="shared" si="231"/>
        <v>256.06730769230762</v>
      </c>
      <c r="AV43" s="236">
        <f t="shared" si="232"/>
        <v>57.115384615384613</v>
      </c>
      <c r="AW43" s="236">
        <f t="shared" si="233"/>
        <v>86.354698157770429</v>
      </c>
      <c r="AX43" s="236">
        <f t="shared" si="234"/>
        <v>215.97292772791687</v>
      </c>
      <c r="AY43" s="236">
        <f t="shared" si="235"/>
        <v>106.69372886159661</v>
      </c>
      <c r="AZ43" s="236">
        <f t="shared" si="236"/>
        <v>256.65098913556926</v>
      </c>
      <c r="BA43" s="236">
        <f t="shared" si="237"/>
        <v>338.00711195087388</v>
      </c>
      <c r="BB43" s="467">
        <f t="shared" si="238"/>
        <v>675.49712990080309</v>
      </c>
      <c r="BC43" s="329">
        <f t="shared" si="239"/>
        <v>325.70999999999998</v>
      </c>
      <c r="BD43" s="237">
        <f t="shared" si="240"/>
        <v>313.18269230769226</v>
      </c>
      <c r="BE43" s="237">
        <f>IF(A43=FALSE,"",IF(ED43&lt;&gt;$BC$7,0,INDEX(EA43:EZ43,1,MATCH(Structure!$J$16,$EA$14:$EZ$14,0))))</f>
        <v>256.06730769230762</v>
      </c>
      <c r="BF43" s="237">
        <f>IF(A43=FALSE,"",IF(FD43&lt;&gt;$BC$7,0,INDEX(FA43:FZ43,1,MATCH(Structure!$J$16,$FA$14:$FZ$14,0))))</f>
        <v>57.115384615384613</v>
      </c>
      <c r="BG43" s="237">
        <f>IF(A43=FALSE,"",IF(GD43&lt;&gt;$BC$7,0,INDEX(GA43:GZ43,1,MATCH(Structure!$J$16,$GA$14:$GZ$14,0))))</f>
        <v>0</v>
      </c>
      <c r="BH43" s="237">
        <f>IF(A43=FALSE,"",IF(HD43&lt;&gt;$BC$7,0,INDEX(HA43:HZ43,1,MATCH(Structure!$J$16,$HA$14:$HZ$14,0))))</f>
        <v>0</v>
      </c>
      <c r="BI43" s="621">
        <f>IF(A43=FALSE,"",IF(ID43&lt;&gt;$BC$7,0,INDEX(IA43:IZ43,1,MATCH(Structure!$C$12,$IA$14:$IZ$14,0)))+OL43)</f>
        <v>0</v>
      </c>
      <c r="BJ43" s="237">
        <f>IF(A43=FALSE,"",IF(JD43&lt;&gt;$BC$7,0,INDEX(JA43:JZ43,1,MATCH(Structure!$C$12,$JA$14:$JZ$14,0))))</f>
        <v>0</v>
      </c>
      <c r="BK43" s="621">
        <f>IF(A43=FALSE,"",IF(KD43&lt;&gt;$BC$7,0,INDEX(KA43:KZ43,1,MATCH(Structure!$C$12,$KA$14:$KZ$14,0)))+PL43)</f>
        <v>0</v>
      </c>
      <c r="BL43" s="237">
        <f>IF(A43=FALSE,"",IF(LD43&lt;&gt;$BC$7,0,INDEX(LA43:LZ43,1,MATCH(Structure!$C$12,$LA$14:$LZ$14,0))))</f>
        <v>0</v>
      </c>
      <c r="BM43" s="237">
        <f>IF(A43=FALSE,"",IF(MD43&lt;&gt;$BC$7,0,INDEX(MA43:MZ43,1,MATCH(Structure!$C$12,$MA$14:$MZ$14,0))))</f>
        <v>0</v>
      </c>
      <c r="BN43" s="326">
        <f>IF(A43=FALSE,"",IF(ND43&lt;&gt;$BC$7,0,INDEX(NA43:OC43,1,MATCH(Structure!$C$12,$NA$14:$OC$14,0))))</f>
        <v>0</v>
      </c>
      <c r="BO43" s="435">
        <f t="shared" si="241"/>
        <v>1746.3436491639113</v>
      </c>
      <c r="BP43" s="237">
        <f t="shared" si="242"/>
        <v>1679.1765857345301</v>
      </c>
      <c r="BQ43" s="237">
        <f>IF(A43=FALSE,"",IF(ED43&lt;&gt;$BO$7,0,INDEX(EA43:EZ43,1,MATCH(Structure!$C$12,$EA$14:$EZ$14,0))))</f>
        <v>0</v>
      </c>
      <c r="BR43" s="237">
        <f>IF(A43=FALSE,"",IF(FD43&lt;&gt;$BO$7,0,INDEX(FA43:FZ43,1,MATCH(Structure!$C$12,$FA$14:$FZ$14,0))))</f>
        <v>0</v>
      </c>
      <c r="BS43" s="237">
        <f>IF(A43=FALSE,"",IF(ID43&lt;&gt;$BO$7,0,INDEX(IA43:IZ43,1,MATCH(Structure!$C$13,$IA$14:$IZ$14,0))))</f>
        <v>86.354698157770429</v>
      </c>
      <c r="BT43" s="237">
        <f>IF(A43=FALSE,"",IF(JD43&lt;&gt;$BO$7,0,INDEX(JA43:JZ43,1,MATCH(Structure!$C$13,$JA$14:$JZ$14,0))))</f>
        <v>215.97292772791687</v>
      </c>
      <c r="BU43" s="237">
        <f>IF(A43=FALSE,"",IF(KD43&lt;&gt;$BO$7,0,INDEX(KA43:KZ43,1,MATCH(Structure!$C$13,$KA$14:$KZ$14,0))))</f>
        <v>106.69372886159661</v>
      </c>
      <c r="BV43" s="237">
        <f>IF(A43=FALSE,"",IF(LD43&lt;&gt;$BO$7,0,INDEX(LA43:LZ43,1,MATCH(Structure!$C$13,$LA$14:$LZ$14,0))))</f>
        <v>256.65098913556926</v>
      </c>
      <c r="BW43" s="237">
        <f>IF(A43=FALSE,"",IF(MD43&lt;&gt;$BO$7,0,INDEX(MA43:MZ43,1,MATCH(Structure!$C$13,$MA$14:$MZ$14,0))))</f>
        <v>338.00711195087388</v>
      </c>
      <c r="BX43" s="326">
        <f>IF(A43=FALSE,"",IF(ND43&lt;&gt;$BO$7,0,INDEX(NA43:OC43,1,MATCH(Structure!$C$13,$NA$14:$OC$14,0))))</f>
        <v>675.49712990080309</v>
      </c>
      <c r="BY43" s="412"/>
      <c r="BZ43" s="412"/>
      <c r="CA43" s="1255" t="str">
        <f>IF(A43=FALSE,"",IF(LISTES!$A$17=1,Cotations!AG43,Cotations!AH43))</f>
        <v>2017EURAIG Luxembourg-StandardMLC S</v>
      </c>
      <c r="CB43" s="1266">
        <f t="shared" si="243"/>
        <v>313.18269230769226</v>
      </c>
      <c r="CC43" s="1120">
        <f t="shared" si="244"/>
        <v>256.06730769230762</v>
      </c>
      <c r="CD43" s="1120">
        <f t="shared" si="245"/>
        <v>57.115384615384613</v>
      </c>
      <c r="CE43" s="1120">
        <f t="shared" si="246"/>
        <v>0</v>
      </c>
      <c r="CF43" s="1120">
        <f t="shared" si="247"/>
        <v>0</v>
      </c>
      <c r="CG43" s="1267"/>
      <c r="CH43" s="1267"/>
      <c r="CI43" s="1268">
        <f t="shared" si="248"/>
        <v>325.70999999999992</v>
      </c>
      <c r="CJ43" s="286">
        <f t="shared" si="249"/>
        <v>266.30999999999995</v>
      </c>
      <c r="CK43" s="286">
        <f t="shared" si="250"/>
        <v>59.4</v>
      </c>
      <c r="CL43" s="1263"/>
      <c r="CM43" s="1263"/>
      <c r="CN43" s="1263"/>
      <c r="CO43" s="1263"/>
      <c r="CP43" s="319" t="str">
        <f t="shared" si="251"/>
        <v>EUR</v>
      </c>
      <c r="CQ43" s="443" t="str">
        <f>IF(A43=FALSE,"",Cotations!AM43)</f>
        <v>fix Fees pro rata month</v>
      </c>
      <c r="CR43" s="443">
        <f>IF(A43=FALSE,"",IF(Cotations!AN43="","",Cotations!AN43))</f>
        <v>15.1752</v>
      </c>
      <c r="CS43" s="433">
        <f>IF(A43=FALSE,"",Cotations!AO43)</f>
        <v>0</v>
      </c>
      <c r="CT43" s="443">
        <f>IF(A43=FALSE,"",IF(CQ43="N/A",0,IF(INDEX(LISTES!$F$105:$F$109,MATCH(CQ43,LISTES!$C$105:$C$109,0))="FIX",IF(INDEX(LISTES!$E$105:$E$109,MATCH(CQ43,LISTES!$C$105:$C$109,0))=12,CR43/12*L43,CR43/365*M43),CS43*EQ43)))</f>
        <v>7.5876000000000001</v>
      </c>
      <c r="CU43" s="434">
        <f>IF(A43=FALSE,"",(CJ43+CK43)*Cotations!AP43)</f>
        <v>325.70999999999992</v>
      </c>
      <c r="CV43" s="434">
        <f>IF(A43=FALSE,"",(CJ43+CK43)*Cotations!AQ43)</f>
        <v>0</v>
      </c>
      <c r="DA43" s="1253" t="str">
        <f>IF(A43=FALSE,"",IF(LISTES!$A$17=1,Cotations!AV43,Cotations!AW43))</f>
        <v>2017EURAnker Verzekeringen n.v.-Formula 3 (7/365)</v>
      </c>
      <c r="DB43" s="1271">
        <f t="shared" si="252"/>
        <v>1679.1765857345301</v>
      </c>
      <c r="DC43" s="1270">
        <f t="shared" si="253"/>
        <v>86.354698157770429</v>
      </c>
      <c r="DD43" s="1270">
        <f t="shared" si="254"/>
        <v>215.97292772791687</v>
      </c>
      <c r="DE43" s="1270">
        <f t="shared" si="255"/>
        <v>106.69372886159661</v>
      </c>
      <c r="DF43" s="1270">
        <f t="shared" si="256"/>
        <v>256.65098913556926</v>
      </c>
      <c r="DG43" s="1270">
        <f t="shared" si="257"/>
        <v>338.00711195087388</v>
      </c>
      <c r="DH43" s="1270">
        <f t="shared" si="258"/>
        <v>675.49712990080309</v>
      </c>
      <c r="DI43" s="1271">
        <f t="shared" si="259"/>
        <v>1746.3436491639113</v>
      </c>
      <c r="DJ43" s="286">
        <f t="shared" si="260"/>
        <v>89.808886084081252</v>
      </c>
      <c r="DK43" s="286">
        <f t="shared" si="261"/>
        <v>224.61184483703354</v>
      </c>
      <c r="DL43" s="1264">
        <f t="shared" si="262"/>
        <v>110.96147801606048</v>
      </c>
      <c r="DM43" s="1264">
        <f t="shared" si="263"/>
        <v>266.91702870099203</v>
      </c>
      <c r="DN43" s="1264">
        <f t="shared" si="264"/>
        <v>351.52739642890884</v>
      </c>
      <c r="DO43" s="1264">
        <f t="shared" si="265"/>
        <v>702.51701509683528</v>
      </c>
      <c r="DP43" s="323" t="str">
        <f t="shared" si="132"/>
        <v>EUR</v>
      </c>
      <c r="DQ43" s="444" t="str">
        <f>IF(A43=FALSE,"",Cotations!BW43)</f>
        <v>N/A</v>
      </c>
      <c r="DR43" s="444">
        <f>IF(A43=FALSE,"",Cotations!BX43)</f>
        <v>0</v>
      </c>
      <c r="DS43" s="433">
        <f>IF(A43=FALSE,"",Cotations!BY43)</f>
        <v>0</v>
      </c>
      <c r="DT43" s="830">
        <f>IF(A43=FALSE,"",IF(DQ43="N/A",0,IF(INDEX(LISTES!$F$105:$F$109,MATCH(DQ43,LISTES!$C$105:$C$109,0))="FIX",IF(INDEX(LISTES!$E$105:$E$109,MATCH(DQ43,LISTES!$C$105:$C$109,0))=12,DR43/12*L43,DR43/365*M43),DS43*(DN43+DO43))))</f>
        <v>0</v>
      </c>
      <c r="DU43" s="434">
        <f>IF(A43=FALSE,"",DJ43*Cotations!BZ43)</f>
        <v>89.808886084081252</v>
      </c>
      <c r="DV43" s="434">
        <f>IF(A43=FALSE,"",DJ43*Cotations!CA43)</f>
        <v>0</v>
      </c>
      <c r="EA43" s="432" t="str">
        <f>IF(A43=FALSE,"",Cotations!AT43)</f>
        <v>PROP</v>
      </c>
      <c r="EB43" s="1234" t="str">
        <f>IF(A43=FALSE,"",YEAR(Detail!F43)&amp;Detail!AG43&amp;Detail!AD43&amp;"-"&amp;Detail!$AD$13&amp;Detail!AE43)</f>
        <v>2017EURAIG Luxembourg-Healthcare PlanStandardMLC S</v>
      </c>
      <c r="EC43" s="434" t="str">
        <f>IF(A43=FALSE,"",IF(LISTES!$A$17=1,EB43,INDEX(colMOD1,MATCH(Cotations!AH43,colchoice,0))))</f>
        <v>2017EURAIG Luxembourg-Healthcare PlanStandardMLC S</v>
      </c>
      <c r="ED43" s="277" t="str">
        <f t="shared" si="133"/>
        <v>AIG Luxembourg</v>
      </c>
      <c r="EE43" s="277" t="str">
        <f t="shared" si="134"/>
        <v>StandardMLC S</v>
      </c>
      <c r="EF43" s="277"/>
      <c r="EG43" s="277"/>
      <c r="EH43" s="277">
        <f t="shared" si="135"/>
        <v>569.03846153846143</v>
      </c>
      <c r="EI43" s="1104">
        <f t="shared" si="136"/>
        <v>0</v>
      </c>
      <c r="EJ43" s="1104">
        <f t="shared" si="137"/>
        <v>569.03846153846143</v>
      </c>
      <c r="EK43" s="443">
        <f>IF(A43=FALSE,"",IF(Cotations!AF43="monthly",EH43/12*L43,EH43/365*M43))</f>
        <v>284.51923076923072</v>
      </c>
      <c r="EL43" s="1103">
        <f>IF(A43=FALSE,"",IF(Cotations!AF43="monthly",EJ43/12*L43,EJ43/365*M43))</f>
        <v>284.51923076923072</v>
      </c>
      <c r="EM43" s="433">
        <f>IF(A43=FALSE,"",IF(Cotations!AI43="","",Cotations!AI43))</f>
        <v>0.1</v>
      </c>
      <c r="EN43" s="277">
        <f t="shared" si="266"/>
        <v>28.451923076923073</v>
      </c>
      <c r="EO43" s="277">
        <f t="shared" si="138"/>
        <v>256.06730769230762</v>
      </c>
      <c r="EP43" s="1104">
        <f t="shared" si="139"/>
        <v>0</v>
      </c>
      <c r="EQ43" s="277">
        <f t="shared" si="267"/>
        <v>266.30999999999995</v>
      </c>
      <c r="ER43" s="759">
        <f>IF(A43=FALSE,"",((EH43*TAXE)-(EH43*TAXE*EM43)+EI43)+IF(CQ43="N/A",0,IF(INDEX(LISTES!$F$105:$F$109,MATCH(CQ43,LISTES!$C$105:$C$109,0))="FIX",CR43,CS43*EQ43)))</f>
        <v>547.79520000000002</v>
      </c>
      <c r="ET43" s="422"/>
      <c r="EU43" s="422"/>
      <c r="EV43" s="422"/>
      <c r="EW43" s="422"/>
      <c r="EX43" s="422"/>
      <c r="EY43" s="422"/>
      <c r="EZ43" s="422"/>
      <c r="FA43" s="432" t="str">
        <f>IF(A43=FALSE,"",Cotations!AT43)</f>
        <v>PROP</v>
      </c>
      <c r="FB43" s="1235" t="str">
        <f>IF(A43=FALSE,"",IF(Detail!AL43="","N/A",YEAR(Detail!F43)&amp;Detail!AO43&amp;Detail!AL43&amp;"-"&amp;Detail!$AL$13&amp;Detail!AM43))</f>
        <v>2017EURAIG Luxembourg-Assistance and RepatriationStandardMLC S</v>
      </c>
      <c r="FC43" s="434" t="str">
        <f>IF(A43=FALSE,"",IF(LISTES!$A$17=1,FB43,INDEX(colMOD2,MATCH(Cotations!AH43,colchoice,0))))</f>
        <v>2017EURAIG Luxembourg-Assistance and RepatriationStandardMLC S</v>
      </c>
      <c r="FD43" s="277" t="str">
        <f t="shared" si="140"/>
        <v>AIG Luxembourg</v>
      </c>
      <c r="FE43" s="443" t="str">
        <f>IF(A43=FALSE,"",IF(Detail!AM43="","",Detail!AM43))</f>
        <v>StandardMLC S</v>
      </c>
      <c r="FF43" s="277"/>
      <c r="FG43" s="277"/>
      <c r="FH43" s="277">
        <f t="shared" si="141"/>
        <v>126.92307692307692</v>
      </c>
      <c r="FI43" s="1104"/>
      <c r="FJ43" s="1104"/>
      <c r="FK43" s="443">
        <f>IF(A43=FALSE,"",IF(Cotations!AF43="monthly",FH43/12*L43,FH43/365*M43))</f>
        <v>63.46153846153846</v>
      </c>
      <c r="FL43" s="1103">
        <f>IF(A43=FALSE,"",IF(Cotations!AF43="monthly",FJ43/12*L43,FJ43/365*M43))</f>
        <v>0</v>
      </c>
      <c r="FM43" s="433">
        <f>IF(A43=FALSE,"",IF(Cotations!AJ43="","",Cotations!AJ43))</f>
        <v>0.1</v>
      </c>
      <c r="FN43" s="277">
        <f t="shared" si="268"/>
        <v>6.3461538461538467</v>
      </c>
      <c r="FO43" s="277">
        <f t="shared" si="269"/>
        <v>57.115384615384613</v>
      </c>
      <c r="FP43" s="1104"/>
      <c r="FQ43" s="277">
        <f t="shared" si="270"/>
        <v>59.4</v>
      </c>
      <c r="FR43" s="759" t="e">
        <f>IF(A43=FALSE,"",((FH43*TAXE)-(FH43*TAXE*FM43))+IF(#REF!="N/A",0,IF(INDEX(LISTES!$F$105:$F$109,MATCH(#REF!,LISTES!$C$105:$C$109,0))="FIX",#REF!,#REF!*FQ43)))</f>
        <v>#REF!</v>
      </c>
      <c r="FS43" s="422"/>
      <c r="FT43" s="422"/>
      <c r="FU43" s="422"/>
      <c r="FV43" s="422"/>
      <c r="FW43" s="422"/>
      <c r="FX43" s="422"/>
      <c r="FY43" s="422"/>
      <c r="FZ43" s="422"/>
      <c r="GA43" s="432" t="str">
        <f t="shared" si="145"/>
        <v>PROP</v>
      </c>
      <c r="GB43" s="1234" t="str">
        <f>IF(A43=FALSE,"",IF(Detail!DF43="","N/A",YEAR(Detail!F43)&amp;Detail!DI43&amp;Detail!DF43&amp;"-"&amp;Detail!$DF$13))</f>
        <v>N/A</v>
      </c>
      <c r="GC43" s="434" t="str">
        <f>IF(A43=FALSE,"",IF(LISTES!$A$17=1,GB43,INDEX(colMOD3,MATCH(Cotations!AH43,colchoice,0))))</f>
        <v>N/A</v>
      </c>
      <c r="GD43" s="277" t="str">
        <f t="shared" si="146"/>
        <v>N/A</v>
      </c>
      <c r="GE43" s="277">
        <f t="shared" si="147"/>
        <v>0</v>
      </c>
      <c r="GF43" s="277"/>
      <c r="GG43" s="277"/>
      <c r="GH43" s="277">
        <f t="shared" si="271"/>
        <v>0</v>
      </c>
      <c r="GI43" s="1104">
        <f t="shared" si="272"/>
        <v>0</v>
      </c>
      <c r="GJ43" s="1104">
        <f t="shared" si="273"/>
        <v>0</v>
      </c>
      <c r="GK43" s="443">
        <f>IF(A43=FALSE,"",IF(Cotations!AF43="monthly",GH43/12*L43,GH43/365*M43))</f>
        <v>0</v>
      </c>
      <c r="GL43" s="1103">
        <f>IF(A43=FALSE,"",IF(Cotations!AF43="monthly",GJ43/12*L43,GJ43/365*M43))</f>
        <v>0</v>
      </c>
      <c r="GM43" s="433">
        <f>IF(A43=FALSE,"",IF(Cotations!AK43="","",Cotations!AK43))</f>
        <v>0</v>
      </c>
      <c r="GN43" s="277">
        <f t="shared" si="274"/>
        <v>0</v>
      </c>
      <c r="GO43" s="277">
        <f t="shared" si="275"/>
        <v>0</v>
      </c>
      <c r="GP43" s="1104">
        <f t="shared" si="276"/>
        <v>0</v>
      </c>
      <c r="GQ43" s="277">
        <f t="shared" si="277"/>
        <v>0</v>
      </c>
      <c r="GR43" s="759">
        <f>IF(A43=FALSE,"",((GH43*TAXE)-(GH43*TAXE*GM43)+GI43)+IF(CQ43="N/A",0,IF(INDEX(LISTES!$F$105:$F$109,MATCH(CQ43,LISTES!$C$105:$C$109,0))="FIX",CR43,CS43*GQ43)))</f>
        <v>15.1752</v>
      </c>
      <c r="GS43" s="412"/>
      <c r="GT43" s="412"/>
      <c r="GU43" s="412"/>
      <c r="GV43" s="412"/>
      <c r="GW43" s="412"/>
      <c r="GX43" s="412"/>
      <c r="GY43" s="412"/>
      <c r="GZ43" s="412"/>
      <c r="HA43" s="432" t="str">
        <f t="shared" si="155"/>
        <v>PROP</v>
      </c>
      <c r="HB43" s="1234" t="str">
        <f>IF(A43=FALSE,"",IF(Detail!DF43="","N/A",YEAR(Detail!F43)&amp;Detail!DI43&amp;Detail!DF43&amp;"-"&amp;Detail!$DF$13))</f>
        <v>N/A</v>
      </c>
      <c r="HC43" s="434" t="str">
        <f>IF(A43=FALSE,"",IF(LISTES!$A$17=1,HB43,INDEX(colMOD4,MATCH(Cotations!AH43,colchoice,0))))</f>
        <v>N/A</v>
      </c>
      <c r="HD43" s="277" t="str">
        <f t="shared" si="278"/>
        <v>N/A</v>
      </c>
      <c r="HE43" s="277">
        <f t="shared" si="279"/>
        <v>0</v>
      </c>
      <c r="HF43" s="277"/>
      <c r="HG43" s="277"/>
      <c r="HH43" s="277">
        <f t="shared" si="280"/>
        <v>0</v>
      </c>
      <c r="HI43" s="1104">
        <f t="shared" si="281"/>
        <v>0</v>
      </c>
      <c r="HJ43" s="1104">
        <f t="shared" si="282"/>
        <v>0</v>
      </c>
      <c r="HK43" s="443">
        <f>IF(A43=FALSE,"",IF(Cotations!AF43="monthly",HH43/12*L43,HH43/365*M43))</f>
        <v>0</v>
      </c>
      <c r="HL43" s="1103">
        <f>IF(A43=FALSE,"",IF(Cotations!AF43="monthly",HJ43/12*L43,HJ43/365*M43))</f>
        <v>0</v>
      </c>
      <c r="HM43" s="433">
        <f>IF(A43=FALSE,"",IF(Cotations!AL43="","",Cotations!AL43))</f>
        <v>0</v>
      </c>
      <c r="HN43" s="277">
        <f t="shared" si="283"/>
        <v>0</v>
      </c>
      <c r="HO43" s="277">
        <f t="shared" si="284"/>
        <v>0</v>
      </c>
      <c r="HP43" s="1104">
        <f t="shared" si="285"/>
        <v>0</v>
      </c>
      <c r="HQ43" s="277">
        <f t="shared" si="286"/>
        <v>0</v>
      </c>
      <c r="HR43" s="759">
        <f>IF(A43=FALSE,"",((HH43*TAXE)-(HH43*TAXE*HM43)+HI43)+IF(CQ43="N/A",0,IF(INDEX(LISTES!$F$105:$F$109,MATCH(CQ43,LISTES!$C$105:$C$109,0))="FIX",CR43,CS43*HQ43)))</f>
        <v>15.1752</v>
      </c>
      <c r="HS43" s="412"/>
      <c r="HT43" s="412"/>
      <c r="HU43" s="412"/>
      <c r="HV43" s="412"/>
      <c r="HW43" s="412"/>
      <c r="HX43" s="412"/>
      <c r="HY43" s="412"/>
      <c r="HZ43" s="1262"/>
      <c r="IA43" s="432" t="str">
        <f>IF(A43=FALSE,"",Cotations!AT43)</f>
        <v>PROP</v>
      </c>
      <c r="IB43" s="1253" t="str">
        <f>IF(A43=FALSE,"",IF(Detail!AT43="","N/A",YEAR(Detail!F43)&amp;Detail!AW43&amp;Detail!AT43&amp;"-"&amp;Detail!$AT$13&amp;Detail!AU43))</f>
        <v>2017EURAnker Verzekeringen n.v.-Death AccidentFormula 3</v>
      </c>
      <c r="IC43" s="431" t="str">
        <f>IF(A43=FALSE,"",IF(LISTES!$A$17=1,IB43,INDEX(colMOD1,MATCH(DA43,colchoice,0))))</f>
        <v>2017EURAnker Verzekeringen n.v.-Death AccidentFormula 3</v>
      </c>
      <c r="ID43" s="759" t="str">
        <f t="shared" si="287"/>
        <v>Anker Verzekeringen n.v.</v>
      </c>
      <c r="IE43" s="292" t="str">
        <f>IF(A43=FALSE,"",IF(LISTES!$A$17=1,Detail!AU43,INDEX(Rates!$M$1:$M$270,MATCH(IC43,colMOD1,0))))</f>
        <v>Formula 3</v>
      </c>
      <c r="IF43" s="409">
        <f t="shared" si="165"/>
        <v>6.9103448275862072E-4</v>
      </c>
      <c r="IG43" s="430">
        <f>IF(A43=FALSE,"",IF(IA43="POEA",Cotations!AY43,IF(IA43="FIXE",Cotations!AZ43,IF(Cotations!BA43*Y43&lt;50000,Z43,Cotations!BA43*Y43))))</f>
        <v>252000</v>
      </c>
      <c r="IH43" s="292">
        <f t="shared" si="166"/>
        <v>174.14068965517242</v>
      </c>
      <c r="II43" s="446">
        <f>IF(A43=FALSE,"",IF(Cotations!AU43="monthly",IH43/12*L43,IH43/365*M43))</f>
        <v>86.354698157770429</v>
      </c>
      <c r="IJ43" s="429">
        <f>IF(A43=FALSE,"",IF(Cotations!BB43="","",Cotations!BB43))</f>
        <v>0</v>
      </c>
      <c r="IK43" s="292">
        <f t="shared" si="167"/>
        <v>0</v>
      </c>
      <c r="IL43" s="292">
        <f t="shared" si="168"/>
        <v>86.354698157770429</v>
      </c>
      <c r="IM43" s="759">
        <f t="shared" si="169"/>
        <v>89.808886084081252</v>
      </c>
      <c r="IN43" s="759">
        <f>IF(A43=FALSE,"",((IH43*TAXE)-(IH43*TAXE*IJ43))+IF(DQ43="N/A",0,IF(INDEX(LISTES!$F$105:$F$109,MATCH(DQ43,LISTES!$C$105:$C$109,0))="FIX",DR43,DS43*IM43)))</f>
        <v>181.10631724137932</v>
      </c>
      <c r="JA43" s="432" t="str">
        <f>IF(A43=FALSE,"",Cotations!AT43)</f>
        <v>PROP</v>
      </c>
      <c r="JB43" s="1234" t="str">
        <f>IF(A43=FALSE,"",IF(Detail!BB43="","N/A",YEAR(Detail!F43)&amp;Detail!BE43&amp;Detail!BB43&amp;"-"&amp;Detail!$BB$13&amp;Detail!BC43))</f>
        <v>2017EURAnker Verzekeringen n.v.-Death IllnessFormula 3</v>
      </c>
      <c r="JC43" s="431" t="str">
        <f>IF(A43=FALSE,"",IF(LISTES!$A$17=1,JB43,INDEX(colMOD2,MATCH(DA43,colchoice,0))))</f>
        <v>2017EURAnker Verzekeringen n.v.-Death illnessFormula 3</v>
      </c>
      <c r="JD43" s="759" t="str">
        <f t="shared" si="170"/>
        <v>Anker Verzekeringen n.v.</v>
      </c>
      <c r="JE43" s="292"/>
      <c r="JF43" s="409">
        <f t="shared" si="171"/>
        <v>1.7282758620689655E-3</v>
      </c>
      <c r="JG43" s="430">
        <f>IF(A43=FALSE,"",IF(JA43="POEA",Cotations!BC43,IF(JA43="FIXE",Cotations!BD43,IF(Cotations!BE43*Y43&lt;50000,Z43,Cotations!BE43*Y43))))</f>
        <v>252000</v>
      </c>
      <c r="JH43" s="292">
        <f t="shared" si="172"/>
        <v>435.5255172413793</v>
      </c>
      <c r="JI43" s="446">
        <f>IF(A43=FALSE,"",IF(Cotations!AU43="monthly",JH43/12*L43,JH43/365*M43))</f>
        <v>215.97292772791687</v>
      </c>
      <c r="JJ43" s="429">
        <f>IF(A43=FALSE,"",IF(Cotations!BF43="","",Cotations!BF43))</f>
        <v>0</v>
      </c>
      <c r="JK43" s="292">
        <f t="shared" si="173"/>
        <v>0</v>
      </c>
      <c r="JL43" s="292">
        <f t="shared" si="174"/>
        <v>215.97292772791687</v>
      </c>
      <c r="JM43" s="759">
        <f t="shared" si="175"/>
        <v>224.61184483703354</v>
      </c>
      <c r="JN43" s="759" t="e">
        <f>IF(A43=FALSE,"",((JH43*TAXE)-(JH43*TAXE*JJ43))+IF(#REF!="N/A",0,IF(INDEX(LISTES!$F$105:$F$109,MATCH(#REF!,LISTES!$C$105:$C$109,0))="FIX",#REF!,#REF!*JM43)))</f>
        <v>#REF!</v>
      </c>
      <c r="KA43" s="432" t="str">
        <f>IF(A43=FALSE,"",Cotations!AT43)</f>
        <v>PROP</v>
      </c>
      <c r="KB43" s="1234" t="str">
        <f>IF(A43=FALSE,"",IF(Detail!BJ43="","N/A",YEAR(Detail!F43)&amp;Detail!BM43&amp;Detail!BJ43&amp;"-"&amp;Detail!$BJ$13&amp;Detail!BK43))</f>
        <v>2017EURAnker Verzekeringen n.v.-Permanent Disability AccidentFormula 3</v>
      </c>
      <c r="KC43" s="431" t="str">
        <f>IF(A43=FALSE,"",IF(LISTES!$A$17=1,KB43,INDEX(colMOD3,MATCH(DA43,colchoice,0))))</f>
        <v>2017EURAnker Verzekeringen n.v.-Permanent Disability AccidentFormula 3</v>
      </c>
      <c r="KD43" s="759" t="str">
        <f t="shared" si="176"/>
        <v>Anker Verzekeringen n.v.</v>
      </c>
      <c r="KE43" s="292"/>
      <c r="KF43" s="409">
        <f t="shared" si="177"/>
        <v>6.9103448275862072E-4</v>
      </c>
      <c r="KG43" s="430">
        <f>IF(A43=FALSE,"",IF(KA43="POEA",Cotations!BG43,IF(KA43="FIXE",Cotations!BH43,IF(Cotations!BI43*Y43&lt;50000,Z43,Cotations!BI43*Y43))))</f>
        <v>252000</v>
      </c>
      <c r="KH43" s="292">
        <f t="shared" si="178"/>
        <v>215.15586206896552</v>
      </c>
      <c r="KI43" s="446">
        <f>IF(A43=FALSE,"",IF(Cotations!AU43="monthly",KH43/12*L43,KH43/365*M43))</f>
        <v>106.69372886159661</v>
      </c>
      <c r="KJ43" s="429">
        <f>IF(A43=FALSE,"",IF(Cotations!BJ43="","",Cotations!BJ43))</f>
        <v>0</v>
      </c>
      <c r="KK43" s="292">
        <f t="shared" si="179"/>
        <v>0</v>
      </c>
      <c r="KL43" s="292">
        <f t="shared" si="180"/>
        <v>106.69372886159661</v>
      </c>
      <c r="KM43" s="759">
        <f t="shared" si="181"/>
        <v>110.96147801606048</v>
      </c>
      <c r="KN43" s="759" t="e">
        <f>IF(A43=FALSE,"",((KH43*TAXE)-(KH43*TAXE*KJ43))+IF(#REF!="N/A",0,IF(INDEX(LISTES!$F$105:$F$109,MATCH(#REF!,LISTES!$C$105:$C$109,0))="FIX",#REF!,#REF!*KM43)))</f>
        <v>#REF!</v>
      </c>
      <c r="LA43" s="432" t="str">
        <f>IF(A43=FALSE,"",Cotations!AT43)</f>
        <v>PROP</v>
      </c>
      <c r="LB43" s="1234" t="str">
        <f>IF(A43=FALSE,"",IF(Detail!BR43="","N/A",YEAR(Detail!F43)&amp;Detail!BU43&amp;Detail!BR43&amp;"-"&amp;Detail!$BR$13&amp;Detail!BS43))</f>
        <v>2017EURAnker Verzekeringen n.v.-Permanent Disability IllnessFormula 3</v>
      </c>
      <c r="LC43" s="431" t="str">
        <f>IF(A43=FALSE,"",IF(LISTES!$A$17=1,LB43,INDEX(colMOD4,MATCH(DA43,colchoice,0))))</f>
        <v>2017EURAnker Verzekeringen n.v.-Permanent Disability illnessFormula 3</v>
      </c>
      <c r="LD43" s="759" t="str">
        <f t="shared" si="182"/>
        <v>Anker Verzekeringen n.v.</v>
      </c>
      <c r="LE43" s="292"/>
      <c r="LF43" s="409">
        <f t="shared" si="183"/>
        <v>2.0537931034482759E-3</v>
      </c>
      <c r="LG43" s="430">
        <f>IF(A43=FALSE,"",IF(LA43="POEA",Cotations!BK43,IF(LA43="FIXE",Cotations!BL43,IF(Cotations!BM43*Y43&lt;50000,Z43,Cotations!BM43*Y43))))</f>
        <v>252000</v>
      </c>
      <c r="LH43" s="292">
        <f t="shared" si="184"/>
        <v>517.55586206896555</v>
      </c>
      <c r="LI43" s="446">
        <f>IF(A43=FALSE,"",IF(Cotations!AU43="monthly",LH43/12*L43,LH43/365*M43))</f>
        <v>256.65098913556926</v>
      </c>
      <c r="LJ43" s="429">
        <f>IF(A43=FALSE,"",IF(Cotations!BN43="","",Cotations!BN43))</f>
        <v>0</v>
      </c>
      <c r="LK43" s="292">
        <f t="shared" si="185"/>
        <v>0</v>
      </c>
      <c r="LL43" s="292">
        <f t="shared" si="186"/>
        <v>256.65098913556926</v>
      </c>
      <c r="LM43" s="759">
        <f t="shared" si="187"/>
        <v>266.91702870099203</v>
      </c>
      <c r="LN43" s="759" t="e">
        <f>IF(A43=FALSE,"",((LH43*TAXE)-(LH43*TAXE*LJ43))+IF(#REF!="N/A",0,IF(INDEX(LISTES!$F$105:$F$109,MATCH(#REF!,LISTES!$C$105:$C$109,0))="FIX",#REF!,#REF!*LM43)))</f>
        <v>#REF!</v>
      </c>
      <c r="MA43" s="432" t="str">
        <f t="shared" si="188"/>
        <v>PROP</v>
      </c>
      <c r="MB43" s="1234" t="str">
        <f>IF(A43=FALSE,"",IF(Detail!BZ43="","N/A",YEAR(Detail!F43)&amp;Detail!CC43&amp;Detail!BZ43&amp;"-"&amp;Detail!$BZ$13&amp;" (100%/"&amp;Detail!CD43&amp;"/"&amp;Detail!CE43&amp;")"))</f>
        <v>2017EURAnker Verzekeringen n.v.-Temporary Disability Accident (100%/7/365)</v>
      </c>
      <c r="MC43" s="431" t="str">
        <f>IF(A43=FALSE,"",IF(LISTES!$A$17=1,MB43,INDEX(colMOD5,MATCH(DA43,colchoice,0))))</f>
        <v>2017EURAnker Verzekeringen n.v.-Temporary Disability Accident (100%/7/365)</v>
      </c>
      <c r="MD43" s="759" t="str">
        <f t="shared" si="189"/>
        <v>Anker Verzekeringen n.v.</v>
      </c>
      <c r="ME43" s="292"/>
      <c r="MF43" s="409">
        <f t="shared" si="190"/>
        <v>8.1144827586206898E-3</v>
      </c>
      <c r="MG43" s="430">
        <f>IF(A43=FALSE,"",Cotations!BQ43*AA43)</f>
        <v>84000</v>
      </c>
      <c r="MH43" s="292">
        <f t="shared" si="191"/>
        <v>681.61655172413793</v>
      </c>
      <c r="MI43" s="446">
        <f>IF(A43=FALSE,"",IF(Cotations!AU43="monthly",MH43/12*L43,MH43/365*M43))</f>
        <v>338.00711195087388</v>
      </c>
      <c r="MJ43" s="429">
        <f>IF(A43=FALSE,"",IF(Cotations!BR43="","",Cotations!BR43))</f>
        <v>0</v>
      </c>
      <c r="MK43" s="292">
        <f t="shared" si="192"/>
        <v>0</v>
      </c>
      <c r="ML43" s="292">
        <f t="shared" si="193"/>
        <v>338.00711195087388</v>
      </c>
      <c r="MM43" s="759">
        <f t="shared" si="194"/>
        <v>351.52739642890884</v>
      </c>
      <c r="MN43" s="759" t="e">
        <f>IF(A43=FALSE,"",((MH43*TAXE)-(MH43*TAXE*MJ43))+IF(#REF!="N/A",0,IF(INDEX(LISTES!$F$105:$F$109,MATCH(#REF!,LISTES!$C$105:$C$109,0))="FIX",#REF!,#REF!*MM43)))</f>
        <v>#REF!</v>
      </c>
      <c r="NA43" s="432" t="str">
        <f t="shared" si="195"/>
        <v>PROP</v>
      </c>
      <c r="NB43" s="1234" t="str">
        <f>IF(A43=FALSE,"",IF(Detail!CH43="","N/A",YEAR(Detail!F43)&amp;Detail!CK43&amp;Detail!CH43&amp;"-"&amp;Detail!$CH$13&amp;" (100%/"&amp;Detail!CL43&amp;"/"&amp;Detail!CM43&amp;")"))</f>
        <v>2017EURAnker Verzekeringen n.v.-Temporary Disability Illness (100%/7/365)</v>
      </c>
      <c r="NC43" s="431" t="str">
        <f>IF(A43=FALSE,"",IF(LISTES!$A$17=1,NB43,INDEX(colMOD6,MATCH(DA43,colchoice,0))))</f>
        <v>2017EURAnker Verzekeringen n.v.-Temporary Disability illness (100%/7/365)</v>
      </c>
      <c r="ND43" s="759" t="str">
        <f t="shared" si="196"/>
        <v>Anker Verzekeringen n.v.</v>
      </c>
      <c r="NE43" s="292"/>
      <c r="NF43" s="409">
        <f t="shared" si="197"/>
        <v>8.1144827586206898E-3</v>
      </c>
      <c r="NG43" s="430">
        <f>IF(A43=FALSE,"",Cotations!BU43*AA43)</f>
        <v>84000</v>
      </c>
      <c r="NH43" s="292">
        <f t="shared" si="198"/>
        <v>1362.1903448275864</v>
      </c>
      <c r="NI43" s="446">
        <f>IF(A43=FALSE,"",IF(Cotations!AU43="monthly",NH43/12*L43,NH43/365*M43))</f>
        <v>675.49712990080309</v>
      </c>
      <c r="NJ43" s="429">
        <f>IF(A43=FALSE,"",IF(Cotations!BV43="","",Cotations!BV43))</f>
        <v>0</v>
      </c>
      <c r="NK43" s="292">
        <f t="shared" si="199"/>
        <v>0</v>
      </c>
      <c r="NL43" s="292">
        <f t="shared" si="200"/>
        <v>675.49712990080309</v>
      </c>
      <c r="NM43" s="759">
        <f t="shared" si="201"/>
        <v>702.51701509683528</v>
      </c>
      <c r="NN43" s="759" t="e">
        <f>IF(A43=FALSE,"",((NH43*TAXE)-(NH43*TAXE*NJ43))+IF(#REF!="N/A",0,IF(INDEX(LISTES!$F$105:$F$109,MATCH(#REF!,LISTES!$C$105:$C$109,0))="FIX",#REF!,#REF!*NM43)))</f>
        <v>#REF!</v>
      </c>
      <c r="NZ43" s="1281" t="str">
        <f>IF(A43=FALSE,"",IF(Detail!CP43="","N/A",YEAR(Detail!F43)&amp;Detail!CS43&amp;Detail!CP43&amp;"-"&amp;Detail!CQ43))</f>
        <v>N/A</v>
      </c>
      <c r="OA43" s="432" t="str">
        <f>IF(A43=FALSE,"",Cotations!CF43)</f>
        <v>FIXE</v>
      </c>
      <c r="OB43" s="1282" t="str">
        <f>IF(A43=FALSE,"",IF(Detail!CP43="","N/A",YEAR(Detail!F43)&amp;Detail!CS43&amp;Detail!CP43&amp;"-"&amp;Detail!$CP$13&amp;Detail!CQ43))</f>
        <v>N/A</v>
      </c>
      <c r="OC43" s="1283" t="str">
        <f>IF(A43=FALSE,"",IF(LISTES!$A$17=1,OB43,INDEX(colMOD1,MATCH(Cotations!CE43,colchoice,0))))</f>
        <v>N/A</v>
      </c>
      <c r="OD43" s="759" t="str">
        <f t="shared" si="202"/>
        <v>N/A</v>
      </c>
      <c r="OE43" s="292">
        <f>IF(A43=FALSE,"",Detail!CQ43)</f>
        <v>0</v>
      </c>
      <c r="OF43" s="409" t="str">
        <f t="shared" si="203"/>
        <v/>
      </c>
      <c r="OG43" s="430">
        <f>IF(A43=FALSE,"",IF(OA43="FIXE",Cotations!CM43,Cotations!CN43*AA43))</f>
        <v>100000</v>
      </c>
      <c r="OH43" s="292">
        <f t="shared" si="288"/>
        <v>0</v>
      </c>
      <c r="OI43" s="446">
        <f>IF(A43=FALSE,"",IF(Cotations!CF43="monthly",OH43/12*L43,OH43/365*M43))</f>
        <v>0</v>
      </c>
      <c r="OJ43" s="429">
        <f>IF(A43=FALSE,"",IF(Cotations!CO43="","",Cotations!CO43))</f>
        <v>0</v>
      </c>
      <c r="OK43" s="292">
        <f t="shared" si="289"/>
        <v>0</v>
      </c>
      <c r="OL43" s="292">
        <f t="shared" si="290"/>
        <v>0</v>
      </c>
      <c r="OM43" s="759">
        <f t="shared" si="207"/>
        <v>0</v>
      </c>
      <c r="ON43" s="759" t="e">
        <f>IF(A43=FALSE,"",((OH43*(1+TAXE)-(OH43*(1+TAXE)*OJ43))+IF(#REF!="N/A",0,IF(INDEX(LISTES!$F$105:$F$109,MATCH(#REF!,LISTES!$C$105:$C$109,0))="FIX",#REF!,#REF!*OM43))))</f>
        <v>#REF!</v>
      </c>
      <c r="PA43" s="432" t="str">
        <f>IF(A43=FALSE,"",Cotations!CF43)</f>
        <v>FIXE</v>
      </c>
      <c r="PB43" s="1282" t="str">
        <f>IF(A43=FALSE,"",IF(Detail!CX43="","N/A",YEAR(Detail!F43)&amp;Detail!DA43&amp;Detail!CX43&amp;"-"&amp;Detail!$CX$13&amp;Detail!CY43))</f>
        <v>N/A</v>
      </c>
      <c r="PC43" s="1283" t="str">
        <f>IF(A43=FALSE,"",IF(LISTES!$A$17=1,PB43,INDEX(colMOD3,MATCH(Cotations!CE43,colchoice,0))))</f>
        <v>N/A</v>
      </c>
      <c r="PD43" s="759" t="str">
        <f t="shared" si="208"/>
        <v>N/A</v>
      </c>
      <c r="PE43" s="292" t="str">
        <f>IF(A43=FALSE,"",IF(Detail!CY43="","",Detail!CY43))</f>
        <v/>
      </c>
      <c r="PF43" s="409">
        <f t="shared" si="291"/>
        <v>0</v>
      </c>
      <c r="PG43" s="430">
        <f>IF(A43=FALSE,"",IF(PA43="FIXE",Cotations!CP43,Cotations!CQ43*AA43))</f>
        <v>100000</v>
      </c>
      <c r="PH43" s="292">
        <f t="shared" si="292"/>
        <v>0</v>
      </c>
      <c r="PI43" s="446">
        <f>IF(A43=FALSE,"",IF(Cotations!CG43="monthly",PH43/12*L43,PH43/365*M43))</f>
        <v>0</v>
      </c>
      <c r="PJ43" s="429">
        <f>IF(A43=FALSE,"",IF(Cotations!DA43="",0,Cotations!DA43))</f>
        <v>0</v>
      </c>
      <c r="PK43" s="292">
        <f t="shared" si="293"/>
        <v>0</v>
      </c>
      <c r="PL43" s="292">
        <f t="shared" si="294"/>
        <v>0</v>
      </c>
      <c r="PM43" s="759">
        <f t="shared" si="211"/>
        <v>0</v>
      </c>
      <c r="PN43" s="759" t="e">
        <f>IF(A43=FALSE,"",((PH43*(1+TAXE)-(PH43*(1+TAXE)*PJ43))+IF(#REF!="N/A",0,IF(INDEX(LISTES!$F$105:$F$109,MATCH(#REF!,LISTES!$C$105:$C$109,0))="FIX",#REF!,#REF!*PM43))))</f>
        <v>#REF!</v>
      </c>
    </row>
    <row r="44" spans="1:430">
      <c r="A44" s="779" t="b">
        <f t="shared" si="111"/>
        <v>1</v>
      </c>
      <c r="B44" s="779" t="b">
        <f>IF(NAMES!$B$9=TRUE,TRUE,FALSE)</f>
        <v>1</v>
      </c>
      <c r="C44" s="779" t="b">
        <f t="shared" si="212"/>
        <v>1</v>
      </c>
      <c r="D44" s="779" t="b">
        <f t="shared" si="213"/>
        <v>1</v>
      </c>
      <c r="E44" s="267" t="b">
        <f>IF(Cotations!C44="","",Cotations!C44)</f>
        <v>1</v>
      </c>
      <c r="F44" s="267" t="str">
        <f>IF(Cotations!AT44="","",Cotations!AT44)</f>
        <v>PROP</v>
      </c>
      <c r="G44" s="267" t="str">
        <f>IF(Cotations!D44="","",Cotations!D44)</f>
        <v>2017-2017!</v>
      </c>
      <c r="H44" s="267" t="str">
        <f>IF(Cotations!E44="","",Cotations!E44)</f>
        <v>SINGLE</v>
      </c>
      <c r="I44" s="267">
        <f>IF(Cotations!F44="","",Cotations!F44)</f>
        <v>135203</v>
      </c>
      <c r="J44" s="267" t="str">
        <f>IF(Cotations!G44="","",Cotations!G44)</f>
        <v>Stewardess</v>
      </c>
      <c r="K44" s="267" t="str">
        <f>IF(Cotations!H44="","",Cotations!H44)</f>
        <v>IZBRECHT</v>
      </c>
      <c r="L44" s="267">
        <f>IF(A44=FALSE,"",IF(Cotations!M44="","",Cotations!M44))</f>
        <v>6</v>
      </c>
      <c r="M44" s="267">
        <f>IF(Cotations!O44="","",Cotations!O44)</f>
        <v>181</v>
      </c>
      <c r="N44" s="588">
        <f>IF(NAMES!$B$10=TRUE,Cotations!I44,Cotations!K44)</f>
        <v>42750</v>
      </c>
      <c r="O44" s="588">
        <f>IF(NAMES!$B$10=TRUE,Cotations!J44,Cotations!L44)</f>
        <v>42930</v>
      </c>
      <c r="P44" s="780" t="str">
        <f t="shared" si="214"/>
        <v>janvier</v>
      </c>
      <c r="Q44" s="588">
        <f>IF(A44=FALSE,"",IF(Crewlist!Y44="","",Crewlist!Y44))</f>
        <v>42930</v>
      </c>
      <c r="R44" s="78" t="str">
        <f>IF(Cotations!T44="","",Cotations!T44)</f>
        <v>annual</v>
      </c>
      <c r="S44" s="780" t="str">
        <f t="shared" si="215"/>
        <v>VRAI135203janvier42750</v>
      </c>
      <c r="T44" s="759">
        <f>IF(A44=FALSE,"",VLOOKUP($U$15:$U$120,Currency!$A$2:$D$10,4,0)*Crewlist!N44)</f>
        <v>3000</v>
      </c>
      <c r="U44" s="1097" t="str">
        <f>IF(A44=FALSE,"",IF(DP44=0,Crewlist!M44&amp;"/"&amp;CP44,Crewlist!M44&amp;"/"&amp;DP44))</f>
        <v>EUR/EUR</v>
      </c>
      <c r="V44" s="759">
        <f>IF(A44=FALSE,"",VLOOKUP($U$15:$U$120,Currency!$A$2:$D$10,4,0)*Detail!Q44)</f>
        <v>3000</v>
      </c>
      <c r="W44" s="1097" t="str">
        <f>IF(A44=FALSE,"",IF(DP44=0,Detail!R44&amp;"/"&amp;CP44,Detail!R44&amp;"/"&amp;DP44))</f>
        <v>EUR/EUR</v>
      </c>
      <c r="X44" s="759">
        <f>IF(A44=FALSE,"",IF(LISTES!$C$17="Crewlist",Calcul!T44,Calcul!V44))</f>
        <v>3000</v>
      </c>
      <c r="Y44" s="618">
        <f t="shared" si="216"/>
        <v>36000</v>
      </c>
      <c r="Z44" s="618">
        <f>IF(A44=FALSE,"",IF(X44=0,0,IF((Cotations!BA44*12*X44)&lt;50000,50000,(12*X44))))</f>
        <v>36000</v>
      </c>
      <c r="AA44" s="618">
        <f t="shared" si="217"/>
        <v>36000</v>
      </c>
      <c r="AB44" s="618">
        <f>IF(A44=FALSE,"",IF(Crewlist!O44=0,"",Crewlist!O44))</f>
        <v>6000</v>
      </c>
      <c r="AC44" s="618" t="e">
        <f>IF(I44="","",VLOOKUP($AB$15:$AB$120,Currency!$A$15:$B$34,2,0))</f>
        <v>#N/A</v>
      </c>
      <c r="AD44" s="618" t="e">
        <f t="shared" si="218"/>
        <v>#N/A</v>
      </c>
      <c r="AE44" s="618" t="e">
        <f t="shared" si="219"/>
        <v>#N/A</v>
      </c>
      <c r="AF44" s="618" t="e">
        <f t="shared" si="220"/>
        <v>#N/A</v>
      </c>
      <c r="AG44" s="618">
        <f t="shared" si="221"/>
        <v>17852.054794520547</v>
      </c>
      <c r="AH44" s="1097" t="str">
        <f t="shared" si="112"/>
        <v>EUR</v>
      </c>
      <c r="AI44" s="759">
        <f t="shared" si="222"/>
        <v>1087.7305924988193</v>
      </c>
      <c r="AJ44" s="1120">
        <f t="shared" si="223"/>
        <v>333.29759999999999</v>
      </c>
      <c r="AK44" s="1120">
        <f t="shared" si="224"/>
        <v>748.43299249881909</v>
      </c>
      <c r="AL44" s="236">
        <f t="shared" si="225"/>
        <v>7.5876000000000001</v>
      </c>
      <c r="AM44" s="236">
        <f t="shared" si="226"/>
        <v>41.313192019185387</v>
      </c>
      <c r="AN44" s="1112">
        <f t="shared" si="227"/>
        <v>0</v>
      </c>
      <c r="AO44" s="236">
        <f t="shared" si="228"/>
        <v>48.900792019185388</v>
      </c>
      <c r="AP44" s="327" t="str">
        <f>IF(A44=FALSE,"",INDEX(Rates!$Q$1:$Q$278,MATCH(CA44,colchoice,0)))</f>
        <v>WCA</v>
      </c>
      <c r="AQ44" s="236">
        <f t="shared" si="229"/>
        <v>6</v>
      </c>
      <c r="AR44" s="236">
        <f t="shared" si="230"/>
        <v>1032.8298004796338</v>
      </c>
      <c r="AS44" s="236">
        <f t="shared" si="117"/>
        <v>325.70999999999998</v>
      </c>
      <c r="AT44" s="236">
        <f t="shared" si="118"/>
        <v>748.43299249881909</v>
      </c>
      <c r="AU44" s="236">
        <f t="shared" si="231"/>
        <v>256.06730769230762</v>
      </c>
      <c r="AV44" s="236">
        <f t="shared" si="232"/>
        <v>57.115384615384613</v>
      </c>
      <c r="AW44" s="236">
        <f t="shared" si="233"/>
        <v>37.009156353330184</v>
      </c>
      <c r="AX44" s="236">
        <f t="shared" si="234"/>
        <v>92.559826169107225</v>
      </c>
      <c r="AY44" s="236">
        <f t="shared" si="235"/>
        <v>45.725883797827116</v>
      </c>
      <c r="AZ44" s="236">
        <f t="shared" si="236"/>
        <v>109.9932810581011</v>
      </c>
      <c r="BA44" s="236">
        <f t="shared" si="237"/>
        <v>144.8601908360888</v>
      </c>
      <c r="BB44" s="467">
        <f t="shared" si="238"/>
        <v>289.49876995748701</v>
      </c>
      <c r="BC44" s="329">
        <f t="shared" si="239"/>
        <v>325.70999999999998</v>
      </c>
      <c r="BD44" s="237">
        <f t="shared" si="240"/>
        <v>313.18269230769226</v>
      </c>
      <c r="BE44" s="237">
        <f>IF(A44=FALSE,"",IF(ED44&lt;&gt;$BC$7,0,INDEX(EA44:EZ44,1,MATCH(Structure!$J$16,$EA$14:$EZ$14,0))))</f>
        <v>256.06730769230762</v>
      </c>
      <c r="BF44" s="237">
        <f>IF(A44=FALSE,"",IF(FD44&lt;&gt;$BC$7,0,INDEX(FA44:FZ44,1,MATCH(Structure!$J$16,$FA$14:$FZ$14,0))))</f>
        <v>57.115384615384613</v>
      </c>
      <c r="BG44" s="237">
        <f>IF(A44=FALSE,"",IF(GD44&lt;&gt;$BC$7,0,INDEX(GA44:GZ44,1,MATCH(Structure!$J$16,$GA$14:$GZ$14,0))))</f>
        <v>0</v>
      </c>
      <c r="BH44" s="237">
        <f>IF(A44=FALSE,"",IF(HD44&lt;&gt;$BC$7,0,INDEX(HA44:HZ44,1,MATCH(Structure!$J$16,$HA$14:$HZ$14,0))))</f>
        <v>0</v>
      </c>
      <c r="BI44" s="621">
        <f>IF(A44=FALSE,"",IF(ID44&lt;&gt;$BC$7,0,INDEX(IA44:IZ44,1,MATCH(Structure!$C$12,$IA$14:$IZ$14,0)))+OL44)</f>
        <v>0</v>
      </c>
      <c r="BJ44" s="237">
        <f>IF(A44=FALSE,"",IF(JD44&lt;&gt;$BC$7,0,INDEX(JA44:JZ44,1,MATCH(Structure!$C$12,$JA$14:$JZ$14,0))))</f>
        <v>0</v>
      </c>
      <c r="BK44" s="621">
        <f>IF(A44=FALSE,"",IF(KD44&lt;&gt;$BC$7,0,INDEX(KA44:KZ44,1,MATCH(Structure!$C$12,$KA$14:$KZ$14,0)))+PL44)</f>
        <v>0</v>
      </c>
      <c r="BL44" s="237">
        <f>IF(A44=FALSE,"",IF(LD44&lt;&gt;$BC$7,0,INDEX(LA44:LZ44,1,MATCH(Structure!$C$12,$LA$14:$LZ$14,0))))</f>
        <v>0</v>
      </c>
      <c r="BM44" s="237">
        <f>IF(A44=FALSE,"",IF(MD44&lt;&gt;$BC$7,0,INDEX(MA44:MZ44,1,MATCH(Structure!$C$12,$MA$14:$MZ$14,0))))</f>
        <v>0</v>
      </c>
      <c r="BN44" s="326">
        <f>IF(A44=FALSE,"",IF(ND44&lt;&gt;$BC$7,0,INDEX(NA44:OC44,1,MATCH(Structure!$C$12,$NA$14:$OC$14,0))))</f>
        <v>0</v>
      </c>
      <c r="BO44" s="435">
        <f t="shared" si="241"/>
        <v>748.43299249881909</v>
      </c>
      <c r="BP44" s="237">
        <f t="shared" si="242"/>
        <v>719.64710817194145</v>
      </c>
      <c r="BQ44" s="237">
        <f>IF(A44=FALSE,"",IF(ED44&lt;&gt;$BO$7,0,INDEX(EA44:EZ44,1,MATCH(Structure!$C$12,$EA$14:$EZ$14,0))))</f>
        <v>0</v>
      </c>
      <c r="BR44" s="237">
        <f>IF(A44=FALSE,"",IF(FD44&lt;&gt;$BO$7,0,INDEX(FA44:FZ44,1,MATCH(Structure!$C$12,$FA$14:$FZ$14,0))))</f>
        <v>0</v>
      </c>
      <c r="BS44" s="237">
        <f>IF(A44=FALSE,"",IF(ID44&lt;&gt;$BO$7,0,INDEX(IA44:IZ44,1,MATCH(Structure!$C$13,$IA$14:$IZ$14,0))))</f>
        <v>37.009156353330184</v>
      </c>
      <c r="BT44" s="237">
        <f>IF(A44=FALSE,"",IF(JD44&lt;&gt;$BO$7,0,INDEX(JA44:JZ44,1,MATCH(Structure!$C$13,$JA$14:$JZ$14,0))))</f>
        <v>92.559826169107225</v>
      </c>
      <c r="BU44" s="237">
        <f>IF(A44=FALSE,"",IF(KD44&lt;&gt;$BO$7,0,INDEX(KA44:KZ44,1,MATCH(Structure!$C$13,$KA$14:$KZ$14,0))))</f>
        <v>45.725883797827116</v>
      </c>
      <c r="BV44" s="237">
        <f>IF(A44=FALSE,"",IF(LD44&lt;&gt;$BO$7,0,INDEX(LA44:LZ44,1,MATCH(Structure!$C$13,$LA$14:$LZ$14,0))))</f>
        <v>109.9932810581011</v>
      </c>
      <c r="BW44" s="237">
        <f>IF(A44=FALSE,"",IF(MD44&lt;&gt;$BO$7,0,INDEX(MA44:MZ44,1,MATCH(Structure!$C$13,$MA$14:$MZ$14,0))))</f>
        <v>144.8601908360888</v>
      </c>
      <c r="BX44" s="326">
        <f>IF(A44=FALSE,"",IF(ND44&lt;&gt;$BO$7,0,INDEX(NA44:OC44,1,MATCH(Structure!$C$13,$NA$14:$OC$14,0))))</f>
        <v>289.49876995748701</v>
      </c>
      <c r="BY44" s="412"/>
      <c r="BZ44" s="412"/>
      <c r="CA44" s="1255" t="str">
        <f>IF(A44=FALSE,"",IF(LISTES!$A$17=1,Cotations!AG44,Cotations!AH44))</f>
        <v>2017EURAIG Luxembourg-StandardMLC S</v>
      </c>
      <c r="CB44" s="1266">
        <f t="shared" si="243"/>
        <v>313.18269230769226</v>
      </c>
      <c r="CC44" s="1120">
        <f t="shared" si="244"/>
        <v>256.06730769230762</v>
      </c>
      <c r="CD44" s="1120">
        <f t="shared" si="245"/>
        <v>57.115384615384613</v>
      </c>
      <c r="CE44" s="1120">
        <f t="shared" si="246"/>
        <v>0</v>
      </c>
      <c r="CF44" s="1120">
        <f t="shared" si="247"/>
        <v>0</v>
      </c>
      <c r="CG44" s="1267"/>
      <c r="CH44" s="1267"/>
      <c r="CI44" s="1268">
        <f t="shared" si="248"/>
        <v>325.70999999999992</v>
      </c>
      <c r="CJ44" s="286">
        <f t="shared" si="249"/>
        <v>266.30999999999995</v>
      </c>
      <c r="CK44" s="286">
        <f t="shared" si="250"/>
        <v>59.4</v>
      </c>
      <c r="CL44" s="1263"/>
      <c r="CM44" s="1263"/>
      <c r="CN44" s="1263"/>
      <c r="CO44" s="1263"/>
      <c r="CP44" s="319" t="str">
        <f t="shared" si="251"/>
        <v>EUR</v>
      </c>
      <c r="CQ44" s="443" t="str">
        <f>IF(A44=FALSE,"",Cotations!AM44)</f>
        <v>fix Fees pro rata month</v>
      </c>
      <c r="CR44" s="443">
        <f>IF(A44=FALSE,"",IF(Cotations!AN44="","",Cotations!AN44))</f>
        <v>15.1752</v>
      </c>
      <c r="CS44" s="433">
        <f>IF(A44=FALSE,"",Cotations!AO44)</f>
        <v>0</v>
      </c>
      <c r="CT44" s="443">
        <f>IF(A44=FALSE,"",IF(CQ44="N/A",0,IF(INDEX(LISTES!$F$105:$F$109,MATCH(CQ44,LISTES!$C$105:$C$109,0))="FIX",IF(INDEX(LISTES!$E$105:$E$109,MATCH(CQ44,LISTES!$C$105:$C$109,0))=12,CR44/12*L44,CR44/365*M44),CS44*EQ44)))</f>
        <v>7.5876000000000001</v>
      </c>
      <c r="CU44" s="434">
        <f>IF(A44=FALSE,"",(CJ44+CK44)*Cotations!AP44)</f>
        <v>325.70999999999992</v>
      </c>
      <c r="CV44" s="434">
        <f>IF(A44=FALSE,"",(CJ44+CK44)*Cotations!AQ44)</f>
        <v>0</v>
      </c>
      <c r="DA44" s="1253" t="str">
        <f>IF(A44=FALSE,"",IF(LISTES!$A$17=1,Cotations!AV44,Cotations!AW44))</f>
        <v>2017EURAnker Verzekeringen n.v.-Formula 3 (7/365)</v>
      </c>
      <c r="DB44" s="1271">
        <f t="shared" si="252"/>
        <v>719.64710817194145</v>
      </c>
      <c r="DC44" s="1270">
        <f t="shared" si="253"/>
        <v>37.009156353330184</v>
      </c>
      <c r="DD44" s="1270">
        <f t="shared" si="254"/>
        <v>92.559826169107225</v>
      </c>
      <c r="DE44" s="1270">
        <f t="shared" si="255"/>
        <v>45.725883797827116</v>
      </c>
      <c r="DF44" s="1270">
        <f t="shared" si="256"/>
        <v>109.9932810581011</v>
      </c>
      <c r="DG44" s="1270">
        <f t="shared" si="257"/>
        <v>144.8601908360888</v>
      </c>
      <c r="DH44" s="1270">
        <f t="shared" si="258"/>
        <v>289.49876995748701</v>
      </c>
      <c r="DI44" s="1271">
        <f t="shared" si="259"/>
        <v>748.4329924988192</v>
      </c>
      <c r="DJ44" s="286">
        <f t="shared" si="260"/>
        <v>38.489522607463392</v>
      </c>
      <c r="DK44" s="286">
        <f t="shared" si="261"/>
        <v>96.262219215871511</v>
      </c>
      <c r="DL44" s="1264">
        <f t="shared" si="262"/>
        <v>47.554919149740201</v>
      </c>
      <c r="DM44" s="1264">
        <f t="shared" si="263"/>
        <v>114.39301230042516</v>
      </c>
      <c r="DN44" s="1264">
        <f t="shared" si="264"/>
        <v>150.65459846953237</v>
      </c>
      <c r="DO44" s="1264">
        <f t="shared" si="265"/>
        <v>301.07872075578649</v>
      </c>
      <c r="DP44" s="323" t="str">
        <f t="shared" si="132"/>
        <v>EUR</v>
      </c>
      <c r="DQ44" s="444" t="str">
        <f>IF(A44=FALSE,"",Cotations!BW44)</f>
        <v>N/A</v>
      </c>
      <c r="DR44" s="444">
        <f>IF(A44=FALSE,"",Cotations!BX44)</f>
        <v>0</v>
      </c>
      <c r="DS44" s="433">
        <f>IF(A44=FALSE,"",Cotations!BY44)</f>
        <v>0</v>
      </c>
      <c r="DT44" s="830">
        <f>IF(A44=FALSE,"",IF(DQ44="N/A",0,IF(INDEX(LISTES!$F$105:$F$109,MATCH(DQ44,LISTES!$C$105:$C$109,0))="FIX",IF(INDEX(LISTES!$E$105:$E$109,MATCH(DQ44,LISTES!$C$105:$C$109,0))=12,DR44/12*L44,DR44/365*M44),DS44*(DN44+DO44))))</f>
        <v>0</v>
      </c>
      <c r="DU44" s="434">
        <f>IF(A44=FALSE,"",DJ44*Cotations!BZ44)</f>
        <v>38.489522607463392</v>
      </c>
      <c r="DV44" s="434">
        <f>IF(A44=FALSE,"",DJ44*Cotations!CA44)</f>
        <v>0</v>
      </c>
      <c r="EA44" s="432" t="str">
        <f>IF(A44=FALSE,"",Cotations!AT44)</f>
        <v>PROP</v>
      </c>
      <c r="EB44" s="1234" t="str">
        <f>IF(A44=FALSE,"",YEAR(Detail!F44)&amp;Detail!AG44&amp;Detail!AD44&amp;"-"&amp;Detail!$AD$13&amp;Detail!AE44)</f>
        <v>2017EURAIG Luxembourg-Healthcare PlanStandardMLC S</v>
      </c>
      <c r="EC44" s="434" t="str">
        <f>IF(A44=FALSE,"",IF(LISTES!$A$17=1,EB44,INDEX(colMOD1,MATCH(Cotations!AH44,colchoice,0))))</f>
        <v>2017EURAIG Luxembourg-Healthcare PlanStandardMLC S</v>
      </c>
      <c r="ED44" s="277" t="str">
        <f t="shared" si="133"/>
        <v>AIG Luxembourg</v>
      </c>
      <c r="EE44" s="277" t="str">
        <f t="shared" si="134"/>
        <v>StandardMLC S</v>
      </c>
      <c r="EF44" s="277"/>
      <c r="EG44" s="277"/>
      <c r="EH44" s="277">
        <f t="shared" si="135"/>
        <v>569.03846153846143</v>
      </c>
      <c r="EI44" s="1104">
        <f t="shared" si="136"/>
        <v>0</v>
      </c>
      <c r="EJ44" s="1104">
        <f t="shared" si="137"/>
        <v>569.03846153846143</v>
      </c>
      <c r="EK44" s="443">
        <f>IF(A44=FALSE,"",IF(Cotations!AF44="monthly",EH44/12*L44,EH44/365*M44))</f>
        <v>284.51923076923072</v>
      </c>
      <c r="EL44" s="1103">
        <f>IF(A44=FALSE,"",IF(Cotations!AF44="monthly",EJ44/12*L44,EJ44/365*M44))</f>
        <v>284.51923076923072</v>
      </c>
      <c r="EM44" s="433">
        <f>IF(A44=FALSE,"",IF(Cotations!AI44="","",Cotations!AI44))</f>
        <v>0.1</v>
      </c>
      <c r="EN44" s="277">
        <f t="shared" si="266"/>
        <v>28.451923076923073</v>
      </c>
      <c r="EO44" s="277">
        <f t="shared" si="138"/>
        <v>256.06730769230762</v>
      </c>
      <c r="EP44" s="1104">
        <f t="shared" si="139"/>
        <v>0</v>
      </c>
      <c r="EQ44" s="277">
        <f t="shared" si="267"/>
        <v>266.30999999999995</v>
      </c>
      <c r="ER44" s="759">
        <f>IF(A44=FALSE,"",((EH44*TAXE)-(EH44*TAXE*EM44)+EI44)+IF(CQ44="N/A",0,IF(INDEX(LISTES!$F$105:$F$109,MATCH(CQ44,LISTES!$C$105:$C$109,0))="FIX",CR44,CS44*EQ44)))</f>
        <v>547.79520000000002</v>
      </c>
      <c r="ET44" s="422"/>
      <c r="EU44" s="422"/>
      <c r="EV44" s="422"/>
      <c r="EW44" s="422"/>
      <c r="EX44" s="422"/>
      <c r="EY44" s="422"/>
      <c r="EZ44" s="422"/>
      <c r="FA44" s="432" t="str">
        <f>IF(A44=FALSE,"",Cotations!AT44)</f>
        <v>PROP</v>
      </c>
      <c r="FB44" s="1235" t="str">
        <f>IF(A44=FALSE,"",IF(Detail!AL44="","N/A",YEAR(Detail!F44)&amp;Detail!AO44&amp;Detail!AL44&amp;"-"&amp;Detail!$AL$13&amp;Detail!AM44))</f>
        <v>2017EURAIG Luxembourg-Assistance and RepatriationStandardMLC S</v>
      </c>
      <c r="FC44" s="434" t="str">
        <f>IF(A44=FALSE,"",IF(LISTES!$A$17=1,FB44,INDEX(colMOD2,MATCH(Cotations!AH44,colchoice,0))))</f>
        <v>2017EURAIG Luxembourg-Assistance and RepatriationStandardMLC S</v>
      </c>
      <c r="FD44" s="277" t="str">
        <f t="shared" si="140"/>
        <v>AIG Luxembourg</v>
      </c>
      <c r="FE44" s="443" t="str">
        <f>IF(A44=FALSE,"",IF(Detail!AM44="","",Detail!AM44))</f>
        <v>StandardMLC S</v>
      </c>
      <c r="FF44" s="277"/>
      <c r="FG44" s="277"/>
      <c r="FH44" s="277">
        <f t="shared" si="141"/>
        <v>126.92307692307692</v>
      </c>
      <c r="FI44" s="1104"/>
      <c r="FJ44" s="1104"/>
      <c r="FK44" s="443">
        <f>IF(A44=FALSE,"",IF(Cotations!AF44="monthly",FH44/12*L44,FH44/365*M44))</f>
        <v>63.46153846153846</v>
      </c>
      <c r="FL44" s="1103">
        <f>IF(A44=FALSE,"",IF(Cotations!AF44="monthly",FJ44/12*L44,FJ44/365*M44))</f>
        <v>0</v>
      </c>
      <c r="FM44" s="433">
        <f>IF(A44=FALSE,"",IF(Cotations!AJ44="","",Cotations!AJ44))</f>
        <v>0.1</v>
      </c>
      <c r="FN44" s="277">
        <f t="shared" si="268"/>
        <v>6.3461538461538467</v>
      </c>
      <c r="FO44" s="277">
        <f t="shared" si="269"/>
        <v>57.115384615384613</v>
      </c>
      <c r="FP44" s="1104"/>
      <c r="FQ44" s="277">
        <f t="shared" si="270"/>
        <v>59.4</v>
      </c>
      <c r="FR44" s="759" t="e">
        <f>IF(A44=FALSE,"",((FH44*TAXE)-(FH44*TAXE*FM44))+IF(#REF!="N/A",0,IF(INDEX(LISTES!$F$105:$F$109,MATCH(#REF!,LISTES!$C$105:$C$109,0))="FIX",#REF!,#REF!*FQ44)))</f>
        <v>#REF!</v>
      </c>
      <c r="FS44" s="422"/>
      <c r="FT44" s="422"/>
      <c r="FU44" s="422"/>
      <c r="FV44" s="422"/>
      <c r="FW44" s="422"/>
      <c r="FX44" s="422"/>
      <c r="FY44" s="422"/>
      <c r="FZ44" s="422"/>
      <c r="GA44" s="432" t="str">
        <f t="shared" si="145"/>
        <v>PROP</v>
      </c>
      <c r="GB44" s="1234" t="str">
        <f>IF(A44=FALSE,"",IF(Detail!DF44="","N/A",YEAR(Detail!F44)&amp;Detail!DI44&amp;Detail!DF44&amp;"-"&amp;Detail!$DF$13))</f>
        <v>N/A</v>
      </c>
      <c r="GC44" s="434" t="str">
        <f>IF(A44=FALSE,"",IF(LISTES!$A$17=1,GB44,INDEX(colMOD3,MATCH(Cotations!AH44,colchoice,0))))</f>
        <v>N/A</v>
      </c>
      <c r="GD44" s="277" t="str">
        <f t="shared" si="146"/>
        <v>N/A</v>
      </c>
      <c r="GE44" s="277">
        <f t="shared" si="147"/>
        <v>0</v>
      </c>
      <c r="GF44" s="277"/>
      <c r="GG44" s="277"/>
      <c r="GH44" s="277">
        <f t="shared" si="271"/>
        <v>0</v>
      </c>
      <c r="GI44" s="1104">
        <f t="shared" si="272"/>
        <v>0</v>
      </c>
      <c r="GJ44" s="1104">
        <f t="shared" si="273"/>
        <v>0</v>
      </c>
      <c r="GK44" s="443">
        <f>IF(A44=FALSE,"",IF(Cotations!AF44="monthly",GH44/12*L44,GH44/365*M44))</f>
        <v>0</v>
      </c>
      <c r="GL44" s="1103">
        <f>IF(A44=FALSE,"",IF(Cotations!AF44="monthly",GJ44/12*L44,GJ44/365*M44))</f>
        <v>0</v>
      </c>
      <c r="GM44" s="433">
        <f>IF(A44=FALSE,"",IF(Cotations!AK44="","",Cotations!AK44))</f>
        <v>0</v>
      </c>
      <c r="GN44" s="277">
        <f t="shared" si="274"/>
        <v>0</v>
      </c>
      <c r="GO44" s="277">
        <f t="shared" si="275"/>
        <v>0</v>
      </c>
      <c r="GP44" s="1104">
        <f t="shared" si="276"/>
        <v>0</v>
      </c>
      <c r="GQ44" s="277">
        <f t="shared" si="277"/>
        <v>0</v>
      </c>
      <c r="GR44" s="759">
        <f>IF(A44=FALSE,"",((GH44*TAXE)-(GH44*TAXE*GM44)+GI44)+IF(CQ44="N/A",0,IF(INDEX(LISTES!$F$105:$F$109,MATCH(CQ44,LISTES!$C$105:$C$109,0))="FIX",CR44,CS44*GQ44)))</f>
        <v>15.1752</v>
      </c>
      <c r="GS44" s="412"/>
      <c r="GT44" s="412"/>
      <c r="GU44" s="412"/>
      <c r="GV44" s="412"/>
      <c r="GW44" s="412"/>
      <c r="GX44" s="412"/>
      <c r="GY44" s="412"/>
      <c r="GZ44" s="412"/>
      <c r="HA44" s="432" t="str">
        <f t="shared" si="155"/>
        <v>PROP</v>
      </c>
      <c r="HB44" s="1234" t="str">
        <f>IF(A44=FALSE,"",IF(Detail!DF44="","N/A",YEAR(Detail!F44)&amp;Detail!DI44&amp;Detail!DF44&amp;"-"&amp;Detail!$DF$13))</f>
        <v>N/A</v>
      </c>
      <c r="HC44" s="434" t="str">
        <f>IF(A44=FALSE,"",IF(LISTES!$A$17=1,HB44,INDEX(colMOD4,MATCH(Cotations!AH44,colchoice,0))))</f>
        <v>N/A</v>
      </c>
      <c r="HD44" s="277" t="str">
        <f t="shared" si="278"/>
        <v>N/A</v>
      </c>
      <c r="HE44" s="277">
        <f t="shared" si="279"/>
        <v>0</v>
      </c>
      <c r="HF44" s="277"/>
      <c r="HG44" s="277"/>
      <c r="HH44" s="277">
        <f t="shared" si="280"/>
        <v>0</v>
      </c>
      <c r="HI44" s="1104">
        <f t="shared" si="281"/>
        <v>0</v>
      </c>
      <c r="HJ44" s="1104">
        <f t="shared" si="282"/>
        <v>0</v>
      </c>
      <c r="HK44" s="443">
        <f>IF(A44=FALSE,"",IF(Cotations!AF44="monthly",HH44/12*L44,HH44/365*M44))</f>
        <v>0</v>
      </c>
      <c r="HL44" s="1103">
        <f>IF(A44=FALSE,"",IF(Cotations!AF44="monthly",HJ44/12*L44,HJ44/365*M44))</f>
        <v>0</v>
      </c>
      <c r="HM44" s="433">
        <f>IF(A44=FALSE,"",IF(Cotations!AL44="","",Cotations!AL44))</f>
        <v>0</v>
      </c>
      <c r="HN44" s="277">
        <f t="shared" si="283"/>
        <v>0</v>
      </c>
      <c r="HO44" s="277">
        <f t="shared" si="284"/>
        <v>0</v>
      </c>
      <c r="HP44" s="1104">
        <f t="shared" si="285"/>
        <v>0</v>
      </c>
      <c r="HQ44" s="277">
        <f t="shared" si="286"/>
        <v>0</v>
      </c>
      <c r="HR44" s="759">
        <f>IF(A44=FALSE,"",((HH44*TAXE)-(HH44*TAXE*HM44)+HI44)+IF(CQ44="N/A",0,IF(INDEX(LISTES!$F$105:$F$109,MATCH(CQ44,LISTES!$C$105:$C$109,0))="FIX",CR44,CS44*HQ44)))</f>
        <v>15.1752</v>
      </c>
      <c r="HS44" s="412"/>
      <c r="HT44" s="412"/>
      <c r="HU44" s="412"/>
      <c r="HV44" s="412"/>
      <c r="HW44" s="412"/>
      <c r="HX44" s="412"/>
      <c r="HY44" s="412"/>
      <c r="HZ44" s="1262"/>
      <c r="IA44" s="432" t="str">
        <f>IF(A44=FALSE,"",Cotations!AT44)</f>
        <v>PROP</v>
      </c>
      <c r="IB44" s="1253" t="str">
        <f>IF(A44=FALSE,"",IF(Detail!AT44="","N/A",YEAR(Detail!F44)&amp;Detail!AW44&amp;Detail!AT44&amp;"-"&amp;Detail!$AT$13&amp;Detail!AU44))</f>
        <v>2017EURAnker Verzekeringen n.v.-Death AccidentFormula 3</v>
      </c>
      <c r="IC44" s="431" t="str">
        <f>IF(A44=FALSE,"",IF(LISTES!$A$17=1,IB44,INDEX(colMOD1,MATCH(DA44,colchoice,0))))</f>
        <v>2017EURAnker Verzekeringen n.v.-Death AccidentFormula 3</v>
      </c>
      <c r="ID44" s="759" t="str">
        <f t="shared" si="287"/>
        <v>Anker Verzekeringen n.v.</v>
      </c>
      <c r="IE44" s="292" t="str">
        <f>IF(A44=FALSE,"",IF(LISTES!$A$17=1,Detail!AU44,INDEX(Rates!$M$1:$M$270,MATCH(IC44,colMOD1,0))))</f>
        <v>Formula 3</v>
      </c>
      <c r="IF44" s="409">
        <f t="shared" si="165"/>
        <v>6.9103448275862072E-4</v>
      </c>
      <c r="IG44" s="430">
        <f>IF(A44=FALSE,"",IF(IA44="POEA",Cotations!AY44,IF(IA44="FIXE",Cotations!AZ44,IF(Cotations!BA44*Y44&lt;50000,Z44,Cotations!BA44*Y44))))</f>
        <v>108000</v>
      </c>
      <c r="IH44" s="292">
        <f t="shared" si="166"/>
        <v>74.63172413793103</v>
      </c>
      <c r="II44" s="446">
        <f>IF(A44=FALSE,"",IF(Cotations!AU44="monthly",IH44/12*L44,IH44/365*M44))</f>
        <v>37.009156353330184</v>
      </c>
      <c r="IJ44" s="429">
        <f>IF(A44=FALSE,"",IF(Cotations!BB44="","",Cotations!BB44))</f>
        <v>0</v>
      </c>
      <c r="IK44" s="292">
        <f t="shared" si="167"/>
        <v>0</v>
      </c>
      <c r="IL44" s="292">
        <f t="shared" si="168"/>
        <v>37.009156353330184</v>
      </c>
      <c r="IM44" s="759">
        <f t="shared" si="169"/>
        <v>38.489522607463392</v>
      </c>
      <c r="IN44" s="759">
        <f>IF(A44=FALSE,"",((IH44*TAXE)-(IH44*TAXE*IJ44))+IF(DQ44="N/A",0,IF(INDEX(LISTES!$F$105:$F$109,MATCH(DQ44,LISTES!$C$105:$C$109,0))="FIX",DR44,DS44*IM44)))</f>
        <v>77.61699310344828</v>
      </c>
      <c r="JA44" s="432" t="str">
        <f>IF(A44=FALSE,"",Cotations!AT44)</f>
        <v>PROP</v>
      </c>
      <c r="JB44" s="1234" t="str">
        <f>IF(A44=FALSE,"",IF(Detail!BB44="","N/A",YEAR(Detail!F44)&amp;Detail!BE44&amp;Detail!BB44&amp;"-"&amp;Detail!$BB$13&amp;Detail!BC44))</f>
        <v>2017EURAnker Verzekeringen n.v.-Death IllnessFormula 3</v>
      </c>
      <c r="JC44" s="431" t="str">
        <f>IF(A44=FALSE,"",IF(LISTES!$A$17=1,JB44,INDEX(colMOD2,MATCH(DA44,colchoice,0))))</f>
        <v>2017EURAnker Verzekeringen n.v.-Death illnessFormula 3</v>
      </c>
      <c r="JD44" s="759" t="str">
        <f t="shared" si="170"/>
        <v>Anker Verzekeringen n.v.</v>
      </c>
      <c r="JE44" s="292"/>
      <c r="JF44" s="409">
        <f t="shared" si="171"/>
        <v>1.7282758620689655E-3</v>
      </c>
      <c r="JG44" s="430">
        <f>IF(A44=FALSE,"",IF(JA44="POEA",Cotations!BC44,IF(JA44="FIXE",Cotations!BD44,IF(Cotations!BE44*Y44&lt;50000,Z44,Cotations!BE44*Y44))))</f>
        <v>108000</v>
      </c>
      <c r="JH44" s="292">
        <f t="shared" si="172"/>
        <v>186.65379310344827</v>
      </c>
      <c r="JI44" s="446">
        <f>IF(A44=FALSE,"",IF(Cotations!AU44="monthly",JH44/12*L44,JH44/365*M44))</f>
        <v>92.559826169107225</v>
      </c>
      <c r="JJ44" s="429">
        <f>IF(A44=FALSE,"",IF(Cotations!BF44="","",Cotations!BF44))</f>
        <v>0</v>
      </c>
      <c r="JK44" s="292">
        <f t="shared" si="173"/>
        <v>0</v>
      </c>
      <c r="JL44" s="292">
        <f t="shared" si="174"/>
        <v>92.559826169107225</v>
      </c>
      <c r="JM44" s="759">
        <f t="shared" si="175"/>
        <v>96.262219215871511</v>
      </c>
      <c r="JN44" s="759" t="e">
        <f>IF(A44=FALSE,"",((JH44*TAXE)-(JH44*TAXE*JJ44))+IF(#REF!="N/A",0,IF(INDEX(LISTES!$F$105:$F$109,MATCH(#REF!,LISTES!$C$105:$C$109,0))="FIX",#REF!,#REF!*JM44)))</f>
        <v>#REF!</v>
      </c>
      <c r="KA44" s="432" t="str">
        <f>IF(A44=FALSE,"",Cotations!AT44)</f>
        <v>PROP</v>
      </c>
      <c r="KB44" s="1234" t="str">
        <f>IF(A44=FALSE,"",IF(Detail!BJ44="","N/A",YEAR(Detail!F44)&amp;Detail!BM44&amp;Detail!BJ44&amp;"-"&amp;Detail!$BJ$13&amp;Detail!BK44))</f>
        <v>2017EURAnker Verzekeringen n.v.-Permanent Disability AccidentFormula 3</v>
      </c>
      <c r="KC44" s="431" t="str">
        <f>IF(A44=FALSE,"",IF(LISTES!$A$17=1,KB44,INDEX(colMOD3,MATCH(DA44,colchoice,0))))</f>
        <v>2017EURAnker Verzekeringen n.v.-Permanent Disability AccidentFormula 3</v>
      </c>
      <c r="KD44" s="759" t="str">
        <f t="shared" si="176"/>
        <v>Anker Verzekeringen n.v.</v>
      </c>
      <c r="KE44" s="292"/>
      <c r="KF44" s="409">
        <f t="shared" si="177"/>
        <v>6.9103448275862072E-4</v>
      </c>
      <c r="KG44" s="430">
        <f>IF(A44=FALSE,"",IF(KA44="POEA",Cotations!BG44,IF(KA44="FIXE",Cotations!BH44,IF(Cotations!BI44*Y44&lt;50000,Z44,Cotations!BI44*Y44))))</f>
        <v>108000</v>
      </c>
      <c r="KH44" s="292">
        <f t="shared" si="178"/>
        <v>92.20965517241379</v>
      </c>
      <c r="KI44" s="446">
        <f>IF(A44=FALSE,"",IF(Cotations!AU44="monthly",KH44/12*L44,KH44/365*M44))</f>
        <v>45.725883797827116</v>
      </c>
      <c r="KJ44" s="429">
        <f>IF(A44=FALSE,"",IF(Cotations!BJ44="","",Cotations!BJ44))</f>
        <v>0</v>
      </c>
      <c r="KK44" s="292">
        <f t="shared" si="179"/>
        <v>0</v>
      </c>
      <c r="KL44" s="292">
        <f t="shared" si="180"/>
        <v>45.725883797827116</v>
      </c>
      <c r="KM44" s="759">
        <f t="shared" si="181"/>
        <v>47.554919149740201</v>
      </c>
      <c r="KN44" s="759" t="e">
        <f>IF(A44=FALSE,"",((KH44*TAXE)-(KH44*TAXE*KJ44))+IF(#REF!="N/A",0,IF(INDEX(LISTES!$F$105:$F$109,MATCH(#REF!,LISTES!$C$105:$C$109,0))="FIX",#REF!,#REF!*KM44)))</f>
        <v>#REF!</v>
      </c>
      <c r="LA44" s="432" t="str">
        <f>IF(A44=FALSE,"",Cotations!AT44)</f>
        <v>PROP</v>
      </c>
      <c r="LB44" s="1234" t="str">
        <f>IF(A44=FALSE,"",IF(Detail!BR44="","N/A",YEAR(Detail!F44)&amp;Detail!BU44&amp;Detail!BR44&amp;"-"&amp;Detail!$BR$13&amp;Detail!BS44))</f>
        <v>2017EURAnker Verzekeringen n.v.-Permanent Disability IllnessFormula 3</v>
      </c>
      <c r="LC44" s="431" t="str">
        <f>IF(A44=FALSE,"",IF(LISTES!$A$17=1,LB44,INDEX(colMOD4,MATCH(DA44,colchoice,0))))</f>
        <v>2017EURAnker Verzekeringen n.v.-Permanent Disability illnessFormula 3</v>
      </c>
      <c r="LD44" s="759" t="str">
        <f t="shared" si="182"/>
        <v>Anker Verzekeringen n.v.</v>
      </c>
      <c r="LE44" s="292"/>
      <c r="LF44" s="409">
        <f t="shared" si="183"/>
        <v>2.0537931034482759E-3</v>
      </c>
      <c r="LG44" s="430">
        <f>IF(A44=FALSE,"",IF(LA44="POEA",Cotations!BK44,IF(LA44="FIXE",Cotations!BL44,IF(Cotations!BM44*Y44&lt;50000,Z44,Cotations!BM44*Y44))))</f>
        <v>108000</v>
      </c>
      <c r="LH44" s="292">
        <f t="shared" si="184"/>
        <v>221.80965517241381</v>
      </c>
      <c r="LI44" s="446">
        <f>IF(A44=FALSE,"",IF(Cotations!AU44="monthly",LH44/12*L44,LH44/365*M44))</f>
        <v>109.9932810581011</v>
      </c>
      <c r="LJ44" s="429">
        <f>IF(A44=FALSE,"",IF(Cotations!BN44="","",Cotations!BN44))</f>
        <v>0</v>
      </c>
      <c r="LK44" s="292">
        <f t="shared" si="185"/>
        <v>0</v>
      </c>
      <c r="LL44" s="292">
        <f t="shared" si="186"/>
        <v>109.9932810581011</v>
      </c>
      <c r="LM44" s="759">
        <f t="shared" si="187"/>
        <v>114.39301230042516</v>
      </c>
      <c r="LN44" s="759" t="e">
        <f>IF(A44=FALSE,"",((LH44*TAXE)-(LH44*TAXE*LJ44))+IF(#REF!="N/A",0,IF(INDEX(LISTES!$F$105:$F$109,MATCH(#REF!,LISTES!$C$105:$C$109,0))="FIX",#REF!,#REF!*LM44)))</f>
        <v>#REF!</v>
      </c>
      <c r="MA44" s="432" t="str">
        <f t="shared" si="188"/>
        <v>PROP</v>
      </c>
      <c r="MB44" s="1234" t="str">
        <f>IF(A44=FALSE,"",IF(Detail!BZ44="","N/A",YEAR(Detail!F44)&amp;Detail!CC44&amp;Detail!BZ44&amp;"-"&amp;Detail!$BZ$13&amp;" (100%/"&amp;Detail!CD44&amp;"/"&amp;Detail!CE44&amp;")"))</f>
        <v>2017EURAnker Verzekeringen n.v.-Temporary Disability Accident (100%/7/365)</v>
      </c>
      <c r="MC44" s="431" t="str">
        <f>IF(A44=FALSE,"",IF(LISTES!$A$17=1,MB44,INDEX(colMOD5,MATCH(DA44,colchoice,0))))</f>
        <v>2017EURAnker Verzekeringen n.v.-Temporary Disability Accident (100%/7/365)</v>
      </c>
      <c r="MD44" s="759" t="str">
        <f t="shared" si="189"/>
        <v>Anker Verzekeringen n.v.</v>
      </c>
      <c r="ME44" s="292"/>
      <c r="MF44" s="409">
        <f t="shared" si="190"/>
        <v>8.1144827586206898E-3</v>
      </c>
      <c r="MG44" s="430">
        <f>IF(A44=FALSE,"",Cotations!BQ44*AA44)</f>
        <v>36000</v>
      </c>
      <c r="MH44" s="292">
        <f t="shared" si="191"/>
        <v>292.12137931034482</v>
      </c>
      <c r="MI44" s="446">
        <f>IF(A44=FALSE,"",IF(Cotations!AU44="monthly",MH44/12*L44,MH44/365*M44))</f>
        <v>144.8601908360888</v>
      </c>
      <c r="MJ44" s="429">
        <f>IF(A44=FALSE,"",IF(Cotations!BR44="","",Cotations!BR44))</f>
        <v>0</v>
      </c>
      <c r="MK44" s="292">
        <f t="shared" si="192"/>
        <v>0</v>
      </c>
      <c r="ML44" s="292">
        <f t="shared" si="193"/>
        <v>144.8601908360888</v>
      </c>
      <c r="MM44" s="759">
        <f t="shared" si="194"/>
        <v>150.65459846953237</v>
      </c>
      <c r="MN44" s="759" t="e">
        <f>IF(A44=FALSE,"",((MH44*TAXE)-(MH44*TAXE*MJ44))+IF(#REF!="N/A",0,IF(INDEX(LISTES!$F$105:$F$109,MATCH(#REF!,LISTES!$C$105:$C$109,0))="FIX",#REF!,#REF!*MM44)))</f>
        <v>#REF!</v>
      </c>
      <c r="NA44" s="432" t="str">
        <f t="shared" si="195"/>
        <v>PROP</v>
      </c>
      <c r="NB44" s="1234" t="str">
        <f>IF(A44=FALSE,"",IF(Detail!CH44="","N/A",YEAR(Detail!F44)&amp;Detail!CK44&amp;Detail!CH44&amp;"-"&amp;Detail!$CH$13&amp;" (100%/"&amp;Detail!CL44&amp;"/"&amp;Detail!CM44&amp;")"))</f>
        <v>2017EURAnker Verzekeringen n.v.-Temporary Disability Illness (100%/7/365)</v>
      </c>
      <c r="NC44" s="431" t="str">
        <f>IF(A44=FALSE,"",IF(LISTES!$A$17=1,NB44,INDEX(colMOD6,MATCH(DA44,colchoice,0))))</f>
        <v>2017EURAnker Verzekeringen n.v.-Temporary Disability illness (100%/7/365)</v>
      </c>
      <c r="ND44" s="759" t="str">
        <f t="shared" si="196"/>
        <v>Anker Verzekeringen n.v.</v>
      </c>
      <c r="NE44" s="292"/>
      <c r="NF44" s="409">
        <f t="shared" si="197"/>
        <v>8.1144827586206898E-3</v>
      </c>
      <c r="NG44" s="430">
        <f>IF(A44=FALSE,"",Cotations!BU44*AA44)</f>
        <v>36000</v>
      </c>
      <c r="NH44" s="292">
        <f t="shared" si="198"/>
        <v>583.79586206896556</v>
      </c>
      <c r="NI44" s="446">
        <f>IF(A44=FALSE,"",IF(Cotations!AU44="monthly",NH44/12*L44,NH44/365*M44))</f>
        <v>289.49876995748701</v>
      </c>
      <c r="NJ44" s="429">
        <f>IF(A44=FALSE,"",IF(Cotations!BV44="","",Cotations!BV44))</f>
        <v>0</v>
      </c>
      <c r="NK44" s="292">
        <f t="shared" si="199"/>
        <v>0</v>
      </c>
      <c r="NL44" s="292">
        <f t="shared" si="200"/>
        <v>289.49876995748701</v>
      </c>
      <c r="NM44" s="759">
        <f t="shared" si="201"/>
        <v>301.07872075578649</v>
      </c>
      <c r="NN44" s="759" t="e">
        <f>IF(A44=FALSE,"",((NH44*TAXE)-(NH44*TAXE*NJ44))+IF(#REF!="N/A",0,IF(INDEX(LISTES!$F$105:$F$109,MATCH(#REF!,LISTES!$C$105:$C$109,0))="FIX",#REF!,#REF!*NM44)))</f>
        <v>#REF!</v>
      </c>
      <c r="NZ44" s="1281" t="str">
        <f>IF(A44=FALSE,"",IF(Detail!CP44="","N/A",YEAR(Detail!F44)&amp;Detail!CS44&amp;Detail!CP44&amp;"-"&amp;Detail!CQ44))</f>
        <v>N/A</v>
      </c>
      <c r="OA44" s="432" t="str">
        <f>IF(A44=FALSE,"",Cotations!CF44)</f>
        <v>FIXE</v>
      </c>
      <c r="OB44" s="1282" t="str">
        <f>IF(A44=FALSE,"",IF(Detail!CP44="","N/A",YEAR(Detail!F44)&amp;Detail!CS44&amp;Detail!CP44&amp;"-"&amp;Detail!$CP$13&amp;Detail!CQ44))</f>
        <v>N/A</v>
      </c>
      <c r="OC44" s="1283" t="str">
        <f>IF(A44=FALSE,"",IF(LISTES!$A$17=1,OB44,INDEX(colMOD1,MATCH(Cotations!CE44,colchoice,0))))</f>
        <v>N/A</v>
      </c>
      <c r="OD44" s="759" t="str">
        <f t="shared" si="202"/>
        <v>N/A</v>
      </c>
      <c r="OE44" s="292">
        <f>IF(A44=FALSE,"",Detail!CQ44)</f>
        <v>0</v>
      </c>
      <c r="OF44" s="409" t="str">
        <f t="shared" si="203"/>
        <v/>
      </c>
      <c r="OG44" s="430">
        <f>IF(A44=FALSE,"",IF(OA44="FIXE",Cotations!CM44,Cotations!CN44*AA44))</f>
        <v>100000</v>
      </c>
      <c r="OH44" s="292">
        <f t="shared" si="288"/>
        <v>0</v>
      </c>
      <c r="OI44" s="446">
        <f>IF(A44=FALSE,"",IF(Cotations!CF44="monthly",OH44/12*L44,OH44/365*M44))</f>
        <v>0</v>
      </c>
      <c r="OJ44" s="429">
        <f>IF(A44=FALSE,"",IF(Cotations!CO44="","",Cotations!CO44))</f>
        <v>0</v>
      </c>
      <c r="OK44" s="292">
        <f t="shared" si="289"/>
        <v>0</v>
      </c>
      <c r="OL44" s="292">
        <f t="shared" si="290"/>
        <v>0</v>
      </c>
      <c r="OM44" s="759">
        <f t="shared" si="207"/>
        <v>0</v>
      </c>
      <c r="ON44" s="759" t="e">
        <f>IF(A44=FALSE,"",((OH44*(1+TAXE)-(OH44*(1+TAXE)*OJ44))+IF(#REF!="N/A",0,IF(INDEX(LISTES!$F$105:$F$109,MATCH(#REF!,LISTES!$C$105:$C$109,0))="FIX",#REF!,#REF!*OM44))))</f>
        <v>#REF!</v>
      </c>
      <c r="PA44" s="432" t="str">
        <f>IF(A44=FALSE,"",Cotations!CF44)</f>
        <v>FIXE</v>
      </c>
      <c r="PB44" s="1282" t="str">
        <f>IF(A44=FALSE,"",IF(Detail!CX44="","N/A",YEAR(Detail!F44)&amp;Detail!DA44&amp;Detail!CX44&amp;"-"&amp;Detail!$CX$13&amp;Detail!CY44))</f>
        <v>N/A</v>
      </c>
      <c r="PC44" s="1283" t="str">
        <f>IF(A44=FALSE,"",IF(LISTES!$A$17=1,PB44,INDEX(colMOD3,MATCH(Cotations!CE44,colchoice,0))))</f>
        <v>N/A</v>
      </c>
      <c r="PD44" s="759" t="str">
        <f t="shared" si="208"/>
        <v>N/A</v>
      </c>
      <c r="PE44" s="292" t="str">
        <f>IF(A44=FALSE,"",IF(Detail!CY44="","",Detail!CY44))</f>
        <v/>
      </c>
      <c r="PF44" s="409">
        <f t="shared" si="291"/>
        <v>0</v>
      </c>
      <c r="PG44" s="430">
        <f>IF(A44=FALSE,"",IF(PA44="FIXE",Cotations!CP44,Cotations!CQ44*AA44))</f>
        <v>100000</v>
      </c>
      <c r="PH44" s="292">
        <f t="shared" si="292"/>
        <v>0</v>
      </c>
      <c r="PI44" s="446">
        <f>IF(A44=FALSE,"",IF(Cotations!CG44="monthly",PH44/12*L44,PH44/365*M44))</f>
        <v>0</v>
      </c>
      <c r="PJ44" s="429">
        <f>IF(A44=FALSE,"",IF(Cotations!DA44="",0,Cotations!DA44))</f>
        <v>0</v>
      </c>
      <c r="PK44" s="292">
        <f t="shared" si="293"/>
        <v>0</v>
      </c>
      <c r="PL44" s="292">
        <f t="shared" si="294"/>
        <v>0</v>
      </c>
      <c r="PM44" s="759">
        <f t="shared" si="211"/>
        <v>0</v>
      </c>
      <c r="PN44" s="759" t="e">
        <f>IF(A44=FALSE,"",((PH44*(1+TAXE)-(PH44*(1+TAXE)*PJ44))+IF(#REF!="N/A",0,IF(INDEX(LISTES!$F$105:$F$109,MATCH(#REF!,LISTES!$C$105:$C$109,0))="FIX",#REF!,#REF!*PM44))))</f>
        <v>#REF!</v>
      </c>
    </row>
    <row r="45" spans="1:430">
      <c r="A45" s="779" t="b">
        <f t="shared" si="111"/>
        <v>1</v>
      </c>
      <c r="B45" s="779" t="b">
        <f>IF(NAMES!$B$9=TRUE,TRUE,FALSE)</f>
        <v>1</v>
      </c>
      <c r="C45" s="779" t="b">
        <f t="shared" si="212"/>
        <v>1</v>
      </c>
      <c r="D45" s="779" t="b">
        <f t="shared" si="213"/>
        <v>1</v>
      </c>
      <c r="E45" s="267" t="b">
        <f>IF(Cotations!C45="","",Cotations!C45)</f>
        <v>1</v>
      </c>
      <c r="F45" s="267" t="str">
        <f>IF(Cotations!AT45="","",Cotations!AT45)</f>
        <v>PROP</v>
      </c>
      <c r="G45" s="267" t="str">
        <f>IF(Cotations!D45="","",Cotations!D45)</f>
        <v>2017-2017!</v>
      </c>
      <c r="H45" s="267" t="str">
        <f>IF(Cotations!E45="","",Cotations!E45)</f>
        <v>SINGLE</v>
      </c>
      <c r="I45" s="267">
        <f>IF(Cotations!F45="","",Cotations!F45)</f>
        <v>130254</v>
      </c>
      <c r="J45" s="267" t="str">
        <f>IF(Cotations!G45="","",Cotations!G45)</f>
        <v>Chief cook</v>
      </c>
      <c r="K45" s="267" t="str">
        <f>IF(Cotations!H45="","",Cotations!H45)</f>
        <v>LIO</v>
      </c>
      <c r="L45" s="267">
        <f>IF(A45=FALSE,"",IF(Cotations!M45="","",Cotations!M45))</f>
        <v>6</v>
      </c>
      <c r="M45" s="267">
        <f>IF(Cotations!O45="","",Cotations!O45)</f>
        <v>181</v>
      </c>
      <c r="N45" s="588">
        <f>IF(NAMES!$B$10=TRUE,Cotations!I45,Cotations!K45)</f>
        <v>42750</v>
      </c>
      <c r="O45" s="588">
        <f>IF(NAMES!$B$10=TRUE,Cotations!J45,Cotations!L45)</f>
        <v>42930</v>
      </c>
      <c r="P45" s="780" t="str">
        <f t="shared" si="214"/>
        <v>janvier</v>
      </c>
      <c r="Q45" s="588">
        <f>IF(A45=FALSE,"",IF(Crewlist!Y45="","",Crewlist!Y45))</f>
        <v>42930</v>
      </c>
      <c r="R45" s="78" t="str">
        <f>IF(Cotations!T45="","",Cotations!T45)</f>
        <v>annual</v>
      </c>
      <c r="S45" s="780" t="str">
        <f t="shared" si="215"/>
        <v>VRAI130254janvier42750</v>
      </c>
      <c r="T45" s="759">
        <f>IF(A45=FALSE,"",VLOOKUP($U$15:$U$120,Currency!$A$2:$D$10,4,0)*Crewlist!N45)</f>
        <v>3500</v>
      </c>
      <c r="U45" s="1097" t="str">
        <f>IF(A45=FALSE,"",IF(DP45=0,Crewlist!M45&amp;"/"&amp;CP45,Crewlist!M45&amp;"/"&amp;DP45))</f>
        <v>EUR/EUR</v>
      </c>
      <c r="V45" s="759">
        <f>IF(A45=FALSE,"",VLOOKUP($U$15:$U$120,Currency!$A$2:$D$10,4,0)*Detail!Q45)</f>
        <v>3500</v>
      </c>
      <c r="W45" s="1097" t="str">
        <f>IF(A45=FALSE,"",IF(DP45=0,Detail!R45&amp;"/"&amp;CP45,Detail!R45&amp;"/"&amp;DP45))</f>
        <v>EUR/EUR</v>
      </c>
      <c r="X45" s="759">
        <f>IF(A45=FALSE,"",IF(LISTES!$C$17="Crewlist",Calcul!T45,Calcul!V45))</f>
        <v>3500</v>
      </c>
      <c r="Y45" s="618">
        <f t="shared" si="216"/>
        <v>42000</v>
      </c>
      <c r="Z45" s="618">
        <f>IF(A45=FALSE,"",IF(X45=0,0,IF((Cotations!BA45*12*X45)&lt;50000,50000,(12*X45))))</f>
        <v>42000</v>
      </c>
      <c r="AA45" s="618">
        <f t="shared" si="217"/>
        <v>42000</v>
      </c>
      <c r="AB45" s="618">
        <f>IF(A45=FALSE,"",IF(Crewlist!O45=0,"",Crewlist!O45))</f>
        <v>2500</v>
      </c>
      <c r="AC45" s="618" t="e">
        <f>IF(I45="","",VLOOKUP($AB$15:$AB$120,Currency!$A$15:$B$34,2,0))</f>
        <v>#N/A</v>
      </c>
      <c r="AD45" s="618" t="e">
        <f t="shared" si="218"/>
        <v>#N/A</v>
      </c>
      <c r="AE45" s="618" t="e">
        <f t="shared" si="219"/>
        <v>#N/A</v>
      </c>
      <c r="AF45" s="618" t="e">
        <f t="shared" si="220"/>
        <v>#N/A</v>
      </c>
      <c r="AG45" s="618">
        <f t="shared" si="221"/>
        <v>20827.39726027397</v>
      </c>
      <c r="AH45" s="1097" t="str">
        <f t="shared" si="112"/>
        <v>EUR</v>
      </c>
      <c r="AI45" s="759">
        <f t="shared" si="222"/>
        <v>1212.4694245819558</v>
      </c>
      <c r="AJ45" s="1120">
        <f t="shared" si="223"/>
        <v>333.29759999999999</v>
      </c>
      <c r="AK45" s="1120">
        <f t="shared" si="224"/>
        <v>873.17182458195566</v>
      </c>
      <c r="AL45" s="236">
        <f t="shared" si="225"/>
        <v>7.5876000000000001</v>
      </c>
      <c r="AM45" s="236">
        <f t="shared" si="226"/>
        <v>46.110839406998338</v>
      </c>
      <c r="AN45" s="1112">
        <f t="shared" si="227"/>
        <v>0</v>
      </c>
      <c r="AO45" s="236">
        <f t="shared" si="228"/>
        <v>53.69843940699834</v>
      </c>
      <c r="AP45" s="327" t="str">
        <f>IF(A45=FALSE,"",INDEX(Rates!$Q$1:$Q$278,MATCH(CA45,colchoice,0)))</f>
        <v>WCA</v>
      </c>
      <c r="AQ45" s="236">
        <f t="shared" si="229"/>
        <v>6</v>
      </c>
      <c r="AR45" s="236">
        <f t="shared" si="230"/>
        <v>1152.7709851749573</v>
      </c>
      <c r="AS45" s="236">
        <f t="shared" si="117"/>
        <v>325.70999999999998</v>
      </c>
      <c r="AT45" s="236">
        <f t="shared" si="118"/>
        <v>873.17182458195566</v>
      </c>
      <c r="AU45" s="236">
        <f t="shared" si="231"/>
        <v>256.06730769230762</v>
      </c>
      <c r="AV45" s="236">
        <f t="shared" si="232"/>
        <v>57.115384615384613</v>
      </c>
      <c r="AW45" s="236">
        <f t="shared" si="233"/>
        <v>43.177349078885214</v>
      </c>
      <c r="AX45" s="236">
        <f t="shared" si="234"/>
        <v>107.98646386395843</v>
      </c>
      <c r="AY45" s="236">
        <f t="shared" si="235"/>
        <v>53.346864430798306</v>
      </c>
      <c r="AZ45" s="236">
        <f t="shared" si="236"/>
        <v>128.32549456778463</v>
      </c>
      <c r="BA45" s="236">
        <f t="shared" si="237"/>
        <v>169.00355597543694</v>
      </c>
      <c r="BB45" s="467">
        <f t="shared" si="238"/>
        <v>337.74856495040154</v>
      </c>
      <c r="BC45" s="329">
        <f t="shared" si="239"/>
        <v>325.70999999999998</v>
      </c>
      <c r="BD45" s="237">
        <f t="shared" si="240"/>
        <v>313.18269230769226</v>
      </c>
      <c r="BE45" s="237">
        <f>IF(A45=FALSE,"",IF(ED45&lt;&gt;$BC$7,0,INDEX(EA45:EZ45,1,MATCH(Structure!$J$16,$EA$14:$EZ$14,0))))</f>
        <v>256.06730769230762</v>
      </c>
      <c r="BF45" s="237">
        <f>IF(A45=FALSE,"",IF(FD45&lt;&gt;$BC$7,0,INDEX(FA45:FZ45,1,MATCH(Structure!$J$16,$FA$14:$FZ$14,0))))</f>
        <v>57.115384615384613</v>
      </c>
      <c r="BG45" s="237">
        <f>IF(A45=FALSE,"",IF(GD45&lt;&gt;$BC$7,0,INDEX(GA45:GZ45,1,MATCH(Structure!$J$16,$GA$14:$GZ$14,0))))</f>
        <v>0</v>
      </c>
      <c r="BH45" s="237">
        <f>IF(A45=FALSE,"",IF(HD45&lt;&gt;$BC$7,0,INDEX(HA45:HZ45,1,MATCH(Structure!$J$16,$HA$14:$HZ$14,0))))</f>
        <v>0</v>
      </c>
      <c r="BI45" s="621">
        <f>IF(A45=FALSE,"",IF(ID45&lt;&gt;$BC$7,0,INDEX(IA45:IZ45,1,MATCH(Structure!$C$12,$IA$14:$IZ$14,0)))+OL45)</f>
        <v>0</v>
      </c>
      <c r="BJ45" s="237">
        <f>IF(A45=FALSE,"",IF(JD45&lt;&gt;$BC$7,0,INDEX(JA45:JZ45,1,MATCH(Structure!$C$12,$JA$14:$JZ$14,0))))</f>
        <v>0</v>
      </c>
      <c r="BK45" s="621">
        <f>IF(A45=FALSE,"",IF(KD45&lt;&gt;$BC$7,0,INDEX(KA45:KZ45,1,MATCH(Structure!$C$12,$KA$14:$KZ$14,0)))+PL45)</f>
        <v>0</v>
      </c>
      <c r="BL45" s="237">
        <f>IF(A45=FALSE,"",IF(LD45&lt;&gt;$BC$7,0,INDEX(LA45:LZ45,1,MATCH(Structure!$C$12,$LA$14:$LZ$14,0))))</f>
        <v>0</v>
      </c>
      <c r="BM45" s="237">
        <f>IF(A45=FALSE,"",IF(MD45&lt;&gt;$BC$7,0,INDEX(MA45:MZ45,1,MATCH(Structure!$C$12,$MA$14:$MZ$14,0))))</f>
        <v>0</v>
      </c>
      <c r="BN45" s="326">
        <f>IF(A45=FALSE,"",IF(ND45&lt;&gt;$BC$7,0,INDEX(NA45:OC45,1,MATCH(Structure!$C$12,$NA$14:$OC$14,0))))</f>
        <v>0</v>
      </c>
      <c r="BO45" s="435">
        <f t="shared" si="241"/>
        <v>873.17182458195566</v>
      </c>
      <c r="BP45" s="237">
        <f t="shared" si="242"/>
        <v>839.58829286726507</v>
      </c>
      <c r="BQ45" s="237">
        <f>IF(A45=FALSE,"",IF(ED45&lt;&gt;$BO$7,0,INDEX(EA45:EZ45,1,MATCH(Structure!$C$12,$EA$14:$EZ$14,0))))</f>
        <v>0</v>
      </c>
      <c r="BR45" s="237">
        <f>IF(A45=FALSE,"",IF(FD45&lt;&gt;$BO$7,0,INDEX(FA45:FZ45,1,MATCH(Structure!$C$12,$FA$14:$FZ$14,0))))</f>
        <v>0</v>
      </c>
      <c r="BS45" s="237">
        <f>IF(A45=FALSE,"",IF(ID45&lt;&gt;$BO$7,0,INDEX(IA45:IZ45,1,MATCH(Structure!$C$13,$IA$14:$IZ$14,0))))</f>
        <v>43.177349078885214</v>
      </c>
      <c r="BT45" s="237">
        <f>IF(A45=FALSE,"",IF(JD45&lt;&gt;$BO$7,0,INDEX(JA45:JZ45,1,MATCH(Structure!$C$13,$JA$14:$JZ$14,0))))</f>
        <v>107.98646386395843</v>
      </c>
      <c r="BU45" s="237">
        <f>IF(A45=FALSE,"",IF(KD45&lt;&gt;$BO$7,0,INDEX(KA45:KZ45,1,MATCH(Structure!$C$13,$KA$14:$KZ$14,0))))</f>
        <v>53.346864430798306</v>
      </c>
      <c r="BV45" s="237">
        <f>IF(A45=FALSE,"",IF(LD45&lt;&gt;$BO$7,0,INDEX(LA45:LZ45,1,MATCH(Structure!$C$13,$LA$14:$LZ$14,0))))</f>
        <v>128.32549456778463</v>
      </c>
      <c r="BW45" s="237">
        <f>IF(A45=FALSE,"",IF(MD45&lt;&gt;$BO$7,0,INDEX(MA45:MZ45,1,MATCH(Structure!$C$13,$MA$14:$MZ$14,0))))</f>
        <v>169.00355597543694</v>
      </c>
      <c r="BX45" s="326">
        <f>IF(A45=FALSE,"",IF(ND45&lt;&gt;$BO$7,0,INDEX(NA45:OC45,1,MATCH(Structure!$C$13,$NA$14:$OC$14,0))))</f>
        <v>337.74856495040154</v>
      </c>
      <c r="BY45" s="412"/>
      <c r="BZ45" s="412"/>
      <c r="CA45" s="1255" t="str">
        <f>IF(A45=FALSE,"",IF(LISTES!$A$17=1,Cotations!AG45,Cotations!AH45))</f>
        <v>2017EURAIG Luxembourg-StandardMLC S</v>
      </c>
      <c r="CB45" s="1266">
        <f t="shared" si="243"/>
        <v>313.18269230769226</v>
      </c>
      <c r="CC45" s="1120">
        <f t="shared" si="244"/>
        <v>256.06730769230762</v>
      </c>
      <c r="CD45" s="1120">
        <f t="shared" si="245"/>
        <v>57.115384615384613</v>
      </c>
      <c r="CE45" s="1120">
        <f t="shared" si="246"/>
        <v>0</v>
      </c>
      <c r="CF45" s="1120">
        <f t="shared" si="247"/>
        <v>0</v>
      </c>
      <c r="CG45" s="1267"/>
      <c r="CH45" s="1267"/>
      <c r="CI45" s="1268">
        <f t="shared" si="248"/>
        <v>325.70999999999992</v>
      </c>
      <c r="CJ45" s="286">
        <f t="shared" si="249"/>
        <v>266.30999999999995</v>
      </c>
      <c r="CK45" s="286">
        <f t="shared" si="250"/>
        <v>59.4</v>
      </c>
      <c r="CL45" s="1263"/>
      <c r="CM45" s="1263"/>
      <c r="CN45" s="1263"/>
      <c r="CO45" s="1263"/>
      <c r="CP45" s="319" t="str">
        <f t="shared" si="251"/>
        <v>EUR</v>
      </c>
      <c r="CQ45" s="443" t="str">
        <f>IF(A45=FALSE,"",Cotations!AM45)</f>
        <v>fix Fees pro rata month</v>
      </c>
      <c r="CR45" s="443">
        <f>IF(A45=FALSE,"",IF(Cotations!AN45="","",Cotations!AN45))</f>
        <v>15.1752</v>
      </c>
      <c r="CS45" s="433">
        <f>IF(A45=FALSE,"",Cotations!AO45)</f>
        <v>0</v>
      </c>
      <c r="CT45" s="443">
        <f>IF(A45=FALSE,"",IF(CQ45="N/A",0,IF(INDEX(LISTES!$F$105:$F$109,MATCH(CQ45,LISTES!$C$105:$C$109,0))="FIX",IF(INDEX(LISTES!$E$105:$E$109,MATCH(CQ45,LISTES!$C$105:$C$109,0))=12,CR45/12*L45,CR45/365*M45),CS45*EQ45)))</f>
        <v>7.5876000000000001</v>
      </c>
      <c r="CU45" s="434">
        <f>IF(A45=FALSE,"",(CJ45+CK45)*Cotations!AP45)</f>
        <v>325.70999999999992</v>
      </c>
      <c r="CV45" s="434">
        <f>IF(A45=FALSE,"",(CJ45+CK45)*Cotations!AQ45)</f>
        <v>0</v>
      </c>
      <c r="DA45" s="1253" t="str">
        <f>IF(A45=FALSE,"",IF(LISTES!$A$17=1,Cotations!AV45,Cotations!AW45))</f>
        <v>2017EURAnker Verzekeringen n.v.-Formula 3 (7/365)</v>
      </c>
      <c r="DB45" s="1271">
        <f t="shared" si="252"/>
        <v>839.58829286726507</v>
      </c>
      <c r="DC45" s="1270">
        <f t="shared" si="253"/>
        <v>43.177349078885214</v>
      </c>
      <c r="DD45" s="1270">
        <f t="shared" si="254"/>
        <v>107.98646386395843</v>
      </c>
      <c r="DE45" s="1270">
        <f t="shared" si="255"/>
        <v>53.346864430798306</v>
      </c>
      <c r="DF45" s="1270">
        <f t="shared" si="256"/>
        <v>128.32549456778463</v>
      </c>
      <c r="DG45" s="1270">
        <f t="shared" si="257"/>
        <v>169.00355597543694</v>
      </c>
      <c r="DH45" s="1270">
        <f t="shared" si="258"/>
        <v>337.74856495040154</v>
      </c>
      <c r="DI45" s="1271">
        <f t="shared" si="259"/>
        <v>873.17182458195566</v>
      </c>
      <c r="DJ45" s="286">
        <f t="shared" si="260"/>
        <v>44.904443042040626</v>
      </c>
      <c r="DK45" s="286">
        <f t="shared" si="261"/>
        <v>112.30592241851677</v>
      </c>
      <c r="DL45" s="1264">
        <f t="shared" si="262"/>
        <v>55.480739008030241</v>
      </c>
      <c r="DM45" s="1264">
        <f t="shared" si="263"/>
        <v>133.45851435049602</v>
      </c>
      <c r="DN45" s="1264">
        <f t="shared" si="264"/>
        <v>175.76369821445442</v>
      </c>
      <c r="DO45" s="1264">
        <f t="shared" si="265"/>
        <v>351.25850754841764</v>
      </c>
      <c r="DP45" s="323" t="str">
        <f t="shared" si="132"/>
        <v>EUR</v>
      </c>
      <c r="DQ45" s="444" t="str">
        <f>IF(A45=FALSE,"",Cotations!BW45)</f>
        <v>N/A</v>
      </c>
      <c r="DR45" s="444">
        <f>IF(A45=FALSE,"",Cotations!BX45)</f>
        <v>0</v>
      </c>
      <c r="DS45" s="433">
        <f>IF(A45=FALSE,"",Cotations!BY45)</f>
        <v>0</v>
      </c>
      <c r="DT45" s="830">
        <f>IF(A45=FALSE,"",IF(DQ45="N/A",0,IF(INDEX(LISTES!$F$105:$F$109,MATCH(DQ45,LISTES!$C$105:$C$109,0))="FIX",IF(INDEX(LISTES!$E$105:$E$109,MATCH(DQ45,LISTES!$C$105:$C$109,0))=12,DR45/12*L45,DR45/365*M45),DS45*(DN45+DO45))))</f>
        <v>0</v>
      </c>
      <c r="DU45" s="434">
        <f>IF(A45=FALSE,"",DJ45*Cotations!BZ45)</f>
        <v>44.904443042040626</v>
      </c>
      <c r="DV45" s="434">
        <f>IF(A45=FALSE,"",DJ45*Cotations!CA45)</f>
        <v>0</v>
      </c>
      <c r="EA45" s="432" t="str">
        <f>IF(A45=FALSE,"",Cotations!AT45)</f>
        <v>PROP</v>
      </c>
      <c r="EB45" s="1234" t="str">
        <f>IF(A45=FALSE,"",YEAR(Detail!F45)&amp;Detail!AG45&amp;Detail!AD45&amp;"-"&amp;Detail!$AD$13&amp;Detail!AE45)</f>
        <v>2017EURAIG Luxembourg-Healthcare PlanStandardMLC S</v>
      </c>
      <c r="EC45" s="434" t="str">
        <f>IF(A45=FALSE,"",IF(LISTES!$A$17=1,EB45,INDEX(colMOD1,MATCH(Cotations!AH45,colchoice,0))))</f>
        <v>2017EURAIG Luxembourg-Healthcare PlanStandardMLC S</v>
      </c>
      <c r="ED45" s="277" t="str">
        <f t="shared" si="133"/>
        <v>AIG Luxembourg</v>
      </c>
      <c r="EE45" s="277" t="str">
        <f t="shared" si="134"/>
        <v>StandardMLC S</v>
      </c>
      <c r="EF45" s="277"/>
      <c r="EG45" s="277"/>
      <c r="EH45" s="277">
        <f t="shared" si="135"/>
        <v>569.03846153846143</v>
      </c>
      <c r="EI45" s="1104">
        <f t="shared" si="136"/>
        <v>0</v>
      </c>
      <c r="EJ45" s="1104">
        <f t="shared" si="137"/>
        <v>569.03846153846143</v>
      </c>
      <c r="EK45" s="443">
        <f>IF(A45=FALSE,"",IF(Cotations!AF45="monthly",EH45/12*L45,EH45/365*M45))</f>
        <v>284.51923076923072</v>
      </c>
      <c r="EL45" s="1103">
        <f>IF(A45=FALSE,"",IF(Cotations!AF45="monthly",EJ45/12*L45,EJ45/365*M45))</f>
        <v>284.51923076923072</v>
      </c>
      <c r="EM45" s="433">
        <f>IF(A45=FALSE,"",IF(Cotations!AI45="","",Cotations!AI45))</f>
        <v>0.1</v>
      </c>
      <c r="EN45" s="277">
        <f t="shared" si="266"/>
        <v>28.451923076923073</v>
      </c>
      <c r="EO45" s="277">
        <f t="shared" si="138"/>
        <v>256.06730769230762</v>
      </c>
      <c r="EP45" s="1104">
        <f t="shared" si="139"/>
        <v>0</v>
      </c>
      <c r="EQ45" s="277">
        <f t="shared" si="267"/>
        <v>266.30999999999995</v>
      </c>
      <c r="ER45" s="759">
        <f>IF(A45=FALSE,"",((EH45*TAXE)-(EH45*TAXE*EM45)+EI45)+IF(CQ45="N/A",0,IF(INDEX(LISTES!$F$105:$F$109,MATCH(CQ45,LISTES!$C$105:$C$109,0))="FIX",CR45,CS45*EQ45)))</f>
        <v>547.79520000000002</v>
      </c>
      <c r="ET45" s="422"/>
      <c r="EU45" s="422"/>
      <c r="EV45" s="422"/>
      <c r="EW45" s="422"/>
      <c r="EX45" s="422"/>
      <c r="EY45" s="422"/>
      <c r="EZ45" s="422"/>
      <c r="FA45" s="432" t="str">
        <f>IF(A45=FALSE,"",Cotations!AT45)</f>
        <v>PROP</v>
      </c>
      <c r="FB45" s="1235" t="str">
        <f>IF(A45=FALSE,"",IF(Detail!AL45="","N/A",YEAR(Detail!F45)&amp;Detail!AO45&amp;Detail!AL45&amp;"-"&amp;Detail!$AL$13&amp;Detail!AM45))</f>
        <v>2017EURAIG Luxembourg-Assistance and RepatriationStandardMLC S</v>
      </c>
      <c r="FC45" s="434" t="str">
        <f>IF(A45=FALSE,"",IF(LISTES!$A$17=1,FB45,INDEX(colMOD2,MATCH(Cotations!AH45,colchoice,0))))</f>
        <v>2017EURAIG Luxembourg-Assistance and RepatriationStandardMLC S</v>
      </c>
      <c r="FD45" s="277" t="str">
        <f t="shared" si="140"/>
        <v>AIG Luxembourg</v>
      </c>
      <c r="FE45" s="443" t="str">
        <f>IF(A45=FALSE,"",IF(Detail!AM45="","",Detail!AM45))</f>
        <v>StandardMLC S</v>
      </c>
      <c r="FF45" s="277"/>
      <c r="FG45" s="277"/>
      <c r="FH45" s="277">
        <f t="shared" si="141"/>
        <v>126.92307692307692</v>
      </c>
      <c r="FI45" s="1104"/>
      <c r="FJ45" s="1104"/>
      <c r="FK45" s="443">
        <f>IF(A45=FALSE,"",IF(Cotations!AF45="monthly",FH45/12*L45,FH45/365*M45))</f>
        <v>63.46153846153846</v>
      </c>
      <c r="FL45" s="1103">
        <f>IF(A45=FALSE,"",IF(Cotations!AF45="monthly",FJ45/12*L45,FJ45/365*M45))</f>
        <v>0</v>
      </c>
      <c r="FM45" s="433">
        <f>IF(A45=FALSE,"",IF(Cotations!AJ45="","",Cotations!AJ45))</f>
        <v>0.1</v>
      </c>
      <c r="FN45" s="277">
        <f t="shared" si="268"/>
        <v>6.3461538461538467</v>
      </c>
      <c r="FO45" s="277">
        <f t="shared" si="269"/>
        <v>57.115384615384613</v>
      </c>
      <c r="FP45" s="1104"/>
      <c r="FQ45" s="277">
        <f t="shared" si="270"/>
        <v>59.4</v>
      </c>
      <c r="FR45" s="759" t="e">
        <f>IF(A45=FALSE,"",((FH45*TAXE)-(FH45*TAXE*FM45))+IF(#REF!="N/A",0,IF(INDEX(LISTES!$F$105:$F$109,MATCH(#REF!,LISTES!$C$105:$C$109,0))="FIX",#REF!,#REF!*FQ45)))</f>
        <v>#REF!</v>
      </c>
      <c r="FS45" s="422"/>
      <c r="FT45" s="422"/>
      <c r="FU45" s="422"/>
      <c r="FV45" s="422"/>
      <c r="FW45" s="422"/>
      <c r="FX45" s="422"/>
      <c r="FY45" s="422"/>
      <c r="FZ45" s="422"/>
      <c r="GA45" s="432" t="str">
        <f t="shared" si="145"/>
        <v>PROP</v>
      </c>
      <c r="GB45" s="1234" t="str">
        <f>IF(A45=FALSE,"",IF(Detail!DF45="","N/A",YEAR(Detail!F45)&amp;Detail!DI45&amp;Detail!DF45&amp;"-"&amp;Detail!$DF$13))</f>
        <v>N/A</v>
      </c>
      <c r="GC45" s="434" t="str">
        <f>IF(A45=FALSE,"",IF(LISTES!$A$17=1,GB45,INDEX(colMOD3,MATCH(Cotations!AH45,colchoice,0))))</f>
        <v>N/A</v>
      </c>
      <c r="GD45" s="277" t="str">
        <f t="shared" si="146"/>
        <v>N/A</v>
      </c>
      <c r="GE45" s="277">
        <f t="shared" si="147"/>
        <v>0</v>
      </c>
      <c r="GF45" s="277"/>
      <c r="GG45" s="277"/>
      <c r="GH45" s="277">
        <f t="shared" si="271"/>
        <v>0</v>
      </c>
      <c r="GI45" s="1104">
        <f t="shared" si="272"/>
        <v>0</v>
      </c>
      <c r="GJ45" s="1104">
        <f t="shared" si="273"/>
        <v>0</v>
      </c>
      <c r="GK45" s="443">
        <f>IF(A45=FALSE,"",IF(Cotations!AF45="monthly",GH45/12*L45,GH45/365*M45))</f>
        <v>0</v>
      </c>
      <c r="GL45" s="1103">
        <f>IF(A45=FALSE,"",IF(Cotations!AF45="monthly",GJ45/12*L45,GJ45/365*M45))</f>
        <v>0</v>
      </c>
      <c r="GM45" s="433">
        <f>IF(A45=FALSE,"",IF(Cotations!AK45="","",Cotations!AK45))</f>
        <v>0</v>
      </c>
      <c r="GN45" s="277">
        <f t="shared" si="274"/>
        <v>0</v>
      </c>
      <c r="GO45" s="277">
        <f t="shared" si="275"/>
        <v>0</v>
      </c>
      <c r="GP45" s="1104">
        <f t="shared" si="276"/>
        <v>0</v>
      </c>
      <c r="GQ45" s="277">
        <f t="shared" si="277"/>
        <v>0</v>
      </c>
      <c r="GR45" s="759">
        <f>IF(A45=FALSE,"",((GH45*TAXE)-(GH45*TAXE*GM45)+GI45)+IF(CQ45="N/A",0,IF(INDEX(LISTES!$F$105:$F$109,MATCH(CQ45,LISTES!$C$105:$C$109,0))="FIX",CR45,CS45*GQ45)))</f>
        <v>15.1752</v>
      </c>
      <c r="GS45" s="412"/>
      <c r="GT45" s="412"/>
      <c r="GU45" s="412"/>
      <c r="GV45" s="412"/>
      <c r="GW45" s="412"/>
      <c r="GX45" s="412"/>
      <c r="GY45" s="412"/>
      <c r="GZ45" s="412"/>
      <c r="HA45" s="432" t="str">
        <f t="shared" si="155"/>
        <v>PROP</v>
      </c>
      <c r="HB45" s="1234" t="str">
        <f>IF(A45=FALSE,"",IF(Detail!DF45="","N/A",YEAR(Detail!F45)&amp;Detail!DI45&amp;Detail!DF45&amp;"-"&amp;Detail!$DF$13))</f>
        <v>N/A</v>
      </c>
      <c r="HC45" s="434" t="str">
        <f>IF(A45=FALSE,"",IF(LISTES!$A$17=1,HB45,INDEX(colMOD4,MATCH(Cotations!AH45,colchoice,0))))</f>
        <v>N/A</v>
      </c>
      <c r="HD45" s="277" t="str">
        <f t="shared" si="278"/>
        <v>N/A</v>
      </c>
      <c r="HE45" s="277">
        <f t="shared" si="279"/>
        <v>0</v>
      </c>
      <c r="HF45" s="277"/>
      <c r="HG45" s="277"/>
      <c r="HH45" s="277">
        <f t="shared" si="280"/>
        <v>0</v>
      </c>
      <c r="HI45" s="1104">
        <f t="shared" si="281"/>
        <v>0</v>
      </c>
      <c r="HJ45" s="1104">
        <f t="shared" si="282"/>
        <v>0</v>
      </c>
      <c r="HK45" s="443">
        <f>IF(A45=FALSE,"",IF(Cotations!AF45="monthly",HH45/12*L45,HH45/365*M45))</f>
        <v>0</v>
      </c>
      <c r="HL45" s="1103">
        <f>IF(A45=FALSE,"",IF(Cotations!AF45="monthly",HJ45/12*L45,HJ45/365*M45))</f>
        <v>0</v>
      </c>
      <c r="HM45" s="433">
        <f>IF(A45=FALSE,"",IF(Cotations!AL45="","",Cotations!AL45))</f>
        <v>0</v>
      </c>
      <c r="HN45" s="277">
        <f t="shared" si="283"/>
        <v>0</v>
      </c>
      <c r="HO45" s="277">
        <f t="shared" si="284"/>
        <v>0</v>
      </c>
      <c r="HP45" s="1104">
        <f t="shared" si="285"/>
        <v>0</v>
      </c>
      <c r="HQ45" s="277">
        <f t="shared" si="286"/>
        <v>0</v>
      </c>
      <c r="HR45" s="759">
        <f>IF(A45=FALSE,"",((HH45*TAXE)-(HH45*TAXE*HM45)+HI45)+IF(CQ45="N/A",0,IF(INDEX(LISTES!$F$105:$F$109,MATCH(CQ45,LISTES!$C$105:$C$109,0))="FIX",CR45,CS45*HQ45)))</f>
        <v>15.1752</v>
      </c>
      <c r="HS45" s="412"/>
      <c r="HT45" s="412"/>
      <c r="HU45" s="412"/>
      <c r="HV45" s="412"/>
      <c r="HW45" s="412"/>
      <c r="HX45" s="412"/>
      <c r="HY45" s="412"/>
      <c r="HZ45" s="1262"/>
      <c r="IA45" s="432" t="str">
        <f>IF(A45=FALSE,"",Cotations!AT45)</f>
        <v>PROP</v>
      </c>
      <c r="IB45" s="1253" t="str">
        <f>IF(A45=FALSE,"",IF(Detail!AT45="","N/A",YEAR(Detail!F45)&amp;Detail!AW45&amp;Detail!AT45&amp;"-"&amp;Detail!$AT$13&amp;Detail!AU45))</f>
        <v>2017EURAnker Verzekeringen n.v.-Death AccidentFormula 3</v>
      </c>
      <c r="IC45" s="431" t="str">
        <f>IF(A45=FALSE,"",IF(LISTES!$A$17=1,IB45,INDEX(colMOD1,MATCH(DA45,colchoice,0))))</f>
        <v>2017EURAnker Verzekeringen n.v.-Death AccidentFormula 3</v>
      </c>
      <c r="ID45" s="759" t="str">
        <f t="shared" si="287"/>
        <v>Anker Verzekeringen n.v.</v>
      </c>
      <c r="IE45" s="292" t="str">
        <f>IF(A45=FALSE,"",IF(LISTES!$A$17=1,Detail!AU45,INDEX(Rates!$M$1:$M$270,MATCH(IC45,colMOD1,0))))</f>
        <v>Formula 3</v>
      </c>
      <c r="IF45" s="409">
        <f t="shared" si="165"/>
        <v>6.9103448275862072E-4</v>
      </c>
      <c r="IG45" s="430">
        <f>IF(A45=FALSE,"",IF(IA45="POEA",Cotations!AY45,IF(IA45="FIXE",Cotations!AZ45,IF(Cotations!BA45*Y45&lt;50000,Z45,Cotations!BA45*Y45))))</f>
        <v>126000</v>
      </c>
      <c r="IH45" s="292">
        <f t="shared" si="166"/>
        <v>87.070344827586212</v>
      </c>
      <c r="II45" s="446">
        <f>IF(A45=FALSE,"",IF(Cotations!AU45="monthly",IH45/12*L45,IH45/365*M45))</f>
        <v>43.177349078885214</v>
      </c>
      <c r="IJ45" s="429">
        <f>IF(A45=FALSE,"",IF(Cotations!BB45="","",Cotations!BB45))</f>
        <v>0</v>
      </c>
      <c r="IK45" s="292">
        <f t="shared" si="167"/>
        <v>0</v>
      </c>
      <c r="IL45" s="292">
        <f t="shared" si="168"/>
        <v>43.177349078885214</v>
      </c>
      <c r="IM45" s="759">
        <f t="shared" si="169"/>
        <v>44.904443042040626</v>
      </c>
      <c r="IN45" s="759">
        <f>IF(A45=FALSE,"",((IH45*TAXE)-(IH45*TAXE*IJ45))+IF(DQ45="N/A",0,IF(INDEX(LISTES!$F$105:$F$109,MATCH(DQ45,LISTES!$C$105:$C$109,0))="FIX",DR45,DS45*IM45)))</f>
        <v>90.553158620689658</v>
      </c>
      <c r="JA45" s="432" t="str">
        <f>IF(A45=FALSE,"",Cotations!AT45)</f>
        <v>PROP</v>
      </c>
      <c r="JB45" s="1234" t="str">
        <f>IF(A45=FALSE,"",IF(Detail!BB45="","N/A",YEAR(Detail!F45)&amp;Detail!BE45&amp;Detail!BB45&amp;"-"&amp;Detail!$BB$13&amp;Detail!BC45))</f>
        <v>2017EURAnker Verzekeringen n.v.-Death IllnessFormula 3</v>
      </c>
      <c r="JC45" s="431" t="str">
        <f>IF(A45=FALSE,"",IF(LISTES!$A$17=1,JB45,INDEX(colMOD2,MATCH(DA45,colchoice,0))))</f>
        <v>2017EURAnker Verzekeringen n.v.-Death illnessFormula 3</v>
      </c>
      <c r="JD45" s="759" t="str">
        <f t="shared" si="170"/>
        <v>Anker Verzekeringen n.v.</v>
      </c>
      <c r="JE45" s="292"/>
      <c r="JF45" s="409">
        <f t="shared" si="171"/>
        <v>1.7282758620689655E-3</v>
      </c>
      <c r="JG45" s="430">
        <f>IF(A45=FALSE,"",IF(JA45="POEA",Cotations!BC45,IF(JA45="FIXE",Cotations!BD45,IF(Cotations!BE45*Y45&lt;50000,Z45,Cotations!BE45*Y45))))</f>
        <v>126000</v>
      </c>
      <c r="JH45" s="292">
        <f t="shared" si="172"/>
        <v>217.76275862068965</v>
      </c>
      <c r="JI45" s="446">
        <f>IF(A45=FALSE,"",IF(Cotations!AU45="monthly",JH45/12*L45,JH45/365*M45))</f>
        <v>107.98646386395843</v>
      </c>
      <c r="JJ45" s="429">
        <f>IF(A45=FALSE,"",IF(Cotations!BF45="","",Cotations!BF45))</f>
        <v>0</v>
      </c>
      <c r="JK45" s="292">
        <f t="shared" si="173"/>
        <v>0</v>
      </c>
      <c r="JL45" s="292">
        <f t="shared" si="174"/>
        <v>107.98646386395843</v>
      </c>
      <c r="JM45" s="759">
        <f t="shared" si="175"/>
        <v>112.30592241851677</v>
      </c>
      <c r="JN45" s="759" t="e">
        <f>IF(A45=FALSE,"",((JH45*TAXE)-(JH45*TAXE*JJ45))+IF(#REF!="N/A",0,IF(INDEX(LISTES!$F$105:$F$109,MATCH(#REF!,LISTES!$C$105:$C$109,0))="FIX",#REF!,#REF!*JM45)))</f>
        <v>#REF!</v>
      </c>
      <c r="KA45" s="432" t="str">
        <f>IF(A45=FALSE,"",Cotations!AT45)</f>
        <v>PROP</v>
      </c>
      <c r="KB45" s="1234" t="str">
        <f>IF(A45=FALSE,"",IF(Detail!BJ45="","N/A",YEAR(Detail!F45)&amp;Detail!BM45&amp;Detail!BJ45&amp;"-"&amp;Detail!$BJ$13&amp;Detail!BK45))</f>
        <v>2017EURAnker Verzekeringen n.v.-Permanent Disability AccidentFormula 3</v>
      </c>
      <c r="KC45" s="431" t="str">
        <f>IF(A45=FALSE,"",IF(LISTES!$A$17=1,KB45,INDEX(colMOD3,MATCH(DA45,colchoice,0))))</f>
        <v>2017EURAnker Verzekeringen n.v.-Permanent Disability AccidentFormula 3</v>
      </c>
      <c r="KD45" s="759" t="str">
        <f t="shared" si="176"/>
        <v>Anker Verzekeringen n.v.</v>
      </c>
      <c r="KE45" s="292"/>
      <c r="KF45" s="409">
        <f t="shared" si="177"/>
        <v>6.9103448275862072E-4</v>
      </c>
      <c r="KG45" s="430">
        <f>IF(A45=FALSE,"",IF(KA45="POEA",Cotations!BG45,IF(KA45="FIXE",Cotations!BH45,IF(Cotations!BI45*Y45&lt;50000,Z45,Cotations!BI45*Y45))))</f>
        <v>126000</v>
      </c>
      <c r="KH45" s="292">
        <f t="shared" si="178"/>
        <v>107.57793103448276</v>
      </c>
      <c r="KI45" s="446">
        <f>IF(A45=FALSE,"",IF(Cotations!AU45="monthly",KH45/12*L45,KH45/365*M45))</f>
        <v>53.346864430798306</v>
      </c>
      <c r="KJ45" s="429">
        <f>IF(A45=FALSE,"",IF(Cotations!BJ45="","",Cotations!BJ45))</f>
        <v>0</v>
      </c>
      <c r="KK45" s="292">
        <f t="shared" si="179"/>
        <v>0</v>
      </c>
      <c r="KL45" s="292">
        <f t="shared" si="180"/>
        <v>53.346864430798306</v>
      </c>
      <c r="KM45" s="759">
        <f t="shared" si="181"/>
        <v>55.480739008030241</v>
      </c>
      <c r="KN45" s="759" t="e">
        <f>IF(A45=FALSE,"",((KH45*TAXE)-(KH45*TAXE*KJ45))+IF(#REF!="N/A",0,IF(INDEX(LISTES!$F$105:$F$109,MATCH(#REF!,LISTES!$C$105:$C$109,0))="FIX",#REF!,#REF!*KM45)))</f>
        <v>#REF!</v>
      </c>
      <c r="LA45" s="432" t="str">
        <f>IF(A45=FALSE,"",Cotations!AT45)</f>
        <v>PROP</v>
      </c>
      <c r="LB45" s="1234" t="str">
        <f>IF(A45=FALSE,"",IF(Detail!BR45="","N/A",YEAR(Detail!F45)&amp;Detail!BU45&amp;Detail!BR45&amp;"-"&amp;Detail!$BR$13&amp;Detail!BS45))</f>
        <v>2017EURAnker Verzekeringen n.v.-Permanent Disability IllnessFormula 3</v>
      </c>
      <c r="LC45" s="431" t="str">
        <f>IF(A45=FALSE,"",IF(LISTES!$A$17=1,LB45,INDEX(colMOD4,MATCH(DA45,colchoice,0))))</f>
        <v>2017EURAnker Verzekeringen n.v.-Permanent Disability illnessFormula 3</v>
      </c>
      <c r="LD45" s="759" t="str">
        <f t="shared" si="182"/>
        <v>Anker Verzekeringen n.v.</v>
      </c>
      <c r="LE45" s="292"/>
      <c r="LF45" s="409">
        <f t="shared" si="183"/>
        <v>2.0537931034482759E-3</v>
      </c>
      <c r="LG45" s="430">
        <f>IF(A45=FALSE,"",IF(LA45="POEA",Cotations!BK45,IF(LA45="FIXE",Cotations!BL45,IF(Cotations!BM45*Y45&lt;50000,Z45,Cotations!BM45*Y45))))</f>
        <v>126000</v>
      </c>
      <c r="LH45" s="292">
        <f t="shared" si="184"/>
        <v>258.77793103448278</v>
      </c>
      <c r="LI45" s="446">
        <f>IF(A45=FALSE,"",IF(Cotations!AU45="monthly",LH45/12*L45,LH45/365*M45))</f>
        <v>128.32549456778463</v>
      </c>
      <c r="LJ45" s="429">
        <f>IF(A45=FALSE,"",IF(Cotations!BN45="","",Cotations!BN45))</f>
        <v>0</v>
      </c>
      <c r="LK45" s="292">
        <f t="shared" si="185"/>
        <v>0</v>
      </c>
      <c r="LL45" s="292">
        <f t="shared" si="186"/>
        <v>128.32549456778463</v>
      </c>
      <c r="LM45" s="759">
        <f t="shared" si="187"/>
        <v>133.45851435049602</v>
      </c>
      <c r="LN45" s="759" t="e">
        <f>IF(A45=FALSE,"",((LH45*TAXE)-(LH45*TAXE*LJ45))+IF(#REF!="N/A",0,IF(INDEX(LISTES!$F$105:$F$109,MATCH(#REF!,LISTES!$C$105:$C$109,0))="FIX",#REF!,#REF!*LM45)))</f>
        <v>#REF!</v>
      </c>
      <c r="MA45" s="432" t="str">
        <f t="shared" si="188"/>
        <v>PROP</v>
      </c>
      <c r="MB45" s="1234" t="str">
        <f>IF(A45=FALSE,"",IF(Detail!BZ45="","N/A",YEAR(Detail!F45)&amp;Detail!CC45&amp;Detail!BZ45&amp;"-"&amp;Detail!$BZ$13&amp;" (100%/"&amp;Detail!CD45&amp;"/"&amp;Detail!CE45&amp;")"))</f>
        <v>2017EURAnker Verzekeringen n.v.-Temporary Disability Accident (100%/7/365)</v>
      </c>
      <c r="MC45" s="431" t="str">
        <f>IF(A45=FALSE,"",IF(LISTES!$A$17=1,MB45,INDEX(colMOD5,MATCH(DA45,colchoice,0))))</f>
        <v>2017EURAnker Verzekeringen n.v.-Temporary Disability Accident (100%/7/365)</v>
      </c>
      <c r="MD45" s="759" t="str">
        <f t="shared" si="189"/>
        <v>Anker Verzekeringen n.v.</v>
      </c>
      <c r="ME45" s="292"/>
      <c r="MF45" s="409">
        <f t="shared" si="190"/>
        <v>8.1144827586206898E-3</v>
      </c>
      <c r="MG45" s="430">
        <f>IF(A45=FALSE,"",Cotations!BQ45*AA45)</f>
        <v>42000</v>
      </c>
      <c r="MH45" s="292">
        <f t="shared" si="191"/>
        <v>340.80827586206897</v>
      </c>
      <c r="MI45" s="446">
        <f>IF(A45=FALSE,"",IF(Cotations!AU45="monthly",MH45/12*L45,MH45/365*M45))</f>
        <v>169.00355597543694</v>
      </c>
      <c r="MJ45" s="429">
        <f>IF(A45=FALSE,"",IF(Cotations!BR45="","",Cotations!BR45))</f>
        <v>0</v>
      </c>
      <c r="MK45" s="292">
        <f t="shared" si="192"/>
        <v>0</v>
      </c>
      <c r="ML45" s="292">
        <f t="shared" si="193"/>
        <v>169.00355597543694</v>
      </c>
      <c r="MM45" s="759">
        <f t="shared" si="194"/>
        <v>175.76369821445442</v>
      </c>
      <c r="MN45" s="759" t="e">
        <f>IF(A45=FALSE,"",((MH45*TAXE)-(MH45*TAXE*MJ45))+IF(#REF!="N/A",0,IF(INDEX(LISTES!$F$105:$F$109,MATCH(#REF!,LISTES!$C$105:$C$109,0))="FIX",#REF!,#REF!*MM45)))</f>
        <v>#REF!</v>
      </c>
      <c r="NA45" s="432" t="str">
        <f t="shared" si="195"/>
        <v>PROP</v>
      </c>
      <c r="NB45" s="1234" t="str">
        <f>IF(A45=FALSE,"",IF(Detail!CH45="","N/A",YEAR(Detail!F45)&amp;Detail!CK45&amp;Detail!CH45&amp;"-"&amp;Detail!$CH$13&amp;" (100%/"&amp;Detail!CL45&amp;"/"&amp;Detail!CM45&amp;")"))</f>
        <v>2017EURAnker Verzekeringen n.v.-Temporary Disability Illness (100%/7/365)</v>
      </c>
      <c r="NC45" s="431" t="str">
        <f>IF(A45=FALSE,"",IF(LISTES!$A$17=1,NB45,INDEX(colMOD6,MATCH(DA45,colchoice,0))))</f>
        <v>2017EURAnker Verzekeringen n.v.-Temporary Disability illness (100%/7/365)</v>
      </c>
      <c r="ND45" s="759" t="str">
        <f t="shared" si="196"/>
        <v>Anker Verzekeringen n.v.</v>
      </c>
      <c r="NE45" s="292"/>
      <c r="NF45" s="409">
        <f t="shared" si="197"/>
        <v>8.1144827586206898E-3</v>
      </c>
      <c r="NG45" s="430">
        <f>IF(A45=FALSE,"",Cotations!BU45*AA45)</f>
        <v>42000</v>
      </c>
      <c r="NH45" s="292">
        <f t="shared" si="198"/>
        <v>681.09517241379319</v>
      </c>
      <c r="NI45" s="446">
        <f>IF(A45=FALSE,"",IF(Cotations!AU45="monthly",NH45/12*L45,NH45/365*M45))</f>
        <v>337.74856495040154</v>
      </c>
      <c r="NJ45" s="429">
        <f>IF(A45=FALSE,"",IF(Cotations!BV45="","",Cotations!BV45))</f>
        <v>0</v>
      </c>
      <c r="NK45" s="292">
        <f t="shared" si="199"/>
        <v>0</v>
      </c>
      <c r="NL45" s="292">
        <f t="shared" si="200"/>
        <v>337.74856495040154</v>
      </c>
      <c r="NM45" s="759">
        <f t="shared" si="201"/>
        <v>351.25850754841764</v>
      </c>
      <c r="NN45" s="759" t="e">
        <f>IF(A45=FALSE,"",((NH45*TAXE)-(NH45*TAXE*NJ45))+IF(#REF!="N/A",0,IF(INDEX(LISTES!$F$105:$F$109,MATCH(#REF!,LISTES!$C$105:$C$109,0))="FIX",#REF!,#REF!*NM45)))</f>
        <v>#REF!</v>
      </c>
      <c r="NZ45" s="1281" t="str">
        <f>IF(A45=FALSE,"",IF(Detail!CP45="","N/A",YEAR(Detail!F45)&amp;Detail!CS45&amp;Detail!CP45&amp;"-"&amp;Detail!CQ45))</f>
        <v>N/A</v>
      </c>
      <c r="OA45" s="432" t="str">
        <f>IF(A45=FALSE,"",Cotations!CF45)</f>
        <v>FIXE</v>
      </c>
      <c r="OB45" s="1282" t="str">
        <f>IF(A45=FALSE,"",IF(Detail!CP45="","N/A",YEAR(Detail!F45)&amp;Detail!CS45&amp;Detail!CP45&amp;"-"&amp;Detail!$CP$13&amp;Detail!CQ45))</f>
        <v>N/A</v>
      </c>
      <c r="OC45" s="1283" t="str">
        <f>IF(A45=FALSE,"",IF(LISTES!$A$17=1,OB45,INDEX(colMOD1,MATCH(Cotations!CE45,colchoice,0))))</f>
        <v>N/A</v>
      </c>
      <c r="OD45" s="759" t="str">
        <f t="shared" si="202"/>
        <v>N/A</v>
      </c>
      <c r="OE45" s="292">
        <f>IF(A45=FALSE,"",Detail!CQ45)</f>
        <v>0</v>
      </c>
      <c r="OF45" s="409" t="str">
        <f t="shared" si="203"/>
        <v/>
      </c>
      <c r="OG45" s="430">
        <f>IF(A45=FALSE,"",IF(OA45="FIXE",Cotations!CM45,Cotations!CN45*AA45))</f>
        <v>100000</v>
      </c>
      <c r="OH45" s="292">
        <f t="shared" si="288"/>
        <v>0</v>
      </c>
      <c r="OI45" s="446">
        <f>IF(A45=FALSE,"",IF(Cotations!CF45="monthly",OH45/12*L45,OH45/365*M45))</f>
        <v>0</v>
      </c>
      <c r="OJ45" s="429">
        <f>IF(A45=FALSE,"",IF(Cotations!CO45="","",Cotations!CO45))</f>
        <v>0</v>
      </c>
      <c r="OK45" s="292">
        <f t="shared" si="289"/>
        <v>0</v>
      </c>
      <c r="OL45" s="292">
        <f t="shared" si="290"/>
        <v>0</v>
      </c>
      <c r="OM45" s="759">
        <f t="shared" si="207"/>
        <v>0</v>
      </c>
      <c r="ON45" s="759" t="e">
        <f>IF(A45=FALSE,"",((OH45*(1+TAXE)-(OH45*(1+TAXE)*OJ45))+IF(#REF!="N/A",0,IF(INDEX(LISTES!$F$105:$F$109,MATCH(#REF!,LISTES!$C$105:$C$109,0))="FIX",#REF!,#REF!*OM45))))</f>
        <v>#REF!</v>
      </c>
      <c r="PA45" s="432" t="str">
        <f>IF(A45=FALSE,"",Cotations!CF45)</f>
        <v>FIXE</v>
      </c>
      <c r="PB45" s="1282" t="str">
        <f>IF(A45=FALSE,"",IF(Detail!CX45="","N/A",YEAR(Detail!F45)&amp;Detail!DA45&amp;Detail!CX45&amp;"-"&amp;Detail!$CX$13&amp;Detail!CY45))</f>
        <v>N/A</v>
      </c>
      <c r="PC45" s="1283" t="str">
        <f>IF(A45=FALSE,"",IF(LISTES!$A$17=1,PB45,INDEX(colMOD3,MATCH(Cotations!CE45,colchoice,0))))</f>
        <v>N/A</v>
      </c>
      <c r="PD45" s="759" t="str">
        <f t="shared" si="208"/>
        <v>N/A</v>
      </c>
      <c r="PE45" s="292" t="str">
        <f>IF(A45=FALSE,"",IF(Detail!CY45="","",Detail!CY45))</f>
        <v/>
      </c>
      <c r="PF45" s="409">
        <f t="shared" si="291"/>
        <v>0</v>
      </c>
      <c r="PG45" s="430">
        <f>IF(A45=FALSE,"",IF(PA45="FIXE",Cotations!CP45,Cotations!CQ45*AA45))</f>
        <v>100000</v>
      </c>
      <c r="PH45" s="292">
        <f t="shared" si="292"/>
        <v>0</v>
      </c>
      <c r="PI45" s="446">
        <f>IF(A45=FALSE,"",IF(Cotations!CG45="monthly",PH45/12*L45,PH45/365*M45))</f>
        <v>0</v>
      </c>
      <c r="PJ45" s="429">
        <f>IF(A45=FALSE,"",IF(Cotations!DA45="",0,Cotations!DA45))</f>
        <v>0</v>
      </c>
      <c r="PK45" s="292">
        <f t="shared" si="293"/>
        <v>0</v>
      </c>
      <c r="PL45" s="292">
        <f t="shared" si="294"/>
        <v>0</v>
      </c>
      <c r="PM45" s="759">
        <f t="shared" si="211"/>
        <v>0</v>
      </c>
      <c r="PN45" s="759" t="e">
        <f>IF(A45=FALSE,"",((PH45*(1+TAXE)-(PH45*(1+TAXE)*PJ45))+IF(#REF!="N/A",0,IF(INDEX(LISTES!$F$105:$F$109,MATCH(#REF!,LISTES!$C$105:$C$109,0))="FIX",#REF!,#REF!*PM45))))</f>
        <v>#REF!</v>
      </c>
    </row>
    <row r="46" spans="1:430">
      <c r="A46" s="779" t="b">
        <f t="shared" si="111"/>
        <v>1</v>
      </c>
      <c r="B46" s="779" t="b">
        <f>IF(NAMES!$B$9=TRUE,TRUE,FALSE)</f>
        <v>1</v>
      </c>
      <c r="C46" s="779" t="b">
        <f t="shared" si="212"/>
        <v>1</v>
      </c>
      <c r="D46" s="779" t="b">
        <f t="shared" si="213"/>
        <v>1</v>
      </c>
      <c r="E46" s="267" t="b">
        <f>IF(Cotations!C46="","",Cotations!C46)</f>
        <v>1</v>
      </c>
      <c r="F46" s="267" t="str">
        <f>IF(Cotations!AT46="","",Cotations!AT46)</f>
        <v>PROP</v>
      </c>
      <c r="G46" s="267" t="str">
        <f>IF(Cotations!D46="","",Cotations!D46)</f>
        <v>2017-2017!</v>
      </c>
      <c r="H46" s="267" t="str">
        <f>IF(Cotations!E46="","",Cotations!E46)</f>
        <v>SINGLE</v>
      </c>
      <c r="I46" s="267">
        <f>IF(Cotations!F46="","",Cotations!F46)</f>
        <v>133442</v>
      </c>
      <c r="J46" s="267" t="str">
        <f>IF(Cotations!G46="","",Cotations!G46)</f>
        <v>Chief Engineer</v>
      </c>
      <c r="K46" s="267" t="str">
        <f>IF(Cotations!H46="","",Cotations!H46)</f>
        <v>MEHIC</v>
      </c>
      <c r="L46" s="267">
        <f>IF(A46=FALSE,"",IF(Cotations!M46="","",Cotations!M46))</f>
        <v>6</v>
      </c>
      <c r="M46" s="267">
        <f>IF(Cotations!O46="","",Cotations!O46)</f>
        <v>181</v>
      </c>
      <c r="N46" s="588">
        <f>IF(NAMES!$B$10=TRUE,Cotations!I46,Cotations!K46)</f>
        <v>42750</v>
      </c>
      <c r="O46" s="588">
        <f>IF(NAMES!$B$10=TRUE,Cotations!J46,Cotations!L46)</f>
        <v>42930</v>
      </c>
      <c r="P46" s="780" t="str">
        <f t="shared" si="214"/>
        <v>janvier</v>
      </c>
      <c r="Q46" s="588">
        <f>IF(A46=FALSE,"",IF(Crewlist!Y46="","",Crewlist!Y46))</f>
        <v>42930</v>
      </c>
      <c r="R46" s="78" t="str">
        <f>IF(Cotations!T46="","",Cotations!T46)</f>
        <v>annual</v>
      </c>
      <c r="S46" s="780" t="str">
        <f t="shared" si="215"/>
        <v>VRAI133442janvier42750</v>
      </c>
      <c r="T46" s="759">
        <f>IF(A46=FALSE,"",VLOOKUP($U$15:$U$120,Currency!$A$2:$D$10,4,0)*Crewlist!N46)</f>
        <v>6000</v>
      </c>
      <c r="U46" s="1097" t="str">
        <f>IF(A46=FALSE,"",IF(DP46=0,Crewlist!M46&amp;"/"&amp;CP46,Crewlist!M46&amp;"/"&amp;DP46))</f>
        <v>EUR/EUR</v>
      </c>
      <c r="V46" s="759">
        <f>IF(A46=FALSE,"",VLOOKUP($U$15:$U$120,Currency!$A$2:$D$10,4,0)*Detail!Q46)</f>
        <v>6000</v>
      </c>
      <c r="W46" s="1097" t="str">
        <f>IF(A46=FALSE,"",IF(DP46=0,Detail!R46&amp;"/"&amp;CP46,Detail!R46&amp;"/"&amp;DP46))</f>
        <v>EUR/EUR</v>
      </c>
      <c r="X46" s="759">
        <f>IF(A46=FALSE,"",IF(LISTES!$C$17="Crewlist",Calcul!T46,Calcul!V46))</f>
        <v>6000</v>
      </c>
      <c r="Y46" s="618">
        <f t="shared" si="216"/>
        <v>72000</v>
      </c>
      <c r="Z46" s="618">
        <f>IF(A46=FALSE,"",IF(X46=0,0,IF((Cotations!BA46*12*X46)&lt;50000,50000,(12*X46))))</f>
        <v>72000</v>
      </c>
      <c r="AA46" s="618">
        <f t="shared" si="217"/>
        <v>72000</v>
      </c>
      <c r="AB46" s="618">
        <f>IF(A46=FALSE,"",IF(Crewlist!O46=0,"",Crewlist!O46))</f>
        <v>5000</v>
      </c>
      <c r="AC46" s="618" t="e">
        <f>IF(I46="","",VLOOKUP($AB$15:$AB$120,Currency!$A$15:$B$34,2,0))</f>
        <v>#N/A</v>
      </c>
      <c r="AD46" s="618" t="e">
        <f t="shared" si="218"/>
        <v>#N/A</v>
      </c>
      <c r="AE46" s="618" t="e">
        <f t="shared" si="219"/>
        <v>#N/A</v>
      </c>
      <c r="AF46" s="618" t="e">
        <f t="shared" si="220"/>
        <v>#N/A</v>
      </c>
      <c r="AG46" s="618">
        <f t="shared" si="221"/>
        <v>35704.109589041094</v>
      </c>
      <c r="AH46" s="1097" t="str">
        <f t="shared" si="112"/>
        <v>EUR</v>
      </c>
      <c r="AI46" s="759">
        <f t="shared" si="222"/>
        <v>1836.1635849976383</v>
      </c>
      <c r="AJ46" s="1120">
        <f t="shared" si="223"/>
        <v>333.29759999999999</v>
      </c>
      <c r="AK46" s="1120">
        <f t="shared" si="224"/>
        <v>1496.8659849976382</v>
      </c>
      <c r="AL46" s="236">
        <f t="shared" si="225"/>
        <v>7.5876000000000001</v>
      </c>
      <c r="AM46" s="236">
        <f t="shared" si="226"/>
        <v>70.099076346063072</v>
      </c>
      <c r="AN46" s="1112">
        <f t="shared" si="227"/>
        <v>0</v>
      </c>
      <c r="AO46" s="236">
        <f t="shared" si="228"/>
        <v>77.686676346063066</v>
      </c>
      <c r="AP46" s="327" t="str">
        <f>IF(A46=FALSE,"",INDEX(Rates!$Q$1:$Q$278,MATCH(CA46,colchoice,0)))</f>
        <v>WCA</v>
      </c>
      <c r="AQ46" s="236">
        <f t="shared" si="229"/>
        <v>6</v>
      </c>
      <c r="AR46" s="236">
        <f t="shared" si="230"/>
        <v>1752.4769086515753</v>
      </c>
      <c r="AS46" s="236">
        <f t="shared" si="117"/>
        <v>325.70999999999998</v>
      </c>
      <c r="AT46" s="236">
        <f t="shared" si="118"/>
        <v>1496.8659849976382</v>
      </c>
      <c r="AU46" s="236">
        <f t="shared" si="231"/>
        <v>256.06730769230762</v>
      </c>
      <c r="AV46" s="236">
        <f t="shared" si="232"/>
        <v>57.115384615384613</v>
      </c>
      <c r="AW46" s="236">
        <f t="shared" si="233"/>
        <v>74.018312706660367</v>
      </c>
      <c r="AX46" s="236">
        <f t="shared" si="234"/>
        <v>185.11965233821445</v>
      </c>
      <c r="AY46" s="236">
        <f t="shared" si="235"/>
        <v>91.451767595654232</v>
      </c>
      <c r="AZ46" s="236">
        <f t="shared" si="236"/>
        <v>219.98656211620221</v>
      </c>
      <c r="BA46" s="236">
        <f t="shared" si="237"/>
        <v>289.72038167217761</v>
      </c>
      <c r="BB46" s="467">
        <f t="shared" si="238"/>
        <v>578.99753991497403</v>
      </c>
      <c r="BC46" s="329">
        <f t="shared" si="239"/>
        <v>325.70999999999998</v>
      </c>
      <c r="BD46" s="237">
        <f t="shared" si="240"/>
        <v>313.18269230769226</v>
      </c>
      <c r="BE46" s="237">
        <f>IF(A46=FALSE,"",IF(ED46&lt;&gt;$BC$7,0,INDEX(EA46:EZ46,1,MATCH(Structure!$J$16,$EA$14:$EZ$14,0))))</f>
        <v>256.06730769230762</v>
      </c>
      <c r="BF46" s="237">
        <f>IF(A46=FALSE,"",IF(FD46&lt;&gt;$BC$7,0,INDEX(FA46:FZ46,1,MATCH(Structure!$J$16,$FA$14:$FZ$14,0))))</f>
        <v>57.115384615384613</v>
      </c>
      <c r="BG46" s="237">
        <f>IF(A46=FALSE,"",IF(GD46&lt;&gt;$BC$7,0,INDEX(GA46:GZ46,1,MATCH(Structure!$J$16,$GA$14:$GZ$14,0))))</f>
        <v>0</v>
      </c>
      <c r="BH46" s="237">
        <f>IF(A46=FALSE,"",IF(HD46&lt;&gt;$BC$7,0,INDEX(HA46:HZ46,1,MATCH(Structure!$J$16,$HA$14:$HZ$14,0))))</f>
        <v>0</v>
      </c>
      <c r="BI46" s="621">
        <f>IF(A46=FALSE,"",IF(ID46&lt;&gt;$BC$7,0,INDEX(IA46:IZ46,1,MATCH(Structure!$C$12,$IA$14:$IZ$14,0)))+OL46)</f>
        <v>0</v>
      </c>
      <c r="BJ46" s="237">
        <f>IF(A46=FALSE,"",IF(JD46&lt;&gt;$BC$7,0,INDEX(JA46:JZ46,1,MATCH(Structure!$C$12,$JA$14:$JZ$14,0))))</f>
        <v>0</v>
      </c>
      <c r="BK46" s="621">
        <f>IF(A46=FALSE,"",IF(KD46&lt;&gt;$BC$7,0,INDEX(KA46:KZ46,1,MATCH(Structure!$C$12,$KA$14:$KZ$14,0)))+PL46)</f>
        <v>0</v>
      </c>
      <c r="BL46" s="237">
        <f>IF(A46=FALSE,"",IF(LD46&lt;&gt;$BC$7,0,INDEX(LA46:LZ46,1,MATCH(Structure!$C$12,$LA$14:$LZ$14,0))))</f>
        <v>0</v>
      </c>
      <c r="BM46" s="237">
        <f>IF(A46=FALSE,"",IF(MD46&lt;&gt;$BC$7,0,INDEX(MA46:MZ46,1,MATCH(Structure!$C$12,$MA$14:$MZ$14,0))))</f>
        <v>0</v>
      </c>
      <c r="BN46" s="326">
        <f>IF(A46=FALSE,"",IF(ND46&lt;&gt;$BC$7,0,INDEX(NA46:OC46,1,MATCH(Structure!$C$12,$NA$14:$OC$14,0))))</f>
        <v>0</v>
      </c>
      <c r="BO46" s="435">
        <f t="shared" si="241"/>
        <v>1496.8659849976382</v>
      </c>
      <c r="BP46" s="237">
        <f t="shared" si="242"/>
        <v>1439.2942163438829</v>
      </c>
      <c r="BQ46" s="237">
        <f>IF(A46=FALSE,"",IF(ED46&lt;&gt;$BO$7,0,INDEX(EA46:EZ46,1,MATCH(Structure!$C$12,$EA$14:$EZ$14,0))))</f>
        <v>0</v>
      </c>
      <c r="BR46" s="237">
        <f>IF(A46=FALSE,"",IF(FD46&lt;&gt;$BO$7,0,INDEX(FA46:FZ46,1,MATCH(Structure!$C$12,$FA$14:$FZ$14,0))))</f>
        <v>0</v>
      </c>
      <c r="BS46" s="237">
        <f>IF(A46=FALSE,"",IF(ID46&lt;&gt;$BO$7,0,INDEX(IA46:IZ46,1,MATCH(Structure!$C$13,$IA$14:$IZ$14,0))))</f>
        <v>74.018312706660367</v>
      </c>
      <c r="BT46" s="237">
        <f>IF(A46=FALSE,"",IF(JD46&lt;&gt;$BO$7,0,INDEX(JA46:JZ46,1,MATCH(Structure!$C$13,$JA$14:$JZ$14,0))))</f>
        <v>185.11965233821445</v>
      </c>
      <c r="BU46" s="237">
        <f>IF(A46=FALSE,"",IF(KD46&lt;&gt;$BO$7,0,INDEX(KA46:KZ46,1,MATCH(Structure!$C$13,$KA$14:$KZ$14,0))))</f>
        <v>91.451767595654232</v>
      </c>
      <c r="BV46" s="237">
        <f>IF(A46=FALSE,"",IF(LD46&lt;&gt;$BO$7,0,INDEX(LA46:LZ46,1,MATCH(Structure!$C$13,$LA$14:$LZ$14,0))))</f>
        <v>219.98656211620221</v>
      </c>
      <c r="BW46" s="237">
        <f>IF(A46=FALSE,"",IF(MD46&lt;&gt;$BO$7,0,INDEX(MA46:MZ46,1,MATCH(Structure!$C$13,$MA$14:$MZ$14,0))))</f>
        <v>289.72038167217761</v>
      </c>
      <c r="BX46" s="326">
        <f>IF(A46=FALSE,"",IF(ND46&lt;&gt;$BO$7,0,INDEX(NA46:OC46,1,MATCH(Structure!$C$13,$NA$14:$OC$14,0))))</f>
        <v>578.99753991497403</v>
      </c>
      <c r="BY46" s="412"/>
      <c r="BZ46" s="412"/>
      <c r="CA46" s="1255" t="str">
        <f>IF(A46=FALSE,"",IF(LISTES!$A$17=1,Cotations!AG46,Cotations!AH46))</f>
        <v>2017EURAIG Luxembourg-StandardMLC S</v>
      </c>
      <c r="CB46" s="1266">
        <f t="shared" si="243"/>
        <v>313.18269230769226</v>
      </c>
      <c r="CC46" s="1120">
        <f t="shared" si="244"/>
        <v>256.06730769230762</v>
      </c>
      <c r="CD46" s="1120">
        <f t="shared" si="245"/>
        <v>57.115384615384613</v>
      </c>
      <c r="CE46" s="1120">
        <f t="shared" si="246"/>
        <v>0</v>
      </c>
      <c r="CF46" s="1120">
        <f t="shared" si="247"/>
        <v>0</v>
      </c>
      <c r="CG46" s="1267"/>
      <c r="CH46" s="1267"/>
      <c r="CI46" s="1268">
        <f t="shared" si="248"/>
        <v>325.70999999999992</v>
      </c>
      <c r="CJ46" s="286">
        <f t="shared" si="249"/>
        <v>266.30999999999995</v>
      </c>
      <c r="CK46" s="286">
        <f t="shared" si="250"/>
        <v>59.4</v>
      </c>
      <c r="CL46" s="1263"/>
      <c r="CM46" s="1263"/>
      <c r="CN46" s="1263"/>
      <c r="CO46" s="1263"/>
      <c r="CP46" s="319" t="str">
        <f t="shared" si="251"/>
        <v>EUR</v>
      </c>
      <c r="CQ46" s="443" t="str">
        <f>IF(A46=FALSE,"",Cotations!AM46)</f>
        <v>fix Fees pro rata month</v>
      </c>
      <c r="CR46" s="443">
        <f>IF(A46=FALSE,"",IF(Cotations!AN46="","",Cotations!AN46))</f>
        <v>15.1752</v>
      </c>
      <c r="CS46" s="433">
        <f>IF(A46=FALSE,"",Cotations!AO46)</f>
        <v>0</v>
      </c>
      <c r="CT46" s="443">
        <f>IF(A46=FALSE,"",IF(CQ46="N/A",0,IF(INDEX(LISTES!$F$105:$F$109,MATCH(CQ46,LISTES!$C$105:$C$109,0))="FIX",IF(INDEX(LISTES!$E$105:$E$109,MATCH(CQ46,LISTES!$C$105:$C$109,0))=12,CR46/12*L46,CR46/365*M46),CS46*EQ46)))</f>
        <v>7.5876000000000001</v>
      </c>
      <c r="CU46" s="434">
        <f>IF(A46=FALSE,"",(CJ46+CK46)*Cotations!AP46)</f>
        <v>325.70999999999992</v>
      </c>
      <c r="CV46" s="434">
        <f>IF(A46=FALSE,"",(CJ46+CK46)*Cotations!AQ46)</f>
        <v>0</v>
      </c>
      <c r="DA46" s="1253" t="str">
        <f>IF(A46=FALSE,"",IF(LISTES!$A$17=1,Cotations!AV46,Cotations!AW46))</f>
        <v>2017EURAnker Verzekeringen n.v.-Formula 3 (7/365)</v>
      </c>
      <c r="DB46" s="1271">
        <f t="shared" si="252"/>
        <v>1439.2942163438829</v>
      </c>
      <c r="DC46" s="1270">
        <f t="shared" si="253"/>
        <v>74.018312706660367</v>
      </c>
      <c r="DD46" s="1270">
        <f t="shared" si="254"/>
        <v>185.11965233821445</v>
      </c>
      <c r="DE46" s="1270">
        <f t="shared" si="255"/>
        <v>91.451767595654232</v>
      </c>
      <c r="DF46" s="1270">
        <f t="shared" si="256"/>
        <v>219.98656211620221</v>
      </c>
      <c r="DG46" s="1270">
        <f t="shared" si="257"/>
        <v>289.72038167217761</v>
      </c>
      <c r="DH46" s="1270">
        <f t="shared" si="258"/>
        <v>578.99753991497403</v>
      </c>
      <c r="DI46" s="1271">
        <f t="shared" si="259"/>
        <v>1496.8659849976384</v>
      </c>
      <c r="DJ46" s="286">
        <f t="shared" si="260"/>
        <v>76.979045214926785</v>
      </c>
      <c r="DK46" s="286">
        <f t="shared" si="261"/>
        <v>192.52443843174302</v>
      </c>
      <c r="DL46" s="1264">
        <f t="shared" si="262"/>
        <v>95.109838299480401</v>
      </c>
      <c r="DM46" s="1264">
        <f t="shared" si="263"/>
        <v>228.78602460085031</v>
      </c>
      <c r="DN46" s="1264">
        <f t="shared" si="264"/>
        <v>301.30919693906475</v>
      </c>
      <c r="DO46" s="1264">
        <f t="shared" si="265"/>
        <v>602.15744151157298</v>
      </c>
      <c r="DP46" s="323" t="str">
        <f t="shared" si="132"/>
        <v>EUR</v>
      </c>
      <c r="DQ46" s="444" t="str">
        <f>IF(A46=FALSE,"",Cotations!BW46)</f>
        <v>N/A</v>
      </c>
      <c r="DR46" s="444">
        <f>IF(A46=FALSE,"",Cotations!BX46)</f>
        <v>0</v>
      </c>
      <c r="DS46" s="433">
        <f>IF(A46=FALSE,"",Cotations!BY46)</f>
        <v>0</v>
      </c>
      <c r="DT46" s="830">
        <f>IF(A46=FALSE,"",IF(DQ46="N/A",0,IF(INDEX(LISTES!$F$105:$F$109,MATCH(DQ46,LISTES!$C$105:$C$109,0))="FIX",IF(INDEX(LISTES!$E$105:$E$109,MATCH(DQ46,LISTES!$C$105:$C$109,0))=12,DR46/12*L46,DR46/365*M46),DS46*(DN46+DO46))))</f>
        <v>0</v>
      </c>
      <c r="DU46" s="434">
        <f>IF(A46=FALSE,"",DJ46*Cotations!BZ46)</f>
        <v>76.979045214926785</v>
      </c>
      <c r="DV46" s="434">
        <f>IF(A46=FALSE,"",DJ46*Cotations!CA46)</f>
        <v>0</v>
      </c>
      <c r="EA46" s="432" t="str">
        <f>IF(A46=FALSE,"",Cotations!AT46)</f>
        <v>PROP</v>
      </c>
      <c r="EB46" s="1234" t="str">
        <f>IF(A46=FALSE,"",YEAR(Detail!F46)&amp;Detail!AG46&amp;Detail!AD46&amp;"-"&amp;Detail!$AD$13&amp;Detail!AE46)</f>
        <v>2017EURAIG Luxembourg-Healthcare PlanStandardMLC S</v>
      </c>
      <c r="EC46" s="434" t="str">
        <f>IF(A46=FALSE,"",IF(LISTES!$A$17=1,EB46,INDEX(colMOD1,MATCH(Cotations!AH46,colchoice,0))))</f>
        <v>2017EURAIG Luxembourg-Healthcare PlanStandardMLC S</v>
      </c>
      <c r="ED46" s="277" t="str">
        <f t="shared" si="133"/>
        <v>AIG Luxembourg</v>
      </c>
      <c r="EE46" s="277" t="str">
        <f t="shared" si="134"/>
        <v>StandardMLC S</v>
      </c>
      <c r="EF46" s="277"/>
      <c r="EG46" s="277"/>
      <c r="EH46" s="277">
        <f t="shared" si="135"/>
        <v>569.03846153846143</v>
      </c>
      <c r="EI46" s="1104">
        <f t="shared" si="136"/>
        <v>0</v>
      </c>
      <c r="EJ46" s="1104">
        <f t="shared" si="137"/>
        <v>569.03846153846143</v>
      </c>
      <c r="EK46" s="443">
        <f>IF(A46=FALSE,"",IF(Cotations!AF46="monthly",EH46/12*L46,EH46/365*M46))</f>
        <v>284.51923076923072</v>
      </c>
      <c r="EL46" s="1103">
        <f>IF(A46=FALSE,"",IF(Cotations!AF46="monthly",EJ46/12*L46,EJ46/365*M46))</f>
        <v>284.51923076923072</v>
      </c>
      <c r="EM46" s="433">
        <f>IF(A46=FALSE,"",IF(Cotations!AI46="","",Cotations!AI46))</f>
        <v>0.1</v>
      </c>
      <c r="EN46" s="277">
        <f t="shared" si="266"/>
        <v>28.451923076923073</v>
      </c>
      <c r="EO46" s="277">
        <f t="shared" si="138"/>
        <v>256.06730769230762</v>
      </c>
      <c r="EP46" s="1104">
        <f t="shared" si="139"/>
        <v>0</v>
      </c>
      <c r="EQ46" s="277">
        <f t="shared" si="267"/>
        <v>266.30999999999995</v>
      </c>
      <c r="ER46" s="759">
        <f>IF(A46=FALSE,"",((EH46*TAXE)-(EH46*TAXE*EM46)+EI46)+IF(CQ46="N/A",0,IF(INDEX(LISTES!$F$105:$F$109,MATCH(CQ46,LISTES!$C$105:$C$109,0))="FIX",CR46,CS46*EQ46)))</f>
        <v>547.79520000000002</v>
      </c>
      <c r="ET46" s="422"/>
      <c r="EU46" s="422"/>
      <c r="EV46" s="422"/>
      <c r="EW46" s="422"/>
      <c r="EX46" s="422"/>
      <c r="EY46" s="422"/>
      <c r="EZ46" s="422"/>
      <c r="FA46" s="432" t="str">
        <f>IF(A46=FALSE,"",Cotations!AT46)</f>
        <v>PROP</v>
      </c>
      <c r="FB46" s="1235" t="str">
        <f>IF(A46=FALSE,"",IF(Detail!AL46="","N/A",YEAR(Detail!F46)&amp;Detail!AO46&amp;Detail!AL46&amp;"-"&amp;Detail!$AL$13&amp;Detail!AM46))</f>
        <v>2017EURAIG Luxembourg-Assistance and RepatriationStandardMLC S</v>
      </c>
      <c r="FC46" s="434" t="str">
        <f>IF(A46=FALSE,"",IF(LISTES!$A$17=1,FB46,INDEX(colMOD2,MATCH(Cotations!AH46,colchoice,0))))</f>
        <v>2017EURAIG Luxembourg-Assistance and RepatriationStandardMLC S</v>
      </c>
      <c r="FD46" s="277" t="str">
        <f t="shared" si="140"/>
        <v>AIG Luxembourg</v>
      </c>
      <c r="FE46" s="443" t="str">
        <f>IF(A46=FALSE,"",IF(Detail!AM46="","",Detail!AM46))</f>
        <v>StandardMLC S</v>
      </c>
      <c r="FF46" s="277"/>
      <c r="FG46" s="277"/>
      <c r="FH46" s="277">
        <f t="shared" si="141"/>
        <v>126.92307692307692</v>
      </c>
      <c r="FI46" s="1104"/>
      <c r="FJ46" s="1104"/>
      <c r="FK46" s="443">
        <f>IF(A46=FALSE,"",IF(Cotations!AF46="monthly",FH46/12*L46,FH46/365*M46))</f>
        <v>63.46153846153846</v>
      </c>
      <c r="FL46" s="1103">
        <f>IF(A46=FALSE,"",IF(Cotations!AF46="monthly",FJ46/12*L46,FJ46/365*M46))</f>
        <v>0</v>
      </c>
      <c r="FM46" s="433">
        <f>IF(A46=FALSE,"",IF(Cotations!AJ46="","",Cotations!AJ46))</f>
        <v>0.1</v>
      </c>
      <c r="FN46" s="277">
        <f t="shared" si="268"/>
        <v>6.3461538461538467</v>
      </c>
      <c r="FO46" s="277">
        <f t="shared" si="269"/>
        <v>57.115384615384613</v>
      </c>
      <c r="FP46" s="1104"/>
      <c r="FQ46" s="277">
        <f t="shared" si="270"/>
        <v>59.4</v>
      </c>
      <c r="FR46" s="759" t="e">
        <f>IF(A46=FALSE,"",((FH46*TAXE)-(FH46*TAXE*FM46))+IF(#REF!="N/A",0,IF(INDEX(LISTES!$F$105:$F$109,MATCH(#REF!,LISTES!$C$105:$C$109,0))="FIX",#REF!,#REF!*FQ46)))</f>
        <v>#REF!</v>
      </c>
      <c r="FS46" s="422"/>
      <c r="FT46" s="422"/>
      <c r="FU46" s="422"/>
      <c r="FV46" s="422"/>
      <c r="FW46" s="422"/>
      <c r="FX46" s="422"/>
      <c r="FY46" s="422"/>
      <c r="FZ46" s="422"/>
      <c r="GA46" s="432" t="str">
        <f t="shared" si="145"/>
        <v>PROP</v>
      </c>
      <c r="GB46" s="1234" t="str">
        <f>IF(A46=FALSE,"",IF(Detail!DF46="","N/A",YEAR(Detail!F46)&amp;Detail!DI46&amp;Detail!DF46&amp;"-"&amp;Detail!$DF$13))</f>
        <v>N/A</v>
      </c>
      <c r="GC46" s="434" t="str">
        <f>IF(A46=FALSE,"",IF(LISTES!$A$17=1,GB46,INDEX(colMOD3,MATCH(Cotations!AH46,colchoice,0))))</f>
        <v>N/A</v>
      </c>
      <c r="GD46" s="277" t="str">
        <f t="shared" si="146"/>
        <v>N/A</v>
      </c>
      <c r="GE46" s="277">
        <f t="shared" si="147"/>
        <v>0</v>
      </c>
      <c r="GF46" s="277"/>
      <c r="GG46" s="277"/>
      <c r="GH46" s="277">
        <f t="shared" si="271"/>
        <v>0</v>
      </c>
      <c r="GI46" s="1104">
        <f t="shared" si="272"/>
        <v>0</v>
      </c>
      <c r="GJ46" s="1104">
        <f t="shared" si="273"/>
        <v>0</v>
      </c>
      <c r="GK46" s="443">
        <f>IF(A46=FALSE,"",IF(Cotations!AF46="monthly",GH46/12*L46,GH46/365*M46))</f>
        <v>0</v>
      </c>
      <c r="GL46" s="1103">
        <f>IF(A46=FALSE,"",IF(Cotations!AF46="monthly",GJ46/12*L46,GJ46/365*M46))</f>
        <v>0</v>
      </c>
      <c r="GM46" s="433">
        <f>IF(A46=FALSE,"",IF(Cotations!AK46="","",Cotations!AK46))</f>
        <v>0</v>
      </c>
      <c r="GN46" s="277">
        <f t="shared" si="274"/>
        <v>0</v>
      </c>
      <c r="GO46" s="277">
        <f t="shared" si="275"/>
        <v>0</v>
      </c>
      <c r="GP46" s="1104">
        <f t="shared" si="276"/>
        <v>0</v>
      </c>
      <c r="GQ46" s="277">
        <f t="shared" si="277"/>
        <v>0</v>
      </c>
      <c r="GR46" s="759">
        <f>IF(A46=FALSE,"",((GH46*TAXE)-(GH46*TAXE*GM46)+GI46)+IF(CQ46="N/A",0,IF(INDEX(LISTES!$F$105:$F$109,MATCH(CQ46,LISTES!$C$105:$C$109,0))="FIX",CR46,CS46*GQ46)))</f>
        <v>15.1752</v>
      </c>
      <c r="GS46" s="412"/>
      <c r="GT46" s="412"/>
      <c r="GU46" s="412"/>
      <c r="GV46" s="412"/>
      <c r="GW46" s="412"/>
      <c r="GX46" s="412"/>
      <c r="GY46" s="412"/>
      <c r="GZ46" s="412"/>
      <c r="HA46" s="432" t="str">
        <f t="shared" si="155"/>
        <v>PROP</v>
      </c>
      <c r="HB46" s="1234" t="str">
        <f>IF(A46=FALSE,"",IF(Detail!DF46="","N/A",YEAR(Detail!F46)&amp;Detail!DI46&amp;Detail!DF46&amp;"-"&amp;Detail!$DF$13))</f>
        <v>N/A</v>
      </c>
      <c r="HC46" s="434" t="str">
        <f>IF(A46=FALSE,"",IF(LISTES!$A$17=1,HB46,INDEX(colMOD4,MATCH(Cotations!AH46,colchoice,0))))</f>
        <v>N/A</v>
      </c>
      <c r="HD46" s="277" t="str">
        <f t="shared" si="278"/>
        <v>N/A</v>
      </c>
      <c r="HE46" s="277">
        <f t="shared" si="279"/>
        <v>0</v>
      </c>
      <c r="HF46" s="277"/>
      <c r="HG46" s="277"/>
      <c r="HH46" s="277">
        <f t="shared" si="280"/>
        <v>0</v>
      </c>
      <c r="HI46" s="1104">
        <f t="shared" si="281"/>
        <v>0</v>
      </c>
      <c r="HJ46" s="1104">
        <f t="shared" si="282"/>
        <v>0</v>
      </c>
      <c r="HK46" s="443">
        <f>IF(A46=FALSE,"",IF(Cotations!AF46="monthly",HH46/12*L46,HH46/365*M46))</f>
        <v>0</v>
      </c>
      <c r="HL46" s="1103">
        <f>IF(A46=FALSE,"",IF(Cotations!AF46="monthly",HJ46/12*L46,HJ46/365*M46))</f>
        <v>0</v>
      </c>
      <c r="HM46" s="433">
        <f>IF(A46=FALSE,"",IF(Cotations!AL46="","",Cotations!AL46))</f>
        <v>0</v>
      </c>
      <c r="HN46" s="277">
        <f t="shared" si="283"/>
        <v>0</v>
      </c>
      <c r="HO46" s="277">
        <f t="shared" si="284"/>
        <v>0</v>
      </c>
      <c r="HP46" s="1104">
        <f t="shared" si="285"/>
        <v>0</v>
      </c>
      <c r="HQ46" s="277">
        <f t="shared" si="286"/>
        <v>0</v>
      </c>
      <c r="HR46" s="759">
        <f>IF(A46=FALSE,"",((HH46*TAXE)-(HH46*TAXE*HM46)+HI46)+IF(CQ46="N/A",0,IF(INDEX(LISTES!$F$105:$F$109,MATCH(CQ46,LISTES!$C$105:$C$109,0))="FIX",CR46,CS46*HQ46)))</f>
        <v>15.1752</v>
      </c>
      <c r="HS46" s="412"/>
      <c r="HT46" s="412"/>
      <c r="HU46" s="412"/>
      <c r="HV46" s="412"/>
      <c r="HW46" s="412"/>
      <c r="HX46" s="412"/>
      <c r="HY46" s="412"/>
      <c r="HZ46" s="1262"/>
      <c r="IA46" s="432" t="str">
        <f>IF(A46=FALSE,"",Cotations!AT46)</f>
        <v>PROP</v>
      </c>
      <c r="IB46" s="1253" t="str">
        <f>IF(A46=FALSE,"",IF(Detail!AT46="","N/A",YEAR(Detail!F46)&amp;Detail!AW46&amp;Detail!AT46&amp;"-"&amp;Detail!$AT$13&amp;Detail!AU46))</f>
        <v>2017EURAnker Verzekeringen n.v.-Death AccidentFormula 3</v>
      </c>
      <c r="IC46" s="431" t="str">
        <f>IF(A46=FALSE,"",IF(LISTES!$A$17=1,IB46,INDEX(colMOD1,MATCH(DA46,colchoice,0))))</f>
        <v>2017EURAnker Verzekeringen n.v.-Death AccidentFormula 3</v>
      </c>
      <c r="ID46" s="759" t="str">
        <f t="shared" si="287"/>
        <v>Anker Verzekeringen n.v.</v>
      </c>
      <c r="IE46" s="292" t="str">
        <f>IF(A46=FALSE,"",IF(LISTES!$A$17=1,Detail!AU46,INDEX(Rates!$M$1:$M$270,MATCH(IC46,colMOD1,0))))</f>
        <v>Formula 3</v>
      </c>
      <c r="IF46" s="409">
        <f t="shared" si="165"/>
        <v>6.9103448275862072E-4</v>
      </c>
      <c r="IG46" s="430">
        <f>IF(A46=FALSE,"",IF(IA46="POEA",Cotations!AY46,IF(IA46="FIXE",Cotations!AZ46,IF(Cotations!BA46*Y46&lt;50000,Z46,Cotations!BA46*Y46))))</f>
        <v>216000</v>
      </c>
      <c r="IH46" s="292">
        <f t="shared" si="166"/>
        <v>149.26344827586206</v>
      </c>
      <c r="II46" s="446">
        <f>IF(A46=FALSE,"",IF(Cotations!AU46="monthly",IH46/12*L46,IH46/365*M46))</f>
        <v>74.018312706660367</v>
      </c>
      <c r="IJ46" s="429">
        <f>IF(A46=FALSE,"",IF(Cotations!BB46="","",Cotations!BB46))</f>
        <v>0</v>
      </c>
      <c r="IK46" s="292">
        <f t="shared" si="167"/>
        <v>0</v>
      </c>
      <c r="IL46" s="292">
        <f t="shared" si="168"/>
        <v>74.018312706660367</v>
      </c>
      <c r="IM46" s="759">
        <f t="shared" si="169"/>
        <v>76.979045214926785</v>
      </c>
      <c r="IN46" s="759">
        <f>IF(A46=FALSE,"",((IH46*TAXE)-(IH46*TAXE*IJ46))+IF(DQ46="N/A",0,IF(INDEX(LISTES!$F$105:$F$109,MATCH(DQ46,LISTES!$C$105:$C$109,0))="FIX",DR46,DS46*IM46)))</f>
        <v>155.23398620689656</v>
      </c>
      <c r="JA46" s="432" t="str">
        <f>IF(A46=FALSE,"",Cotations!AT46)</f>
        <v>PROP</v>
      </c>
      <c r="JB46" s="1234" t="str">
        <f>IF(A46=FALSE,"",IF(Detail!BB46="","N/A",YEAR(Detail!F46)&amp;Detail!BE46&amp;Detail!BB46&amp;"-"&amp;Detail!$BB$13&amp;Detail!BC46))</f>
        <v>2017EURAnker Verzekeringen n.v.-Death IllnessFormula 3</v>
      </c>
      <c r="JC46" s="431" t="str">
        <f>IF(A46=FALSE,"",IF(LISTES!$A$17=1,JB46,INDEX(colMOD2,MATCH(DA46,colchoice,0))))</f>
        <v>2017EURAnker Verzekeringen n.v.-Death illnessFormula 3</v>
      </c>
      <c r="JD46" s="759" t="str">
        <f t="shared" si="170"/>
        <v>Anker Verzekeringen n.v.</v>
      </c>
      <c r="JE46" s="292"/>
      <c r="JF46" s="409">
        <f t="shared" si="171"/>
        <v>1.7282758620689655E-3</v>
      </c>
      <c r="JG46" s="430">
        <f>IF(A46=FALSE,"",IF(JA46="POEA",Cotations!BC46,IF(JA46="FIXE",Cotations!BD46,IF(Cotations!BE46*Y46&lt;50000,Z46,Cotations!BE46*Y46))))</f>
        <v>216000</v>
      </c>
      <c r="JH46" s="292">
        <f t="shared" si="172"/>
        <v>373.30758620689653</v>
      </c>
      <c r="JI46" s="446">
        <f>IF(A46=FALSE,"",IF(Cotations!AU46="monthly",JH46/12*L46,JH46/365*M46))</f>
        <v>185.11965233821445</v>
      </c>
      <c r="JJ46" s="429">
        <f>IF(A46=FALSE,"",IF(Cotations!BF46="","",Cotations!BF46))</f>
        <v>0</v>
      </c>
      <c r="JK46" s="292">
        <f t="shared" si="173"/>
        <v>0</v>
      </c>
      <c r="JL46" s="292">
        <f t="shared" si="174"/>
        <v>185.11965233821445</v>
      </c>
      <c r="JM46" s="759">
        <f t="shared" si="175"/>
        <v>192.52443843174302</v>
      </c>
      <c r="JN46" s="759" t="e">
        <f>IF(A46=FALSE,"",((JH46*TAXE)-(JH46*TAXE*JJ46))+IF(#REF!="N/A",0,IF(INDEX(LISTES!$F$105:$F$109,MATCH(#REF!,LISTES!$C$105:$C$109,0))="FIX",#REF!,#REF!*JM46)))</f>
        <v>#REF!</v>
      </c>
      <c r="KA46" s="432" t="str">
        <f>IF(A46=FALSE,"",Cotations!AT46)</f>
        <v>PROP</v>
      </c>
      <c r="KB46" s="1234" t="str">
        <f>IF(A46=FALSE,"",IF(Detail!BJ46="","N/A",YEAR(Detail!F46)&amp;Detail!BM46&amp;Detail!BJ46&amp;"-"&amp;Detail!$BJ$13&amp;Detail!BK46))</f>
        <v>2017EURAnker Verzekeringen n.v.-Permanent Disability AccidentFormula 3</v>
      </c>
      <c r="KC46" s="431" t="str">
        <f>IF(A46=FALSE,"",IF(LISTES!$A$17=1,KB46,INDEX(colMOD3,MATCH(DA46,colchoice,0))))</f>
        <v>2017EURAnker Verzekeringen n.v.-Permanent Disability AccidentFormula 3</v>
      </c>
      <c r="KD46" s="759" t="str">
        <f t="shared" si="176"/>
        <v>Anker Verzekeringen n.v.</v>
      </c>
      <c r="KE46" s="292"/>
      <c r="KF46" s="409">
        <f t="shared" si="177"/>
        <v>6.9103448275862072E-4</v>
      </c>
      <c r="KG46" s="430">
        <f>IF(A46=FALSE,"",IF(KA46="POEA",Cotations!BG46,IF(KA46="FIXE",Cotations!BH46,IF(Cotations!BI46*Y46&lt;50000,Z46,Cotations!BI46*Y46))))</f>
        <v>216000</v>
      </c>
      <c r="KH46" s="292">
        <f t="shared" si="178"/>
        <v>184.41931034482758</v>
      </c>
      <c r="KI46" s="446">
        <f>IF(A46=FALSE,"",IF(Cotations!AU46="monthly",KH46/12*L46,KH46/365*M46))</f>
        <v>91.451767595654232</v>
      </c>
      <c r="KJ46" s="429">
        <f>IF(A46=FALSE,"",IF(Cotations!BJ46="","",Cotations!BJ46))</f>
        <v>0</v>
      </c>
      <c r="KK46" s="292">
        <f t="shared" si="179"/>
        <v>0</v>
      </c>
      <c r="KL46" s="292">
        <f t="shared" si="180"/>
        <v>91.451767595654232</v>
      </c>
      <c r="KM46" s="759">
        <f t="shared" si="181"/>
        <v>95.109838299480401</v>
      </c>
      <c r="KN46" s="759" t="e">
        <f>IF(A46=FALSE,"",((KH46*TAXE)-(KH46*TAXE*KJ46))+IF(#REF!="N/A",0,IF(INDEX(LISTES!$F$105:$F$109,MATCH(#REF!,LISTES!$C$105:$C$109,0))="FIX",#REF!,#REF!*KM46)))</f>
        <v>#REF!</v>
      </c>
      <c r="LA46" s="432" t="str">
        <f>IF(A46=FALSE,"",Cotations!AT46)</f>
        <v>PROP</v>
      </c>
      <c r="LB46" s="1234" t="str">
        <f>IF(A46=FALSE,"",IF(Detail!BR46="","N/A",YEAR(Detail!F46)&amp;Detail!BU46&amp;Detail!BR46&amp;"-"&amp;Detail!$BR$13&amp;Detail!BS46))</f>
        <v>2017EURAnker Verzekeringen n.v.-Permanent Disability IllnessFormula 3</v>
      </c>
      <c r="LC46" s="431" t="str">
        <f>IF(A46=FALSE,"",IF(LISTES!$A$17=1,LB46,INDEX(colMOD4,MATCH(DA46,colchoice,0))))</f>
        <v>2017EURAnker Verzekeringen n.v.-Permanent Disability illnessFormula 3</v>
      </c>
      <c r="LD46" s="759" t="str">
        <f t="shared" si="182"/>
        <v>Anker Verzekeringen n.v.</v>
      </c>
      <c r="LE46" s="292"/>
      <c r="LF46" s="409">
        <f t="shared" si="183"/>
        <v>2.0537931034482759E-3</v>
      </c>
      <c r="LG46" s="430">
        <f>IF(A46=FALSE,"",IF(LA46="POEA",Cotations!BK46,IF(LA46="FIXE",Cotations!BL46,IF(Cotations!BM46*Y46&lt;50000,Z46,Cotations!BM46*Y46))))</f>
        <v>216000</v>
      </c>
      <c r="LH46" s="292">
        <f t="shared" si="184"/>
        <v>443.61931034482762</v>
      </c>
      <c r="LI46" s="446">
        <f>IF(A46=FALSE,"",IF(Cotations!AU46="monthly",LH46/12*L46,LH46/365*M46))</f>
        <v>219.98656211620221</v>
      </c>
      <c r="LJ46" s="429">
        <f>IF(A46=FALSE,"",IF(Cotations!BN46="","",Cotations!BN46))</f>
        <v>0</v>
      </c>
      <c r="LK46" s="292">
        <f t="shared" si="185"/>
        <v>0</v>
      </c>
      <c r="LL46" s="292">
        <f t="shared" si="186"/>
        <v>219.98656211620221</v>
      </c>
      <c r="LM46" s="759">
        <f t="shared" si="187"/>
        <v>228.78602460085031</v>
      </c>
      <c r="LN46" s="759" t="e">
        <f>IF(A46=FALSE,"",((LH46*TAXE)-(LH46*TAXE*LJ46))+IF(#REF!="N/A",0,IF(INDEX(LISTES!$F$105:$F$109,MATCH(#REF!,LISTES!$C$105:$C$109,0))="FIX",#REF!,#REF!*LM46)))</f>
        <v>#REF!</v>
      </c>
      <c r="MA46" s="432" t="str">
        <f t="shared" si="188"/>
        <v>PROP</v>
      </c>
      <c r="MB46" s="1234" t="str">
        <f>IF(A46=FALSE,"",IF(Detail!BZ46="","N/A",YEAR(Detail!F46)&amp;Detail!CC46&amp;Detail!BZ46&amp;"-"&amp;Detail!$BZ$13&amp;" (100%/"&amp;Detail!CD46&amp;"/"&amp;Detail!CE46&amp;")"))</f>
        <v>2017EURAnker Verzekeringen n.v.-Temporary Disability Accident (100%/7/365)</v>
      </c>
      <c r="MC46" s="431" t="str">
        <f>IF(A46=FALSE,"",IF(LISTES!$A$17=1,MB46,INDEX(colMOD5,MATCH(DA46,colchoice,0))))</f>
        <v>2017EURAnker Verzekeringen n.v.-Temporary Disability Accident (100%/7/365)</v>
      </c>
      <c r="MD46" s="759" t="str">
        <f t="shared" si="189"/>
        <v>Anker Verzekeringen n.v.</v>
      </c>
      <c r="ME46" s="292"/>
      <c r="MF46" s="409">
        <f t="shared" si="190"/>
        <v>8.1144827586206898E-3</v>
      </c>
      <c r="MG46" s="430">
        <f>IF(A46=FALSE,"",Cotations!BQ46*AA46)</f>
        <v>72000</v>
      </c>
      <c r="MH46" s="292">
        <f t="shared" si="191"/>
        <v>584.24275862068964</v>
      </c>
      <c r="MI46" s="446">
        <f>IF(A46=FALSE,"",IF(Cotations!AU46="monthly",MH46/12*L46,MH46/365*M46))</f>
        <v>289.72038167217761</v>
      </c>
      <c r="MJ46" s="429">
        <f>IF(A46=FALSE,"",IF(Cotations!BR46="","",Cotations!BR46))</f>
        <v>0</v>
      </c>
      <c r="MK46" s="292">
        <f t="shared" si="192"/>
        <v>0</v>
      </c>
      <c r="ML46" s="292">
        <f t="shared" si="193"/>
        <v>289.72038167217761</v>
      </c>
      <c r="MM46" s="759">
        <f t="shared" si="194"/>
        <v>301.30919693906475</v>
      </c>
      <c r="MN46" s="759" t="e">
        <f>IF(A46=FALSE,"",((MH46*TAXE)-(MH46*TAXE*MJ46))+IF(#REF!="N/A",0,IF(INDEX(LISTES!$F$105:$F$109,MATCH(#REF!,LISTES!$C$105:$C$109,0))="FIX",#REF!,#REF!*MM46)))</f>
        <v>#REF!</v>
      </c>
      <c r="NA46" s="432" t="str">
        <f t="shared" si="195"/>
        <v>PROP</v>
      </c>
      <c r="NB46" s="1234" t="str">
        <f>IF(A46=FALSE,"",IF(Detail!CH46="","N/A",YEAR(Detail!F46)&amp;Detail!CK46&amp;Detail!CH46&amp;"-"&amp;Detail!$CH$13&amp;" (100%/"&amp;Detail!CL46&amp;"/"&amp;Detail!CM46&amp;")"))</f>
        <v>2017EURAnker Verzekeringen n.v.-Temporary Disability Illness (100%/7/365)</v>
      </c>
      <c r="NC46" s="431" t="str">
        <f>IF(A46=FALSE,"",IF(LISTES!$A$17=1,NB46,INDEX(colMOD6,MATCH(DA46,colchoice,0))))</f>
        <v>2017EURAnker Verzekeringen n.v.-Temporary Disability illness (100%/7/365)</v>
      </c>
      <c r="ND46" s="759" t="str">
        <f t="shared" si="196"/>
        <v>Anker Verzekeringen n.v.</v>
      </c>
      <c r="NE46" s="292"/>
      <c r="NF46" s="409">
        <f t="shared" si="197"/>
        <v>8.1144827586206898E-3</v>
      </c>
      <c r="NG46" s="430">
        <f>IF(A46=FALSE,"",Cotations!BU46*AA46)</f>
        <v>72000</v>
      </c>
      <c r="NH46" s="292">
        <f t="shared" si="198"/>
        <v>1167.5917241379311</v>
      </c>
      <c r="NI46" s="446">
        <f>IF(A46=FALSE,"",IF(Cotations!AU46="monthly",NH46/12*L46,NH46/365*M46))</f>
        <v>578.99753991497403</v>
      </c>
      <c r="NJ46" s="429">
        <f>IF(A46=FALSE,"",IF(Cotations!BV46="","",Cotations!BV46))</f>
        <v>0</v>
      </c>
      <c r="NK46" s="292">
        <f t="shared" si="199"/>
        <v>0</v>
      </c>
      <c r="NL46" s="292">
        <f t="shared" si="200"/>
        <v>578.99753991497403</v>
      </c>
      <c r="NM46" s="759">
        <f t="shared" si="201"/>
        <v>602.15744151157298</v>
      </c>
      <c r="NN46" s="759" t="e">
        <f>IF(A46=FALSE,"",((NH46*TAXE)-(NH46*TAXE*NJ46))+IF(#REF!="N/A",0,IF(INDEX(LISTES!$F$105:$F$109,MATCH(#REF!,LISTES!$C$105:$C$109,0))="FIX",#REF!,#REF!*NM46)))</f>
        <v>#REF!</v>
      </c>
      <c r="NZ46" s="1281" t="str">
        <f>IF(A46=FALSE,"",IF(Detail!CP46="","N/A",YEAR(Detail!F46)&amp;Detail!CS46&amp;Detail!CP46&amp;"-"&amp;Detail!CQ46))</f>
        <v>N/A</v>
      </c>
      <c r="OA46" s="432" t="str">
        <f>IF(A46=FALSE,"",Cotations!CF46)</f>
        <v>FIXE</v>
      </c>
      <c r="OB46" s="1282" t="str">
        <f>IF(A46=FALSE,"",IF(Detail!CP46="","N/A",YEAR(Detail!F46)&amp;Detail!CS46&amp;Detail!CP46&amp;"-"&amp;Detail!$CP$13&amp;Detail!CQ46))</f>
        <v>N/A</v>
      </c>
      <c r="OC46" s="1283" t="str">
        <f>IF(A46=FALSE,"",IF(LISTES!$A$17=1,OB46,INDEX(colMOD1,MATCH(Cotations!CE46,colchoice,0))))</f>
        <v>N/A</v>
      </c>
      <c r="OD46" s="759" t="str">
        <f t="shared" si="202"/>
        <v>N/A</v>
      </c>
      <c r="OE46" s="292">
        <f>IF(A46=FALSE,"",Detail!CQ46)</f>
        <v>0</v>
      </c>
      <c r="OF46" s="409" t="str">
        <f t="shared" si="203"/>
        <v/>
      </c>
      <c r="OG46" s="430">
        <f>IF(A46=FALSE,"",IF(OA46="FIXE",Cotations!CM46,Cotations!CN46*AA46))</f>
        <v>100000</v>
      </c>
      <c r="OH46" s="292">
        <f t="shared" si="288"/>
        <v>0</v>
      </c>
      <c r="OI46" s="446">
        <f>IF(A46=FALSE,"",IF(Cotations!CF46="monthly",OH46/12*L46,OH46/365*M46))</f>
        <v>0</v>
      </c>
      <c r="OJ46" s="429">
        <f>IF(A46=FALSE,"",IF(Cotations!CO46="","",Cotations!CO46))</f>
        <v>0</v>
      </c>
      <c r="OK46" s="292">
        <f t="shared" si="289"/>
        <v>0</v>
      </c>
      <c r="OL46" s="292">
        <f t="shared" si="290"/>
        <v>0</v>
      </c>
      <c r="OM46" s="759">
        <f t="shared" si="207"/>
        <v>0</v>
      </c>
      <c r="ON46" s="759" t="e">
        <f>IF(A46=FALSE,"",((OH46*(1+TAXE)-(OH46*(1+TAXE)*OJ46))+IF(#REF!="N/A",0,IF(INDEX(LISTES!$F$105:$F$109,MATCH(#REF!,LISTES!$C$105:$C$109,0))="FIX",#REF!,#REF!*OM46))))</f>
        <v>#REF!</v>
      </c>
      <c r="PA46" s="432" t="str">
        <f>IF(A46=FALSE,"",Cotations!CF46)</f>
        <v>FIXE</v>
      </c>
      <c r="PB46" s="1282" t="str">
        <f>IF(A46=FALSE,"",IF(Detail!CX46="","N/A",YEAR(Detail!F46)&amp;Detail!DA46&amp;Detail!CX46&amp;"-"&amp;Detail!$CX$13&amp;Detail!CY46))</f>
        <v>N/A</v>
      </c>
      <c r="PC46" s="1283" t="str">
        <f>IF(A46=FALSE,"",IF(LISTES!$A$17=1,PB46,INDEX(colMOD3,MATCH(Cotations!CE46,colchoice,0))))</f>
        <v>N/A</v>
      </c>
      <c r="PD46" s="759" t="str">
        <f t="shared" si="208"/>
        <v>N/A</v>
      </c>
      <c r="PE46" s="292" t="str">
        <f>IF(A46=FALSE,"",IF(Detail!CY46="","",Detail!CY46))</f>
        <v/>
      </c>
      <c r="PF46" s="409">
        <f t="shared" si="291"/>
        <v>0</v>
      </c>
      <c r="PG46" s="430">
        <f>IF(A46=FALSE,"",IF(PA46="FIXE",Cotations!CP46,Cotations!CQ46*AA46))</f>
        <v>100000</v>
      </c>
      <c r="PH46" s="292">
        <f t="shared" si="292"/>
        <v>0</v>
      </c>
      <c r="PI46" s="446">
        <f>IF(A46=FALSE,"",IF(Cotations!CG46="monthly",PH46/12*L46,PH46/365*M46))</f>
        <v>0</v>
      </c>
      <c r="PJ46" s="429">
        <f>IF(A46=FALSE,"",IF(Cotations!DA46="",0,Cotations!DA46))</f>
        <v>0</v>
      </c>
      <c r="PK46" s="292">
        <f t="shared" si="293"/>
        <v>0</v>
      </c>
      <c r="PL46" s="292">
        <f t="shared" si="294"/>
        <v>0</v>
      </c>
      <c r="PM46" s="759">
        <f t="shared" si="211"/>
        <v>0</v>
      </c>
      <c r="PN46" s="759" t="e">
        <f>IF(A46=FALSE,"",((PH46*(1+TAXE)-(PH46*(1+TAXE)*PJ46))+IF(#REF!="N/A",0,IF(INDEX(LISTES!$F$105:$F$109,MATCH(#REF!,LISTES!$C$105:$C$109,0))="FIX",#REF!,#REF!*PM46))))</f>
        <v>#REF!</v>
      </c>
    </row>
    <row r="47" spans="1:430">
      <c r="A47" s="779" t="b">
        <f t="shared" ref="A47:A78" si="295">IF(B47=FALSE,FALSE,IF(C47=FALSE,FALSE,IF(D47=FALSE,FALSE,TRUE)))</f>
        <v>1</v>
      </c>
      <c r="B47" s="779" t="b">
        <f>IF(NAMES!$B$9=TRUE,TRUE,FALSE)</f>
        <v>1</v>
      </c>
      <c r="C47" s="779" t="b">
        <f t="shared" si="212"/>
        <v>1</v>
      </c>
      <c r="D47" s="779" t="b">
        <f t="shared" si="213"/>
        <v>1</v>
      </c>
      <c r="E47" s="267" t="b">
        <f>IF(Cotations!C47="","",Cotations!C47)</f>
        <v>1</v>
      </c>
      <c r="F47" s="267" t="str">
        <f>IF(Cotations!AT47="","",Cotations!AT47)</f>
        <v>PROP</v>
      </c>
      <c r="G47" s="267" t="str">
        <f>IF(Cotations!D47="","",Cotations!D47)</f>
        <v>2017-2017!</v>
      </c>
      <c r="H47" s="267" t="str">
        <f>IF(Cotations!E47="","",Cotations!E47)</f>
        <v>SINGLE</v>
      </c>
      <c r="I47" s="267">
        <f>IF(Cotations!F47="","",Cotations!F47)</f>
        <v>135200</v>
      </c>
      <c r="J47" s="267" t="str">
        <f>IF(Cotations!G47="","",Cotations!G47)</f>
        <v>2nd officer</v>
      </c>
      <c r="K47" s="267" t="str">
        <f>IF(Cotations!H47="","",Cotations!H47)</f>
        <v>SOLLITT</v>
      </c>
      <c r="L47" s="267">
        <f>IF(A47=FALSE,"",IF(Cotations!M47="","",Cotations!M47))</f>
        <v>6</v>
      </c>
      <c r="M47" s="267">
        <f>IF(Cotations!O47="","",Cotations!O47)</f>
        <v>181</v>
      </c>
      <c r="N47" s="588">
        <f>IF(NAMES!$B$10=TRUE,Cotations!I47,Cotations!K47)</f>
        <v>42750</v>
      </c>
      <c r="O47" s="588">
        <f>IF(NAMES!$B$10=TRUE,Cotations!J47,Cotations!L47)</f>
        <v>42930</v>
      </c>
      <c r="P47" s="780" t="str">
        <f t="shared" si="214"/>
        <v>janvier</v>
      </c>
      <c r="Q47" s="588">
        <f>IF(A47=FALSE,"",IF(Crewlist!Y47="","",Crewlist!Y47))</f>
        <v>42930</v>
      </c>
      <c r="R47" s="78" t="str">
        <f>IF(Cotations!T47="","",Cotations!T47)</f>
        <v>annual</v>
      </c>
      <c r="S47" s="780" t="str">
        <f t="shared" si="215"/>
        <v>VRAI135200janvier42750</v>
      </c>
      <c r="T47" s="759">
        <f>IF(A47=FALSE,"",VLOOKUP($U$15:$U$120,Currency!$A$2:$D$10,4,0)*Crewlist!N47)</f>
        <v>3500</v>
      </c>
      <c r="U47" s="1097" t="str">
        <f>IF(A47=FALSE,"",IF(DP47=0,Crewlist!M47&amp;"/"&amp;CP47,Crewlist!M47&amp;"/"&amp;DP47))</f>
        <v>EUR/EUR</v>
      </c>
      <c r="V47" s="759">
        <f>IF(A47=FALSE,"",VLOOKUP($U$15:$U$120,Currency!$A$2:$D$10,4,0)*Detail!Q47)</f>
        <v>3500</v>
      </c>
      <c r="W47" s="1097" t="str">
        <f>IF(A47=FALSE,"",IF(DP47=0,Detail!R47&amp;"/"&amp;CP47,Detail!R47&amp;"/"&amp;DP47))</f>
        <v>EUR/EUR</v>
      </c>
      <c r="X47" s="759">
        <f>IF(A47=FALSE,"",IF(LISTES!$C$17="Crewlist",Calcul!T47,Calcul!V47))</f>
        <v>3500</v>
      </c>
      <c r="Y47" s="618">
        <f t="shared" si="216"/>
        <v>42000</v>
      </c>
      <c r="Z47" s="618">
        <f>IF(A47=FALSE,"",IF(X47=0,0,IF((Cotations!BA47*12*X47)&lt;50000,50000,(12*X47))))</f>
        <v>42000</v>
      </c>
      <c r="AA47" s="618">
        <f t="shared" si="217"/>
        <v>42000</v>
      </c>
      <c r="AB47" s="618">
        <f>IF(A47=FALSE,"",IF(Crewlist!O47=0,"",Crewlist!O47))</f>
        <v>6000</v>
      </c>
      <c r="AC47" s="618" t="e">
        <f>IF(I47="","",VLOOKUP($AB$15:$AB$120,Currency!$A$15:$B$34,2,0))</f>
        <v>#N/A</v>
      </c>
      <c r="AD47" s="618" t="e">
        <f t="shared" si="218"/>
        <v>#N/A</v>
      </c>
      <c r="AE47" s="618" t="e">
        <f t="shared" si="219"/>
        <v>#N/A</v>
      </c>
      <c r="AF47" s="618" t="e">
        <f t="shared" si="220"/>
        <v>#N/A</v>
      </c>
      <c r="AG47" s="618">
        <f t="shared" si="221"/>
        <v>20827.39726027397</v>
      </c>
      <c r="AH47" s="1097" t="str">
        <f t="shared" ref="AH47:AH78" si="296">IF(A47=FALSE,"",CP47)</f>
        <v>EUR</v>
      </c>
      <c r="AI47" s="759">
        <f t="shared" si="222"/>
        <v>1212.4694245819558</v>
      </c>
      <c r="AJ47" s="1120">
        <f t="shared" si="223"/>
        <v>333.29759999999999</v>
      </c>
      <c r="AK47" s="1120">
        <f t="shared" si="224"/>
        <v>873.17182458195566</v>
      </c>
      <c r="AL47" s="236">
        <f t="shared" si="225"/>
        <v>7.5876000000000001</v>
      </c>
      <c r="AM47" s="236">
        <f t="shared" si="226"/>
        <v>46.110839406998338</v>
      </c>
      <c r="AN47" s="1112">
        <f t="shared" si="227"/>
        <v>0</v>
      </c>
      <c r="AO47" s="236">
        <f t="shared" si="228"/>
        <v>53.69843940699834</v>
      </c>
      <c r="AP47" s="327" t="str">
        <f>IF(A47=FALSE,"",INDEX(Rates!$Q$1:$Q$278,MATCH(CA47,colchoice,0)))</f>
        <v>WCA</v>
      </c>
      <c r="AQ47" s="236">
        <f t="shared" si="229"/>
        <v>6</v>
      </c>
      <c r="AR47" s="236">
        <f t="shared" si="230"/>
        <v>1152.7709851749573</v>
      </c>
      <c r="AS47" s="236">
        <f t="shared" ref="AS47:AS78" si="297">IF(A47=FALSE,"",SUM(AU47:AV47)*TAXE)</f>
        <v>325.70999999999998</v>
      </c>
      <c r="AT47" s="236">
        <f t="shared" ref="AT47:AT78" si="298">IF(A47=FALSE,"",SUM(AW47:BB47)*TAXE)</f>
        <v>873.17182458195566</v>
      </c>
      <c r="AU47" s="236">
        <f t="shared" si="231"/>
        <v>256.06730769230762</v>
      </c>
      <c r="AV47" s="236">
        <f t="shared" si="232"/>
        <v>57.115384615384613</v>
      </c>
      <c r="AW47" s="236">
        <f t="shared" si="233"/>
        <v>43.177349078885214</v>
      </c>
      <c r="AX47" s="236">
        <f t="shared" si="234"/>
        <v>107.98646386395843</v>
      </c>
      <c r="AY47" s="236">
        <f t="shared" si="235"/>
        <v>53.346864430798306</v>
      </c>
      <c r="AZ47" s="236">
        <f t="shared" si="236"/>
        <v>128.32549456778463</v>
      </c>
      <c r="BA47" s="236">
        <f t="shared" si="237"/>
        <v>169.00355597543694</v>
      </c>
      <c r="BB47" s="467">
        <f t="shared" si="238"/>
        <v>337.74856495040154</v>
      </c>
      <c r="BC47" s="329">
        <f t="shared" si="239"/>
        <v>325.70999999999998</v>
      </c>
      <c r="BD47" s="237">
        <f t="shared" si="240"/>
        <v>313.18269230769226</v>
      </c>
      <c r="BE47" s="237">
        <f>IF(A47=FALSE,"",IF(ED47&lt;&gt;$BC$7,0,INDEX(EA47:EZ47,1,MATCH(Structure!$J$16,$EA$14:$EZ$14,0))))</f>
        <v>256.06730769230762</v>
      </c>
      <c r="BF47" s="237">
        <f>IF(A47=FALSE,"",IF(FD47&lt;&gt;$BC$7,0,INDEX(FA47:FZ47,1,MATCH(Structure!$J$16,$FA$14:$FZ$14,0))))</f>
        <v>57.115384615384613</v>
      </c>
      <c r="BG47" s="237">
        <f>IF(A47=FALSE,"",IF(GD47&lt;&gt;$BC$7,0,INDEX(GA47:GZ47,1,MATCH(Structure!$J$16,$GA$14:$GZ$14,0))))</f>
        <v>0</v>
      </c>
      <c r="BH47" s="237">
        <f>IF(A47=FALSE,"",IF(HD47&lt;&gt;$BC$7,0,INDEX(HA47:HZ47,1,MATCH(Structure!$J$16,$HA$14:$HZ$14,0))))</f>
        <v>0</v>
      </c>
      <c r="BI47" s="621">
        <f>IF(A47=FALSE,"",IF(ID47&lt;&gt;$BC$7,0,INDEX(IA47:IZ47,1,MATCH(Structure!$C$12,$IA$14:$IZ$14,0)))+OL47)</f>
        <v>0</v>
      </c>
      <c r="BJ47" s="237">
        <f>IF(A47=FALSE,"",IF(JD47&lt;&gt;$BC$7,0,INDEX(JA47:JZ47,1,MATCH(Structure!$C$12,$JA$14:$JZ$14,0))))</f>
        <v>0</v>
      </c>
      <c r="BK47" s="621">
        <f>IF(A47=FALSE,"",IF(KD47&lt;&gt;$BC$7,0,INDEX(KA47:KZ47,1,MATCH(Structure!$C$12,$KA$14:$KZ$14,0)))+PL47)</f>
        <v>0</v>
      </c>
      <c r="BL47" s="237">
        <f>IF(A47=FALSE,"",IF(LD47&lt;&gt;$BC$7,0,INDEX(LA47:LZ47,1,MATCH(Structure!$C$12,$LA$14:$LZ$14,0))))</f>
        <v>0</v>
      </c>
      <c r="BM47" s="237">
        <f>IF(A47=FALSE,"",IF(MD47&lt;&gt;$BC$7,0,INDEX(MA47:MZ47,1,MATCH(Structure!$C$12,$MA$14:$MZ$14,0))))</f>
        <v>0</v>
      </c>
      <c r="BN47" s="326">
        <f>IF(A47=FALSE,"",IF(ND47&lt;&gt;$BC$7,0,INDEX(NA47:OC47,1,MATCH(Structure!$C$12,$NA$14:$OC$14,0))))</f>
        <v>0</v>
      </c>
      <c r="BO47" s="435">
        <f t="shared" si="241"/>
        <v>873.17182458195566</v>
      </c>
      <c r="BP47" s="237">
        <f t="shared" si="242"/>
        <v>839.58829286726507</v>
      </c>
      <c r="BQ47" s="237">
        <f>IF(A47=FALSE,"",IF(ED47&lt;&gt;$BO$7,0,INDEX(EA47:EZ47,1,MATCH(Structure!$C$12,$EA$14:$EZ$14,0))))</f>
        <v>0</v>
      </c>
      <c r="BR47" s="237">
        <f>IF(A47=FALSE,"",IF(FD47&lt;&gt;$BO$7,0,INDEX(FA47:FZ47,1,MATCH(Structure!$C$12,$FA$14:$FZ$14,0))))</f>
        <v>0</v>
      </c>
      <c r="BS47" s="237">
        <f>IF(A47=FALSE,"",IF(ID47&lt;&gt;$BO$7,0,INDEX(IA47:IZ47,1,MATCH(Structure!$C$13,$IA$14:$IZ$14,0))))</f>
        <v>43.177349078885214</v>
      </c>
      <c r="BT47" s="237">
        <f>IF(A47=FALSE,"",IF(JD47&lt;&gt;$BO$7,0,INDEX(JA47:JZ47,1,MATCH(Structure!$C$13,$JA$14:$JZ$14,0))))</f>
        <v>107.98646386395843</v>
      </c>
      <c r="BU47" s="237">
        <f>IF(A47=FALSE,"",IF(KD47&lt;&gt;$BO$7,0,INDEX(KA47:KZ47,1,MATCH(Structure!$C$13,$KA$14:$KZ$14,0))))</f>
        <v>53.346864430798306</v>
      </c>
      <c r="BV47" s="237">
        <f>IF(A47=FALSE,"",IF(LD47&lt;&gt;$BO$7,0,INDEX(LA47:LZ47,1,MATCH(Structure!$C$13,$LA$14:$LZ$14,0))))</f>
        <v>128.32549456778463</v>
      </c>
      <c r="BW47" s="237">
        <f>IF(A47=FALSE,"",IF(MD47&lt;&gt;$BO$7,0,INDEX(MA47:MZ47,1,MATCH(Structure!$C$13,$MA$14:$MZ$14,0))))</f>
        <v>169.00355597543694</v>
      </c>
      <c r="BX47" s="326">
        <f>IF(A47=FALSE,"",IF(ND47&lt;&gt;$BO$7,0,INDEX(NA47:OC47,1,MATCH(Structure!$C$13,$NA$14:$OC$14,0))))</f>
        <v>337.74856495040154</v>
      </c>
      <c r="BY47" s="412"/>
      <c r="BZ47" s="412"/>
      <c r="CA47" s="1255" t="str">
        <f>IF(A47=FALSE,"",IF(LISTES!$A$17=1,Cotations!AG47,Cotations!AH47))</f>
        <v>2017EURAIG Luxembourg-StandardMLC S</v>
      </c>
      <c r="CB47" s="1266">
        <f t="shared" si="243"/>
        <v>313.18269230769226</v>
      </c>
      <c r="CC47" s="1120">
        <f t="shared" si="244"/>
        <v>256.06730769230762</v>
      </c>
      <c r="CD47" s="1120">
        <f t="shared" si="245"/>
        <v>57.115384615384613</v>
      </c>
      <c r="CE47" s="1120">
        <f t="shared" si="246"/>
        <v>0</v>
      </c>
      <c r="CF47" s="1120">
        <f t="shared" si="247"/>
        <v>0</v>
      </c>
      <c r="CG47" s="1267"/>
      <c r="CH47" s="1267"/>
      <c r="CI47" s="1268">
        <f t="shared" si="248"/>
        <v>325.70999999999992</v>
      </c>
      <c r="CJ47" s="286">
        <f t="shared" si="249"/>
        <v>266.30999999999995</v>
      </c>
      <c r="CK47" s="286">
        <f t="shared" si="250"/>
        <v>59.4</v>
      </c>
      <c r="CL47" s="1263"/>
      <c r="CM47" s="1263"/>
      <c r="CN47" s="1263"/>
      <c r="CO47" s="1263"/>
      <c r="CP47" s="319" t="str">
        <f t="shared" si="251"/>
        <v>EUR</v>
      </c>
      <c r="CQ47" s="443" t="str">
        <f>IF(A47=FALSE,"",Cotations!AM47)</f>
        <v>fix Fees pro rata month</v>
      </c>
      <c r="CR47" s="443">
        <f>IF(A47=FALSE,"",IF(Cotations!AN47="","",Cotations!AN47))</f>
        <v>15.1752</v>
      </c>
      <c r="CS47" s="433">
        <f>IF(A47=FALSE,"",Cotations!AO47)</f>
        <v>0</v>
      </c>
      <c r="CT47" s="443">
        <f>IF(A47=FALSE,"",IF(CQ47="N/A",0,IF(INDEX(LISTES!$F$105:$F$109,MATCH(CQ47,LISTES!$C$105:$C$109,0))="FIX",IF(INDEX(LISTES!$E$105:$E$109,MATCH(CQ47,LISTES!$C$105:$C$109,0))=12,CR47/12*L47,CR47/365*M47),CS47*EQ47)))</f>
        <v>7.5876000000000001</v>
      </c>
      <c r="CU47" s="434">
        <f>IF(A47=FALSE,"",(CJ47+CK47)*Cotations!AP47)</f>
        <v>325.70999999999992</v>
      </c>
      <c r="CV47" s="434">
        <f>IF(A47=FALSE,"",(CJ47+CK47)*Cotations!AQ47)</f>
        <v>0</v>
      </c>
      <c r="DA47" s="1253" t="str">
        <f>IF(A47=FALSE,"",IF(LISTES!$A$17=1,Cotations!AV47,Cotations!AW47))</f>
        <v>2017EURAnker Verzekeringen n.v.-Formula 3 (7/365)</v>
      </c>
      <c r="DB47" s="1271">
        <f t="shared" si="252"/>
        <v>839.58829286726507</v>
      </c>
      <c r="DC47" s="1270">
        <f t="shared" si="253"/>
        <v>43.177349078885214</v>
      </c>
      <c r="DD47" s="1270">
        <f t="shared" si="254"/>
        <v>107.98646386395843</v>
      </c>
      <c r="DE47" s="1270">
        <f t="shared" si="255"/>
        <v>53.346864430798306</v>
      </c>
      <c r="DF47" s="1270">
        <f t="shared" si="256"/>
        <v>128.32549456778463</v>
      </c>
      <c r="DG47" s="1270">
        <f t="shared" si="257"/>
        <v>169.00355597543694</v>
      </c>
      <c r="DH47" s="1270">
        <f t="shared" si="258"/>
        <v>337.74856495040154</v>
      </c>
      <c r="DI47" s="1271">
        <f t="shared" si="259"/>
        <v>873.17182458195566</v>
      </c>
      <c r="DJ47" s="286">
        <f t="shared" si="260"/>
        <v>44.904443042040626</v>
      </c>
      <c r="DK47" s="286">
        <f t="shared" si="261"/>
        <v>112.30592241851677</v>
      </c>
      <c r="DL47" s="1264">
        <f t="shared" si="262"/>
        <v>55.480739008030241</v>
      </c>
      <c r="DM47" s="1264">
        <f t="shared" si="263"/>
        <v>133.45851435049602</v>
      </c>
      <c r="DN47" s="1264">
        <f t="shared" si="264"/>
        <v>175.76369821445442</v>
      </c>
      <c r="DO47" s="1264">
        <f t="shared" si="265"/>
        <v>351.25850754841764</v>
      </c>
      <c r="DP47" s="323" t="str">
        <f t="shared" ref="DP47:DP78" si="299">IF(A47=FALSE,"",INDEX(colCurrency,MATCH(IC47,colMOD1,0)))</f>
        <v>EUR</v>
      </c>
      <c r="DQ47" s="444" t="str">
        <f>IF(A47=FALSE,"",Cotations!BW47)</f>
        <v>N/A</v>
      </c>
      <c r="DR47" s="444">
        <f>IF(A47=FALSE,"",Cotations!BX47)</f>
        <v>0</v>
      </c>
      <c r="DS47" s="433">
        <f>IF(A47=FALSE,"",Cotations!BY47)</f>
        <v>0</v>
      </c>
      <c r="DT47" s="830">
        <f>IF(A47=FALSE,"",IF(DQ47="N/A",0,IF(INDEX(LISTES!$F$105:$F$109,MATCH(DQ47,LISTES!$C$105:$C$109,0))="FIX",IF(INDEX(LISTES!$E$105:$E$109,MATCH(DQ47,LISTES!$C$105:$C$109,0))=12,DR47/12*L47,DR47/365*M47),DS47*(DN47+DO47))))</f>
        <v>0</v>
      </c>
      <c r="DU47" s="434">
        <f>IF(A47=FALSE,"",DJ47*Cotations!BZ47)</f>
        <v>44.904443042040626</v>
      </c>
      <c r="DV47" s="434">
        <f>IF(A47=FALSE,"",DJ47*Cotations!CA47)</f>
        <v>0</v>
      </c>
      <c r="EA47" s="432" t="str">
        <f>IF(A47=FALSE,"",Cotations!AT47)</f>
        <v>PROP</v>
      </c>
      <c r="EB47" s="1234" t="str">
        <f>IF(A47=FALSE,"",YEAR(Detail!F47)&amp;Detail!AG47&amp;Detail!AD47&amp;"-"&amp;Detail!$AD$13&amp;Detail!AE47)</f>
        <v>2017EURAIG Luxembourg-Healthcare PlanStandardMLC S</v>
      </c>
      <c r="EC47" s="434" t="str">
        <f>IF(A47=FALSE,"",IF(LISTES!$A$17=1,EB47,INDEX(colMOD1,MATCH(Cotations!AH47,colchoice,0))))</f>
        <v>2017EURAIG Luxembourg-Healthcare PlanStandardMLC S</v>
      </c>
      <c r="ED47" s="277" t="str">
        <f t="shared" ref="ED47:ED78" si="300">IF(A47=FALSE,"",INDEX(colAssureur,MATCH(EC47,colMOD1,0)))</f>
        <v>AIG Luxembourg</v>
      </c>
      <c r="EE47" s="277" t="str">
        <f t="shared" ref="EE47:EE78" si="301">IF(A47=FALSE,"",IF(N47="","",INDEX(colProduct,MATCH(EC47,colMOD1,0))))</f>
        <v>StandardMLC S</v>
      </c>
      <c r="EF47" s="277"/>
      <c r="EG47" s="277"/>
      <c r="EH47" s="277">
        <f t="shared" ref="EH47:EH78" si="302">IF(A47=FALSE,"",INDEX(colMOD1HT,MATCH(EC47,colMOD1,0)))</f>
        <v>569.03846153846143</v>
      </c>
      <c r="EI47" s="1104">
        <f t="shared" ref="EI47:EI78" si="303">IF(A47=FALSE,"",INDEX(colSURCOM,MATCH(EC47,colMOD1,0)))</f>
        <v>0</v>
      </c>
      <c r="EJ47" s="1104">
        <f t="shared" ref="EJ47:EJ78" si="304">IF(A47=FALSE,"",INDEX(colRatesHTsurcom,MATCH(EC47,colMOD1,0)))</f>
        <v>569.03846153846143</v>
      </c>
      <c r="EK47" s="443">
        <f>IF(A47=FALSE,"",IF(Cotations!AF47="monthly",EH47/12*L47,EH47/365*M47))</f>
        <v>284.51923076923072</v>
      </c>
      <c r="EL47" s="1103">
        <f>IF(A47=FALSE,"",IF(Cotations!AF47="monthly",EJ47/12*L47,EJ47/365*M47))</f>
        <v>284.51923076923072</v>
      </c>
      <c r="EM47" s="433">
        <f>IF(A47=FALSE,"",IF(Cotations!AI47="","",Cotations!AI47))</f>
        <v>0.1</v>
      </c>
      <c r="EN47" s="277">
        <f t="shared" ref="EN47:EN78" si="305">IF(A47=FALSE,"",EK47*EM47)</f>
        <v>28.451923076923073</v>
      </c>
      <c r="EO47" s="277">
        <f t="shared" ref="EO47:EO78" si="306">IF(A47=FALSE,"",EK47-EN47)</f>
        <v>256.06730769230762</v>
      </c>
      <c r="EP47" s="1104">
        <f t="shared" ref="EP47:EP78" si="307">IF(A47=FALSE,"",IF(EI47=0,0,EL47-(EK47-EN47)))</f>
        <v>0</v>
      </c>
      <c r="EQ47" s="277">
        <f t="shared" ref="EQ47:EQ78" si="308">IF(A47=FALSE,"",(EO47*TAXE)+EP47)</f>
        <v>266.30999999999995</v>
      </c>
      <c r="ER47" s="759">
        <f>IF(A47=FALSE,"",((EH47*TAXE)-(EH47*TAXE*EM47)+EI47)+IF(CQ47="N/A",0,IF(INDEX(LISTES!$F$105:$F$109,MATCH(CQ47,LISTES!$C$105:$C$109,0))="FIX",CR47,CS47*EQ47)))</f>
        <v>547.79520000000002</v>
      </c>
      <c r="ET47" s="422"/>
      <c r="EU47" s="422"/>
      <c r="EV47" s="422"/>
      <c r="EW47" s="422"/>
      <c r="EX47" s="422"/>
      <c r="EY47" s="422"/>
      <c r="EZ47" s="422"/>
      <c r="FA47" s="432" t="str">
        <f>IF(A47=FALSE,"",Cotations!AT47)</f>
        <v>PROP</v>
      </c>
      <c r="FB47" s="1235" t="str">
        <f>IF(A47=FALSE,"",IF(Detail!AL47="","N/A",YEAR(Detail!F47)&amp;Detail!AO47&amp;Detail!AL47&amp;"-"&amp;Detail!$AL$13&amp;Detail!AM47))</f>
        <v>2017EURAIG Luxembourg-Assistance and RepatriationStandardMLC S</v>
      </c>
      <c r="FC47" s="434" t="str">
        <f>IF(A47=FALSE,"",IF(LISTES!$A$17=1,FB47,INDEX(colMOD2,MATCH(Cotations!AH47,colchoice,0))))</f>
        <v>2017EURAIG Luxembourg-Assistance and RepatriationStandardMLC S</v>
      </c>
      <c r="FD47" s="277" t="str">
        <f t="shared" ref="FD47:FD78" si="309">IF(A47=FALSE,"",INDEX(colAssureur,MATCH(FC47,colMOD2,0)))</f>
        <v>AIG Luxembourg</v>
      </c>
      <c r="FE47" s="443" t="str">
        <f>IF(A47=FALSE,"",IF(Detail!AM47="","",Detail!AM47))</f>
        <v>StandardMLC S</v>
      </c>
      <c r="FF47" s="277"/>
      <c r="FG47" s="277"/>
      <c r="FH47" s="277">
        <f t="shared" ref="FH47:FH78" si="310">IF(A47=FALSE,"",INDEX(colMOD2HT,MATCH(FC47,colMOD2,0)))</f>
        <v>126.92307692307692</v>
      </c>
      <c r="FI47" s="1104"/>
      <c r="FJ47" s="1104"/>
      <c r="FK47" s="443">
        <f>IF(A47=FALSE,"",IF(Cotations!AF47="monthly",FH47/12*L47,FH47/365*M47))</f>
        <v>63.46153846153846</v>
      </c>
      <c r="FL47" s="1103">
        <f>IF(A47=FALSE,"",IF(Cotations!AF47="monthly",FJ47/12*L47,FJ47/365*M47))</f>
        <v>0</v>
      </c>
      <c r="FM47" s="433">
        <f>IF(A47=FALSE,"",IF(Cotations!AJ47="","",Cotations!AJ47))</f>
        <v>0.1</v>
      </c>
      <c r="FN47" s="277">
        <f t="shared" si="268"/>
        <v>6.3461538461538467</v>
      </c>
      <c r="FO47" s="277">
        <f t="shared" si="269"/>
        <v>57.115384615384613</v>
      </c>
      <c r="FP47" s="1104"/>
      <c r="FQ47" s="277">
        <f t="shared" si="270"/>
        <v>59.4</v>
      </c>
      <c r="FR47" s="759" t="e">
        <f>IF(A47=FALSE,"",((FH47*TAXE)-(FH47*TAXE*FM47))+IF(#REF!="N/A",0,IF(INDEX(LISTES!$F$105:$F$109,MATCH(#REF!,LISTES!$C$105:$C$109,0))="FIX",#REF!,#REF!*FQ47)))</f>
        <v>#REF!</v>
      </c>
      <c r="FS47" s="422"/>
      <c r="FT47" s="422"/>
      <c r="FU47" s="422"/>
      <c r="FV47" s="422"/>
      <c r="FW47" s="422"/>
      <c r="FX47" s="422"/>
      <c r="FY47" s="422"/>
      <c r="FZ47" s="422"/>
      <c r="GA47" s="432" t="str">
        <f t="shared" ref="GA47:GA78" si="311">IF(A47=FALSE,"",EA47)</f>
        <v>PROP</v>
      </c>
      <c r="GB47" s="1234" t="str">
        <f>IF(A47=FALSE,"",IF(Detail!DF47="","N/A",YEAR(Detail!F47)&amp;Detail!DI47&amp;Detail!DF47&amp;"-"&amp;Detail!$DF$13))</f>
        <v>N/A</v>
      </c>
      <c r="GC47" s="434" t="str">
        <f>IF(A47=FALSE,"",IF(LISTES!$A$17=1,GB47,INDEX(colMOD3,MATCH(Cotations!AH47,colchoice,0))))</f>
        <v>N/A</v>
      </c>
      <c r="GD47" s="277" t="str">
        <f t="shared" ref="GD47:GD78" si="312">IF(A47=FALSE,"",INDEX(colAssureur,MATCH(GC47,colMOD3,0)))</f>
        <v>N/A</v>
      </c>
      <c r="GE47" s="277">
        <f t="shared" ref="GE47:GE78" si="313">IF(A47=FALSE,"",INDEX(colProduct,MATCH(GC47,colMOD3,0)))</f>
        <v>0</v>
      </c>
      <c r="GF47" s="277"/>
      <c r="GG47" s="277"/>
      <c r="GH47" s="277">
        <f t="shared" si="271"/>
        <v>0</v>
      </c>
      <c r="GI47" s="1104">
        <f t="shared" si="272"/>
        <v>0</v>
      </c>
      <c r="GJ47" s="1104">
        <f t="shared" si="273"/>
        <v>0</v>
      </c>
      <c r="GK47" s="443">
        <f>IF(A47=FALSE,"",IF(Cotations!AF47="monthly",GH47/12*L47,GH47/365*M47))</f>
        <v>0</v>
      </c>
      <c r="GL47" s="1103">
        <f>IF(A47=FALSE,"",IF(Cotations!AF47="monthly",GJ47/12*L47,GJ47/365*M47))</f>
        <v>0</v>
      </c>
      <c r="GM47" s="433">
        <f>IF(A47=FALSE,"",IF(Cotations!AK47="","",Cotations!AK47))</f>
        <v>0</v>
      </c>
      <c r="GN47" s="277">
        <f t="shared" si="274"/>
        <v>0</v>
      </c>
      <c r="GO47" s="277">
        <f t="shared" si="275"/>
        <v>0</v>
      </c>
      <c r="GP47" s="1104">
        <f t="shared" si="276"/>
        <v>0</v>
      </c>
      <c r="GQ47" s="277">
        <f t="shared" si="277"/>
        <v>0</v>
      </c>
      <c r="GR47" s="759">
        <f>IF(A47=FALSE,"",((GH47*TAXE)-(GH47*TAXE*GM47)+GI47)+IF(CQ47="N/A",0,IF(INDEX(LISTES!$F$105:$F$109,MATCH(CQ47,LISTES!$C$105:$C$109,0))="FIX",CR47,CS47*GQ47)))</f>
        <v>15.1752</v>
      </c>
      <c r="GS47" s="412"/>
      <c r="GT47" s="412"/>
      <c r="GU47" s="412"/>
      <c r="GV47" s="412"/>
      <c r="GW47" s="412"/>
      <c r="GX47" s="412"/>
      <c r="GY47" s="412"/>
      <c r="GZ47" s="412"/>
      <c r="HA47" s="432" t="str">
        <f t="shared" ref="HA47:HA78" si="314">IF(A47=FALSE,"",EA47)</f>
        <v>PROP</v>
      </c>
      <c r="HB47" s="1234" t="str">
        <f>IF(A47=FALSE,"",IF(Detail!DF47="","N/A",YEAR(Detail!F47)&amp;Detail!DI47&amp;Detail!DF47&amp;"-"&amp;Detail!$DF$13))</f>
        <v>N/A</v>
      </c>
      <c r="HC47" s="434" t="str">
        <f>IF(A47=FALSE,"",IF(LISTES!$A$17=1,HB47,INDEX(colMOD4,MATCH(Cotations!AH47,colchoice,0))))</f>
        <v>N/A</v>
      </c>
      <c r="HD47" s="277" t="str">
        <f t="shared" si="278"/>
        <v>N/A</v>
      </c>
      <c r="HE47" s="277">
        <f t="shared" si="279"/>
        <v>0</v>
      </c>
      <c r="HF47" s="277"/>
      <c r="HG47" s="277"/>
      <c r="HH47" s="277">
        <f t="shared" si="280"/>
        <v>0</v>
      </c>
      <c r="HI47" s="1104">
        <f t="shared" si="281"/>
        <v>0</v>
      </c>
      <c r="HJ47" s="1104">
        <f t="shared" si="282"/>
        <v>0</v>
      </c>
      <c r="HK47" s="443">
        <f>IF(A47=FALSE,"",IF(Cotations!AF47="monthly",HH47/12*L47,HH47/365*M47))</f>
        <v>0</v>
      </c>
      <c r="HL47" s="1103">
        <f>IF(A47=FALSE,"",IF(Cotations!AF47="monthly",HJ47/12*L47,HJ47/365*M47))</f>
        <v>0</v>
      </c>
      <c r="HM47" s="433">
        <f>IF(A47=FALSE,"",IF(Cotations!AL47="","",Cotations!AL47))</f>
        <v>0</v>
      </c>
      <c r="HN47" s="277">
        <f t="shared" si="283"/>
        <v>0</v>
      </c>
      <c r="HO47" s="277">
        <f t="shared" si="284"/>
        <v>0</v>
      </c>
      <c r="HP47" s="1104">
        <f t="shared" si="285"/>
        <v>0</v>
      </c>
      <c r="HQ47" s="277">
        <f t="shared" si="286"/>
        <v>0</v>
      </c>
      <c r="HR47" s="759">
        <f>IF(A47=FALSE,"",((HH47*TAXE)-(HH47*TAXE*HM47)+HI47)+IF(CQ47="N/A",0,IF(INDEX(LISTES!$F$105:$F$109,MATCH(CQ47,LISTES!$C$105:$C$109,0))="FIX",CR47,CS47*HQ47)))</f>
        <v>15.1752</v>
      </c>
      <c r="HS47" s="412"/>
      <c r="HT47" s="412"/>
      <c r="HU47" s="412"/>
      <c r="HV47" s="412"/>
      <c r="HW47" s="412"/>
      <c r="HX47" s="412"/>
      <c r="HY47" s="412"/>
      <c r="HZ47" s="1262"/>
      <c r="IA47" s="432" t="str">
        <f>IF(A47=FALSE,"",Cotations!AT47)</f>
        <v>PROP</v>
      </c>
      <c r="IB47" s="1253" t="str">
        <f>IF(A47=FALSE,"",IF(Detail!AT47="","N/A",YEAR(Detail!F47)&amp;Detail!AW47&amp;Detail!AT47&amp;"-"&amp;Detail!$AT$13&amp;Detail!AU47))</f>
        <v>2017EURAnker Verzekeringen n.v.-Death AccidentFormula 3</v>
      </c>
      <c r="IC47" s="431" t="str">
        <f>IF(A47=FALSE,"",IF(LISTES!$A$17=1,IB47,INDEX(colMOD1,MATCH(DA47,colchoice,0))))</f>
        <v>2017EURAnker Verzekeringen n.v.-Death AccidentFormula 3</v>
      </c>
      <c r="ID47" s="759" t="str">
        <f t="shared" ref="ID47:ID50" si="315">IF(A47=FALSE,"",INDEX(colAssureur,MATCH(IC47,colMOD1,0)))</f>
        <v>Anker Verzekeringen n.v.</v>
      </c>
      <c r="IE47" s="292" t="str">
        <f>IF(A47=FALSE,"",IF(LISTES!$A$17=1,Detail!AU47,INDEX(Rates!$M$1:$M$270,MATCH(IC47,colMOD1,0))))</f>
        <v>Formula 3</v>
      </c>
      <c r="IF47" s="409">
        <f t="shared" ref="IF47:IF50" si="316">IF(A47=FALSE,"",IF(IA47="POEA",$IA$2,INDEX(colMOD1HT,MATCH(IC47,colMOD1,0))))</f>
        <v>6.9103448275862072E-4</v>
      </c>
      <c r="IG47" s="430">
        <f>IF(A47=FALSE,"",IF(IA47="POEA",Cotations!AY47,IF(IA47="FIXE",Cotations!AZ47,IF(Cotations!BA47*Y47&lt;50000,Z47,Cotations!BA47*Y47))))</f>
        <v>126000</v>
      </c>
      <c r="IH47" s="292">
        <f t="shared" ref="IH47:IH50" si="317">IF(A47=FALSE,"",IF(IC47="N/A",0,IG47*IF47))</f>
        <v>87.070344827586212</v>
      </c>
      <c r="II47" s="446">
        <f>IF(A47=FALSE,"",IF(Cotations!AU47="monthly",IH47/12*L47,IH47/365*M47))</f>
        <v>43.177349078885214</v>
      </c>
      <c r="IJ47" s="429">
        <f>IF(A47=FALSE,"",IF(Cotations!BB47="","",Cotations!BB47))</f>
        <v>0</v>
      </c>
      <c r="IK47" s="292">
        <f t="shared" ref="IK47:IK50" si="318">IF(A47=FALSE,"",II47*IJ47)</f>
        <v>0</v>
      </c>
      <c r="IL47" s="292">
        <f t="shared" ref="IL47:IL50" si="319">IF(A47=FALSE,"",II47-IK47)</f>
        <v>43.177349078885214</v>
      </c>
      <c r="IM47" s="759">
        <f t="shared" ref="IM47:IM50" si="320">IF(A47=FALSE,"",IL47*TAXE)</f>
        <v>44.904443042040626</v>
      </c>
      <c r="IN47" s="759">
        <f>IF(A47=FALSE,"",((IH47*TAXE)-(IH47*TAXE*IJ47))+IF(DQ47="N/A",0,IF(INDEX(LISTES!$F$105:$F$109,MATCH(DQ47,LISTES!$C$105:$C$109,0))="FIX",DR47,DS47*IM47)))</f>
        <v>90.553158620689658</v>
      </c>
      <c r="JA47" s="432" t="str">
        <f>IF(A47=FALSE,"",Cotations!AT47)</f>
        <v>PROP</v>
      </c>
      <c r="JB47" s="1234" t="str">
        <f>IF(A47=FALSE,"",IF(Detail!BB47="","N/A",YEAR(Detail!F47)&amp;Detail!BE47&amp;Detail!BB47&amp;"-"&amp;Detail!$BB$13&amp;Detail!BC47))</f>
        <v>2017EURAnker Verzekeringen n.v.-Death IllnessFormula 3</v>
      </c>
      <c r="JC47" s="431" t="str">
        <f>IF(A47=FALSE,"",IF(LISTES!$A$17=1,JB47,INDEX(colMOD2,MATCH(DA47,colchoice,0))))</f>
        <v>2017EURAnker Verzekeringen n.v.-Death illnessFormula 3</v>
      </c>
      <c r="JD47" s="759" t="str">
        <f t="shared" ref="JD47:JD78" si="321">IF(A47=FALSE,"",INDEX(colAssureur,MATCH(JC47,colMOD2,0)))</f>
        <v>Anker Verzekeringen n.v.</v>
      </c>
      <c r="JE47" s="292"/>
      <c r="JF47" s="409">
        <f t="shared" ref="JF47:JF78" si="322">IF(A47=FALSE,"",IF(JA47="POEA",$JA$2,INDEX(colMOD2HT,MATCH(JC47,colMOD2,0))))</f>
        <v>1.7282758620689655E-3</v>
      </c>
      <c r="JG47" s="430">
        <f>IF(A47=FALSE,"",IF(JA47="POEA",Cotations!BC47,IF(JA47="FIXE",Cotations!BD47,IF(Cotations!BE47*Y47&lt;50000,Z47,Cotations!BE47*Y47))))</f>
        <v>126000</v>
      </c>
      <c r="JH47" s="292">
        <f t="shared" ref="JH47:JH78" si="323">IF(A47=FALSE,"",IF(JC47="N/A",0,JG47*INDEX(colMOD2HT,MATCH(JC47,colMOD2,0))))</f>
        <v>217.76275862068965</v>
      </c>
      <c r="JI47" s="446">
        <f>IF(A47=FALSE,"",IF(Cotations!AU47="monthly",JH47/12*L47,JH47/365*M47))</f>
        <v>107.98646386395843</v>
      </c>
      <c r="JJ47" s="429">
        <f>IF(A47=FALSE,"",IF(Cotations!BF47="","",Cotations!BF47))</f>
        <v>0</v>
      </c>
      <c r="JK47" s="292">
        <f t="shared" ref="JK47:JK78" si="324">IF(A47=FALSE,"",JI47*JJ47)</f>
        <v>0</v>
      </c>
      <c r="JL47" s="292">
        <f t="shared" ref="JL47:JL78" si="325">IF(A47=FALSE,"",JI47-JK47)</f>
        <v>107.98646386395843</v>
      </c>
      <c r="JM47" s="759">
        <f t="shared" ref="JM47:JM78" si="326">IF(A47=FALSE,"",JL47*TAXE)</f>
        <v>112.30592241851677</v>
      </c>
      <c r="JN47" s="759" t="e">
        <f>IF(A47=FALSE,"",((JH47*TAXE)-(JH47*TAXE*JJ47))+IF(#REF!="N/A",0,IF(INDEX(LISTES!$F$105:$F$109,MATCH(#REF!,LISTES!$C$105:$C$109,0))="FIX",#REF!,#REF!*JM47)))</f>
        <v>#REF!</v>
      </c>
      <c r="KA47" s="432" t="str">
        <f>IF(A47=FALSE,"",Cotations!AT47)</f>
        <v>PROP</v>
      </c>
      <c r="KB47" s="1234" t="str">
        <f>IF(A47=FALSE,"",IF(Detail!BJ47="","N/A",YEAR(Detail!F47)&amp;Detail!BM47&amp;Detail!BJ47&amp;"-"&amp;Detail!$BJ$13&amp;Detail!BK47))</f>
        <v>2017EURAnker Verzekeringen n.v.-Permanent Disability AccidentFormula 3</v>
      </c>
      <c r="KC47" s="431" t="str">
        <f>IF(A47=FALSE,"",IF(LISTES!$A$17=1,KB47,INDEX(colMOD3,MATCH(DA47,colchoice,0))))</f>
        <v>2017EURAnker Verzekeringen n.v.-Permanent Disability AccidentFormula 3</v>
      </c>
      <c r="KD47" s="759" t="str">
        <f t="shared" ref="KD47:KD78" si="327">IF(A47=FALSE,"",INDEX(colAssureur,MATCH(KC47,colMOD3,0)))</f>
        <v>Anker Verzekeringen n.v.</v>
      </c>
      <c r="KE47" s="292"/>
      <c r="KF47" s="409">
        <f t="shared" ref="KF47:KF78" si="328">IF(A47=FALSE,"",IF(KA47="POEA",$KA$2,INDEX(colMOD1HT,MATCH(KC47,colMOD3,0))))</f>
        <v>6.9103448275862072E-4</v>
      </c>
      <c r="KG47" s="430">
        <f>IF(A47=FALSE,"",IF(KA47="POEA",Cotations!BG47,IF(KA47="FIXE",Cotations!BH47,IF(Cotations!BI47*Y47&lt;50000,Z47,Cotations!BI47*Y47))))</f>
        <v>126000</v>
      </c>
      <c r="KH47" s="292">
        <f t="shared" ref="KH47:KH78" si="329">IF(A47=FALSE,"",IF(KC47="N/A",0,KG47*INDEX(colMOD3HT,MATCH(KC47,colMOD3,0))))</f>
        <v>107.57793103448276</v>
      </c>
      <c r="KI47" s="446">
        <f>IF(A47=FALSE,"",IF(Cotations!AU47="monthly",KH47/12*L47,KH47/365*M47))</f>
        <v>53.346864430798306</v>
      </c>
      <c r="KJ47" s="429">
        <f>IF(A47=FALSE,"",IF(Cotations!BJ47="","",Cotations!BJ47))</f>
        <v>0</v>
      </c>
      <c r="KK47" s="292">
        <f t="shared" ref="KK47:KK78" si="330">IF(A47=FALSE,"",KI47*KJ47)</f>
        <v>0</v>
      </c>
      <c r="KL47" s="292">
        <f t="shared" ref="KL47:KL78" si="331">IF(A47=FALSE,"",KI47-KK47)</f>
        <v>53.346864430798306</v>
      </c>
      <c r="KM47" s="759">
        <f t="shared" ref="KM47:KM78" si="332">IF(A47=FALSE,"",KL47*TAXE)</f>
        <v>55.480739008030241</v>
      </c>
      <c r="KN47" s="759" t="e">
        <f>IF(A47=FALSE,"",((KH47*TAXE)-(KH47*TAXE*KJ47))+IF(#REF!="N/A",0,IF(INDEX(LISTES!$F$105:$F$109,MATCH(#REF!,LISTES!$C$105:$C$109,0))="FIX",#REF!,#REF!*KM47)))</f>
        <v>#REF!</v>
      </c>
      <c r="LA47" s="432" t="str">
        <f>IF(A47=FALSE,"",Cotations!AT47)</f>
        <v>PROP</v>
      </c>
      <c r="LB47" s="1234" t="str">
        <f>IF(A47=FALSE,"",IF(Detail!BR47="","N/A",YEAR(Detail!F47)&amp;Detail!BU47&amp;Detail!BR47&amp;"-"&amp;Detail!$BR$13&amp;Detail!BS47))</f>
        <v>2017EURAnker Verzekeringen n.v.-Permanent Disability IllnessFormula 3</v>
      </c>
      <c r="LC47" s="431" t="str">
        <f>IF(A47=FALSE,"",IF(LISTES!$A$17=1,LB47,INDEX(colMOD4,MATCH(DA47,colchoice,0))))</f>
        <v>2017EURAnker Verzekeringen n.v.-Permanent Disability illnessFormula 3</v>
      </c>
      <c r="LD47" s="759" t="str">
        <f t="shared" ref="LD47:LD78" si="333">IF(A47=FALSE,"",INDEX(colAssureur,MATCH(LC47,colMOD4,0)))</f>
        <v>Anker Verzekeringen n.v.</v>
      </c>
      <c r="LE47" s="292"/>
      <c r="LF47" s="409">
        <f t="shared" ref="LF47:LF78" si="334">IF(A47=FALSE,"",IF(LA47="POEA",$LA$2,INDEX(colMOD4HT,MATCH(LC47,colMOD4,0))))</f>
        <v>2.0537931034482759E-3</v>
      </c>
      <c r="LG47" s="430">
        <f>IF(A47=FALSE,"",IF(LA47="POEA",Cotations!BK47,IF(LA47="FIXE",Cotations!BL47,IF(Cotations!BM47*Y47&lt;50000,Z47,Cotations!BM47*Y47))))</f>
        <v>126000</v>
      </c>
      <c r="LH47" s="292">
        <f t="shared" ref="LH47:LH78" si="335">IF(A47=FALSE,"",IF(LC47="N/A",0,LG47*INDEX(colMOD4HT,MATCH(LC47,colMOD4,0))))</f>
        <v>258.77793103448278</v>
      </c>
      <c r="LI47" s="446">
        <f>IF(A47=FALSE,"",IF(Cotations!AU47="monthly",LH47/12*L47,LH47/365*M47))</f>
        <v>128.32549456778463</v>
      </c>
      <c r="LJ47" s="429">
        <f>IF(A47=FALSE,"",IF(Cotations!BN47="","",Cotations!BN47))</f>
        <v>0</v>
      </c>
      <c r="LK47" s="292">
        <f t="shared" ref="LK47:LK78" si="336">IF(A47=FALSE,"",LI47*LJ47)</f>
        <v>0</v>
      </c>
      <c r="LL47" s="292">
        <f t="shared" ref="LL47:LL78" si="337">IF(A47=FALSE,"",LI47-LK47)</f>
        <v>128.32549456778463</v>
      </c>
      <c r="LM47" s="759">
        <f t="shared" ref="LM47:LM78" si="338">IF(A47=FALSE,"",LL47*TAXE)</f>
        <v>133.45851435049602</v>
      </c>
      <c r="LN47" s="759" t="e">
        <f>IF(A47=FALSE,"",((LH47*TAXE)-(LH47*TAXE*LJ47))+IF(#REF!="N/A",0,IF(INDEX(LISTES!$F$105:$F$109,MATCH(#REF!,LISTES!$C$105:$C$109,0))="FIX",#REF!,#REF!*LM47)))</f>
        <v>#REF!</v>
      </c>
      <c r="MA47" s="432" t="str">
        <f t="shared" ref="MA47:MA78" si="339">IF(A47=FALSE,"","PROP")</f>
        <v>PROP</v>
      </c>
      <c r="MB47" s="1234" t="str">
        <f>IF(A47=FALSE,"",IF(Detail!BZ47="","N/A",YEAR(Detail!F47)&amp;Detail!CC47&amp;Detail!BZ47&amp;"-"&amp;Detail!$BZ$13&amp;" (100%/"&amp;Detail!CD47&amp;"/"&amp;Detail!CE47&amp;")"))</f>
        <v>2017EURAnker Verzekeringen n.v.-Temporary Disability Accident (100%/7/365)</v>
      </c>
      <c r="MC47" s="431" t="str">
        <f>IF(A47=FALSE,"",IF(LISTES!$A$17=1,MB47,INDEX(colMOD5,MATCH(DA47,colchoice,0))))</f>
        <v>2017EURAnker Verzekeringen n.v.-Temporary Disability Accident (100%/7/365)</v>
      </c>
      <c r="MD47" s="759" t="str">
        <f t="shared" ref="MD47:MD78" si="340">IF(A47=FALSE,"",INDEX(colAssureur,MATCH(MC47,colMOD5,0)))</f>
        <v>Anker Verzekeringen n.v.</v>
      </c>
      <c r="ME47" s="292"/>
      <c r="MF47" s="409">
        <f t="shared" ref="MF47:MF78" si="341">IF(A47=FALSE,"",IF(MA47="POEA",$MA$2,INDEX(colMOD5HT,MATCH(MC47,colMOD5,0))))</f>
        <v>8.1144827586206898E-3</v>
      </c>
      <c r="MG47" s="430">
        <f>IF(A47=FALSE,"",Cotations!BQ47*AA47)</f>
        <v>42000</v>
      </c>
      <c r="MH47" s="292">
        <f t="shared" ref="MH47:MH78" si="342">IF(A47=FALSE,"",IF(MC47="N/A",0,MG47*INDEX(colMOD5HT,MATCH(MC47,colMOD5,0))))</f>
        <v>340.80827586206897</v>
      </c>
      <c r="MI47" s="446">
        <f>IF(A47=FALSE,"",IF(Cotations!AU47="monthly",MH47/12*L47,MH47/365*M47))</f>
        <v>169.00355597543694</v>
      </c>
      <c r="MJ47" s="429">
        <f>IF(A47=FALSE,"",IF(Cotations!BR47="","",Cotations!BR47))</f>
        <v>0</v>
      </c>
      <c r="MK47" s="292">
        <f t="shared" ref="MK47:MK78" si="343">IF(A47=FALSE,"",MI47*MJ47)</f>
        <v>0</v>
      </c>
      <c r="ML47" s="292">
        <f t="shared" ref="ML47:ML78" si="344">IF(A47=FALSE,"",MI47-MK47)</f>
        <v>169.00355597543694</v>
      </c>
      <c r="MM47" s="759">
        <f t="shared" ref="MM47:MM78" si="345">IF(A47=FALSE,"",ML47*TAXE)</f>
        <v>175.76369821445442</v>
      </c>
      <c r="MN47" s="759" t="e">
        <f>IF(A47=FALSE,"",((MH47*TAXE)-(MH47*TAXE*MJ47))+IF(#REF!="N/A",0,IF(INDEX(LISTES!$F$105:$F$109,MATCH(#REF!,LISTES!$C$105:$C$109,0))="FIX",#REF!,#REF!*MM47)))</f>
        <v>#REF!</v>
      </c>
      <c r="NA47" s="432" t="str">
        <f t="shared" ref="NA47:NA78" si="346">IF(A47=FALSE,"","PROP")</f>
        <v>PROP</v>
      </c>
      <c r="NB47" s="1234" t="str">
        <f>IF(A47=FALSE,"",IF(Detail!CH47="","N/A",YEAR(Detail!F47)&amp;Detail!CK47&amp;Detail!CH47&amp;"-"&amp;Detail!$CH$13&amp;" (100%/"&amp;Detail!CL47&amp;"/"&amp;Detail!CM47&amp;")"))</f>
        <v>2017EURAnker Verzekeringen n.v.-Temporary Disability Illness (100%/7/365)</v>
      </c>
      <c r="NC47" s="431" t="str">
        <f>IF(A47=FALSE,"",IF(LISTES!$A$17=1,NB47,INDEX(colMOD6,MATCH(DA47,colchoice,0))))</f>
        <v>2017EURAnker Verzekeringen n.v.-Temporary Disability illness (100%/7/365)</v>
      </c>
      <c r="ND47" s="759" t="str">
        <f t="shared" ref="ND47:ND78" si="347">IF(A47=FALSE,"",INDEX(colAssureur,MATCH(NC47,colMOD6,0)))</f>
        <v>Anker Verzekeringen n.v.</v>
      </c>
      <c r="NE47" s="292"/>
      <c r="NF47" s="409">
        <f t="shared" ref="NF47:NF78" si="348">IF(A47=FALSE,"",IF(NA47="POEA",$NA$2,INDEX(colMOD5HT,MATCH(NC47,colMOD6,0))))</f>
        <v>8.1144827586206898E-3</v>
      </c>
      <c r="NG47" s="430">
        <f>IF(A47=FALSE,"",Cotations!BU47*AA47)</f>
        <v>42000</v>
      </c>
      <c r="NH47" s="292">
        <f t="shared" ref="NH47:NH78" si="349">IF(A47=FALSE,"",IF(NC47="N/A",0,NG47*INDEX(colMOD6HT,MATCH(NC47,colMOD6,0))))</f>
        <v>681.09517241379319</v>
      </c>
      <c r="NI47" s="446">
        <f>IF(A47=FALSE,"",IF(Cotations!AU47="monthly",NH47/12*L47,NH47/365*M47))</f>
        <v>337.74856495040154</v>
      </c>
      <c r="NJ47" s="429">
        <f>IF(A47=FALSE,"",IF(Cotations!BV47="","",Cotations!BV47))</f>
        <v>0</v>
      </c>
      <c r="NK47" s="292">
        <f t="shared" ref="NK47:NK78" si="350">IF(A47=FALSE,"",NI47*NJ47)</f>
        <v>0</v>
      </c>
      <c r="NL47" s="292">
        <f t="shared" ref="NL47:NL78" si="351">IF(A47=FALSE,"",NI47-NK47)</f>
        <v>337.74856495040154</v>
      </c>
      <c r="NM47" s="759">
        <f t="shared" ref="NM47:NM78" si="352">IF(A47=FALSE,"",NL47*TAXE)</f>
        <v>351.25850754841764</v>
      </c>
      <c r="NN47" s="759" t="e">
        <f>IF(A47=FALSE,"",((NH47*TAXE)-(NH47*TAXE*NJ47))+IF(#REF!="N/A",0,IF(INDEX(LISTES!$F$105:$F$109,MATCH(#REF!,LISTES!$C$105:$C$109,0))="FIX",#REF!,#REF!*NM47)))</f>
        <v>#REF!</v>
      </c>
      <c r="NZ47" s="1281" t="str">
        <f>IF(A47=FALSE,"",IF(Detail!CP47="","N/A",YEAR(Detail!F47)&amp;Detail!CS47&amp;Detail!CP47&amp;"-"&amp;Detail!CQ47))</f>
        <v>N/A</v>
      </c>
      <c r="OA47" s="432" t="str">
        <f>IF(A47=FALSE,"",Cotations!CF47)</f>
        <v>FIXE</v>
      </c>
      <c r="OB47" s="1282" t="str">
        <f>IF(A47=FALSE,"",IF(Detail!CP47="","N/A",YEAR(Detail!F47)&amp;Detail!CS47&amp;Detail!CP47&amp;"-"&amp;Detail!$CP$13&amp;Detail!CQ47))</f>
        <v>N/A</v>
      </c>
      <c r="OC47" s="1283" t="str">
        <f>IF(A47=FALSE,"",IF(LISTES!$A$17=1,OB47,INDEX(colMOD1,MATCH(Cotations!CE47,colchoice,0))))</f>
        <v>N/A</v>
      </c>
      <c r="OD47" s="759" t="str">
        <f t="shared" ref="OD47:OD78" si="353">IF(A47=FALSE,"",INDEX(colAssureur,MATCH(OC47,colMOD1,0)))</f>
        <v>N/A</v>
      </c>
      <c r="OE47" s="292">
        <f>IF(A47=FALSE,"",Detail!CQ47)</f>
        <v>0</v>
      </c>
      <c r="OF47" s="409" t="str">
        <f t="shared" ref="OF47:OF78" si="354">IF(A47=FALSE,"",IF(OC47="",0,INDEX(colMOD1HT,MATCH(OC47,colMOD1,0))))</f>
        <v/>
      </c>
      <c r="OG47" s="430">
        <f>IF(A47=FALSE,"",IF(OA47="FIXE",Cotations!CM47,Cotations!CN47*AA47))</f>
        <v>100000</v>
      </c>
      <c r="OH47" s="292">
        <f t="shared" si="288"/>
        <v>0</v>
      </c>
      <c r="OI47" s="446">
        <f>IF(A47=FALSE,"",IF(Cotations!CF47="monthly",OH47/12*L47,OH47/365*M47))</f>
        <v>0</v>
      </c>
      <c r="OJ47" s="429">
        <f>IF(A47=FALSE,"",IF(Cotations!CO47="","",Cotations!CO47))</f>
        <v>0</v>
      </c>
      <c r="OK47" s="292">
        <f t="shared" si="289"/>
        <v>0</v>
      </c>
      <c r="OL47" s="292">
        <f t="shared" si="290"/>
        <v>0</v>
      </c>
      <c r="OM47" s="759">
        <f t="shared" ref="OM47:OM78" si="355">IF(A47=FALSE,"",OL47*TAXE)</f>
        <v>0</v>
      </c>
      <c r="ON47" s="759" t="e">
        <f>IF(A47=FALSE,"",((OH47*(1+TAXE)-(OH47*(1+TAXE)*OJ47))+IF(#REF!="N/A",0,IF(INDEX(LISTES!$F$105:$F$109,MATCH(#REF!,LISTES!$C$105:$C$109,0))="FIX",#REF!,#REF!*OM47))))</f>
        <v>#REF!</v>
      </c>
      <c r="PA47" s="432" t="str">
        <f>IF(A47=FALSE,"",Cotations!CF47)</f>
        <v>FIXE</v>
      </c>
      <c r="PB47" s="1282" t="str">
        <f>IF(A47=FALSE,"",IF(Detail!CX47="","N/A",YEAR(Detail!F47)&amp;Detail!DA47&amp;Detail!CX47&amp;"-"&amp;Detail!$CX$13&amp;Detail!CY47))</f>
        <v>N/A</v>
      </c>
      <c r="PC47" s="1283" t="str">
        <f>IF(A47=FALSE,"",IF(LISTES!$A$17=1,PB47,INDEX(colMOD3,MATCH(Cotations!CE47,colchoice,0))))</f>
        <v>N/A</v>
      </c>
      <c r="PD47" s="759" t="str">
        <f t="shared" ref="PD47:PD78" si="356">IF(A47=FALSE,"",INDEX(colAssureur,MATCH(PC47,colMOD3,0)))</f>
        <v>N/A</v>
      </c>
      <c r="PE47" s="292" t="str">
        <f>IF(A47=FALSE,"",IF(Detail!CY47="","",Detail!CY47))</f>
        <v/>
      </c>
      <c r="PF47" s="409">
        <f t="shared" si="291"/>
        <v>0</v>
      </c>
      <c r="PG47" s="430">
        <f>IF(A47=FALSE,"",IF(PA47="FIXE",Cotations!CP47,Cotations!CQ47*AA47))</f>
        <v>100000</v>
      </c>
      <c r="PH47" s="292">
        <f t="shared" si="292"/>
        <v>0</v>
      </c>
      <c r="PI47" s="446">
        <f>IF(A47=FALSE,"",IF(Cotations!CG47="monthly",PH47/12*L47,PH47/365*M47))</f>
        <v>0</v>
      </c>
      <c r="PJ47" s="429">
        <f>IF(A47=FALSE,"",IF(Cotations!DA47="",0,Cotations!DA47))</f>
        <v>0</v>
      </c>
      <c r="PK47" s="292">
        <f t="shared" si="293"/>
        <v>0</v>
      </c>
      <c r="PL47" s="292">
        <f t="shared" si="294"/>
        <v>0</v>
      </c>
      <c r="PM47" s="759">
        <f t="shared" ref="PM47:PM78" si="357">IF(A47=FALSE,"",PL47*TAXE)</f>
        <v>0</v>
      </c>
      <c r="PN47" s="759" t="e">
        <f>IF(A47=FALSE,"",((PH47*(1+TAXE)-(PH47*(1+TAXE)*PJ47))+IF(#REF!="N/A",0,IF(INDEX(LISTES!$F$105:$F$109,MATCH(#REF!,LISTES!$C$105:$C$109,0))="FIX",#REF!,#REF!*PM47))))</f>
        <v>#REF!</v>
      </c>
    </row>
    <row r="48" spans="1:430">
      <c r="A48" s="779" t="b">
        <f t="shared" si="295"/>
        <v>1</v>
      </c>
      <c r="B48" s="779" t="b">
        <f>IF(NAMES!$B$9=TRUE,TRUE,FALSE)</f>
        <v>1</v>
      </c>
      <c r="C48" s="779" t="b">
        <f t="shared" si="212"/>
        <v>1</v>
      </c>
      <c r="D48" s="779" t="b">
        <f t="shared" si="213"/>
        <v>1</v>
      </c>
      <c r="E48" s="267" t="b">
        <f>IF(Cotations!C48="","",Cotations!C48)</f>
        <v>1</v>
      </c>
      <c r="F48" s="267" t="str">
        <f>IF(Cotations!AT48="","",Cotations!AT48)</f>
        <v>PROP</v>
      </c>
      <c r="G48" s="267" t="str">
        <f>IF(Cotations!D48="","",Cotations!D48)</f>
        <v>2017-2017!</v>
      </c>
      <c r="H48" s="267" t="str">
        <f>IF(Cotations!E48="","",Cotations!E48)</f>
        <v>SINGLE</v>
      </c>
      <c r="I48" s="267">
        <f>IF(Cotations!F48="","",Cotations!F48)</f>
        <v>135199</v>
      </c>
      <c r="J48" s="267" t="str">
        <f>IF(Cotations!G48="","",Cotations!G48)</f>
        <v>Chief officer</v>
      </c>
      <c r="K48" s="267" t="str">
        <f>IF(Cotations!H48="","",Cotations!H48)</f>
        <v>STURGE</v>
      </c>
      <c r="L48" s="267">
        <f>IF(A48=FALSE,"",IF(Cotations!M48="","",Cotations!M48))</f>
        <v>6</v>
      </c>
      <c r="M48" s="267">
        <f>IF(Cotations!O48="","",Cotations!O48)</f>
        <v>181</v>
      </c>
      <c r="N48" s="588">
        <f>IF(NAMES!$B$10=TRUE,Cotations!I48,Cotations!K48)</f>
        <v>42750</v>
      </c>
      <c r="O48" s="588">
        <f>IF(NAMES!$B$10=TRUE,Cotations!J48,Cotations!L48)</f>
        <v>42930</v>
      </c>
      <c r="P48" s="780" t="str">
        <f t="shared" si="214"/>
        <v>janvier</v>
      </c>
      <c r="Q48" s="588">
        <f>IF(A48=FALSE,"",IF(Crewlist!Y48="","",Crewlist!Y48))</f>
        <v>42930</v>
      </c>
      <c r="R48" s="78" t="str">
        <f>IF(Cotations!T48="","",Cotations!T48)</f>
        <v>annual</v>
      </c>
      <c r="S48" s="780" t="str">
        <f t="shared" si="215"/>
        <v>VRAI135199janvier42750</v>
      </c>
      <c r="T48" s="759">
        <f>IF(A48=FALSE,"",VLOOKUP($U$15:$U$120,Currency!$A$2:$D$10,4,0)*Crewlist!N48)</f>
        <v>7000</v>
      </c>
      <c r="U48" s="1097" t="str">
        <f>IF(A48=FALSE,"",IF(DP48=0,Crewlist!M48&amp;"/"&amp;CP48,Crewlist!M48&amp;"/"&amp;DP48))</f>
        <v>EUR/EUR</v>
      </c>
      <c r="V48" s="759">
        <f>IF(A48=FALSE,"",VLOOKUP($U$15:$U$120,Currency!$A$2:$D$10,4,0)*Detail!Q48)</f>
        <v>7000</v>
      </c>
      <c r="W48" s="1097" t="str">
        <f>IF(A48=FALSE,"",IF(DP48=0,Detail!R48&amp;"/"&amp;CP48,Detail!R48&amp;"/"&amp;DP48))</f>
        <v>EUR/EUR</v>
      </c>
      <c r="X48" s="759">
        <f>IF(A48=FALSE,"",IF(LISTES!$C$17="Crewlist",Calcul!T48,Calcul!V48))</f>
        <v>7000</v>
      </c>
      <c r="Y48" s="618">
        <f t="shared" si="216"/>
        <v>84000</v>
      </c>
      <c r="Z48" s="618">
        <f>IF(A48=FALSE,"",IF(X48=0,0,IF((Cotations!BA48*12*X48)&lt;50000,50000,(12*X48))))</f>
        <v>84000</v>
      </c>
      <c r="AA48" s="618">
        <f t="shared" si="217"/>
        <v>84000</v>
      </c>
      <c r="AB48" s="618">
        <f>IF(A48=FALSE,"",IF(Crewlist!O48=0,"",Crewlist!O48))</f>
        <v>12000</v>
      </c>
      <c r="AC48" s="618" t="e">
        <f>IF(I48="","",VLOOKUP($AB$15:$AB$120,Currency!$A$15:$B$34,2,0))</f>
        <v>#N/A</v>
      </c>
      <c r="AD48" s="618" t="e">
        <f t="shared" si="218"/>
        <v>#N/A</v>
      </c>
      <c r="AE48" s="618" t="e">
        <f t="shared" si="219"/>
        <v>#N/A</v>
      </c>
      <c r="AF48" s="618" t="e">
        <f t="shared" si="220"/>
        <v>#N/A</v>
      </c>
      <c r="AG48" s="618">
        <f t="shared" si="221"/>
        <v>41654.794520547941</v>
      </c>
      <c r="AH48" s="1097" t="str">
        <f t="shared" si="296"/>
        <v>EUR</v>
      </c>
      <c r="AI48" s="759">
        <f t="shared" si="222"/>
        <v>2085.6412491639112</v>
      </c>
      <c r="AJ48" s="1120">
        <f t="shared" si="223"/>
        <v>333.29759999999999</v>
      </c>
      <c r="AK48" s="1120">
        <f t="shared" si="224"/>
        <v>1746.3436491639113</v>
      </c>
      <c r="AL48" s="236">
        <f t="shared" si="225"/>
        <v>7.5876000000000001</v>
      </c>
      <c r="AM48" s="236">
        <f t="shared" si="226"/>
        <v>79.69437112168896</v>
      </c>
      <c r="AN48" s="1112">
        <f t="shared" si="227"/>
        <v>0</v>
      </c>
      <c r="AO48" s="236">
        <f t="shared" si="228"/>
        <v>87.281971121688954</v>
      </c>
      <c r="AP48" s="327" t="str">
        <f>IF(A48=FALSE,"",INDEX(Rates!$Q$1:$Q$278,MATCH(CA48,colchoice,0)))</f>
        <v>WCA</v>
      </c>
      <c r="AQ48" s="236">
        <f t="shared" si="229"/>
        <v>6</v>
      </c>
      <c r="AR48" s="236">
        <f t="shared" si="230"/>
        <v>1992.3592780422223</v>
      </c>
      <c r="AS48" s="236">
        <f t="shared" si="297"/>
        <v>325.70999999999998</v>
      </c>
      <c r="AT48" s="236">
        <f t="shared" si="298"/>
        <v>1746.3436491639113</v>
      </c>
      <c r="AU48" s="236">
        <f t="shared" si="231"/>
        <v>256.06730769230762</v>
      </c>
      <c r="AV48" s="236">
        <f t="shared" si="232"/>
        <v>57.115384615384613</v>
      </c>
      <c r="AW48" s="236">
        <f t="shared" si="233"/>
        <v>86.354698157770429</v>
      </c>
      <c r="AX48" s="236">
        <f t="shared" si="234"/>
        <v>215.97292772791687</v>
      </c>
      <c r="AY48" s="236">
        <f t="shared" si="235"/>
        <v>106.69372886159661</v>
      </c>
      <c r="AZ48" s="236">
        <f t="shared" si="236"/>
        <v>256.65098913556926</v>
      </c>
      <c r="BA48" s="236">
        <f t="shared" si="237"/>
        <v>338.00711195087388</v>
      </c>
      <c r="BB48" s="467">
        <f t="shared" si="238"/>
        <v>675.49712990080309</v>
      </c>
      <c r="BC48" s="329">
        <f t="shared" si="239"/>
        <v>325.70999999999998</v>
      </c>
      <c r="BD48" s="237">
        <f t="shared" si="240"/>
        <v>313.18269230769226</v>
      </c>
      <c r="BE48" s="237">
        <f>IF(A48=FALSE,"",IF(ED48&lt;&gt;$BC$7,0,INDEX(EA48:EZ48,1,MATCH(Structure!$J$16,$EA$14:$EZ$14,0))))</f>
        <v>256.06730769230762</v>
      </c>
      <c r="BF48" s="237">
        <f>IF(A48=FALSE,"",IF(FD48&lt;&gt;$BC$7,0,INDEX(FA48:FZ48,1,MATCH(Structure!$J$16,$FA$14:$FZ$14,0))))</f>
        <v>57.115384615384613</v>
      </c>
      <c r="BG48" s="237">
        <f>IF(A48=FALSE,"",IF(GD48&lt;&gt;$BC$7,0,INDEX(GA48:GZ48,1,MATCH(Structure!$J$16,$GA$14:$GZ$14,0))))</f>
        <v>0</v>
      </c>
      <c r="BH48" s="237">
        <f>IF(A48=FALSE,"",IF(HD48&lt;&gt;$BC$7,0,INDEX(HA48:HZ48,1,MATCH(Structure!$J$16,$HA$14:$HZ$14,0))))</f>
        <v>0</v>
      </c>
      <c r="BI48" s="621">
        <f>IF(A48=FALSE,"",IF(ID48&lt;&gt;$BC$7,0,INDEX(IA48:IZ48,1,MATCH(Structure!$C$12,$IA$14:$IZ$14,0)))+OL48)</f>
        <v>0</v>
      </c>
      <c r="BJ48" s="237">
        <f>IF(A48=FALSE,"",IF(JD48&lt;&gt;$BC$7,0,INDEX(JA48:JZ48,1,MATCH(Structure!$C$12,$JA$14:$JZ$14,0))))</f>
        <v>0</v>
      </c>
      <c r="BK48" s="621">
        <f>IF(A48=FALSE,"",IF(KD48&lt;&gt;$BC$7,0,INDEX(KA48:KZ48,1,MATCH(Structure!$C$12,$KA$14:$KZ$14,0)))+PL48)</f>
        <v>0</v>
      </c>
      <c r="BL48" s="237">
        <f>IF(A48=FALSE,"",IF(LD48&lt;&gt;$BC$7,0,INDEX(LA48:LZ48,1,MATCH(Structure!$C$12,$LA$14:$LZ$14,0))))</f>
        <v>0</v>
      </c>
      <c r="BM48" s="237">
        <f>IF(A48=FALSE,"",IF(MD48&lt;&gt;$BC$7,0,INDEX(MA48:MZ48,1,MATCH(Structure!$C$12,$MA$14:$MZ$14,0))))</f>
        <v>0</v>
      </c>
      <c r="BN48" s="326">
        <f>IF(A48=FALSE,"",IF(ND48&lt;&gt;$BC$7,0,INDEX(NA48:OC48,1,MATCH(Structure!$C$12,$NA$14:$OC$14,0))))</f>
        <v>0</v>
      </c>
      <c r="BO48" s="435">
        <f t="shared" si="241"/>
        <v>1746.3436491639113</v>
      </c>
      <c r="BP48" s="237">
        <f t="shared" si="242"/>
        <v>1679.1765857345301</v>
      </c>
      <c r="BQ48" s="237">
        <f>IF(A48=FALSE,"",IF(ED48&lt;&gt;$BO$7,0,INDEX(EA48:EZ48,1,MATCH(Structure!$C$12,$EA$14:$EZ$14,0))))</f>
        <v>0</v>
      </c>
      <c r="BR48" s="237">
        <f>IF(A48=FALSE,"",IF(FD48&lt;&gt;$BO$7,0,INDEX(FA48:FZ48,1,MATCH(Structure!$C$12,$FA$14:$FZ$14,0))))</f>
        <v>0</v>
      </c>
      <c r="BS48" s="237">
        <f>IF(A48=FALSE,"",IF(ID48&lt;&gt;$BO$7,0,INDEX(IA48:IZ48,1,MATCH(Structure!$C$13,$IA$14:$IZ$14,0))))</f>
        <v>86.354698157770429</v>
      </c>
      <c r="BT48" s="237">
        <f>IF(A48=FALSE,"",IF(JD48&lt;&gt;$BO$7,0,INDEX(JA48:JZ48,1,MATCH(Structure!$C$13,$JA$14:$JZ$14,0))))</f>
        <v>215.97292772791687</v>
      </c>
      <c r="BU48" s="237">
        <f>IF(A48=FALSE,"",IF(KD48&lt;&gt;$BO$7,0,INDEX(KA48:KZ48,1,MATCH(Structure!$C$13,$KA$14:$KZ$14,0))))</f>
        <v>106.69372886159661</v>
      </c>
      <c r="BV48" s="237">
        <f>IF(A48=FALSE,"",IF(LD48&lt;&gt;$BO$7,0,INDEX(LA48:LZ48,1,MATCH(Structure!$C$13,$LA$14:$LZ$14,0))))</f>
        <v>256.65098913556926</v>
      </c>
      <c r="BW48" s="237">
        <f>IF(A48=FALSE,"",IF(MD48&lt;&gt;$BO$7,0,INDEX(MA48:MZ48,1,MATCH(Structure!$C$13,$MA$14:$MZ$14,0))))</f>
        <v>338.00711195087388</v>
      </c>
      <c r="BX48" s="326">
        <f>IF(A48=FALSE,"",IF(ND48&lt;&gt;$BO$7,0,INDEX(NA48:OC48,1,MATCH(Structure!$C$13,$NA$14:$OC$14,0))))</f>
        <v>675.49712990080309</v>
      </c>
      <c r="BY48" s="412"/>
      <c r="BZ48" s="412"/>
      <c r="CA48" s="1255" t="str">
        <f>IF(A48=FALSE,"",IF(LISTES!$A$17=1,Cotations!AG48,Cotations!AH48))</f>
        <v>2017EURAIG Luxembourg-StandardMLC S</v>
      </c>
      <c r="CB48" s="1266">
        <f t="shared" si="243"/>
        <v>313.18269230769226</v>
      </c>
      <c r="CC48" s="1120">
        <f t="shared" si="244"/>
        <v>256.06730769230762</v>
      </c>
      <c r="CD48" s="1120">
        <f t="shared" si="245"/>
        <v>57.115384615384613</v>
      </c>
      <c r="CE48" s="1120">
        <f t="shared" si="246"/>
        <v>0</v>
      </c>
      <c r="CF48" s="1120">
        <f t="shared" si="247"/>
        <v>0</v>
      </c>
      <c r="CG48" s="1267"/>
      <c r="CH48" s="1267"/>
      <c r="CI48" s="1268">
        <f t="shared" si="248"/>
        <v>325.70999999999992</v>
      </c>
      <c r="CJ48" s="286">
        <f t="shared" si="249"/>
        <v>266.30999999999995</v>
      </c>
      <c r="CK48" s="286">
        <f t="shared" si="250"/>
        <v>59.4</v>
      </c>
      <c r="CL48" s="1263"/>
      <c r="CM48" s="1263"/>
      <c r="CN48" s="1263"/>
      <c r="CO48" s="1263"/>
      <c r="CP48" s="319" t="str">
        <f t="shared" si="251"/>
        <v>EUR</v>
      </c>
      <c r="CQ48" s="443" t="str">
        <f>IF(A48=FALSE,"",Cotations!AM48)</f>
        <v>fix Fees pro rata month</v>
      </c>
      <c r="CR48" s="443">
        <f>IF(A48=FALSE,"",IF(Cotations!AN48="","",Cotations!AN48))</f>
        <v>15.1752</v>
      </c>
      <c r="CS48" s="433">
        <f>IF(A48=FALSE,"",Cotations!AO48)</f>
        <v>0</v>
      </c>
      <c r="CT48" s="443">
        <f>IF(A48=FALSE,"",IF(CQ48="N/A",0,IF(INDEX(LISTES!$F$105:$F$109,MATCH(CQ48,LISTES!$C$105:$C$109,0))="FIX",IF(INDEX(LISTES!$E$105:$E$109,MATCH(CQ48,LISTES!$C$105:$C$109,0))=12,CR48/12*L48,CR48/365*M48),CS48*EQ48)))</f>
        <v>7.5876000000000001</v>
      </c>
      <c r="CU48" s="434">
        <f>IF(A48=FALSE,"",(CJ48+CK48)*Cotations!AP48)</f>
        <v>325.70999999999992</v>
      </c>
      <c r="CV48" s="434">
        <f>IF(A48=FALSE,"",(CJ48+CK48)*Cotations!AQ48)</f>
        <v>0</v>
      </c>
      <c r="DA48" s="1253" t="str">
        <f>IF(A48=FALSE,"",IF(LISTES!$A$17=1,Cotations!AV48,Cotations!AW48))</f>
        <v>2017EURAnker Verzekeringen n.v.-Formula 3 (7/365)</v>
      </c>
      <c r="DB48" s="1271">
        <f t="shared" si="252"/>
        <v>1679.1765857345301</v>
      </c>
      <c r="DC48" s="1270">
        <f t="shared" si="253"/>
        <v>86.354698157770429</v>
      </c>
      <c r="DD48" s="1270">
        <f t="shared" si="254"/>
        <v>215.97292772791687</v>
      </c>
      <c r="DE48" s="1270">
        <f t="shared" si="255"/>
        <v>106.69372886159661</v>
      </c>
      <c r="DF48" s="1270">
        <f t="shared" si="256"/>
        <v>256.65098913556926</v>
      </c>
      <c r="DG48" s="1270">
        <f t="shared" si="257"/>
        <v>338.00711195087388</v>
      </c>
      <c r="DH48" s="1270">
        <f t="shared" si="258"/>
        <v>675.49712990080309</v>
      </c>
      <c r="DI48" s="1271">
        <f t="shared" si="259"/>
        <v>1746.3436491639113</v>
      </c>
      <c r="DJ48" s="286">
        <f t="shared" si="260"/>
        <v>89.808886084081252</v>
      </c>
      <c r="DK48" s="286">
        <f t="shared" si="261"/>
        <v>224.61184483703354</v>
      </c>
      <c r="DL48" s="1264">
        <f t="shared" si="262"/>
        <v>110.96147801606048</v>
      </c>
      <c r="DM48" s="1264">
        <f t="shared" si="263"/>
        <v>266.91702870099203</v>
      </c>
      <c r="DN48" s="1264">
        <f t="shared" si="264"/>
        <v>351.52739642890884</v>
      </c>
      <c r="DO48" s="1264">
        <f t="shared" si="265"/>
        <v>702.51701509683528</v>
      </c>
      <c r="DP48" s="323" t="str">
        <f t="shared" si="299"/>
        <v>EUR</v>
      </c>
      <c r="DQ48" s="444" t="str">
        <f>IF(A48=FALSE,"",Cotations!BW48)</f>
        <v>N/A</v>
      </c>
      <c r="DR48" s="444">
        <f>IF(A48=FALSE,"",Cotations!BX48)</f>
        <v>0</v>
      </c>
      <c r="DS48" s="433">
        <f>IF(A48=FALSE,"",Cotations!BY48)</f>
        <v>0</v>
      </c>
      <c r="DT48" s="830">
        <f>IF(A48=FALSE,"",IF(DQ48="N/A",0,IF(INDEX(LISTES!$F$105:$F$109,MATCH(DQ48,LISTES!$C$105:$C$109,0))="FIX",IF(INDEX(LISTES!$E$105:$E$109,MATCH(DQ48,LISTES!$C$105:$C$109,0))=12,DR48/12*L48,DR48/365*M48),DS48*(DN48+DO48))))</f>
        <v>0</v>
      </c>
      <c r="DU48" s="434">
        <f>IF(A48=FALSE,"",DJ48*Cotations!BZ48)</f>
        <v>89.808886084081252</v>
      </c>
      <c r="DV48" s="434">
        <f>IF(A48=FALSE,"",DJ48*Cotations!CA48)</f>
        <v>0</v>
      </c>
      <c r="EA48" s="432" t="str">
        <f>IF(A48=FALSE,"",Cotations!AT48)</f>
        <v>PROP</v>
      </c>
      <c r="EB48" s="1234" t="str">
        <f>IF(A48=FALSE,"",YEAR(Detail!F48)&amp;Detail!AG48&amp;Detail!AD48&amp;"-"&amp;Detail!$AD$13&amp;Detail!AE48)</f>
        <v>2017EURAIG Luxembourg-Healthcare PlanStandardMLC S</v>
      </c>
      <c r="EC48" s="434" t="str">
        <f>IF(A48=FALSE,"",IF(LISTES!$A$17=1,EB48,INDEX(colMOD1,MATCH(Cotations!AH48,colchoice,0))))</f>
        <v>2017EURAIG Luxembourg-Healthcare PlanStandardMLC S</v>
      </c>
      <c r="ED48" s="277" t="str">
        <f t="shared" si="300"/>
        <v>AIG Luxembourg</v>
      </c>
      <c r="EE48" s="277" t="str">
        <f t="shared" si="301"/>
        <v>StandardMLC S</v>
      </c>
      <c r="EF48" s="277"/>
      <c r="EG48" s="277"/>
      <c r="EH48" s="277">
        <f t="shared" si="302"/>
        <v>569.03846153846143</v>
      </c>
      <c r="EI48" s="1104">
        <f t="shared" si="303"/>
        <v>0</v>
      </c>
      <c r="EJ48" s="1104">
        <f t="shared" si="304"/>
        <v>569.03846153846143</v>
      </c>
      <c r="EK48" s="443">
        <f>IF(A48=FALSE,"",IF(Cotations!AF48="monthly",EH48/12*L48,EH48/365*M48))</f>
        <v>284.51923076923072</v>
      </c>
      <c r="EL48" s="1103">
        <f>IF(A48=FALSE,"",IF(Cotations!AF48="monthly",EJ48/12*L48,EJ48/365*M48))</f>
        <v>284.51923076923072</v>
      </c>
      <c r="EM48" s="433">
        <f>IF(A48=FALSE,"",IF(Cotations!AI48="","",Cotations!AI48))</f>
        <v>0.1</v>
      </c>
      <c r="EN48" s="277">
        <f t="shared" si="305"/>
        <v>28.451923076923073</v>
      </c>
      <c r="EO48" s="277">
        <f t="shared" si="306"/>
        <v>256.06730769230762</v>
      </c>
      <c r="EP48" s="1104">
        <f t="shared" si="307"/>
        <v>0</v>
      </c>
      <c r="EQ48" s="277">
        <f t="shared" si="308"/>
        <v>266.30999999999995</v>
      </c>
      <c r="ER48" s="759">
        <f>IF(A48=FALSE,"",((EH48*TAXE)-(EH48*TAXE*EM48)+EI48)+IF(CQ48="N/A",0,IF(INDEX(LISTES!$F$105:$F$109,MATCH(CQ48,LISTES!$C$105:$C$109,0))="FIX",CR48,CS48*EQ48)))</f>
        <v>547.79520000000002</v>
      </c>
      <c r="ET48" s="422"/>
      <c r="EU48" s="422"/>
      <c r="EV48" s="422"/>
      <c r="EW48" s="422"/>
      <c r="EX48" s="422"/>
      <c r="EY48" s="422"/>
      <c r="EZ48" s="422"/>
      <c r="FA48" s="432" t="str">
        <f>IF(A48=FALSE,"",Cotations!AT48)</f>
        <v>PROP</v>
      </c>
      <c r="FB48" s="1235" t="str">
        <f>IF(A48=FALSE,"",IF(Detail!AL48="","N/A",YEAR(Detail!F48)&amp;Detail!AO48&amp;Detail!AL48&amp;"-"&amp;Detail!$AL$13&amp;Detail!AM48))</f>
        <v>2017EURAIG Luxembourg-Assistance and RepatriationStandardMLC S</v>
      </c>
      <c r="FC48" s="434" t="str">
        <f>IF(A48=FALSE,"",IF(LISTES!$A$17=1,FB48,INDEX(colMOD2,MATCH(Cotations!AH48,colchoice,0))))</f>
        <v>2017EURAIG Luxembourg-Assistance and RepatriationStandardMLC S</v>
      </c>
      <c r="FD48" s="277" t="str">
        <f t="shared" si="309"/>
        <v>AIG Luxembourg</v>
      </c>
      <c r="FE48" s="443" t="str">
        <f>IF(A48=FALSE,"",IF(Detail!AM48="","",Detail!AM48))</f>
        <v>StandardMLC S</v>
      </c>
      <c r="FF48" s="277"/>
      <c r="FG48" s="277"/>
      <c r="FH48" s="277">
        <f t="shared" si="310"/>
        <v>126.92307692307692</v>
      </c>
      <c r="FI48" s="1104"/>
      <c r="FJ48" s="1104"/>
      <c r="FK48" s="443">
        <f>IF(A48=FALSE,"",IF(Cotations!AF48="monthly",FH48/12*L48,FH48/365*M48))</f>
        <v>63.46153846153846</v>
      </c>
      <c r="FL48" s="1103">
        <f>IF(A48=FALSE,"",IF(Cotations!AF48="monthly",FJ48/12*L48,FJ48/365*M48))</f>
        <v>0</v>
      </c>
      <c r="FM48" s="433">
        <f>IF(A48=FALSE,"",IF(Cotations!AJ48="","",Cotations!AJ48))</f>
        <v>0.1</v>
      </c>
      <c r="FN48" s="277">
        <f t="shared" si="268"/>
        <v>6.3461538461538467</v>
      </c>
      <c r="FO48" s="277">
        <f t="shared" si="269"/>
        <v>57.115384615384613</v>
      </c>
      <c r="FP48" s="1104"/>
      <c r="FQ48" s="277">
        <f t="shared" si="270"/>
        <v>59.4</v>
      </c>
      <c r="FR48" s="759" t="e">
        <f>IF(A48=FALSE,"",((FH48*TAXE)-(FH48*TAXE*FM48))+IF(#REF!="N/A",0,IF(INDEX(LISTES!$F$105:$F$109,MATCH(#REF!,LISTES!$C$105:$C$109,0))="FIX",#REF!,#REF!*FQ48)))</f>
        <v>#REF!</v>
      </c>
      <c r="FS48" s="422"/>
      <c r="FT48" s="422"/>
      <c r="FU48" s="422"/>
      <c r="FV48" s="422"/>
      <c r="FW48" s="422"/>
      <c r="FX48" s="422"/>
      <c r="FY48" s="422"/>
      <c r="FZ48" s="422"/>
      <c r="GA48" s="432" t="str">
        <f t="shared" si="311"/>
        <v>PROP</v>
      </c>
      <c r="GB48" s="1234" t="str">
        <f>IF(A48=FALSE,"",IF(Detail!DF48="","N/A",YEAR(Detail!F48)&amp;Detail!DI48&amp;Detail!DF48&amp;"-"&amp;Detail!$DF$13))</f>
        <v>N/A</v>
      </c>
      <c r="GC48" s="434" t="str">
        <f>IF(A48=FALSE,"",IF(LISTES!$A$17=1,GB48,INDEX(colMOD3,MATCH(Cotations!AH48,colchoice,0))))</f>
        <v>N/A</v>
      </c>
      <c r="GD48" s="277" t="str">
        <f t="shared" si="312"/>
        <v>N/A</v>
      </c>
      <c r="GE48" s="277">
        <f t="shared" si="313"/>
        <v>0</v>
      </c>
      <c r="GF48" s="277"/>
      <c r="GG48" s="277"/>
      <c r="GH48" s="277">
        <f t="shared" si="271"/>
        <v>0</v>
      </c>
      <c r="GI48" s="1104">
        <f t="shared" si="272"/>
        <v>0</v>
      </c>
      <c r="GJ48" s="1104">
        <f t="shared" si="273"/>
        <v>0</v>
      </c>
      <c r="GK48" s="443">
        <f>IF(A48=FALSE,"",IF(Cotations!AF48="monthly",GH48/12*L48,GH48/365*M48))</f>
        <v>0</v>
      </c>
      <c r="GL48" s="1103">
        <f>IF(A48=FALSE,"",IF(Cotations!AF48="monthly",GJ48/12*L48,GJ48/365*M48))</f>
        <v>0</v>
      </c>
      <c r="GM48" s="433">
        <f>IF(A48=FALSE,"",IF(Cotations!AK48="","",Cotations!AK48))</f>
        <v>0</v>
      </c>
      <c r="GN48" s="277">
        <f t="shared" si="274"/>
        <v>0</v>
      </c>
      <c r="GO48" s="277">
        <f t="shared" si="275"/>
        <v>0</v>
      </c>
      <c r="GP48" s="1104">
        <f t="shared" si="276"/>
        <v>0</v>
      </c>
      <c r="GQ48" s="277">
        <f t="shared" si="277"/>
        <v>0</v>
      </c>
      <c r="GR48" s="759">
        <f>IF(A48=FALSE,"",((GH48*TAXE)-(GH48*TAXE*GM48)+GI48)+IF(CQ48="N/A",0,IF(INDEX(LISTES!$F$105:$F$109,MATCH(CQ48,LISTES!$C$105:$C$109,0))="FIX",CR48,CS48*GQ48)))</f>
        <v>15.1752</v>
      </c>
      <c r="GS48" s="412"/>
      <c r="GT48" s="412"/>
      <c r="GU48" s="412"/>
      <c r="GV48" s="412"/>
      <c r="GW48" s="412"/>
      <c r="GX48" s="412"/>
      <c r="GY48" s="412"/>
      <c r="GZ48" s="412"/>
      <c r="HA48" s="432" t="str">
        <f t="shared" si="314"/>
        <v>PROP</v>
      </c>
      <c r="HB48" s="1234" t="str">
        <f>IF(A48=FALSE,"",IF(Detail!DF48="","N/A",YEAR(Detail!F48)&amp;Detail!DI48&amp;Detail!DF48&amp;"-"&amp;Detail!$DF$13))</f>
        <v>N/A</v>
      </c>
      <c r="HC48" s="434" t="str">
        <f>IF(A48=FALSE,"",IF(LISTES!$A$17=1,HB48,INDEX(colMOD4,MATCH(Cotations!AH48,colchoice,0))))</f>
        <v>N/A</v>
      </c>
      <c r="HD48" s="277" t="str">
        <f t="shared" si="278"/>
        <v>N/A</v>
      </c>
      <c r="HE48" s="277">
        <f t="shared" si="279"/>
        <v>0</v>
      </c>
      <c r="HF48" s="277"/>
      <c r="HG48" s="277"/>
      <c r="HH48" s="277">
        <f t="shared" si="280"/>
        <v>0</v>
      </c>
      <c r="HI48" s="1104">
        <f t="shared" si="281"/>
        <v>0</v>
      </c>
      <c r="HJ48" s="1104">
        <f t="shared" si="282"/>
        <v>0</v>
      </c>
      <c r="HK48" s="443">
        <f>IF(A48=FALSE,"",IF(Cotations!AF48="monthly",HH48/12*L48,HH48/365*M48))</f>
        <v>0</v>
      </c>
      <c r="HL48" s="1103">
        <f>IF(A48=FALSE,"",IF(Cotations!AF48="monthly",HJ48/12*L48,HJ48/365*M48))</f>
        <v>0</v>
      </c>
      <c r="HM48" s="433">
        <f>IF(A48=FALSE,"",IF(Cotations!AL48="","",Cotations!AL48))</f>
        <v>0</v>
      </c>
      <c r="HN48" s="277">
        <f t="shared" si="283"/>
        <v>0</v>
      </c>
      <c r="HO48" s="277">
        <f t="shared" si="284"/>
        <v>0</v>
      </c>
      <c r="HP48" s="1104">
        <f t="shared" si="285"/>
        <v>0</v>
      </c>
      <c r="HQ48" s="277">
        <f t="shared" si="286"/>
        <v>0</v>
      </c>
      <c r="HR48" s="759">
        <f>IF(A48=FALSE,"",((HH48*TAXE)-(HH48*TAXE*HM48)+HI48)+IF(CQ48="N/A",0,IF(INDEX(LISTES!$F$105:$F$109,MATCH(CQ48,LISTES!$C$105:$C$109,0))="FIX",CR48,CS48*HQ48)))</f>
        <v>15.1752</v>
      </c>
      <c r="HS48" s="412"/>
      <c r="HT48" s="412"/>
      <c r="HU48" s="412"/>
      <c r="HV48" s="412"/>
      <c r="HW48" s="412"/>
      <c r="HX48" s="412"/>
      <c r="HY48" s="412"/>
      <c r="HZ48" s="1262"/>
      <c r="IA48" s="432" t="str">
        <f>IF(A48=FALSE,"",Cotations!AT48)</f>
        <v>PROP</v>
      </c>
      <c r="IB48" s="1253" t="str">
        <f>IF(A48=FALSE,"",IF(Detail!AT48="","N/A",YEAR(Detail!F48)&amp;Detail!AW48&amp;Detail!AT48&amp;"-"&amp;Detail!$AT$13&amp;Detail!AU48))</f>
        <v>2017EURAnker Verzekeringen n.v.-Death AccidentFormula 3</v>
      </c>
      <c r="IC48" s="431" t="str">
        <f>IF(A48=FALSE,"",IF(LISTES!$A$17=1,IB48,INDEX(colMOD1,MATCH(DA48,colchoice,0))))</f>
        <v>2017EURAnker Verzekeringen n.v.-Death AccidentFormula 3</v>
      </c>
      <c r="ID48" s="759" t="str">
        <f t="shared" si="315"/>
        <v>Anker Verzekeringen n.v.</v>
      </c>
      <c r="IE48" s="292" t="str">
        <f>IF(A48=FALSE,"",IF(LISTES!$A$17=1,Detail!AU48,INDEX(Rates!$M$1:$M$270,MATCH(IC48,colMOD1,0))))</f>
        <v>Formula 3</v>
      </c>
      <c r="IF48" s="409">
        <f t="shared" si="316"/>
        <v>6.9103448275862072E-4</v>
      </c>
      <c r="IG48" s="430">
        <f>IF(A48=FALSE,"",IF(IA48="POEA",Cotations!AY48,IF(IA48="FIXE",Cotations!AZ48,IF(Cotations!BA48*Y48&lt;50000,Z48,Cotations!BA48*Y48))))</f>
        <v>252000</v>
      </c>
      <c r="IH48" s="292">
        <f t="shared" si="317"/>
        <v>174.14068965517242</v>
      </c>
      <c r="II48" s="446">
        <f>IF(A48=FALSE,"",IF(Cotations!AU48="monthly",IH48/12*L48,IH48/365*M48))</f>
        <v>86.354698157770429</v>
      </c>
      <c r="IJ48" s="429">
        <f>IF(A48=FALSE,"",IF(Cotations!BB48="","",Cotations!BB48))</f>
        <v>0</v>
      </c>
      <c r="IK48" s="292">
        <f t="shared" si="318"/>
        <v>0</v>
      </c>
      <c r="IL48" s="292">
        <f t="shared" si="319"/>
        <v>86.354698157770429</v>
      </c>
      <c r="IM48" s="759">
        <f t="shared" si="320"/>
        <v>89.808886084081252</v>
      </c>
      <c r="IN48" s="759">
        <f>IF(A48=FALSE,"",((IH48*TAXE)-(IH48*TAXE*IJ48))+IF(DQ48="N/A",0,IF(INDEX(LISTES!$F$105:$F$109,MATCH(DQ48,LISTES!$C$105:$C$109,0))="FIX",DR48,DS48*IM48)))</f>
        <v>181.10631724137932</v>
      </c>
      <c r="JA48" s="432" t="str">
        <f>IF(A48=FALSE,"",Cotations!AT48)</f>
        <v>PROP</v>
      </c>
      <c r="JB48" s="1234" t="str">
        <f>IF(A48=FALSE,"",IF(Detail!BB48="","N/A",YEAR(Detail!F48)&amp;Detail!BE48&amp;Detail!BB48&amp;"-"&amp;Detail!$BB$13&amp;Detail!BC48))</f>
        <v>2017EURAnker Verzekeringen n.v.-Death IllnessFormula 3</v>
      </c>
      <c r="JC48" s="431" t="str">
        <f>IF(A48=FALSE,"",IF(LISTES!$A$17=1,JB48,INDEX(colMOD2,MATCH(DA48,colchoice,0))))</f>
        <v>2017EURAnker Verzekeringen n.v.-Death illnessFormula 3</v>
      </c>
      <c r="JD48" s="759" t="str">
        <f t="shared" si="321"/>
        <v>Anker Verzekeringen n.v.</v>
      </c>
      <c r="JE48" s="292"/>
      <c r="JF48" s="409">
        <f t="shared" si="322"/>
        <v>1.7282758620689655E-3</v>
      </c>
      <c r="JG48" s="430">
        <f>IF(A48=FALSE,"",IF(JA48="POEA",Cotations!BC48,IF(JA48="FIXE",Cotations!BD48,IF(Cotations!BE48*Y48&lt;50000,Z48,Cotations!BE48*Y48))))</f>
        <v>252000</v>
      </c>
      <c r="JH48" s="292">
        <f t="shared" si="323"/>
        <v>435.5255172413793</v>
      </c>
      <c r="JI48" s="446">
        <f>IF(A48=FALSE,"",IF(Cotations!AU48="monthly",JH48/12*L48,JH48/365*M48))</f>
        <v>215.97292772791687</v>
      </c>
      <c r="JJ48" s="429">
        <f>IF(A48=FALSE,"",IF(Cotations!BF48="","",Cotations!BF48))</f>
        <v>0</v>
      </c>
      <c r="JK48" s="292">
        <f t="shared" si="324"/>
        <v>0</v>
      </c>
      <c r="JL48" s="292">
        <f t="shared" si="325"/>
        <v>215.97292772791687</v>
      </c>
      <c r="JM48" s="759">
        <f t="shared" si="326"/>
        <v>224.61184483703354</v>
      </c>
      <c r="JN48" s="759" t="e">
        <f>IF(A48=FALSE,"",((JH48*TAXE)-(JH48*TAXE*JJ48))+IF(#REF!="N/A",0,IF(INDEX(LISTES!$F$105:$F$109,MATCH(#REF!,LISTES!$C$105:$C$109,0))="FIX",#REF!,#REF!*JM48)))</f>
        <v>#REF!</v>
      </c>
      <c r="KA48" s="432" t="str">
        <f>IF(A48=FALSE,"",Cotations!AT48)</f>
        <v>PROP</v>
      </c>
      <c r="KB48" s="1234" t="str">
        <f>IF(A48=FALSE,"",IF(Detail!BJ48="","N/A",YEAR(Detail!F48)&amp;Detail!BM48&amp;Detail!BJ48&amp;"-"&amp;Detail!$BJ$13&amp;Detail!BK48))</f>
        <v>2017EURAnker Verzekeringen n.v.-Permanent Disability AccidentFormula 3</v>
      </c>
      <c r="KC48" s="431" t="str">
        <f>IF(A48=FALSE,"",IF(LISTES!$A$17=1,KB48,INDEX(colMOD3,MATCH(DA48,colchoice,0))))</f>
        <v>2017EURAnker Verzekeringen n.v.-Permanent Disability AccidentFormula 3</v>
      </c>
      <c r="KD48" s="759" t="str">
        <f t="shared" si="327"/>
        <v>Anker Verzekeringen n.v.</v>
      </c>
      <c r="KE48" s="292"/>
      <c r="KF48" s="409">
        <f t="shared" si="328"/>
        <v>6.9103448275862072E-4</v>
      </c>
      <c r="KG48" s="430">
        <f>IF(A48=FALSE,"",IF(KA48="POEA",Cotations!BG48,IF(KA48="FIXE",Cotations!BH48,IF(Cotations!BI48*Y48&lt;50000,Z48,Cotations!BI48*Y48))))</f>
        <v>252000</v>
      </c>
      <c r="KH48" s="292">
        <f t="shared" si="329"/>
        <v>215.15586206896552</v>
      </c>
      <c r="KI48" s="446">
        <f>IF(A48=FALSE,"",IF(Cotations!AU48="monthly",KH48/12*L48,KH48/365*M48))</f>
        <v>106.69372886159661</v>
      </c>
      <c r="KJ48" s="429">
        <f>IF(A48=FALSE,"",IF(Cotations!BJ48="","",Cotations!BJ48))</f>
        <v>0</v>
      </c>
      <c r="KK48" s="292">
        <f t="shared" si="330"/>
        <v>0</v>
      </c>
      <c r="KL48" s="292">
        <f t="shared" si="331"/>
        <v>106.69372886159661</v>
      </c>
      <c r="KM48" s="759">
        <f t="shared" si="332"/>
        <v>110.96147801606048</v>
      </c>
      <c r="KN48" s="759" t="e">
        <f>IF(A48=FALSE,"",((KH48*TAXE)-(KH48*TAXE*KJ48))+IF(#REF!="N/A",0,IF(INDEX(LISTES!$F$105:$F$109,MATCH(#REF!,LISTES!$C$105:$C$109,0))="FIX",#REF!,#REF!*KM48)))</f>
        <v>#REF!</v>
      </c>
      <c r="LA48" s="432" t="str">
        <f>IF(A48=FALSE,"",Cotations!AT48)</f>
        <v>PROP</v>
      </c>
      <c r="LB48" s="1234" t="str">
        <f>IF(A48=FALSE,"",IF(Detail!BR48="","N/A",YEAR(Detail!F48)&amp;Detail!BU48&amp;Detail!BR48&amp;"-"&amp;Detail!$BR$13&amp;Detail!BS48))</f>
        <v>2017EURAnker Verzekeringen n.v.-Permanent Disability IllnessFormula 3</v>
      </c>
      <c r="LC48" s="431" t="str">
        <f>IF(A48=FALSE,"",IF(LISTES!$A$17=1,LB48,INDEX(colMOD4,MATCH(DA48,colchoice,0))))</f>
        <v>2017EURAnker Verzekeringen n.v.-Permanent Disability illnessFormula 3</v>
      </c>
      <c r="LD48" s="759" t="str">
        <f t="shared" si="333"/>
        <v>Anker Verzekeringen n.v.</v>
      </c>
      <c r="LE48" s="292"/>
      <c r="LF48" s="409">
        <f t="shared" si="334"/>
        <v>2.0537931034482759E-3</v>
      </c>
      <c r="LG48" s="430">
        <f>IF(A48=FALSE,"",IF(LA48="POEA",Cotations!BK48,IF(LA48="FIXE",Cotations!BL48,IF(Cotations!BM48*Y48&lt;50000,Z48,Cotations!BM48*Y48))))</f>
        <v>252000</v>
      </c>
      <c r="LH48" s="292">
        <f t="shared" si="335"/>
        <v>517.55586206896555</v>
      </c>
      <c r="LI48" s="446">
        <f>IF(A48=FALSE,"",IF(Cotations!AU48="monthly",LH48/12*L48,LH48/365*M48))</f>
        <v>256.65098913556926</v>
      </c>
      <c r="LJ48" s="429">
        <f>IF(A48=FALSE,"",IF(Cotations!BN48="","",Cotations!BN48))</f>
        <v>0</v>
      </c>
      <c r="LK48" s="292">
        <f t="shared" si="336"/>
        <v>0</v>
      </c>
      <c r="LL48" s="292">
        <f t="shared" si="337"/>
        <v>256.65098913556926</v>
      </c>
      <c r="LM48" s="759">
        <f t="shared" si="338"/>
        <v>266.91702870099203</v>
      </c>
      <c r="LN48" s="759" t="e">
        <f>IF(A48=FALSE,"",((LH48*TAXE)-(LH48*TAXE*LJ48))+IF(#REF!="N/A",0,IF(INDEX(LISTES!$F$105:$F$109,MATCH(#REF!,LISTES!$C$105:$C$109,0))="FIX",#REF!,#REF!*LM48)))</f>
        <v>#REF!</v>
      </c>
      <c r="MA48" s="432" t="str">
        <f t="shared" si="339"/>
        <v>PROP</v>
      </c>
      <c r="MB48" s="1234" t="str">
        <f>IF(A48=FALSE,"",IF(Detail!BZ48="","N/A",YEAR(Detail!F48)&amp;Detail!CC48&amp;Detail!BZ48&amp;"-"&amp;Detail!$BZ$13&amp;" (100%/"&amp;Detail!CD48&amp;"/"&amp;Detail!CE48&amp;")"))</f>
        <v>2017EURAnker Verzekeringen n.v.-Temporary Disability Accident (100%/7/365)</v>
      </c>
      <c r="MC48" s="431" t="str">
        <f>IF(A48=FALSE,"",IF(LISTES!$A$17=1,MB48,INDEX(colMOD5,MATCH(DA48,colchoice,0))))</f>
        <v>2017EURAnker Verzekeringen n.v.-Temporary Disability Accident (100%/7/365)</v>
      </c>
      <c r="MD48" s="759" t="str">
        <f t="shared" si="340"/>
        <v>Anker Verzekeringen n.v.</v>
      </c>
      <c r="ME48" s="292"/>
      <c r="MF48" s="409">
        <f t="shared" si="341"/>
        <v>8.1144827586206898E-3</v>
      </c>
      <c r="MG48" s="430">
        <f>IF(A48=FALSE,"",Cotations!BQ48*AA48)</f>
        <v>84000</v>
      </c>
      <c r="MH48" s="292">
        <f t="shared" si="342"/>
        <v>681.61655172413793</v>
      </c>
      <c r="MI48" s="446">
        <f>IF(A48=FALSE,"",IF(Cotations!AU48="monthly",MH48/12*L48,MH48/365*M48))</f>
        <v>338.00711195087388</v>
      </c>
      <c r="MJ48" s="429">
        <f>IF(A48=FALSE,"",IF(Cotations!BR48="","",Cotations!BR48))</f>
        <v>0</v>
      </c>
      <c r="MK48" s="292">
        <f t="shared" si="343"/>
        <v>0</v>
      </c>
      <c r="ML48" s="292">
        <f t="shared" si="344"/>
        <v>338.00711195087388</v>
      </c>
      <c r="MM48" s="759">
        <f t="shared" si="345"/>
        <v>351.52739642890884</v>
      </c>
      <c r="MN48" s="759" t="e">
        <f>IF(A48=FALSE,"",((MH48*TAXE)-(MH48*TAXE*MJ48))+IF(#REF!="N/A",0,IF(INDEX(LISTES!$F$105:$F$109,MATCH(#REF!,LISTES!$C$105:$C$109,0))="FIX",#REF!,#REF!*MM48)))</f>
        <v>#REF!</v>
      </c>
      <c r="NA48" s="432" t="str">
        <f t="shared" si="346"/>
        <v>PROP</v>
      </c>
      <c r="NB48" s="1234" t="str">
        <f>IF(A48=FALSE,"",IF(Detail!CH48="","N/A",YEAR(Detail!F48)&amp;Detail!CK48&amp;Detail!CH48&amp;"-"&amp;Detail!$CH$13&amp;" (100%/"&amp;Detail!CL48&amp;"/"&amp;Detail!CM48&amp;")"))</f>
        <v>2017EURAnker Verzekeringen n.v.-Temporary Disability Illness (100%/7/365)</v>
      </c>
      <c r="NC48" s="431" t="str">
        <f>IF(A48=FALSE,"",IF(LISTES!$A$17=1,NB48,INDEX(colMOD6,MATCH(DA48,colchoice,0))))</f>
        <v>2017EURAnker Verzekeringen n.v.-Temporary Disability illness (100%/7/365)</v>
      </c>
      <c r="ND48" s="759" t="str">
        <f t="shared" si="347"/>
        <v>Anker Verzekeringen n.v.</v>
      </c>
      <c r="NE48" s="292"/>
      <c r="NF48" s="409">
        <f t="shared" si="348"/>
        <v>8.1144827586206898E-3</v>
      </c>
      <c r="NG48" s="430">
        <f>IF(A48=FALSE,"",Cotations!BU48*AA48)</f>
        <v>84000</v>
      </c>
      <c r="NH48" s="292">
        <f t="shared" si="349"/>
        <v>1362.1903448275864</v>
      </c>
      <c r="NI48" s="446">
        <f>IF(A48=FALSE,"",IF(Cotations!AU48="monthly",NH48/12*L48,NH48/365*M48))</f>
        <v>675.49712990080309</v>
      </c>
      <c r="NJ48" s="429">
        <f>IF(A48=FALSE,"",IF(Cotations!BV48="","",Cotations!BV48))</f>
        <v>0</v>
      </c>
      <c r="NK48" s="292">
        <f t="shared" si="350"/>
        <v>0</v>
      </c>
      <c r="NL48" s="292">
        <f t="shared" si="351"/>
        <v>675.49712990080309</v>
      </c>
      <c r="NM48" s="759">
        <f t="shared" si="352"/>
        <v>702.51701509683528</v>
      </c>
      <c r="NN48" s="759" t="e">
        <f>IF(A48=FALSE,"",((NH48*TAXE)-(NH48*TAXE*NJ48))+IF(#REF!="N/A",0,IF(INDEX(LISTES!$F$105:$F$109,MATCH(#REF!,LISTES!$C$105:$C$109,0))="FIX",#REF!,#REF!*NM48)))</f>
        <v>#REF!</v>
      </c>
      <c r="NZ48" s="1281" t="str">
        <f>IF(A48=FALSE,"",IF(Detail!CP48="","N/A",YEAR(Detail!F48)&amp;Detail!CS48&amp;Detail!CP48&amp;"-"&amp;Detail!CQ48))</f>
        <v>N/A</v>
      </c>
      <c r="OA48" s="432" t="str">
        <f>IF(A48=FALSE,"",Cotations!CF48)</f>
        <v>FIXE</v>
      </c>
      <c r="OB48" s="1282" t="str">
        <f>IF(A48=FALSE,"",IF(Detail!CP48="","N/A",YEAR(Detail!F48)&amp;Detail!CS48&amp;Detail!CP48&amp;"-"&amp;Detail!$CP$13&amp;Detail!CQ48))</f>
        <v>N/A</v>
      </c>
      <c r="OC48" s="1283" t="str">
        <f>IF(A48=FALSE,"",IF(LISTES!$A$17=1,OB48,INDEX(colMOD1,MATCH(Cotations!CE48,colchoice,0))))</f>
        <v>N/A</v>
      </c>
      <c r="OD48" s="759" t="str">
        <f t="shared" si="353"/>
        <v>N/A</v>
      </c>
      <c r="OE48" s="292">
        <f>IF(A48=FALSE,"",Detail!CQ48)</f>
        <v>0</v>
      </c>
      <c r="OF48" s="409" t="str">
        <f t="shared" si="354"/>
        <v/>
      </c>
      <c r="OG48" s="430">
        <f>IF(A48=FALSE,"",IF(OA48="FIXE",Cotations!CM48,Cotations!CN48*AA48))</f>
        <v>100000</v>
      </c>
      <c r="OH48" s="292">
        <f t="shared" si="288"/>
        <v>0</v>
      </c>
      <c r="OI48" s="446">
        <f>IF(A48=FALSE,"",IF(Cotations!CF48="monthly",OH48/12*L48,OH48/365*M48))</f>
        <v>0</v>
      </c>
      <c r="OJ48" s="429">
        <f>IF(A48=FALSE,"",IF(Cotations!CO48="","",Cotations!CO48))</f>
        <v>0</v>
      </c>
      <c r="OK48" s="292">
        <f t="shared" si="289"/>
        <v>0</v>
      </c>
      <c r="OL48" s="292">
        <f t="shared" si="290"/>
        <v>0</v>
      </c>
      <c r="OM48" s="759">
        <f t="shared" si="355"/>
        <v>0</v>
      </c>
      <c r="ON48" s="759" t="e">
        <f>IF(A48=FALSE,"",((OH48*(1+TAXE)-(OH48*(1+TAXE)*OJ48))+IF(#REF!="N/A",0,IF(INDEX(LISTES!$F$105:$F$109,MATCH(#REF!,LISTES!$C$105:$C$109,0))="FIX",#REF!,#REF!*OM48))))</f>
        <v>#REF!</v>
      </c>
      <c r="PA48" s="432" t="str">
        <f>IF(A48=FALSE,"",Cotations!CF48)</f>
        <v>FIXE</v>
      </c>
      <c r="PB48" s="1282" t="str">
        <f>IF(A48=FALSE,"",IF(Detail!CX48="","N/A",YEAR(Detail!F48)&amp;Detail!DA48&amp;Detail!CX48&amp;"-"&amp;Detail!$CX$13&amp;Detail!CY48))</f>
        <v>N/A</v>
      </c>
      <c r="PC48" s="1283" t="str">
        <f>IF(A48=FALSE,"",IF(LISTES!$A$17=1,PB48,INDEX(colMOD3,MATCH(Cotations!CE48,colchoice,0))))</f>
        <v>N/A</v>
      </c>
      <c r="PD48" s="759" t="str">
        <f t="shared" si="356"/>
        <v>N/A</v>
      </c>
      <c r="PE48" s="292" t="str">
        <f>IF(A48=FALSE,"",IF(Detail!CY48="","",Detail!CY48))</f>
        <v/>
      </c>
      <c r="PF48" s="409">
        <f t="shared" si="291"/>
        <v>0</v>
      </c>
      <c r="PG48" s="430">
        <f>IF(A48=FALSE,"",IF(PA48="FIXE",Cotations!CP48,Cotations!CQ48*AA48))</f>
        <v>100000</v>
      </c>
      <c r="PH48" s="292">
        <f t="shared" si="292"/>
        <v>0</v>
      </c>
      <c r="PI48" s="446">
        <f>IF(A48=FALSE,"",IF(Cotations!CG48="monthly",PH48/12*L48,PH48/365*M48))</f>
        <v>0</v>
      </c>
      <c r="PJ48" s="429">
        <f>IF(A48=FALSE,"",IF(Cotations!DA48="",0,Cotations!DA48))</f>
        <v>0</v>
      </c>
      <c r="PK48" s="292">
        <f t="shared" si="293"/>
        <v>0</v>
      </c>
      <c r="PL48" s="292">
        <f t="shared" si="294"/>
        <v>0</v>
      </c>
      <c r="PM48" s="759">
        <f t="shared" si="357"/>
        <v>0</v>
      </c>
      <c r="PN48" s="759" t="e">
        <f>IF(A48=FALSE,"",((PH48*(1+TAXE)-(PH48*(1+TAXE)*PJ48))+IF(#REF!="N/A",0,IF(INDEX(LISTES!$F$105:$F$109,MATCH(#REF!,LISTES!$C$105:$C$109,0))="FIX",#REF!,#REF!*PM48))))</f>
        <v>#REF!</v>
      </c>
    </row>
    <row r="49" spans="1:430">
      <c r="A49" s="779" t="b">
        <f t="shared" si="295"/>
        <v>1</v>
      </c>
      <c r="B49" s="779" t="b">
        <f>IF(NAMES!$B$9=TRUE,TRUE,FALSE)</f>
        <v>1</v>
      </c>
      <c r="C49" s="779" t="b">
        <f t="shared" si="212"/>
        <v>1</v>
      </c>
      <c r="D49" s="779" t="b">
        <f t="shared" si="213"/>
        <v>1</v>
      </c>
      <c r="E49" s="267" t="b">
        <f>IF(Cotations!C49="","",Cotations!C49)</f>
        <v>1</v>
      </c>
      <c r="F49" s="267" t="str">
        <f>IF(Cotations!AT49="","",Cotations!AT49)</f>
        <v>PROP</v>
      </c>
      <c r="G49" s="267" t="str">
        <f>IF(Cotations!D49="","",Cotations!D49)</f>
        <v>2017-2017!</v>
      </c>
      <c r="H49" s="267" t="str">
        <f>IF(Cotations!E49="","",Cotations!E49)</f>
        <v>SINGLE</v>
      </c>
      <c r="I49" s="267">
        <f>IF(Cotations!F49="","",Cotations!F49)</f>
        <v>135201</v>
      </c>
      <c r="J49" s="267" t="str">
        <f>IF(Cotations!G49="","",Cotations!G49)</f>
        <v>Bosun</v>
      </c>
      <c r="K49" s="267" t="str">
        <f>IF(Cotations!H49="","",Cotations!H49)</f>
        <v>VOLKER</v>
      </c>
      <c r="L49" s="267">
        <f>IF(A49=FALSE,"",IF(Cotations!M49="","",Cotations!M49))</f>
        <v>6</v>
      </c>
      <c r="M49" s="267">
        <f>IF(Cotations!O49="","",Cotations!O49)</f>
        <v>181</v>
      </c>
      <c r="N49" s="588">
        <f>IF(NAMES!$B$10=TRUE,Cotations!I49,Cotations!K49)</f>
        <v>42750</v>
      </c>
      <c r="O49" s="588">
        <f>IF(NAMES!$B$10=TRUE,Cotations!J49,Cotations!L49)</f>
        <v>42930</v>
      </c>
      <c r="P49" s="780" t="str">
        <f t="shared" si="214"/>
        <v>janvier</v>
      </c>
      <c r="Q49" s="588">
        <f>IF(A49=FALSE,"",IF(Crewlist!Y49="","",Crewlist!Y49))</f>
        <v>42930</v>
      </c>
      <c r="R49" s="78" t="str">
        <f>IF(Cotations!T49="","",Cotations!T49)</f>
        <v>annual</v>
      </c>
      <c r="S49" s="780" t="str">
        <f t="shared" si="215"/>
        <v>VRAI135201janvier42750</v>
      </c>
      <c r="T49" s="759">
        <f>IF(A49=FALSE,"",VLOOKUP($U$15:$U$120,Currency!$A$2:$D$10,4,0)*Crewlist!N49)</f>
        <v>3000</v>
      </c>
      <c r="U49" s="1097" t="str">
        <f>IF(A49=FALSE,"",IF(DP49=0,Crewlist!M49&amp;"/"&amp;CP49,Crewlist!M49&amp;"/"&amp;DP49))</f>
        <v>EUR/EUR</v>
      </c>
      <c r="V49" s="759">
        <f>IF(A49=FALSE,"",VLOOKUP($U$15:$U$120,Currency!$A$2:$D$10,4,0)*Detail!Q49)</f>
        <v>3000</v>
      </c>
      <c r="W49" s="1097" t="str">
        <f>IF(A49=FALSE,"",IF(DP49=0,Detail!R49&amp;"/"&amp;CP49,Detail!R49&amp;"/"&amp;DP49))</f>
        <v>EUR/EUR</v>
      </c>
      <c r="X49" s="759">
        <f>IF(A49=FALSE,"",IF(LISTES!$C$17="Crewlist",Calcul!T49,Calcul!V49))</f>
        <v>3000</v>
      </c>
      <c r="Y49" s="618">
        <f t="shared" si="216"/>
        <v>36000</v>
      </c>
      <c r="Z49" s="618">
        <f>IF(A49=FALSE,"",IF(X49=0,0,IF((Cotations!BA49*12*X49)&lt;50000,50000,(12*X49))))</f>
        <v>36000</v>
      </c>
      <c r="AA49" s="618">
        <f t="shared" si="217"/>
        <v>36000</v>
      </c>
      <c r="AB49" s="618">
        <f>IF(A49=FALSE,"",IF(Crewlist!O49=0,"",Crewlist!O49))</f>
        <v>12000</v>
      </c>
      <c r="AC49" s="618" t="e">
        <f>IF(I49="","",VLOOKUP($AB$15:$AB$120,Currency!$A$15:$B$34,2,0))</f>
        <v>#N/A</v>
      </c>
      <c r="AD49" s="618" t="e">
        <f t="shared" si="218"/>
        <v>#N/A</v>
      </c>
      <c r="AE49" s="618" t="e">
        <f t="shared" si="219"/>
        <v>#N/A</v>
      </c>
      <c r="AF49" s="618" t="e">
        <f t="shared" si="220"/>
        <v>#N/A</v>
      </c>
      <c r="AG49" s="618">
        <f t="shared" si="221"/>
        <v>17852.054794520547</v>
      </c>
      <c r="AH49" s="1097" t="str">
        <f t="shared" si="296"/>
        <v>EUR</v>
      </c>
      <c r="AI49" s="759">
        <f t="shared" si="222"/>
        <v>1087.7305924988193</v>
      </c>
      <c r="AJ49" s="1120">
        <f t="shared" si="223"/>
        <v>333.29759999999999</v>
      </c>
      <c r="AK49" s="1120">
        <f t="shared" si="224"/>
        <v>748.43299249881909</v>
      </c>
      <c r="AL49" s="236">
        <f t="shared" si="225"/>
        <v>7.5876000000000001</v>
      </c>
      <c r="AM49" s="236">
        <f t="shared" si="226"/>
        <v>41.313192019185387</v>
      </c>
      <c r="AN49" s="1112">
        <f t="shared" si="227"/>
        <v>0</v>
      </c>
      <c r="AO49" s="236">
        <f t="shared" si="228"/>
        <v>48.900792019185388</v>
      </c>
      <c r="AP49" s="327" t="str">
        <f>IF(A49=FALSE,"",INDEX(Rates!$Q$1:$Q$278,MATCH(CA49,colchoice,0)))</f>
        <v>WCA</v>
      </c>
      <c r="AQ49" s="236">
        <f t="shared" si="229"/>
        <v>6</v>
      </c>
      <c r="AR49" s="236">
        <f t="shared" si="230"/>
        <v>1032.8298004796338</v>
      </c>
      <c r="AS49" s="236">
        <f t="shared" si="297"/>
        <v>325.70999999999998</v>
      </c>
      <c r="AT49" s="236">
        <f t="shared" si="298"/>
        <v>748.43299249881909</v>
      </c>
      <c r="AU49" s="236">
        <f t="shared" si="231"/>
        <v>256.06730769230762</v>
      </c>
      <c r="AV49" s="236">
        <f t="shared" si="232"/>
        <v>57.115384615384613</v>
      </c>
      <c r="AW49" s="236">
        <f t="shared" si="233"/>
        <v>37.009156353330184</v>
      </c>
      <c r="AX49" s="236">
        <f t="shared" si="234"/>
        <v>92.559826169107225</v>
      </c>
      <c r="AY49" s="236">
        <f t="shared" si="235"/>
        <v>45.725883797827116</v>
      </c>
      <c r="AZ49" s="236">
        <f t="shared" si="236"/>
        <v>109.9932810581011</v>
      </c>
      <c r="BA49" s="236">
        <f t="shared" si="237"/>
        <v>144.8601908360888</v>
      </c>
      <c r="BB49" s="467">
        <f t="shared" si="238"/>
        <v>289.49876995748701</v>
      </c>
      <c r="BC49" s="329">
        <f t="shared" si="239"/>
        <v>325.70999999999998</v>
      </c>
      <c r="BD49" s="237">
        <f t="shared" si="240"/>
        <v>313.18269230769226</v>
      </c>
      <c r="BE49" s="237">
        <f>IF(A49=FALSE,"",IF(ED49&lt;&gt;$BC$7,0,INDEX(EA49:EZ49,1,MATCH(Structure!$J$16,$EA$14:$EZ$14,0))))</f>
        <v>256.06730769230762</v>
      </c>
      <c r="BF49" s="237">
        <f>IF(A49=FALSE,"",IF(FD49&lt;&gt;$BC$7,0,INDEX(FA49:FZ49,1,MATCH(Structure!$J$16,$FA$14:$FZ$14,0))))</f>
        <v>57.115384615384613</v>
      </c>
      <c r="BG49" s="237">
        <f>IF(A49=FALSE,"",IF(GD49&lt;&gt;$BC$7,0,INDEX(GA49:GZ49,1,MATCH(Structure!$J$16,$GA$14:$GZ$14,0))))</f>
        <v>0</v>
      </c>
      <c r="BH49" s="237">
        <f>IF(A49=FALSE,"",IF(HD49&lt;&gt;$BC$7,0,INDEX(HA49:HZ49,1,MATCH(Structure!$J$16,$HA$14:$HZ$14,0))))</f>
        <v>0</v>
      </c>
      <c r="BI49" s="621">
        <f>IF(A49=FALSE,"",IF(ID49&lt;&gt;$BC$7,0,INDEX(IA49:IZ49,1,MATCH(Structure!$C$12,$IA$14:$IZ$14,0)))+OL49)</f>
        <v>0</v>
      </c>
      <c r="BJ49" s="237">
        <f>IF(A49=FALSE,"",IF(JD49&lt;&gt;$BC$7,0,INDEX(JA49:JZ49,1,MATCH(Structure!$C$12,$JA$14:$JZ$14,0))))</f>
        <v>0</v>
      </c>
      <c r="BK49" s="621">
        <f>IF(A49=FALSE,"",IF(KD49&lt;&gt;$BC$7,0,INDEX(KA49:KZ49,1,MATCH(Structure!$C$12,$KA$14:$KZ$14,0)))+PL49)</f>
        <v>0</v>
      </c>
      <c r="BL49" s="237">
        <f>IF(A49=FALSE,"",IF(LD49&lt;&gt;$BC$7,0,INDEX(LA49:LZ49,1,MATCH(Structure!$C$12,$LA$14:$LZ$14,0))))</f>
        <v>0</v>
      </c>
      <c r="BM49" s="237">
        <f>IF(A49=FALSE,"",IF(MD49&lt;&gt;$BC$7,0,INDEX(MA49:MZ49,1,MATCH(Structure!$C$12,$MA$14:$MZ$14,0))))</f>
        <v>0</v>
      </c>
      <c r="BN49" s="326">
        <f>IF(A49=FALSE,"",IF(ND49&lt;&gt;$BC$7,0,INDEX(NA49:OC49,1,MATCH(Structure!$C$12,$NA$14:$OC$14,0))))</f>
        <v>0</v>
      </c>
      <c r="BO49" s="435">
        <f t="shared" si="241"/>
        <v>748.43299249881909</v>
      </c>
      <c r="BP49" s="237">
        <f t="shared" si="242"/>
        <v>719.64710817194145</v>
      </c>
      <c r="BQ49" s="237">
        <f>IF(A49=FALSE,"",IF(ED49&lt;&gt;$BO$7,0,INDEX(EA49:EZ49,1,MATCH(Structure!$C$12,$EA$14:$EZ$14,0))))</f>
        <v>0</v>
      </c>
      <c r="BR49" s="237">
        <f>IF(A49=FALSE,"",IF(FD49&lt;&gt;$BO$7,0,INDEX(FA49:FZ49,1,MATCH(Structure!$C$12,$FA$14:$FZ$14,0))))</f>
        <v>0</v>
      </c>
      <c r="BS49" s="237">
        <f>IF(A49=FALSE,"",IF(ID49&lt;&gt;$BO$7,0,INDEX(IA49:IZ49,1,MATCH(Structure!$C$13,$IA$14:$IZ$14,0))))</f>
        <v>37.009156353330184</v>
      </c>
      <c r="BT49" s="237">
        <f>IF(A49=FALSE,"",IF(JD49&lt;&gt;$BO$7,0,INDEX(JA49:JZ49,1,MATCH(Structure!$C$13,$JA$14:$JZ$14,0))))</f>
        <v>92.559826169107225</v>
      </c>
      <c r="BU49" s="237">
        <f>IF(A49=FALSE,"",IF(KD49&lt;&gt;$BO$7,0,INDEX(KA49:KZ49,1,MATCH(Structure!$C$13,$KA$14:$KZ$14,0))))</f>
        <v>45.725883797827116</v>
      </c>
      <c r="BV49" s="237">
        <f>IF(A49=FALSE,"",IF(LD49&lt;&gt;$BO$7,0,INDEX(LA49:LZ49,1,MATCH(Structure!$C$13,$LA$14:$LZ$14,0))))</f>
        <v>109.9932810581011</v>
      </c>
      <c r="BW49" s="237">
        <f>IF(A49=FALSE,"",IF(MD49&lt;&gt;$BO$7,0,INDEX(MA49:MZ49,1,MATCH(Structure!$C$13,$MA$14:$MZ$14,0))))</f>
        <v>144.8601908360888</v>
      </c>
      <c r="BX49" s="326">
        <f>IF(A49=FALSE,"",IF(ND49&lt;&gt;$BO$7,0,INDEX(NA49:OC49,1,MATCH(Structure!$C$13,$NA$14:$OC$14,0))))</f>
        <v>289.49876995748701</v>
      </c>
      <c r="BY49" s="412"/>
      <c r="BZ49" s="412"/>
      <c r="CA49" s="1255" t="str">
        <f>IF(A49=FALSE,"",IF(LISTES!$A$17=1,Cotations!AG49,Cotations!AH49))</f>
        <v>2017EURAIG Luxembourg-StandardMLC S</v>
      </c>
      <c r="CB49" s="1266">
        <f t="shared" si="243"/>
        <v>313.18269230769226</v>
      </c>
      <c r="CC49" s="1120">
        <f t="shared" si="244"/>
        <v>256.06730769230762</v>
      </c>
      <c r="CD49" s="1120">
        <f t="shared" si="245"/>
        <v>57.115384615384613</v>
      </c>
      <c r="CE49" s="1120">
        <f t="shared" si="246"/>
        <v>0</v>
      </c>
      <c r="CF49" s="1120">
        <f t="shared" si="247"/>
        <v>0</v>
      </c>
      <c r="CG49" s="1267"/>
      <c r="CH49" s="1267"/>
      <c r="CI49" s="1268">
        <f t="shared" si="248"/>
        <v>325.70999999999992</v>
      </c>
      <c r="CJ49" s="286">
        <f t="shared" si="249"/>
        <v>266.30999999999995</v>
      </c>
      <c r="CK49" s="286">
        <f t="shared" si="250"/>
        <v>59.4</v>
      </c>
      <c r="CL49" s="1263"/>
      <c r="CM49" s="1263"/>
      <c r="CN49" s="1263"/>
      <c r="CO49" s="1263"/>
      <c r="CP49" s="319" t="str">
        <f t="shared" si="251"/>
        <v>EUR</v>
      </c>
      <c r="CQ49" s="443" t="str">
        <f>IF(A49=FALSE,"",Cotations!AM49)</f>
        <v>fix Fees pro rata month</v>
      </c>
      <c r="CR49" s="443">
        <f>IF(A49=FALSE,"",IF(Cotations!AN49="","",Cotations!AN49))</f>
        <v>15.1752</v>
      </c>
      <c r="CS49" s="433">
        <f>IF(A49=FALSE,"",Cotations!AO49)</f>
        <v>0</v>
      </c>
      <c r="CT49" s="443">
        <f>IF(A49=FALSE,"",IF(CQ49="N/A",0,IF(INDEX(LISTES!$F$105:$F$109,MATCH(CQ49,LISTES!$C$105:$C$109,0))="FIX",IF(INDEX(LISTES!$E$105:$E$109,MATCH(CQ49,LISTES!$C$105:$C$109,0))=12,CR49/12*L49,CR49/365*M49),CS49*EQ49)))</f>
        <v>7.5876000000000001</v>
      </c>
      <c r="CU49" s="434">
        <f>IF(A49=FALSE,"",(CJ49+CK49)*Cotations!AP49)</f>
        <v>325.70999999999992</v>
      </c>
      <c r="CV49" s="434">
        <f>IF(A49=FALSE,"",(CJ49+CK49)*Cotations!AQ49)</f>
        <v>0</v>
      </c>
      <c r="DA49" s="1253" t="str">
        <f>IF(A49=FALSE,"",IF(LISTES!$A$17=1,Cotations!AV49,Cotations!AW49))</f>
        <v>2017EURAnker Verzekeringen n.v.-Formula 3 (7/365)</v>
      </c>
      <c r="DB49" s="1271">
        <f t="shared" si="252"/>
        <v>719.64710817194145</v>
      </c>
      <c r="DC49" s="1270">
        <f t="shared" si="253"/>
        <v>37.009156353330184</v>
      </c>
      <c r="DD49" s="1270">
        <f t="shared" si="254"/>
        <v>92.559826169107225</v>
      </c>
      <c r="DE49" s="1270">
        <f t="shared" si="255"/>
        <v>45.725883797827116</v>
      </c>
      <c r="DF49" s="1270">
        <f t="shared" si="256"/>
        <v>109.9932810581011</v>
      </c>
      <c r="DG49" s="1270">
        <f t="shared" si="257"/>
        <v>144.8601908360888</v>
      </c>
      <c r="DH49" s="1270">
        <f t="shared" si="258"/>
        <v>289.49876995748701</v>
      </c>
      <c r="DI49" s="1271">
        <f t="shared" si="259"/>
        <v>748.4329924988192</v>
      </c>
      <c r="DJ49" s="286">
        <f t="shared" si="260"/>
        <v>38.489522607463392</v>
      </c>
      <c r="DK49" s="286">
        <f t="shared" si="261"/>
        <v>96.262219215871511</v>
      </c>
      <c r="DL49" s="1264">
        <f t="shared" si="262"/>
        <v>47.554919149740201</v>
      </c>
      <c r="DM49" s="1264">
        <f t="shared" si="263"/>
        <v>114.39301230042516</v>
      </c>
      <c r="DN49" s="1264">
        <f t="shared" si="264"/>
        <v>150.65459846953237</v>
      </c>
      <c r="DO49" s="1264">
        <f t="shared" si="265"/>
        <v>301.07872075578649</v>
      </c>
      <c r="DP49" s="323" t="str">
        <f t="shared" si="299"/>
        <v>EUR</v>
      </c>
      <c r="DQ49" s="444" t="str">
        <f>IF(A49=FALSE,"",Cotations!BW49)</f>
        <v>N/A</v>
      </c>
      <c r="DR49" s="444">
        <f>IF(A49=FALSE,"",Cotations!BX49)</f>
        <v>0</v>
      </c>
      <c r="DS49" s="433">
        <f>IF(A49=FALSE,"",Cotations!BY49)</f>
        <v>0</v>
      </c>
      <c r="DT49" s="830">
        <f>IF(A49=FALSE,"",IF(DQ49="N/A",0,IF(INDEX(LISTES!$F$105:$F$109,MATCH(DQ49,LISTES!$C$105:$C$109,0))="FIX",IF(INDEX(LISTES!$E$105:$E$109,MATCH(DQ49,LISTES!$C$105:$C$109,0))=12,DR49/12*L49,DR49/365*M49),DS49*(DN49+DO49))))</f>
        <v>0</v>
      </c>
      <c r="DU49" s="434">
        <f>IF(A49=FALSE,"",DJ49*Cotations!BZ49)</f>
        <v>38.489522607463392</v>
      </c>
      <c r="DV49" s="434">
        <f>IF(A49=FALSE,"",DJ49*Cotations!CA49)</f>
        <v>0</v>
      </c>
      <c r="EA49" s="432" t="str">
        <f>IF(A49=FALSE,"",Cotations!AT49)</f>
        <v>PROP</v>
      </c>
      <c r="EB49" s="1234" t="str">
        <f>IF(A49=FALSE,"",YEAR(Detail!F49)&amp;Detail!AG49&amp;Detail!AD49&amp;"-"&amp;Detail!$AD$13&amp;Detail!AE49)</f>
        <v>2017EURAIG Luxembourg-Healthcare PlanStandardMLC S</v>
      </c>
      <c r="EC49" s="434" t="str">
        <f>IF(A49=FALSE,"",IF(LISTES!$A$17=1,EB49,INDEX(colMOD1,MATCH(Cotations!AH49,colchoice,0))))</f>
        <v>2017EURAIG Luxembourg-Healthcare PlanStandardMLC S</v>
      </c>
      <c r="ED49" s="277" t="str">
        <f t="shared" si="300"/>
        <v>AIG Luxembourg</v>
      </c>
      <c r="EE49" s="277" t="str">
        <f t="shared" si="301"/>
        <v>StandardMLC S</v>
      </c>
      <c r="EF49" s="277"/>
      <c r="EG49" s="277"/>
      <c r="EH49" s="277">
        <f t="shared" si="302"/>
        <v>569.03846153846143</v>
      </c>
      <c r="EI49" s="1104">
        <f t="shared" si="303"/>
        <v>0</v>
      </c>
      <c r="EJ49" s="1104">
        <f t="shared" si="304"/>
        <v>569.03846153846143</v>
      </c>
      <c r="EK49" s="443">
        <f>IF(A49=FALSE,"",IF(Cotations!AF49="monthly",EH49/12*L49,EH49/365*M49))</f>
        <v>284.51923076923072</v>
      </c>
      <c r="EL49" s="1103">
        <f>IF(A49=FALSE,"",IF(Cotations!AF49="monthly",EJ49/12*L49,EJ49/365*M49))</f>
        <v>284.51923076923072</v>
      </c>
      <c r="EM49" s="433">
        <f>IF(A49=FALSE,"",IF(Cotations!AI49="","",Cotations!AI49))</f>
        <v>0.1</v>
      </c>
      <c r="EN49" s="277">
        <f t="shared" si="305"/>
        <v>28.451923076923073</v>
      </c>
      <c r="EO49" s="277">
        <f t="shared" si="306"/>
        <v>256.06730769230762</v>
      </c>
      <c r="EP49" s="1104">
        <f t="shared" si="307"/>
        <v>0</v>
      </c>
      <c r="EQ49" s="277">
        <f t="shared" si="308"/>
        <v>266.30999999999995</v>
      </c>
      <c r="ER49" s="759">
        <f>IF(A49=FALSE,"",((EH49*TAXE)-(EH49*TAXE*EM49)+EI49)+IF(CQ49="N/A",0,IF(INDEX(LISTES!$F$105:$F$109,MATCH(CQ49,LISTES!$C$105:$C$109,0))="FIX",CR49,CS49*EQ49)))</f>
        <v>547.79520000000002</v>
      </c>
      <c r="ET49" s="422"/>
      <c r="EU49" s="422"/>
      <c r="EV49" s="422"/>
      <c r="EW49" s="422"/>
      <c r="EX49" s="422"/>
      <c r="EY49" s="422"/>
      <c r="EZ49" s="422"/>
      <c r="FA49" s="432" t="str">
        <f>IF(A49=FALSE,"",Cotations!AT49)</f>
        <v>PROP</v>
      </c>
      <c r="FB49" s="1235" t="str">
        <f>IF(A49=FALSE,"",IF(Detail!AL49="","N/A",YEAR(Detail!F49)&amp;Detail!AO49&amp;Detail!AL49&amp;"-"&amp;Detail!$AL$13&amp;Detail!AM49))</f>
        <v>2017EURAIG Luxembourg-Assistance and RepatriationStandardMLC S</v>
      </c>
      <c r="FC49" s="434" t="str">
        <f>IF(A49=FALSE,"",IF(LISTES!$A$17=1,FB49,INDEX(colMOD2,MATCH(Cotations!AH49,colchoice,0))))</f>
        <v>2017EURAIG Luxembourg-Assistance and RepatriationStandardMLC S</v>
      </c>
      <c r="FD49" s="277" t="str">
        <f t="shared" si="309"/>
        <v>AIG Luxembourg</v>
      </c>
      <c r="FE49" s="443" t="str">
        <f>IF(A49=FALSE,"",IF(Detail!AM49="","",Detail!AM49))</f>
        <v>StandardMLC S</v>
      </c>
      <c r="FF49" s="277"/>
      <c r="FG49" s="277"/>
      <c r="FH49" s="277">
        <f t="shared" si="310"/>
        <v>126.92307692307692</v>
      </c>
      <c r="FI49" s="1104"/>
      <c r="FJ49" s="1104"/>
      <c r="FK49" s="443">
        <f>IF(A49=FALSE,"",IF(Cotations!AF49="monthly",FH49/12*L49,FH49/365*M49))</f>
        <v>63.46153846153846</v>
      </c>
      <c r="FL49" s="1103">
        <f>IF(A49=FALSE,"",IF(Cotations!AF49="monthly",FJ49/12*L49,FJ49/365*M49))</f>
        <v>0</v>
      </c>
      <c r="FM49" s="433">
        <f>IF(A49=FALSE,"",IF(Cotations!AJ49="","",Cotations!AJ49))</f>
        <v>0.1</v>
      </c>
      <c r="FN49" s="277">
        <f t="shared" si="268"/>
        <v>6.3461538461538467</v>
      </c>
      <c r="FO49" s="277">
        <f t="shared" si="269"/>
        <v>57.115384615384613</v>
      </c>
      <c r="FP49" s="1104"/>
      <c r="FQ49" s="277">
        <f t="shared" si="270"/>
        <v>59.4</v>
      </c>
      <c r="FR49" s="759" t="e">
        <f>IF(A49=FALSE,"",((FH49*TAXE)-(FH49*TAXE*FM49))+IF(#REF!="N/A",0,IF(INDEX(LISTES!$F$105:$F$109,MATCH(#REF!,LISTES!$C$105:$C$109,0))="FIX",#REF!,#REF!*FQ49)))</f>
        <v>#REF!</v>
      </c>
      <c r="FS49" s="422"/>
      <c r="FT49" s="422"/>
      <c r="FU49" s="422"/>
      <c r="FV49" s="422"/>
      <c r="FW49" s="422"/>
      <c r="FX49" s="422"/>
      <c r="FY49" s="422"/>
      <c r="FZ49" s="422"/>
      <c r="GA49" s="432" t="str">
        <f t="shared" si="311"/>
        <v>PROP</v>
      </c>
      <c r="GB49" s="1234" t="str">
        <f>IF(A49=FALSE,"",IF(Detail!DF49="","N/A",YEAR(Detail!F49)&amp;Detail!DI49&amp;Detail!DF49&amp;"-"&amp;Detail!$DF$13))</f>
        <v>N/A</v>
      </c>
      <c r="GC49" s="434" t="str">
        <f>IF(A49=FALSE,"",IF(LISTES!$A$17=1,GB49,INDEX(colMOD3,MATCH(Cotations!AH49,colchoice,0))))</f>
        <v>N/A</v>
      </c>
      <c r="GD49" s="277" t="str">
        <f t="shared" si="312"/>
        <v>N/A</v>
      </c>
      <c r="GE49" s="277">
        <f t="shared" si="313"/>
        <v>0</v>
      </c>
      <c r="GF49" s="277"/>
      <c r="GG49" s="277"/>
      <c r="GH49" s="277">
        <f t="shared" si="271"/>
        <v>0</v>
      </c>
      <c r="GI49" s="1104">
        <f t="shared" si="272"/>
        <v>0</v>
      </c>
      <c r="GJ49" s="1104">
        <f t="shared" si="273"/>
        <v>0</v>
      </c>
      <c r="GK49" s="443">
        <f>IF(A49=FALSE,"",IF(Cotations!AF49="monthly",GH49/12*L49,GH49/365*M49))</f>
        <v>0</v>
      </c>
      <c r="GL49" s="1103">
        <f>IF(A49=FALSE,"",IF(Cotations!AF49="monthly",GJ49/12*L49,GJ49/365*M49))</f>
        <v>0</v>
      </c>
      <c r="GM49" s="433">
        <f>IF(A49=FALSE,"",IF(Cotations!AK49="","",Cotations!AK49))</f>
        <v>0</v>
      </c>
      <c r="GN49" s="277">
        <f t="shared" si="274"/>
        <v>0</v>
      </c>
      <c r="GO49" s="277">
        <f t="shared" si="275"/>
        <v>0</v>
      </c>
      <c r="GP49" s="1104">
        <f t="shared" si="276"/>
        <v>0</v>
      </c>
      <c r="GQ49" s="277">
        <f t="shared" si="277"/>
        <v>0</v>
      </c>
      <c r="GR49" s="759">
        <f>IF(A49=FALSE,"",((GH49*TAXE)-(GH49*TAXE*GM49)+GI49)+IF(CQ49="N/A",0,IF(INDEX(LISTES!$F$105:$F$109,MATCH(CQ49,LISTES!$C$105:$C$109,0))="FIX",CR49,CS49*GQ49)))</f>
        <v>15.1752</v>
      </c>
      <c r="GS49" s="412"/>
      <c r="GT49" s="412"/>
      <c r="GU49" s="412"/>
      <c r="GV49" s="412"/>
      <c r="GW49" s="412"/>
      <c r="GX49" s="412"/>
      <c r="GY49" s="412"/>
      <c r="GZ49" s="412"/>
      <c r="HA49" s="432" t="str">
        <f t="shared" si="314"/>
        <v>PROP</v>
      </c>
      <c r="HB49" s="1234" t="str">
        <f>IF(A49=FALSE,"",IF(Detail!DF49="","N/A",YEAR(Detail!F49)&amp;Detail!DI49&amp;Detail!DF49&amp;"-"&amp;Detail!$DF$13))</f>
        <v>N/A</v>
      </c>
      <c r="HC49" s="434" t="str">
        <f>IF(A49=FALSE,"",IF(LISTES!$A$17=1,HB49,INDEX(colMOD4,MATCH(Cotations!AH49,colchoice,0))))</f>
        <v>N/A</v>
      </c>
      <c r="HD49" s="277" t="str">
        <f t="shared" si="278"/>
        <v>N/A</v>
      </c>
      <c r="HE49" s="277">
        <f t="shared" si="279"/>
        <v>0</v>
      </c>
      <c r="HF49" s="277"/>
      <c r="HG49" s="277"/>
      <c r="HH49" s="277">
        <f t="shared" si="280"/>
        <v>0</v>
      </c>
      <c r="HI49" s="1104">
        <f t="shared" si="281"/>
        <v>0</v>
      </c>
      <c r="HJ49" s="1104">
        <f t="shared" si="282"/>
        <v>0</v>
      </c>
      <c r="HK49" s="443">
        <f>IF(A49=FALSE,"",IF(Cotations!AF49="monthly",HH49/12*L49,HH49/365*M49))</f>
        <v>0</v>
      </c>
      <c r="HL49" s="1103">
        <f>IF(A49=FALSE,"",IF(Cotations!AF49="monthly",HJ49/12*L49,HJ49/365*M49))</f>
        <v>0</v>
      </c>
      <c r="HM49" s="433">
        <f>IF(A49=FALSE,"",IF(Cotations!AL49="","",Cotations!AL49))</f>
        <v>0</v>
      </c>
      <c r="HN49" s="277">
        <f t="shared" si="283"/>
        <v>0</v>
      </c>
      <c r="HO49" s="277">
        <f t="shared" si="284"/>
        <v>0</v>
      </c>
      <c r="HP49" s="1104">
        <f t="shared" si="285"/>
        <v>0</v>
      </c>
      <c r="HQ49" s="277">
        <f t="shared" si="286"/>
        <v>0</v>
      </c>
      <c r="HR49" s="759">
        <f>IF(A49=FALSE,"",((HH49*TAXE)-(HH49*TAXE*HM49)+HI49)+IF(CQ49="N/A",0,IF(INDEX(LISTES!$F$105:$F$109,MATCH(CQ49,LISTES!$C$105:$C$109,0))="FIX",CR49,CS49*HQ49)))</f>
        <v>15.1752</v>
      </c>
      <c r="HS49" s="412"/>
      <c r="HT49" s="412"/>
      <c r="HU49" s="412"/>
      <c r="HV49" s="412"/>
      <c r="HW49" s="412"/>
      <c r="HX49" s="412"/>
      <c r="HY49" s="412"/>
      <c r="HZ49" s="1262"/>
      <c r="IA49" s="432" t="str">
        <f>IF(A49=FALSE,"",Cotations!AT49)</f>
        <v>PROP</v>
      </c>
      <c r="IB49" s="1253" t="str">
        <f>IF(A49=FALSE,"",IF(Detail!AT49="","N/A",YEAR(Detail!F49)&amp;Detail!AW49&amp;Detail!AT49&amp;"-"&amp;Detail!$AT$13&amp;Detail!AU49))</f>
        <v>2017EURAnker Verzekeringen n.v.-Death AccidentFormula 3</v>
      </c>
      <c r="IC49" s="431" t="str">
        <f>IF(A49=FALSE,"",IF(LISTES!$A$17=1,IB49,INDEX(colMOD1,MATCH(DA49,colchoice,0))))</f>
        <v>2017EURAnker Verzekeringen n.v.-Death AccidentFormula 3</v>
      </c>
      <c r="ID49" s="759" t="str">
        <f t="shared" si="315"/>
        <v>Anker Verzekeringen n.v.</v>
      </c>
      <c r="IE49" s="292" t="str">
        <f>IF(A49=FALSE,"",IF(LISTES!$A$17=1,Detail!AU49,INDEX(Rates!$M$1:$M$270,MATCH(IC49,colMOD1,0))))</f>
        <v>Formula 3</v>
      </c>
      <c r="IF49" s="409">
        <f t="shared" si="316"/>
        <v>6.9103448275862072E-4</v>
      </c>
      <c r="IG49" s="430">
        <f>IF(A49=FALSE,"",IF(IA49="POEA",Cotations!AY49,IF(IA49="FIXE",Cotations!AZ49,IF(Cotations!BA49*Y49&lt;50000,Z49,Cotations!BA49*Y49))))</f>
        <v>108000</v>
      </c>
      <c r="IH49" s="292">
        <f t="shared" si="317"/>
        <v>74.63172413793103</v>
      </c>
      <c r="II49" s="446">
        <f>IF(A49=FALSE,"",IF(Cotations!AU49="monthly",IH49/12*L49,IH49/365*M49))</f>
        <v>37.009156353330184</v>
      </c>
      <c r="IJ49" s="429">
        <f>IF(A49=FALSE,"",IF(Cotations!BB49="","",Cotations!BB49))</f>
        <v>0</v>
      </c>
      <c r="IK49" s="292">
        <f t="shared" si="318"/>
        <v>0</v>
      </c>
      <c r="IL49" s="292">
        <f t="shared" si="319"/>
        <v>37.009156353330184</v>
      </c>
      <c r="IM49" s="759">
        <f t="shared" si="320"/>
        <v>38.489522607463392</v>
      </c>
      <c r="IN49" s="759">
        <f>IF(A49=FALSE,"",((IH49*TAXE)-(IH49*TAXE*IJ49))+IF(DQ49="N/A",0,IF(INDEX(LISTES!$F$105:$F$109,MATCH(DQ49,LISTES!$C$105:$C$109,0))="FIX",DR49,DS49*IM49)))</f>
        <v>77.61699310344828</v>
      </c>
      <c r="JA49" s="432" t="str">
        <f>IF(A49=FALSE,"",Cotations!AT49)</f>
        <v>PROP</v>
      </c>
      <c r="JB49" s="1234" t="str">
        <f>IF(A49=FALSE,"",IF(Detail!BB49="","N/A",YEAR(Detail!F49)&amp;Detail!BE49&amp;Detail!BB49&amp;"-"&amp;Detail!$BB$13&amp;Detail!BC49))</f>
        <v>2017EURAnker Verzekeringen n.v.-Death IllnessFormula 3</v>
      </c>
      <c r="JC49" s="431" t="str">
        <f>IF(A49=FALSE,"",IF(LISTES!$A$17=1,JB49,INDEX(colMOD2,MATCH(DA49,colchoice,0))))</f>
        <v>2017EURAnker Verzekeringen n.v.-Death illnessFormula 3</v>
      </c>
      <c r="JD49" s="759" t="str">
        <f t="shared" si="321"/>
        <v>Anker Verzekeringen n.v.</v>
      </c>
      <c r="JE49" s="292"/>
      <c r="JF49" s="409">
        <f t="shared" si="322"/>
        <v>1.7282758620689655E-3</v>
      </c>
      <c r="JG49" s="430">
        <f>IF(A49=FALSE,"",IF(JA49="POEA",Cotations!BC49,IF(JA49="FIXE",Cotations!BD49,IF(Cotations!BE49*Y49&lt;50000,Z49,Cotations!BE49*Y49))))</f>
        <v>108000</v>
      </c>
      <c r="JH49" s="292">
        <f t="shared" si="323"/>
        <v>186.65379310344827</v>
      </c>
      <c r="JI49" s="446">
        <f>IF(A49=FALSE,"",IF(Cotations!AU49="monthly",JH49/12*L49,JH49/365*M49))</f>
        <v>92.559826169107225</v>
      </c>
      <c r="JJ49" s="429">
        <f>IF(A49=FALSE,"",IF(Cotations!BF49="","",Cotations!BF49))</f>
        <v>0</v>
      </c>
      <c r="JK49" s="292">
        <f t="shared" si="324"/>
        <v>0</v>
      </c>
      <c r="JL49" s="292">
        <f t="shared" si="325"/>
        <v>92.559826169107225</v>
      </c>
      <c r="JM49" s="759">
        <f t="shared" si="326"/>
        <v>96.262219215871511</v>
      </c>
      <c r="JN49" s="759" t="e">
        <f>IF(A49=FALSE,"",((JH49*TAXE)-(JH49*TAXE*JJ49))+IF(#REF!="N/A",0,IF(INDEX(LISTES!$F$105:$F$109,MATCH(#REF!,LISTES!$C$105:$C$109,0))="FIX",#REF!,#REF!*JM49)))</f>
        <v>#REF!</v>
      </c>
      <c r="KA49" s="432" t="str">
        <f>IF(A49=FALSE,"",Cotations!AT49)</f>
        <v>PROP</v>
      </c>
      <c r="KB49" s="1234" t="str">
        <f>IF(A49=FALSE,"",IF(Detail!BJ49="","N/A",YEAR(Detail!F49)&amp;Detail!BM49&amp;Detail!BJ49&amp;"-"&amp;Detail!$BJ$13&amp;Detail!BK49))</f>
        <v>2017EURAnker Verzekeringen n.v.-Permanent Disability AccidentFormula 3</v>
      </c>
      <c r="KC49" s="431" t="str">
        <f>IF(A49=FALSE,"",IF(LISTES!$A$17=1,KB49,INDEX(colMOD3,MATCH(DA49,colchoice,0))))</f>
        <v>2017EURAnker Verzekeringen n.v.-Permanent Disability AccidentFormula 3</v>
      </c>
      <c r="KD49" s="759" t="str">
        <f t="shared" si="327"/>
        <v>Anker Verzekeringen n.v.</v>
      </c>
      <c r="KE49" s="292"/>
      <c r="KF49" s="409">
        <f t="shared" si="328"/>
        <v>6.9103448275862072E-4</v>
      </c>
      <c r="KG49" s="430">
        <f>IF(A49=FALSE,"",IF(KA49="POEA",Cotations!BG49,IF(KA49="FIXE",Cotations!BH49,IF(Cotations!BI49*Y49&lt;50000,Z49,Cotations!BI49*Y49))))</f>
        <v>108000</v>
      </c>
      <c r="KH49" s="292">
        <f t="shared" si="329"/>
        <v>92.20965517241379</v>
      </c>
      <c r="KI49" s="446">
        <f>IF(A49=FALSE,"",IF(Cotations!AU49="monthly",KH49/12*L49,KH49/365*M49))</f>
        <v>45.725883797827116</v>
      </c>
      <c r="KJ49" s="429">
        <f>IF(A49=FALSE,"",IF(Cotations!BJ49="","",Cotations!BJ49))</f>
        <v>0</v>
      </c>
      <c r="KK49" s="292">
        <f t="shared" si="330"/>
        <v>0</v>
      </c>
      <c r="KL49" s="292">
        <f t="shared" si="331"/>
        <v>45.725883797827116</v>
      </c>
      <c r="KM49" s="759">
        <f t="shared" si="332"/>
        <v>47.554919149740201</v>
      </c>
      <c r="KN49" s="759" t="e">
        <f>IF(A49=FALSE,"",((KH49*TAXE)-(KH49*TAXE*KJ49))+IF(#REF!="N/A",0,IF(INDEX(LISTES!$F$105:$F$109,MATCH(#REF!,LISTES!$C$105:$C$109,0))="FIX",#REF!,#REF!*KM49)))</f>
        <v>#REF!</v>
      </c>
      <c r="LA49" s="432" t="str">
        <f>IF(A49=FALSE,"",Cotations!AT49)</f>
        <v>PROP</v>
      </c>
      <c r="LB49" s="1234" t="str">
        <f>IF(A49=FALSE,"",IF(Detail!BR49="","N/A",YEAR(Detail!F49)&amp;Detail!BU49&amp;Detail!BR49&amp;"-"&amp;Detail!$BR$13&amp;Detail!BS49))</f>
        <v>2017EURAnker Verzekeringen n.v.-Permanent Disability IllnessFormula 3</v>
      </c>
      <c r="LC49" s="431" t="str">
        <f>IF(A49=FALSE,"",IF(LISTES!$A$17=1,LB49,INDEX(colMOD4,MATCH(DA49,colchoice,0))))</f>
        <v>2017EURAnker Verzekeringen n.v.-Permanent Disability illnessFormula 3</v>
      </c>
      <c r="LD49" s="759" t="str">
        <f t="shared" si="333"/>
        <v>Anker Verzekeringen n.v.</v>
      </c>
      <c r="LE49" s="292"/>
      <c r="LF49" s="409">
        <f t="shared" si="334"/>
        <v>2.0537931034482759E-3</v>
      </c>
      <c r="LG49" s="430">
        <f>IF(A49=FALSE,"",IF(LA49="POEA",Cotations!BK49,IF(LA49="FIXE",Cotations!BL49,IF(Cotations!BM49*Y49&lt;50000,Z49,Cotations!BM49*Y49))))</f>
        <v>108000</v>
      </c>
      <c r="LH49" s="292">
        <f t="shared" si="335"/>
        <v>221.80965517241381</v>
      </c>
      <c r="LI49" s="446">
        <f>IF(A49=FALSE,"",IF(Cotations!AU49="monthly",LH49/12*L49,LH49/365*M49))</f>
        <v>109.9932810581011</v>
      </c>
      <c r="LJ49" s="429">
        <f>IF(A49=FALSE,"",IF(Cotations!BN49="","",Cotations!BN49))</f>
        <v>0</v>
      </c>
      <c r="LK49" s="292">
        <f t="shared" si="336"/>
        <v>0</v>
      </c>
      <c r="LL49" s="292">
        <f t="shared" si="337"/>
        <v>109.9932810581011</v>
      </c>
      <c r="LM49" s="759">
        <f t="shared" si="338"/>
        <v>114.39301230042516</v>
      </c>
      <c r="LN49" s="759" t="e">
        <f>IF(A49=FALSE,"",((LH49*TAXE)-(LH49*TAXE*LJ49))+IF(#REF!="N/A",0,IF(INDEX(LISTES!$F$105:$F$109,MATCH(#REF!,LISTES!$C$105:$C$109,0))="FIX",#REF!,#REF!*LM49)))</f>
        <v>#REF!</v>
      </c>
      <c r="MA49" s="432" t="str">
        <f t="shared" si="339"/>
        <v>PROP</v>
      </c>
      <c r="MB49" s="1234" t="str">
        <f>IF(A49=FALSE,"",IF(Detail!BZ49="","N/A",YEAR(Detail!F49)&amp;Detail!CC49&amp;Detail!BZ49&amp;"-"&amp;Detail!$BZ$13&amp;" (100%/"&amp;Detail!CD49&amp;"/"&amp;Detail!CE49&amp;")"))</f>
        <v>2017EURAnker Verzekeringen n.v.-Temporary Disability Accident (100%/7/365)</v>
      </c>
      <c r="MC49" s="431" t="str">
        <f>IF(A49=FALSE,"",IF(LISTES!$A$17=1,MB49,INDEX(colMOD5,MATCH(DA49,colchoice,0))))</f>
        <v>2017EURAnker Verzekeringen n.v.-Temporary Disability Accident (100%/7/365)</v>
      </c>
      <c r="MD49" s="759" t="str">
        <f t="shared" si="340"/>
        <v>Anker Verzekeringen n.v.</v>
      </c>
      <c r="ME49" s="292"/>
      <c r="MF49" s="409">
        <f t="shared" si="341"/>
        <v>8.1144827586206898E-3</v>
      </c>
      <c r="MG49" s="430">
        <f>IF(A49=FALSE,"",Cotations!BQ49*AA49)</f>
        <v>36000</v>
      </c>
      <c r="MH49" s="292">
        <f t="shared" si="342"/>
        <v>292.12137931034482</v>
      </c>
      <c r="MI49" s="446">
        <f>IF(A49=FALSE,"",IF(Cotations!AU49="monthly",MH49/12*L49,MH49/365*M49))</f>
        <v>144.8601908360888</v>
      </c>
      <c r="MJ49" s="429">
        <f>IF(A49=FALSE,"",IF(Cotations!BR49="","",Cotations!BR49))</f>
        <v>0</v>
      </c>
      <c r="MK49" s="292">
        <f t="shared" si="343"/>
        <v>0</v>
      </c>
      <c r="ML49" s="292">
        <f t="shared" si="344"/>
        <v>144.8601908360888</v>
      </c>
      <c r="MM49" s="759">
        <f t="shared" si="345"/>
        <v>150.65459846953237</v>
      </c>
      <c r="MN49" s="759" t="e">
        <f>IF(A49=FALSE,"",((MH49*TAXE)-(MH49*TAXE*MJ49))+IF(#REF!="N/A",0,IF(INDEX(LISTES!$F$105:$F$109,MATCH(#REF!,LISTES!$C$105:$C$109,0))="FIX",#REF!,#REF!*MM49)))</f>
        <v>#REF!</v>
      </c>
      <c r="NA49" s="432" t="str">
        <f t="shared" si="346"/>
        <v>PROP</v>
      </c>
      <c r="NB49" s="1234" t="str">
        <f>IF(A49=FALSE,"",IF(Detail!CH49="","N/A",YEAR(Detail!F49)&amp;Detail!CK49&amp;Detail!CH49&amp;"-"&amp;Detail!$CH$13&amp;" (100%/"&amp;Detail!CL49&amp;"/"&amp;Detail!CM49&amp;")"))</f>
        <v>2017EURAnker Verzekeringen n.v.-Temporary Disability Illness (100%/7/365)</v>
      </c>
      <c r="NC49" s="431" t="str">
        <f>IF(A49=FALSE,"",IF(LISTES!$A$17=1,NB49,INDEX(colMOD6,MATCH(DA49,colchoice,0))))</f>
        <v>2017EURAnker Verzekeringen n.v.-Temporary Disability illness (100%/7/365)</v>
      </c>
      <c r="ND49" s="759" t="str">
        <f t="shared" si="347"/>
        <v>Anker Verzekeringen n.v.</v>
      </c>
      <c r="NE49" s="292"/>
      <c r="NF49" s="409">
        <f t="shared" si="348"/>
        <v>8.1144827586206898E-3</v>
      </c>
      <c r="NG49" s="430">
        <f>IF(A49=FALSE,"",Cotations!BU49*AA49)</f>
        <v>36000</v>
      </c>
      <c r="NH49" s="292">
        <f t="shared" si="349"/>
        <v>583.79586206896556</v>
      </c>
      <c r="NI49" s="446">
        <f>IF(A49=FALSE,"",IF(Cotations!AU49="monthly",NH49/12*L49,NH49/365*M49))</f>
        <v>289.49876995748701</v>
      </c>
      <c r="NJ49" s="429">
        <f>IF(A49=FALSE,"",IF(Cotations!BV49="","",Cotations!BV49))</f>
        <v>0</v>
      </c>
      <c r="NK49" s="292">
        <f t="shared" si="350"/>
        <v>0</v>
      </c>
      <c r="NL49" s="292">
        <f t="shared" si="351"/>
        <v>289.49876995748701</v>
      </c>
      <c r="NM49" s="759">
        <f t="shared" si="352"/>
        <v>301.07872075578649</v>
      </c>
      <c r="NN49" s="759" t="e">
        <f>IF(A49=FALSE,"",((NH49*TAXE)-(NH49*TAXE*NJ49))+IF(#REF!="N/A",0,IF(INDEX(LISTES!$F$105:$F$109,MATCH(#REF!,LISTES!$C$105:$C$109,0))="FIX",#REF!,#REF!*NM49)))</f>
        <v>#REF!</v>
      </c>
      <c r="NZ49" s="1281" t="str">
        <f>IF(A49=FALSE,"",IF(Detail!CP49="","N/A",YEAR(Detail!F49)&amp;Detail!CS49&amp;Detail!CP49&amp;"-"&amp;Detail!CQ49))</f>
        <v>N/A</v>
      </c>
      <c r="OA49" s="432" t="str">
        <f>IF(A49=FALSE,"",Cotations!CF49)</f>
        <v>FIXE</v>
      </c>
      <c r="OB49" s="1282" t="str">
        <f>IF(A49=FALSE,"",IF(Detail!CP49="","N/A",YEAR(Detail!F49)&amp;Detail!CS49&amp;Detail!CP49&amp;"-"&amp;Detail!$CP$13&amp;Detail!CQ49))</f>
        <v>N/A</v>
      </c>
      <c r="OC49" s="1283" t="str">
        <f>IF(A49=FALSE,"",IF(LISTES!$A$17=1,OB49,INDEX(colMOD1,MATCH(Cotations!CE49,colchoice,0))))</f>
        <v>N/A</v>
      </c>
      <c r="OD49" s="759" t="str">
        <f t="shared" si="353"/>
        <v>N/A</v>
      </c>
      <c r="OE49" s="292">
        <f>IF(A49=FALSE,"",Detail!CQ49)</f>
        <v>0</v>
      </c>
      <c r="OF49" s="409" t="str">
        <f t="shared" si="354"/>
        <v/>
      </c>
      <c r="OG49" s="430">
        <f>IF(A49=FALSE,"",IF(OA49="FIXE",Cotations!CM49,Cotations!CN49*AA49))</f>
        <v>100000</v>
      </c>
      <c r="OH49" s="292">
        <f t="shared" si="288"/>
        <v>0</v>
      </c>
      <c r="OI49" s="446">
        <f>IF(A49=FALSE,"",IF(Cotations!CF49="monthly",OH49/12*L49,OH49/365*M49))</f>
        <v>0</v>
      </c>
      <c r="OJ49" s="429">
        <f>IF(A49=FALSE,"",IF(Cotations!CO49="","",Cotations!CO49))</f>
        <v>0</v>
      </c>
      <c r="OK49" s="292">
        <f t="shared" si="289"/>
        <v>0</v>
      </c>
      <c r="OL49" s="292">
        <f t="shared" si="290"/>
        <v>0</v>
      </c>
      <c r="OM49" s="759">
        <f t="shared" si="355"/>
        <v>0</v>
      </c>
      <c r="ON49" s="759" t="e">
        <f>IF(A49=FALSE,"",((OH49*(1+TAXE)-(OH49*(1+TAXE)*OJ49))+IF(#REF!="N/A",0,IF(INDEX(LISTES!$F$105:$F$109,MATCH(#REF!,LISTES!$C$105:$C$109,0))="FIX",#REF!,#REF!*OM49))))</f>
        <v>#REF!</v>
      </c>
      <c r="PA49" s="432" t="str">
        <f>IF(A49=FALSE,"",Cotations!CF49)</f>
        <v>FIXE</v>
      </c>
      <c r="PB49" s="1282" t="str">
        <f>IF(A49=FALSE,"",IF(Detail!CX49="","N/A",YEAR(Detail!F49)&amp;Detail!DA49&amp;Detail!CX49&amp;"-"&amp;Detail!$CX$13&amp;Detail!CY49))</f>
        <v>N/A</v>
      </c>
      <c r="PC49" s="1283" t="str">
        <f>IF(A49=FALSE,"",IF(LISTES!$A$17=1,PB49,INDEX(colMOD3,MATCH(Cotations!CE49,colchoice,0))))</f>
        <v>N/A</v>
      </c>
      <c r="PD49" s="759" t="str">
        <f t="shared" si="356"/>
        <v>N/A</v>
      </c>
      <c r="PE49" s="292" t="str">
        <f>IF(A49=FALSE,"",IF(Detail!CY49="","",Detail!CY49))</f>
        <v/>
      </c>
      <c r="PF49" s="409">
        <f t="shared" si="291"/>
        <v>0</v>
      </c>
      <c r="PG49" s="430">
        <f>IF(A49=FALSE,"",IF(PA49="FIXE",Cotations!CP49,Cotations!CQ49*AA49))</f>
        <v>100000</v>
      </c>
      <c r="PH49" s="292">
        <f t="shared" si="292"/>
        <v>0</v>
      </c>
      <c r="PI49" s="446">
        <f>IF(A49=FALSE,"",IF(Cotations!CG49="monthly",PH49/12*L49,PH49/365*M49))</f>
        <v>0</v>
      </c>
      <c r="PJ49" s="429">
        <f>IF(A49=FALSE,"",IF(Cotations!DA49="",0,Cotations!DA49))</f>
        <v>0</v>
      </c>
      <c r="PK49" s="292">
        <f t="shared" si="293"/>
        <v>0</v>
      </c>
      <c r="PL49" s="292">
        <f t="shared" si="294"/>
        <v>0</v>
      </c>
      <c r="PM49" s="759">
        <f t="shared" si="357"/>
        <v>0</v>
      </c>
      <c r="PN49" s="759" t="e">
        <f>IF(A49=FALSE,"",((PH49*(1+TAXE)-(PH49*(1+TAXE)*PJ49))+IF(#REF!="N/A",0,IF(INDEX(LISTES!$F$105:$F$109,MATCH(#REF!,LISTES!$C$105:$C$109,0))="FIX",#REF!,#REF!*PM49))))</f>
        <v>#REF!</v>
      </c>
    </row>
    <row r="50" spans="1:430">
      <c r="A50" s="779" t="b">
        <f t="shared" si="295"/>
        <v>1</v>
      </c>
      <c r="B50" s="779" t="b">
        <f>IF(NAMES!$B$9=TRUE,TRUE,FALSE)</f>
        <v>1</v>
      </c>
      <c r="C50" s="779" t="b">
        <f t="shared" si="212"/>
        <v>1</v>
      </c>
      <c r="D50" s="779" t="b">
        <f t="shared" si="213"/>
        <v>1</v>
      </c>
      <c r="E50" s="267" t="b">
        <f>IF(Cotations!C50="","",Cotations!C50)</f>
        <v>1</v>
      </c>
      <c r="F50" s="267" t="str">
        <f>IF(Cotations!AT50="","",Cotations!AT50)</f>
        <v>PROP</v>
      </c>
      <c r="G50" s="267" t="str">
        <f>IF(Cotations!D50="","",Cotations!D50)</f>
        <v>2017-2017!</v>
      </c>
      <c r="H50" s="267" t="str">
        <f>IF(Cotations!E50="","",Cotations!E50)</f>
        <v>SINGLE</v>
      </c>
      <c r="I50" s="267" t="str">
        <f>IF(Cotations!F50="","",Cotations!F50)</f>
        <v>X-1</v>
      </c>
      <c r="J50" s="267" t="str">
        <f>IF(Cotations!G50="","",Cotations!G50)</f>
        <v/>
      </c>
      <c r="K50" s="267" t="str">
        <f>IF(Cotations!H50="","",Cotations!H50)</f>
        <v/>
      </c>
      <c r="L50" s="267">
        <f>IF(A50=FALSE,"",IF(Cotations!M50="","",Cotations!M50))</f>
        <v>5</v>
      </c>
      <c r="M50" s="267">
        <f>IF(Cotations!O50="","",Cotations!O50)</f>
        <v>150</v>
      </c>
      <c r="N50" s="588">
        <f>IF(NAMES!$B$10=TRUE,Cotations!I50,Cotations!K50)</f>
        <v>42781</v>
      </c>
      <c r="O50" s="588">
        <f>IF(NAMES!$B$10=TRUE,Cotations!J50,Cotations!L50)</f>
        <v>42930</v>
      </c>
      <c r="P50" s="780" t="str">
        <f t="shared" si="214"/>
        <v>février</v>
      </c>
      <c r="Q50" s="588">
        <f>IF(A50=FALSE,"",IF(Crewlist!Y50="","",Crewlist!Y50))</f>
        <v>42930</v>
      </c>
      <c r="R50" s="78" t="str">
        <f>IF(Cotations!T50="","",Cotations!T50)</f>
        <v>seasonal</v>
      </c>
      <c r="S50" s="780" t="str">
        <f t="shared" si="215"/>
        <v>VRAIX-1février42781</v>
      </c>
      <c r="T50" s="759">
        <f>IF(A50=FALSE,"",VLOOKUP($U$15:$U$120,Currency!$A$2:$D$10,4,0)*Crewlist!N50)</f>
        <v>2500</v>
      </c>
      <c r="U50" s="1097" t="str">
        <f>IF(A50=FALSE,"",IF(DP50=0,Crewlist!M50&amp;"/"&amp;CP50,Crewlist!M50&amp;"/"&amp;DP50))</f>
        <v>EUR/EUR</v>
      </c>
      <c r="V50" s="759">
        <f>IF(A50=FALSE,"",VLOOKUP($U$15:$U$120,Currency!$A$2:$D$10,4,0)*Detail!Q50)</f>
        <v>0</v>
      </c>
      <c r="W50" s="1097" t="str">
        <f>IF(A50=FALSE,"",IF(DP50=0,Detail!R50&amp;"/"&amp;CP50,Detail!R50&amp;"/"&amp;DP50))</f>
        <v>/EUR</v>
      </c>
      <c r="X50" s="759">
        <f>IF(A50=FALSE,"",IF(LISTES!$C$17="Crewlist",Calcul!T50,Calcul!V50))</f>
        <v>2500</v>
      </c>
      <c r="Y50" s="618">
        <f t="shared" si="216"/>
        <v>30000</v>
      </c>
      <c r="Z50" s="618">
        <f>IF(A50=FALSE,"",IF(X50=0,0,IF((Cotations!BA50*12*X50)&lt;50000,50000,(12*X50))))</f>
        <v>30000</v>
      </c>
      <c r="AA50" s="618">
        <f t="shared" si="217"/>
        <v>30000</v>
      </c>
      <c r="AB50" s="618">
        <f>IF(A50=FALSE,"",IF(Crewlist!O50=0,"",Crewlist!O50))</f>
        <v>4000</v>
      </c>
      <c r="AC50" s="618" t="e">
        <f>IF(I50="","",VLOOKUP($AB$15:$AB$120,Currency!$A$15:$B$34,2,0))</f>
        <v>#N/A</v>
      </c>
      <c r="AD50" s="618" t="e">
        <f t="shared" si="218"/>
        <v>#N/A</v>
      </c>
      <c r="AE50" s="618" t="e">
        <f t="shared" si="219"/>
        <v>#N/A</v>
      </c>
      <c r="AF50" s="618" t="e">
        <f t="shared" si="220"/>
        <v>#N/A</v>
      </c>
      <c r="AG50" s="618">
        <f t="shared" si="221"/>
        <v>12328.767123287671</v>
      </c>
      <c r="AH50" s="1097" t="str">
        <f t="shared" si="296"/>
        <v>EUR</v>
      </c>
      <c r="AI50" s="759">
        <f t="shared" si="222"/>
        <v>799.62161360415689</v>
      </c>
      <c r="AJ50" s="1120">
        <f t="shared" si="223"/>
        <v>277.74799999999999</v>
      </c>
      <c r="AK50" s="1120">
        <f t="shared" si="224"/>
        <v>516.87361360415684</v>
      </c>
      <c r="AL50" s="236">
        <f t="shared" si="225"/>
        <v>6.3229999999999995</v>
      </c>
      <c r="AM50" s="236">
        <f t="shared" si="226"/>
        <v>30.319177446313752</v>
      </c>
      <c r="AN50" s="1112">
        <f t="shared" si="227"/>
        <v>0</v>
      </c>
      <c r="AO50" s="236">
        <f t="shared" si="228"/>
        <v>36.642177446313752</v>
      </c>
      <c r="AP50" s="327" t="str">
        <f>IF(A50=FALSE,"",INDEX(Rates!$Q$1:$Q$278,MATCH(CA50,colchoice,0)))</f>
        <v>WCA</v>
      </c>
      <c r="AQ50" s="236">
        <f t="shared" si="229"/>
        <v>5</v>
      </c>
      <c r="AR50" s="236">
        <f t="shared" si="230"/>
        <v>757.97943615784311</v>
      </c>
      <c r="AS50" s="236">
        <f t="shared" si="297"/>
        <v>271.42500000000001</v>
      </c>
      <c r="AT50" s="236">
        <f t="shared" si="298"/>
        <v>516.87361360415684</v>
      </c>
      <c r="AU50" s="236">
        <f t="shared" si="231"/>
        <v>213.38942307692304</v>
      </c>
      <c r="AV50" s="236">
        <f t="shared" si="232"/>
        <v>47.596153846153847</v>
      </c>
      <c r="AW50" s="236">
        <f t="shared" si="233"/>
        <v>25.558809636277754</v>
      </c>
      <c r="AX50" s="236">
        <f t="shared" si="234"/>
        <v>63.922531884742568</v>
      </c>
      <c r="AY50" s="236">
        <f t="shared" si="235"/>
        <v>31.578649031648556</v>
      </c>
      <c r="AZ50" s="236">
        <f t="shared" si="236"/>
        <v>75.962210675484158</v>
      </c>
      <c r="BA50" s="236">
        <f t="shared" si="237"/>
        <v>100.04156825696741</v>
      </c>
      <c r="BB50" s="467">
        <f t="shared" si="238"/>
        <v>199.93008974964573</v>
      </c>
      <c r="BC50" s="329">
        <f t="shared" si="239"/>
        <v>271.42500000000001</v>
      </c>
      <c r="BD50" s="237">
        <f t="shared" si="240"/>
        <v>260.98557692307691</v>
      </c>
      <c r="BE50" s="237">
        <f>IF(A50=FALSE,"",IF(ED50&lt;&gt;$BC$7,0,INDEX(EA50:EZ50,1,MATCH(Structure!$J$16,$EA$14:$EZ$14,0))))</f>
        <v>213.38942307692304</v>
      </c>
      <c r="BF50" s="237">
        <f>IF(A50=FALSE,"",IF(FD50&lt;&gt;$BC$7,0,INDEX(FA50:FZ50,1,MATCH(Structure!$J$16,$FA$14:$FZ$14,0))))</f>
        <v>47.596153846153847</v>
      </c>
      <c r="BG50" s="237">
        <f>IF(A50=FALSE,"",IF(GD50&lt;&gt;$BC$7,0,INDEX(GA50:GZ50,1,MATCH(Structure!$J$16,$GA$14:$GZ$14,0))))</f>
        <v>0</v>
      </c>
      <c r="BH50" s="237">
        <f>IF(A50=FALSE,"",IF(HD50&lt;&gt;$BC$7,0,INDEX(HA50:HZ50,1,MATCH(Structure!$J$16,$HA$14:$HZ$14,0))))</f>
        <v>0</v>
      </c>
      <c r="BI50" s="621">
        <f>IF(A50=FALSE,"",IF(ID50&lt;&gt;$BC$7,0,INDEX(IA50:IZ50,1,MATCH(Structure!$C$12,$IA$14:$IZ$14,0)))+OL50)</f>
        <v>0</v>
      </c>
      <c r="BJ50" s="237">
        <f>IF(A50=FALSE,"",IF(JD50&lt;&gt;$BC$7,0,INDEX(JA50:JZ50,1,MATCH(Structure!$C$12,$JA$14:$JZ$14,0))))</f>
        <v>0</v>
      </c>
      <c r="BK50" s="621">
        <f>IF(A50=FALSE,"",IF(KD50&lt;&gt;$BC$7,0,INDEX(KA50:KZ50,1,MATCH(Structure!$C$12,$KA$14:$KZ$14,0)))+PL50)</f>
        <v>0</v>
      </c>
      <c r="BL50" s="237">
        <f>IF(A50=FALSE,"",IF(LD50&lt;&gt;$BC$7,0,INDEX(LA50:LZ50,1,MATCH(Structure!$C$12,$LA$14:$LZ$14,0))))</f>
        <v>0</v>
      </c>
      <c r="BM50" s="237">
        <f>IF(A50=FALSE,"",IF(MD50&lt;&gt;$BC$7,0,INDEX(MA50:MZ50,1,MATCH(Structure!$C$12,$MA$14:$MZ$14,0))))</f>
        <v>0</v>
      </c>
      <c r="BN50" s="326">
        <f>IF(A50=FALSE,"",IF(ND50&lt;&gt;$BC$7,0,INDEX(NA50:OC50,1,MATCH(Structure!$C$12,$NA$14:$OC$14,0))))</f>
        <v>0</v>
      </c>
      <c r="BO50" s="435">
        <f t="shared" si="241"/>
        <v>516.87361360415684</v>
      </c>
      <c r="BP50" s="237">
        <f t="shared" si="242"/>
        <v>496.99385923476621</v>
      </c>
      <c r="BQ50" s="237">
        <f>IF(A50=FALSE,"",IF(ED50&lt;&gt;$BO$7,0,INDEX(EA50:EZ50,1,MATCH(Structure!$C$12,$EA$14:$EZ$14,0))))</f>
        <v>0</v>
      </c>
      <c r="BR50" s="237">
        <f>IF(A50=FALSE,"",IF(FD50&lt;&gt;$BO$7,0,INDEX(FA50:FZ50,1,MATCH(Structure!$C$12,$FA$14:$FZ$14,0))))</f>
        <v>0</v>
      </c>
      <c r="BS50" s="237">
        <f>IF(A50=FALSE,"",IF(ID50&lt;&gt;$BO$7,0,INDEX(IA50:IZ50,1,MATCH(Structure!$C$13,$IA$14:$IZ$14,0))))</f>
        <v>25.558809636277754</v>
      </c>
      <c r="BT50" s="237">
        <f>IF(A50=FALSE,"",IF(JD50&lt;&gt;$BO$7,0,INDEX(JA50:JZ50,1,MATCH(Structure!$C$13,$JA$14:$JZ$14,0))))</f>
        <v>63.922531884742568</v>
      </c>
      <c r="BU50" s="237">
        <f>IF(A50=FALSE,"",IF(KD50&lt;&gt;$BO$7,0,INDEX(KA50:KZ50,1,MATCH(Structure!$C$13,$KA$14:$KZ$14,0))))</f>
        <v>31.578649031648556</v>
      </c>
      <c r="BV50" s="237">
        <f>IF(A50=FALSE,"",IF(LD50&lt;&gt;$BO$7,0,INDEX(LA50:LZ50,1,MATCH(Structure!$C$13,$LA$14:$LZ$14,0))))</f>
        <v>75.962210675484158</v>
      </c>
      <c r="BW50" s="237">
        <f>IF(A50=FALSE,"",IF(MD50&lt;&gt;$BO$7,0,INDEX(MA50:MZ50,1,MATCH(Structure!$C$13,$MA$14:$MZ$14,0))))</f>
        <v>100.04156825696741</v>
      </c>
      <c r="BX50" s="326">
        <f>IF(A50=FALSE,"",IF(ND50&lt;&gt;$BO$7,0,INDEX(NA50:OC50,1,MATCH(Structure!$C$13,$NA$14:$OC$14,0))))</f>
        <v>199.93008974964573</v>
      </c>
      <c r="BY50" s="412"/>
      <c r="BZ50" s="412"/>
      <c r="CA50" s="1255" t="str">
        <f>IF(A50=FALSE,"",IF(LISTES!$A$17=1,Cotations!AG50,Cotations!AH50))</f>
        <v>2017EURAIG Luxembourg-StandardMLC S</v>
      </c>
      <c r="CB50" s="1266">
        <f t="shared" si="243"/>
        <v>260.98557692307691</v>
      </c>
      <c r="CC50" s="1120">
        <f t="shared" si="244"/>
        <v>213.38942307692304</v>
      </c>
      <c r="CD50" s="1120">
        <f t="shared" si="245"/>
        <v>47.596153846153847</v>
      </c>
      <c r="CE50" s="1120">
        <f t="shared" si="246"/>
        <v>0</v>
      </c>
      <c r="CF50" s="1120">
        <f t="shared" si="247"/>
        <v>0</v>
      </c>
      <c r="CG50" s="1267"/>
      <c r="CH50" s="1267"/>
      <c r="CI50" s="1268">
        <f t="shared" si="248"/>
        <v>271.42499999999995</v>
      </c>
      <c r="CJ50" s="286">
        <f t="shared" si="249"/>
        <v>221.92499999999995</v>
      </c>
      <c r="CK50" s="286">
        <f t="shared" si="250"/>
        <v>49.5</v>
      </c>
      <c r="CL50" s="1263"/>
      <c r="CM50" s="1263"/>
      <c r="CN50" s="1263"/>
      <c r="CO50" s="1263"/>
      <c r="CP50" s="319" t="str">
        <f t="shared" si="251"/>
        <v>EUR</v>
      </c>
      <c r="CQ50" s="443" t="str">
        <f>IF(A50=FALSE,"",Cotations!AM50)</f>
        <v>fix Fees pro rata month</v>
      </c>
      <c r="CR50" s="443">
        <f>IF(A50=FALSE,"",IF(Cotations!AN50="","",Cotations!AN50))</f>
        <v>15.1752</v>
      </c>
      <c r="CS50" s="433">
        <f>IF(A50=FALSE,"",Cotations!AO50)</f>
        <v>0</v>
      </c>
      <c r="CT50" s="443">
        <f>IF(A50=FALSE,"",IF(CQ50="N/A",0,IF(INDEX(LISTES!$F$105:$F$109,MATCH(CQ50,LISTES!$C$105:$C$109,0))="FIX",IF(INDEX(LISTES!$E$105:$E$109,MATCH(CQ50,LISTES!$C$105:$C$109,0))=12,CR50/12*L50,CR50/365*M50),CS50*EQ50)))</f>
        <v>6.3229999999999995</v>
      </c>
      <c r="CU50" s="434">
        <f>IF(A50=FALSE,"",(CJ50+CK50)*Cotations!AP50)</f>
        <v>271.42499999999995</v>
      </c>
      <c r="CV50" s="434">
        <f>IF(A50=FALSE,"",(CJ50+CK50)*Cotations!AQ50)</f>
        <v>0</v>
      </c>
      <c r="DA50" s="1253" t="str">
        <f>IF(A50=FALSE,"",IF(LISTES!$A$17=1,Cotations!AV50,Cotations!AW50))</f>
        <v>2017EURAnker Verzekeringen n.v.-Formula 3 (7/365)</v>
      </c>
      <c r="DB50" s="1271">
        <f t="shared" si="252"/>
        <v>496.99385923476621</v>
      </c>
      <c r="DC50" s="1270">
        <f t="shared" si="253"/>
        <v>25.558809636277754</v>
      </c>
      <c r="DD50" s="1270">
        <f t="shared" si="254"/>
        <v>63.922531884742568</v>
      </c>
      <c r="DE50" s="1270">
        <f t="shared" si="255"/>
        <v>31.578649031648556</v>
      </c>
      <c r="DF50" s="1270">
        <f t="shared" si="256"/>
        <v>75.962210675484158</v>
      </c>
      <c r="DG50" s="1270">
        <f t="shared" si="257"/>
        <v>100.04156825696741</v>
      </c>
      <c r="DH50" s="1270">
        <f t="shared" si="258"/>
        <v>199.93008974964573</v>
      </c>
      <c r="DI50" s="1271">
        <f t="shared" si="259"/>
        <v>516.87361360415684</v>
      </c>
      <c r="DJ50" s="286">
        <f t="shared" si="260"/>
        <v>26.581162021728865</v>
      </c>
      <c r="DK50" s="286">
        <f t="shared" si="261"/>
        <v>66.479433160132274</v>
      </c>
      <c r="DL50" s="1264">
        <f t="shared" si="262"/>
        <v>32.841794992914501</v>
      </c>
      <c r="DM50" s="1264">
        <f t="shared" si="263"/>
        <v>79.000699102503532</v>
      </c>
      <c r="DN50" s="1264">
        <f t="shared" si="264"/>
        <v>104.0432309872461</v>
      </c>
      <c r="DO50" s="1264">
        <f t="shared" si="265"/>
        <v>207.92729333963158</v>
      </c>
      <c r="DP50" s="323" t="str">
        <f t="shared" si="299"/>
        <v>EUR</v>
      </c>
      <c r="DQ50" s="444" t="str">
        <f>IF(A50=FALSE,"",Cotations!BW50)</f>
        <v>N/A</v>
      </c>
      <c r="DR50" s="444">
        <f>IF(A50=FALSE,"",Cotations!BX50)</f>
        <v>0</v>
      </c>
      <c r="DS50" s="433">
        <f>IF(A50=FALSE,"",Cotations!BY50)</f>
        <v>0</v>
      </c>
      <c r="DT50" s="830">
        <f>IF(A50=FALSE,"",IF(DQ50="N/A",0,IF(INDEX(LISTES!$F$105:$F$109,MATCH(DQ50,LISTES!$C$105:$C$109,0))="FIX",IF(INDEX(LISTES!$E$105:$E$109,MATCH(DQ50,LISTES!$C$105:$C$109,0))=12,DR50/12*L50,DR50/365*M50),DS50*(DN50+DO50))))</f>
        <v>0</v>
      </c>
      <c r="DU50" s="434">
        <f>IF(A50=FALSE,"",DJ50*Cotations!BZ50)</f>
        <v>26.581162021728865</v>
      </c>
      <c r="DV50" s="434">
        <f>IF(A50=FALSE,"",DJ50*Cotations!CA50)</f>
        <v>0</v>
      </c>
      <c r="EA50" s="432" t="str">
        <f>IF(A50=FALSE,"",Cotations!AT50)</f>
        <v>PROP</v>
      </c>
      <c r="EB50" s="1234" t="str">
        <f>IF(A50=FALSE,"",YEAR(Detail!F50)&amp;Detail!AG50&amp;Detail!AD50&amp;"-"&amp;Detail!$AD$13&amp;Detail!AE50)</f>
        <v>1900-Healthcare Plan</v>
      </c>
      <c r="EC50" s="434" t="str">
        <f>IF(A50=FALSE,"",IF(LISTES!$A$17=1,EB50,INDEX(colMOD1,MATCH(Cotations!AH50,colchoice,0))))</f>
        <v>2017EURAIG Luxembourg-Healthcare PlanStandardMLC S</v>
      </c>
      <c r="ED50" s="277" t="str">
        <f t="shared" si="300"/>
        <v>AIG Luxembourg</v>
      </c>
      <c r="EE50" s="277" t="str">
        <f t="shared" si="301"/>
        <v>StandardMLC S</v>
      </c>
      <c r="EF50" s="277"/>
      <c r="EG50" s="277"/>
      <c r="EH50" s="277">
        <f t="shared" si="302"/>
        <v>569.03846153846143</v>
      </c>
      <c r="EI50" s="1104">
        <f t="shared" si="303"/>
        <v>0</v>
      </c>
      <c r="EJ50" s="1104">
        <f t="shared" si="304"/>
        <v>569.03846153846143</v>
      </c>
      <c r="EK50" s="443">
        <f>IF(A50=FALSE,"",IF(Cotations!AF50="monthly",EH50/12*L50,EH50/365*M50))</f>
        <v>237.09935897435895</v>
      </c>
      <c r="EL50" s="1103">
        <f>IF(A50=FALSE,"",IF(Cotations!AF50="monthly",EJ50/12*L50,EJ50/365*M50))</f>
        <v>237.09935897435895</v>
      </c>
      <c r="EM50" s="433">
        <f>IF(A50=FALSE,"",IF(Cotations!AI50="","",Cotations!AI50))</f>
        <v>0.1</v>
      </c>
      <c r="EN50" s="277">
        <f t="shared" si="305"/>
        <v>23.709935897435898</v>
      </c>
      <c r="EO50" s="277">
        <f t="shared" si="306"/>
        <v>213.38942307692304</v>
      </c>
      <c r="EP50" s="1104">
        <f t="shared" si="307"/>
        <v>0</v>
      </c>
      <c r="EQ50" s="277">
        <f t="shared" si="308"/>
        <v>221.92499999999995</v>
      </c>
      <c r="ER50" s="759">
        <f>IF(A50=FALSE,"",((EH50*TAXE)-(EH50*TAXE*EM50)+EI50)+IF(CQ50="N/A",0,IF(INDEX(LISTES!$F$105:$F$109,MATCH(CQ50,LISTES!$C$105:$C$109,0))="FIX",CR50,CS50*EQ50)))</f>
        <v>547.79520000000002</v>
      </c>
      <c r="ET50" s="422"/>
      <c r="EU50" s="422"/>
      <c r="EV50" s="422"/>
      <c r="EW50" s="422"/>
      <c r="EX50" s="422"/>
      <c r="EY50" s="422"/>
      <c r="EZ50" s="422"/>
      <c r="FA50" s="432" t="str">
        <f>IF(A50=FALSE,"",Cotations!AT50)</f>
        <v>PROP</v>
      </c>
      <c r="FB50" s="1235" t="str">
        <f>IF(A50=FALSE,"",IF(Detail!AL50="","N/A",YEAR(Detail!F50)&amp;Detail!AO50&amp;Detail!AL50&amp;"-"&amp;Detail!$AL$13&amp;Detail!AM50))</f>
        <v>N/A</v>
      </c>
      <c r="FC50" s="434" t="str">
        <f>IF(A50=FALSE,"",IF(LISTES!$A$17=1,FB50,INDEX(colMOD2,MATCH(Cotations!AH50,colchoice,0))))</f>
        <v>2017EURAIG Luxembourg-Assistance and RepatriationStandardMLC S</v>
      </c>
      <c r="FD50" s="277" t="str">
        <f t="shared" si="309"/>
        <v>AIG Luxembourg</v>
      </c>
      <c r="FE50" s="443" t="str">
        <f>IF(A50=FALSE,"",IF(Detail!AM50="","",Detail!AM50))</f>
        <v/>
      </c>
      <c r="FF50" s="277"/>
      <c r="FG50" s="277"/>
      <c r="FH50" s="277">
        <f t="shared" si="310"/>
        <v>126.92307692307692</v>
      </c>
      <c r="FI50" s="1104"/>
      <c r="FJ50" s="1104"/>
      <c r="FK50" s="443">
        <f>IF(A50=FALSE,"",IF(Cotations!AF50="monthly",FH50/12*L50,FH50/365*M50))</f>
        <v>52.884615384615387</v>
      </c>
      <c r="FL50" s="1103">
        <f>IF(A50=FALSE,"",IF(Cotations!AF50="monthly",FJ50/12*L50,FJ50/365*M50))</f>
        <v>0</v>
      </c>
      <c r="FM50" s="433">
        <f>IF(A50=FALSE,"",IF(Cotations!AJ50="","",Cotations!AJ50))</f>
        <v>0.1</v>
      </c>
      <c r="FN50" s="277">
        <f t="shared" si="268"/>
        <v>5.2884615384615392</v>
      </c>
      <c r="FO50" s="277">
        <f t="shared" si="269"/>
        <v>47.596153846153847</v>
      </c>
      <c r="FP50" s="1104"/>
      <c r="FQ50" s="277">
        <f t="shared" si="270"/>
        <v>49.5</v>
      </c>
      <c r="FR50" s="759" t="e">
        <f>IF(A50=FALSE,"",((FH50*TAXE)-(FH50*TAXE*FM50))+IF(#REF!="N/A",0,IF(INDEX(LISTES!$F$105:$F$109,MATCH(#REF!,LISTES!$C$105:$C$109,0))="FIX",#REF!,#REF!*FQ50)))</f>
        <v>#REF!</v>
      </c>
      <c r="FS50" s="422"/>
      <c r="FT50" s="422"/>
      <c r="FU50" s="422"/>
      <c r="FV50" s="422"/>
      <c r="FW50" s="422"/>
      <c r="FX50" s="422"/>
      <c r="FY50" s="422"/>
      <c r="FZ50" s="422"/>
      <c r="GA50" s="432" t="str">
        <f t="shared" si="311"/>
        <v>PROP</v>
      </c>
      <c r="GB50" s="1234" t="str">
        <f>IF(A50=FALSE,"",IF(Detail!DF50="","N/A",YEAR(Detail!F50)&amp;Detail!DI50&amp;Detail!DF50&amp;"-"&amp;Detail!$DF$13))</f>
        <v>N/A</v>
      </c>
      <c r="GC50" s="434" t="str">
        <f>IF(A50=FALSE,"",IF(LISTES!$A$17=1,GB50,INDEX(colMOD3,MATCH(Cotations!AH50,colchoice,0))))</f>
        <v>N/A</v>
      </c>
      <c r="GD50" s="277" t="str">
        <f t="shared" si="312"/>
        <v>N/A</v>
      </c>
      <c r="GE50" s="277">
        <f t="shared" si="313"/>
        <v>0</v>
      </c>
      <c r="GF50" s="277"/>
      <c r="GG50" s="277"/>
      <c r="GH50" s="277">
        <f t="shared" si="271"/>
        <v>0</v>
      </c>
      <c r="GI50" s="1104">
        <f t="shared" si="272"/>
        <v>0</v>
      </c>
      <c r="GJ50" s="1104">
        <f t="shared" si="273"/>
        <v>0</v>
      </c>
      <c r="GK50" s="443">
        <f>IF(A50=FALSE,"",IF(Cotations!AF50="monthly",GH50/12*L50,GH50/365*M50))</f>
        <v>0</v>
      </c>
      <c r="GL50" s="1103">
        <f>IF(A50=FALSE,"",IF(Cotations!AF50="monthly",GJ50/12*L50,GJ50/365*M50))</f>
        <v>0</v>
      </c>
      <c r="GM50" s="433">
        <f>IF(A50=FALSE,"",IF(Cotations!AK50="","",Cotations!AK50))</f>
        <v>0</v>
      </c>
      <c r="GN50" s="277">
        <f t="shared" si="274"/>
        <v>0</v>
      </c>
      <c r="GO50" s="277">
        <f t="shared" si="275"/>
        <v>0</v>
      </c>
      <c r="GP50" s="1104">
        <f t="shared" si="276"/>
        <v>0</v>
      </c>
      <c r="GQ50" s="277">
        <f t="shared" si="277"/>
        <v>0</v>
      </c>
      <c r="GR50" s="759">
        <f>IF(A50=FALSE,"",((GH50*TAXE)-(GH50*TAXE*GM50)+GI50)+IF(CQ50="N/A",0,IF(INDEX(LISTES!$F$105:$F$109,MATCH(CQ50,LISTES!$C$105:$C$109,0))="FIX",CR50,CS50*GQ50)))</f>
        <v>15.1752</v>
      </c>
      <c r="GS50" s="412"/>
      <c r="GT50" s="412"/>
      <c r="GU50" s="412"/>
      <c r="GV50" s="412"/>
      <c r="GW50" s="412"/>
      <c r="GX50" s="412"/>
      <c r="GY50" s="412"/>
      <c r="GZ50" s="412"/>
      <c r="HA50" s="432" t="str">
        <f t="shared" si="314"/>
        <v>PROP</v>
      </c>
      <c r="HB50" s="1234" t="str">
        <f>IF(A50=FALSE,"",IF(Detail!DF50="","N/A",YEAR(Detail!F50)&amp;Detail!DI50&amp;Detail!DF50&amp;"-"&amp;Detail!$DF$13))</f>
        <v>N/A</v>
      </c>
      <c r="HC50" s="434" t="str">
        <f>IF(A50=FALSE,"",IF(LISTES!$A$17=1,HB50,INDEX(colMOD4,MATCH(Cotations!AH50,colchoice,0))))</f>
        <v>N/A</v>
      </c>
      <c r="HD50" s="277" t="str">
        <f t="shared" si="278"/>
        <v>N/A</v>
      </c>
      <c r="HE50" s="277">
        <f t="shared" si="279"/>
        <v>0</v>
      </c>
      <c r="HF50" s="277"/>
      <c r="HG50" s="277"/>
      <c r="HH50" s="277">
        <f t="shared" si="280"/>
        <v>0</v>
      </c>
      <c r="HI50" s="1104">
        <f t="shared" si="281"/>
        <v>0</v>
      </c>
      <c r="HJ50" s="1104">
        <f t="shared" si="282"/>
        <v>0</v>
      </c>
      <c r="HK50" s="443">
        <f>IF(A50=FALSE,"",IF(Cotations!AF50="monthly",HH50/12*L50,HH50/365*M50))</f>
        <v>0</v>
      </c>
      <c r="HL50" s="1103">
        <f>IF(A50=FALSE,"",IF(Cotations!AF50="monthly",HJ50/12*L50,HJ50/365*M50))</f>
        <v>0</v>
      </c>
      <c r="HM50" s="433">
        <f>IF(A50=FALSE,"",IF(Cotations!AL50="","",Cotations!AL50))</f>
        <v>0</v>
      </c>
      <c r="HN50" s="277">
        <f t="shared" si="283"/>
        <v>0</v>
      </c>
      <c r="HO50" s="277">
        <f t="shared" si="284"/>
        <v>0</v>
      </c>
      <c r="HP50" s="1104">
        <f t="shared" si="285"/>
        <v>0</v>
      </c>
      <c r="HQ50" s="277">
        <f t="shared" si="286"/>
        <v>0</v>
      </c>
      <c r="HR50" s="759">
        <f>IF(A50=FALSE,"",((HH50*TAXE)-(HH50*TAXE*HM50)+HI50)+IF(CQ50="N/A",0,IF(INDEX(LISTES!$F$105:$F$109,MATCH(CQ50,LISTES!$C$105:$C$109,0))="FIX",CR50,CS50*HQ50)))</f>
        <v>15.1752</v>
      </c>
      <c r="HS50" s="412"/>
      <c r="HT50" s="412"/>
      <c r="HU50" s="412"/>
      <c r="HV50" s="412"/>
      <c r="HW50" s="412"/>
      <c r="HX50" s="412"/>
      <c r="HY50" s="412"/>
      <c r="HZ50" s="1262"/>
      <c r="IA50" s="432" t="str">
        <f>IF(A50=FALSE,"",Cotations!AT50)</f>
        <v>PROP</v>
      </c>
      <c r="IB50" s="1253" t="str">
        <f>IF(A50=FALSE,"",IF(Detail!AT50="","N/A",YEAR(Detail!F50)&amp;Detail!AW50&amp;Detail!AT50&amp;"-"&amp;Detail!$AT$13&amp;Detail!AU50))</f>
        <v>N/A</v>
      </c>
      <c r="IC50" s="431" t="str">
        <f>IF(A50=FALSE,"",IF(LISTES!$A$17=1,IB50,INDEX(colMOD1,MATCH(DA50,colchoice,0))))</f>
        <v>2017EURAnker Verzekeringen n.v.-Death AccidentFormula 3</v>
      </c>
      <c r="ID50" s="759" t="str">
        <f t="shared" si="315"/>
        <v>Anker Verzekeringen n.v.</v>
      </c>
      <c r="IE50" s="292" t="str">
        <f>IF(A50=FALSE,"",IF(LISTES!$A$17=1,Detail!AU50,INDEX(Rates!$M$1:$M$270,MATCH(IC50,colMOD1,0))))</f>
        <v>Formula 3</v>
      </c>
      <c r="IF50" s="409">
        <f t="shared" si="316"/>
        <v>6.9103448275862072E-4</v>
      </c>
      <c r="IG50" s="430">
        <f>IF(A50=FALSE,"",IF(IA50="POEA",Cotations!AY50,IF(IA50="FIXE",Cotations!AZ50,IF(Cotations!BA50*Y50&lt;50000,Z50,Cotations!BA50*Y50))))</f>
        <v>90000</v>
      </c>
      <c r="IH50" s="292">
        <f t="shared" si="317"/>
        <v>62.193103448275863</v>
      </c>
      <c r="II50" s="446">
        <f>IF(A50=FALSE,"",IF(Cotations!AU50="monthly",IH50/12*L50,IH50/365*M50))</f>
        <v>25.558809636277754</v>
      </c>
      <c r="IJ50" s="429">
        <f>IF(A50=FALSE,"",IF(Cotations!BB50="","",Cotations!BB50))</f>
        <v>0</v>
      </c>
      <c r="IK50" s="292">
        <f t="shared" si="318"/>
        <v>0</v>
      </c>
      <c r="IL50" s="292">
        <f t="shared" si="319"/>
        <v>25.558809636277754</v>
      </c>
      <c r="IM50" s="759">
        <f t="shared" si="320"/>
        <v>26.581162021728865</v>
      </c>
      <c r="IN50" s="759">
        <f>IF(A50=FALSE,"",((IH50*TAXE)-(IH50*TAXE*IJ50))+IF(DQ50="N/A",0,IF(INDEX(LISTES!$F$105:$F$109,MATCH(DQ50,LISTES!$C$105:$C$109,0))="FIX",DR50,DS50*IM50)))</f>
        <v>64.680827586206902</v>
      </c>
      <c r="JA50" s="432" t="str">
        <f>IF(A50=FALSE,"",Cotations!AT50)</f>
        <v>PROP</v>
      </c>
      <c r="JB50" s="1234" t="str">
        <f>IF(A50=FALSE,"",IF(Detail!BB50="","N/A",YEAR(Detail!F50)&amp;Detail!BE50&amp;Detail!BB50&amp;"-"&amp;Detail!$BB$13&amp;Detail!BC50))</f>
        <v>N/A</v>
      </c>
      <c r="JC50" s="431" t="str">
        <f>IF(A50=FALSE,"",IF(LISTES!$A$17=1,JB50,INDEX(colMOD2,MATCH(DA50,colchoice,0))))</f>
        <v>2017EURAnker Verzekeringen n.v.-Death illnessFormula 3</v>
      </c>
      <c r="JD50" s="759" t="str">
        <f t="shared" si="321"/>
        <v>Anker Verzekeringen n.v.</v>
      </c>
      <c r="JE50" s="292"/>
      <c r="JF50" s="409">
        <f t="shared" si="322"/>
        <v>1.7282758620689655E-3</v>
      </c>
      <c r="JG50" s="430">
        <f>IF(A50=FALSE,"",IF(JA50="POEA",Cotations!BC50,IF(JA50="FIXE",Cotations!BD50,IF(Cotations!BE50*Y50&lt;50000,Z50,Cotations!BE50*Y50))))</f>
        <v>90000</v>
      </c>
      <c r="JH50" s="292">
        <f t="shared" si="323"/>
        <v>155.54482758620691</v>
      </c>
      <c r="JI50" s="446">
        <f>IF(A50=FALSE,"",IF(Cotations!AU50="monthly",JH50/12*L50,JH50/365*M50))</f>
        <v>63.922531884742568</v>
      </c>
      <c r="JJ50" s="429">
        <f>IF(A50=FALSE,"",IF(Cotations!BF50="","",Cotations!BF50))</f>
        <v>0</v>
      </c>
      <c r="JK50" s="292">
        <f t="shared" si="324"/>
        <v>0</v>
      </c>
      <c r="JL50" s="292">
        <f t="shared" si="325"/>
        <v>63.922531884742568</v>
      </c>
      <c r="JM50" s="759">
        <f t="shared" si="326"/>
        <v>66.479433160132274</v>
      </c>
      <c r="JN50" s="759" t="e">
        <f>IF(A50=FALSE,"",((JH50*TAXE)-(JH50*TAXE*JJ50))+IF(#REF!="N/A",0,IF(INDEX(LISTES!$F$105:$F$109,MATCH(#REF!,LISTES!$C$105:$C$109,0))="FIX",#REF!,#REF!*JM50)))</f>
        <v>#REF!</v>
      </c>
      <c r="KA50" s="432" t="str">
        <f>IF(A50=FALSE,"",Cotations!AT50)</f>
        <v>PROP</v>
      </c>
      <c r="KB50" s="1234" t="str">
        <f>IF(A50=FALSE,"",IF(Detail!BJ50="","N/A",YEAR(Detail!F50)&amp;Detail!BM50&amp;Detail!BJ50&amp;"-"&amp;Detail!$BJ$13&amp;Detail!BK50))</f>
        <v>N/A</v>
      </c>
      <c r="KC50" s="431" t="str">
        <f>IF(A50=FALSE,"",IF(LISTES!$A$17=1,KB50,INDEX(colMOD3,MATCH(DA50,colchoice,0))))</f>
        <v>2017EURAnker Verzekeringen n.v.-Permanent Disability AccidentFormula 3</v>
      </c>
      <c r="KD50" s="759" t="str">
        <f t="shared" si="327"/>
        <v>Anker Verzekeringen n.v.</v>
      </c>
      <c r="KE50" s="292"/>
      <c r="KF50" s="409">
        <f t="shared" si="328"/>
        <v>6.9103448275862072E-4</v>
      </c>
      <c r="KG50" s="430">
        <f>IF(A50=FALSE,"",IF(KA50="POEA",Cotations!BG50,IF(KA50="FIXE",Cotations!BH50,IF(Cotations!BI50*Y50&lt;50000,Z50,Cotations!BI50*Y50))))</f>
        <v>90000</v>
      </c>
      <c r="KH50" s="292">
        <f t="shared" si="329"/>
        <v>76.84137931034482</v>
      </c>
      <c r="KI50" s="446">
        <f>IF(A50=FALSE,"",IF(Cotations!AU50="monthly",KH50/12*L50,KH50/365*M50))</f>
        <v>31.578649031648556</v>
      </c>
      <c r="KJ50" s="429">
        <f>IF(A50=FALSE,"",IF(Cotations!BJ50="","",Cotations!BJ50))</f>
        <v>0</v>
      </c>
      <c r="KK50" s="292">
        <f t="shared" si="330"/>
        <v>0</v>
      </c>
      <c r="KL50" s="292">
        <f t="shared" si="331"/>
        <v>31.578649031648556</v>
      </c>
      <c r="KM50" s="759">
        <f t="shared" si="332"/>
        <v>32.841794992914501</v>
      </c>
      <c r="KN50" s="759" t="e">
        <f>IF(A50=FALSE,"",((KH50*TAXE)-(KH50*TAXE*KJ50))+IF(#REF!="N/A",0,IF(INDEX(LISTES!$F$105:$F$109,MATCH(#REF!,LISTES!$C$105:$C$109,0))="FIX",#REF!,#REF!*KM50)))</f>
        <v>#REF!</v>
      </c>
      <c r="LA50" s="432" t="str">
        <f>IF(A50=FALSE,"",Cotations!AT50)</f>
        <v>PROP</v>
      </c>
      <c r="LB50" s="1234" t="str">
        <f>IF(A50=FALSE,"",IF(Detail!BR50="","N/A",YEAR(Detail!F50)&amp;Detail!BU50&amp;Detail!BR50&amp;"-"&amp;Detail!$BR$13&amp;Detail!BS50))</f>
        <v>N/A</v>
      </c>
      <c r="LC50" s="431" t="str">
        <f>IF(A50=FALSE,"",IF(LISTES!$A$17=1,LB50,INDEX(colMOD4,MATCH(DA50,colchoice,0))))</f>
        <v>2017EURAnker Verzekeringen n.v.-Permanent Disability illnessFormula 3</v>
      </c>
      <c r="LD50" s="759" t="str">
        <f t="shared" si="333"/>
        <v>Anker Verzekeringen n.v.</v>
      </c>
      <c r="LE50" s="292"/>
      <c r="LF50" s="409">
        <f t="shared" si="334"/>
        <v>2.0537931034482759E-3</v>
      </c>
      <c r="LG50" s="430">
        <f>IF(A50=FALSE,"",IF(LA50="POEA",Cotations!BK50,IF(LA50="FIXE",Cotations!BL50,IF(Cotations!BM50*Y50&lt;50000,Z50,Cotations!BM50*Y50))))</f>
        <v>90000</v>
      </c>
      <c r="LH50" s="292">
        <f t="shared" si="335"/>
        <v>184.84137931034482</v>
      </c>
      <c r="LI50" s="446">
        <f>IF(A50=FALSE,"",IF(Cotations!AU50="monthly",LH50/12*L50,LH50/365*M50))</f>
        <v>75.962210675484158</v>
      </c>
      <c r="LJ50" s="429">
        <f>IF(A50=FALSE,"",IF(Cotations!BN50="","",Cotations!BN50))</f>
        <v>0</v>
      </c>
      <c r="LK50" s="292">
        <f t="shared" si="336"/>
        <v>0</v>
      </c>
      <c r="LL50" s="292">
        <f t="shared" si="337"/>
        <v>75.962210675484158</v>
      </c>
      <c r="LM50" s="759">
        <f t="shared" si="338"/>
        <v>79.000699102503532</v>
      </c>
      <c r="LN50" s="759" t="e">
        <f>IF(A50=FALSE,"",((LH50*TAXE)-(LH50*TAXE*LJ50))+IF(#REF!="N/A",0,IF(INDEX(LISTES!$F$105:$F$109,MATCH(#REF!,LISTES!$C$105:$C$109,0))="FIX",#REF!,#REF!*LM50)))</f>
        <v>#REF!</v>
      </c>
      <c r="MA50" s="432" t="str">
        <f t="shared" si="339"/>
        <v>PROP</v>
      </c>
      <c r="MB50" s="1234" t="str">
        <f>IF(A50=FALSE,"",IF(Detail!BZ50="","N/A",YEAR(Detail!F50)&amp;Detail!CC50&amp;Detail!BZ50&amp;"-"&amp;Detail!$BZ$13&amp;" (100%/"&amp;Detail!CD50&amp;"/"&amp;Detail!CE50&amp;")"))</f>
        <v>N/A</v>
      </c>
      <c r="MC50" s="431" t="str">
        <f>IF(A50=FALSE,"",IF(LISTES!$A$17=1,MB50,INDEX(colMOD5,MATCH(DA50,colchoice,0))))</f>
        <v>2017EURAnker Verzekeringen n.v.-Temporary Disability Accident (100%/7/365)</v>
      </c>
      <c r="MD50" s="759" t="str">
        <f t="shared" si="340"/>
        <v>Anker Verzekeringen n.v.</v>
      </c>
      <c r="ME50" s="292"/>
      <c r="MF50" s="409">
        <f t="shared" si="341"/>
        <v>8.1144827586206898E-3</v>
      </c>
      <c r="MG50" s="430">
        <f>IF(A50=FALSE,"",Cotations!BQ50*AA50)</f>
        <v>30000</v>
      </c>
      <c r="MH50" s="292">
        <f t="shared" si="342"/>
        <v>243.4344827586207</v>
      </c>
      <c r="MI50" s="446">
        <f>IF(A50=FALSE,"",IF(Cotations!AU50="monthly",MH50/12*L50,MH50/365*M50))</f>
        <v>100.04156825696741</v>
      </c>
      <c r="MJ50" s="429">
        <f>IF(A50=FALSE,"",IF(Cotations!BR50="","",Cotations!BR50))</f>
        <v>0</v>
      </c>
      <c r="MK50" s="292">
        <f t="shared" si="343"/>
        <v>0</v>
      </c>
      <c r="ML50" s="292">
        <f t="shared" si="344"/>
        <v>100.04156825696741</v>
      </c>
      <c r="MM50" s="759">
        <f t="shared" si="345"/>
        <v>104.0432309872461</v>
      </c>
      <c r="MN50" s="759" t="e">
        <f>IF(A50=FALSE,"",((MH50*TAXE)-(MH50*TAXE*MJ50))+IF(#REF!="N/A",0,IF(INDEX(LISTES!$F$105:$F$109,MATCH(#REF!,LISTES!$C$105:$C$109,0))="FIX",#REF!,#REF!*MM50)))</f>
        <v>#REF!</v>
      </c>
      <c r="NA50" s="432" t="str">
        <f t="shared" si="346"/>
        <v>PROP</v>
      </c>
      <c r="NB50" s="1234" t="str">
        <f>IF(A50=FALSE,"",IF(Detail!CH50="","N/A",YEAR(Detail!F50)&amp;Detail!CK50&amp;Detail!CH50&amp;"-"&amp;Detail!$CH$13&amp;" (100%/"&amp;Detail!CL50&amp;"/"&amp;Detail!CM50&amp;")"))</f>
        <v>N/A</v>
      </c>
      <c r="NC50" s="431" t="str">
        <f>IF(A50=FALSE,"",IF(LISTES!$A$17=1,NB50,INDEX(colMOD6,MATCH(DA50,colchoice,0))))</f>
        <v>2017EURAnker Verzekeringen n.v.-Temporary Disability illness (100%/7/365)</v>
      </c>
      <c r="ND50" s="759" t="str">
        <f t="shared" si="347"/>
        <v>Anker Verzekeringen n.v.</v>
      </c>
      <c r="NE50" s="292"/>
      <c r="NF50" s="409">
        <f t="shared" si="348"/>
        <v>8.1144827586206898E-3</v>
      </c>
      <c r="NG50" s="430">
        <f>IF(A50=FALSE,"",Cotations!BU50*AA50)</f>
        <v>30000</v>
      </c>
      <c r="NH50" s="292">
        <f t="shared" si="349"/>
        <v>486.49655172413799</v>
      </c>
      <c r="NI50" s="446">
        <f>IF(A50=FALSE,"",IF(Cotations!AU50="monthly",NH50/12*L50,NH50/365*M50))</f>
        <v>199.93008974964573</v>
      </c>
      <c r="NJ50" s="429">
        <f>IF(A50=FALSE,"",IF(Cotations!BV50="","",Cotations!BV50))</f>
        <v>0</v>
      </c>
      <c r="NK50" s="292">
        <f t="shared" si="350"/>
        <v>0</v>
      </c>
      <c r="NL50" s="292">
        <f t="shared" si="351"/>
        <v>199.93008974964573</v>
      </c>
      <c r="NM50" s="759">
        <f t="shared" si="352"/>
        <v>207.92729333963158</v>
      </c>
      <c r="NN50" s="759" t="e">
        <f>IF(A50=FALSE,"",((NH50*TAXE)-(NH50*TAXE*NJ50))+IF(#REF!="N/A",0,IF(INDEX(LISTES!$F$105:$F$109,MATCH(#REF!,LISTES!$C$105:$C$109,0))="FIX",#REF!,#REF!*NM50)))</f>
        <v>#REF!</v>
      </c>
      <c r="NZ50" s="1281" t="str">
        <f>IF(A50=FALSE,"",IF(Detail!CP50="","N/A",YEAR(Detail!F50)&amp;Detail!CS50&amp;Detail!CP50&amp;"-"&amp;Detail!CQ50))</f>
        <v>N/A</v>
      </c>
      <c r="OA50" s="432" t="str">
        <f>IF(A50=FALSE,"",Cotations!CF50)</f>
        <v>FIXE</v>
      </c>
      <c r="OB50" s="1282" t="str">
        <f>IF(A50=FALSE,"",IF(Detail!CP50="","N/A",YEAR(Detail!F50)&amp;Detail!CS50&amp;Detail!CP50&amp;"-"&amp;Detail!$CP$13&amp;Detail!CQ50))</f>
        <v>N/A</v>
      </c>
      <c r="OC50" s="1283" t="str">
        <f>IF(A50=FALSE,"",IF(LISTES!$A$17=1,OB50,INDEX(colMOD1,MATCH(Cotations!CE50,colchoice,0))))</f>
        <v>N/A</v>
      </c>
      <c r="OD50" s="759" t="str">
        <f t="shared" si="353"/>
        <v>N/A</v>
      </c>
      <c r="OE50" s="292">
        <f>IF(A50=FALSE,"",Detail!CQ50)</f>
        <v>0</v>
      </c>
      <c r="OF50" s="409" t="str">
        <f t="shared" si="354"/>
        <v/>
      </c>
      <c r="OG50" s="430">
        <f>IF(A50=FALSE,"",IF(OA50="FIXE",Cotations!CM50,Cotations!CN50*AA50))</f>
        <v>100000</v>
      </c>
      <c r="OH50" s="292">
        <f t="shared" si="288"/>
        <v>0</v>
      </c>
      <c r="OI50" s="446">
        <f>IF(A50=FALSE,"",IF(Cotations!CF50="monthly",OH50/12*L50,OH50/365*M50))</f>
        <v>0</v>
      </c>
      <c r="OJ50" s="429">
        <f>IF(A50=FALSE,"",IF(Cotations!CO50="","",Cotations!CO50))</f>
        <v>0</v>
      </c>
      <c r="OK50" s="292">
        <f t="shared" si="289"/>
        <v>0</v>
      </c>
      <c r="OL50" s="292">
        <f t="shared" si="290"/>
        <v>0</v>
      </c>
      <c r="OM50" s="759">
        <f t="shared" si="355"/>
        <v>0</v>
      </c>
      <c r="ON50" s="759" t="e">
        <f>IF(A50=FALSE,"",((OH50*(1+TAXE)-(OH50*(1+TAXE)*OJ50))+IF(#REF!="N/A",0,IF(INDEX(LISTES!$F$105:$F$109,MATCH(#REF!,LISTES!$C$105:$C$109,0))="FIX",#REF!,#REF!*OM50))))</f>
        <v>#REF!</v>
      </c>
      <c r="PA50" s="432" t="str">
        <f>IF(A50=FALSE,"",Cotations!CF50)</f>
        <v>FIXE</v>
      </c>
      <c r="PB50" s="1282" t="str">
        <f>IF(A50=FALSE,"",IF(Detail!CX50="","N/A",YEAR(Detail!F50)&amp;Detail!DA50&amp;Detail!CX50&amp;"-"&amp;Detail!$CX$13&amp;Detail!CY50))</f>
        <v>N/A</v>
      </c>
      <c r="PC50" s="1283" t="str">
        <f>IF(A50=FALSE,"",IF(LISTES!$A$17=1,PB50,INDEX(colMOD3,MATCH(Cotations!CE50,colchoice,0))))</f>
        <v>N/A</v>
      </c>
      <c r="PD50" s="759" t="str">
        <f t="shared" si="356"/>
        <v>N/A</v>
      </c>
      <c r="PE50" s="292" t="str">
        <f>IF(A50=FALSE,"",IF(Detail!CY50="","",Detail!CY50))</f>
        <v/>
      </c>
      <c r="PF50" s="409">
        <f t="shared" si="291"/>
        <v>0</v>
      </c>
      <c r="PG50" s="430">
        <f>IF(A50=FALSE,"",IF(PA50="FIXE",Cotations!CP50,Cotations!CQ50*AA50))</f>
        <v>100000</v>
      </c>
      <c r="PH50" s="292">
        <f t="shared" si="292"/>
        <v>0</v>
      </c>
      <c r="PI50" s="446">
        <f>IF(A50=FALSE,"",IF(Cotations!CG50="monthly",PH50/12*L50,PH50/365*M50))</f>
        <v>0</v>
      </c>
      <c r="PJ50" s="429">
        <f>IF(A50=FALSE,"",IF(Cotations!DA50="",0,Cotations!DA50))</f>
        <v>0</v>
      </c>
      <c r="PK50" s="292">
        <f t="shared" si="293"/>
        <v>0</v>
      </c>
      <c r="PL50" s="292">
        <f t="shared" si="294"/>
        <v>0</v>
      </c>
      <c r="PM50" s="759">
        <f t="shared" si="357"/>
        <v>0</v>
      </c>
      <c r="PN50" s="759" t="e">
        <f>IF(A50=FALSE,"",((PH50*(1+TAXE)-(PH50*(1+TAXE)*PJ50))+IF(#REF!="N/A",0,IF(INDEX(LISTES!$F$105:$F$109,MATCH(#REF!,LISTES!$C$105:$C$109,0))="FIX",#REF!,#REF!*PM50))))</f>
        <v>#REF!</v>
      </c>
    </row>
    <row r="51" spans="1:430">
      <c r="A51" s="779" t="b">
        <f t="shared" si="295"/>
        <v>1</v>
      </c>
      <c r="B51" s="779" t="b">
        <f>IF(NAMES!$B$9=TRUE,TRUE,FALSE)</f>
        <v>1</v>
      </c>
      <c r="C51" s="779" t="b">
        <f t="shared" si="212"/>
        <v>1</v>
      </c>
      <c r="D51" s="779" t="b">
        <f t="shared" si="213"/>
        <v>1</v>
      </c>
      <c r="E51" s="267" t="b">
        <f>IF(Cotations!C51="","",Cotations!C51)</f>
        <v>1</v>
      </c>
      <c r="F51" s="267" t="str">
        <f>IF(Cotations!AT51="","",Cotations!AT51)</f>
        <v>PROP</v>
      </c>
      <c r="G51" s="267" t="str">
        <f>IF(Cotations!D51="","",Cotations!D51)</f>
        <v>2017-2017!</v>
      </c>
      <c r="H51" s="267" t="str">
        <f>IF(Cotations!E51="","",Cotations!E51)</f>
        <v>SINGLE</v>
      </c>
      <c r="I51" s="267" t="str">
        <f>IF(Cotations!F51="","",Cotations!F51)</f>
        <v>X-2</v>
      </c>
      <c r="J51" s="267" t="str">
        <f>IF(Cotations!G51="","",Cotations!G51)</f>
        <v/>
      </c>
      <c r="K51" s="267" t="str">
        <f>IF(Cotations!H51="","",Cotations!H51)</f>
        <v/>
      </c>
      <c r="L51" s="267">
        <f>IF(A51=FALSE,"",IF(Cotations!M51="","",Cotations!M51))</f>
        <v>5</v>
      </c>
      <c r="M51" s="267">
        <f>IF(Cotations!O51="","",Cotations!O51)</f>
        <v>150</v>
      </c>
      <c r="N51" s="588">
        <f>IF(NAMES!$B$10=TRUE,Cotations!I51,Cotations!K51)</f>
        <v>42781</v>
      </c>
      <c r="O51" s="588">
        <f>IF(NAMES!$B$10=TRUE,Cotations!J51,Cotations!L51)</f>
        <v>42930</v>
      </c>
      <c r="P51" s="780" t="str">
        <f t="shared" si="214"/>
        <v>février</v>
      </c>
      <c r="Q51" s="588">
        <f>IF(A51=FALSE,"",IF(Crewlist!Y51="","",Crewlist!Y51))</f>
        <v>42930</v>
      </c>
      <c r="R51" s="78" t="str">
        <f>IF(Cotations!T51="","",Cotations!T51)</f>
        <v>seasonal</v>
      </c>
      <c r="S51" s="780" t="str">
        <f t="shared" si="215"/>
        <v>VRAIX-2février42781</v>
      </c>
      <c r="T51" s="759">
        <f>IF(A51=FALSE,"",VLOOKUP($U$15:$U$120,Currency!$A$2:$D$10,4,0)*Crewlist!N51)</f>
        <v>2500</v>
      </c>
      <c r="U51" s="1097" t="str">
        <f>IF(A51=FALSE,"",IF(DP51=0,Crewlist!M51&amp;"/"&amp;CP51,Crewlist!M51&amp;"/"&amp;DP51))</f>
        <v>EUR/EUR</v>
      </c>
      <c r="V51" s="759">
        <f>IF(A51=FALSE,"",VLOOKUP($U$15:$U$120,Currency!$A$2:$D$10,4,0)*Detail!Q51)</f>
        <v>0</v>
      </c>
      <c r="W51" s="1097" t="str">
        <f>IF(A51=FALSE,"",IF(DP51=0,Detail!R51&amp;"/"&amp;CP51,Detail!R51&amp;"/"&amp;DP51))</f>
        <v>/EUR</v>
      </c>
      <c r="X51" s="759">
        <f>IF(A51=FALSE,"",IF(LISTES!$C$17="Crewlist",Calcul!T51,Calcul!V51))</f>
        <v>2500</v>
      </c>
      <c r="Y51" s="618">
        <f t="shared" si="216"/>
        <v>30000</v>
      </c>
      <c r="Z51" s="618">
        <f>IF(A51=FALSE,"",IF(X51=0,0,IF((Cotations!BA51*12*X51)&lt;50000,50000,(12*X51))))</f>
        <v>30000</v>
      </c>
      <c r="AA51" s="618">
        <f t="shared" si="217"/>
        <v>30000</v>
      </c>
      <c r="AB51" s="618">
        <f>IF(A51=FALSE,"",IF(Crewlist!O51=0,"",Crewlist!O51))</f>
        <v>2200</v>
      </c>
      <c r="AC51" s="618" t="e">
        <f>IF(I51="","",VLOOKUP($AB$15:$AB$120,Currency!$A$15:$B$34,2,0))</f>
        <v>#N/A</v>
      </c>
      <c r="AD51" s="618" t="e">
        <f t="shared" si="218"/>
        <v>#N/A</v>
      </c>
      <c r="AE51" s="618" t="e">
        <f t="shared" si="219"/>
        <v>#N/A</v>
      </c>
      <c r="AF51" s="618" t="e">
        <f t="shared" si="220"/>
        <v>#N/A</v>
      </c>
      <c r="AG51" s="618">
        <f t="shared" si="221"/>
        <v>12328.767123287671</v>
      </c>
      <c r="AH51" s="1097" t="str">
        <f t="shared" si="296"/>
        <v>EUR</v>
      </c>
      <c r="AI51" s="759">
        <f t="shared" si="222"/>
        <v>799.62161360415689</v>
      </c>
      <c r="AJ51" s="1120">
        <f t="shared" si="223"/>
        <v>277.74799999999999</v>
      </c>
      <c r="AK51" s="1120">
        <f t="shared" si="224"/>
        <v>516.87361360415684</v>
      </c>
      <c r="AL51" s="236">
        <f t="shared" si="225"/>
        <v>6.3229999999999995</v>
      </c>
      <c r="AM51" s="236">
        <f t="shared" si="226"/>
        <v>30.319177446313752</v>
      </c>
      <c r="AN51" s="1112">
        <f t="shared" si="227"/>
        <v>0</v>
      </c>
      <c r="AO51" s="236">
        <f t="shared" si="228"/>
        <v>36.642177446313752</v>
      </c>
      <c r="AP51" s="327" t="str">
        <f>IF(A51=FALSE,"",INDEX(Rates!$Q$1:$Q$278,MATCH(CA51,colchoice,0)))</f>
        <v>WCA</v>
      </c>
      <c r="AQ51" s="236">
        <f t="shared" si="229"/>
        <v>5</v>
      </c>
      <c r="AR51" s="236">
        <f t="shared" si="230"/>
        <v>757.97943615784311</v>
      </c>
      <c r="AS51" s="236">
        <f t="shared" si="297"/>
        <v>271.42500000000001</v>
      </c>
      <c r="AT51" s="236">
        <f t="shared" si="298"/>
        <v>516.87361360415684</v>
      </c>
      <c r="AU51" s="236">
        <f t="shared" si="231"/>
        <v>213.38942307692304</v>
      </c>
      <c r="AV51" s="236">
        <f t="shared" si="232"/>
        <v>47.596153846153847</v>
      </c>
      <c r="AW51" s="236">
        <f t="shared" si="233"/>
        <v>25.558809636277754</v>
      </c>
      <c r="AX51" s="236">
        <f t="shared" si="234"/>
        <v>63.922531884742568</v>
      </c>
      <c r="AY51" s="236">
        <f t="shared" si="235"/>
        <v>31.578649031648556</v>
      </c>
      <c r="AZ51" s="236">
        <f t="shared" si="236"/>
        <v>75.962210675484158</v>
      </c>
      <c r="BA51" s="236">
        <f t="shared" si="237"/>
        <v>100.04156825696741</v>
      </c>
      <c r="BB51" s="467">
        <f t="shared" si="238"/>
        <v>199.93008974964573</v>
      </c>
      <c r="BC51" s="329">
        <f t="shared" si="239"/>
        <v>271.42500000000001</v>
      </c>
      <c r="BD51" s="237">
        <f t="shared" si="240"/>
        <v>260.98557692307691</v>
      </c>
      <c r="BE51" s="237">
        <f>IF(A51=FALSE,"",IF(ED51&lt;&gt;$BC$7,0,INDEX(EA51:EZ51,1,MATCH(Structure!$J$16,$EA$14:$EZ$14,0))))</f>
        <v>213.38942307692304</v>
      </c>
      <c r="BF51" s="237">
        <f>IF(A51=FALSE,"",IF(FD51&lt;&gt;$BC$7,0,INDEX(FA51:FZ51,1,MATCH(Structure!$J$16,$FA$14:$FZ$14,0))))</f>
        <v>47.596153846153847</v>
      </c>
      <c r="BG51" s="237">
        <f>IF(A51=FALSE,"",IF(GD51&lt;&gt;$BC$7,0,INDEX(GA51:GZ51,1,MATCH(Structure!$J$16,$GA$14:$GZ$14,0))))</f>
        <v>0</v>
      </c>
      <c r="BH51" s="237">
        <f>IF(A51=FALSE,"",IF(HD51&lt;&gt;$BC$7,0,INDEX(HA51:HZ51,1,MATCH(Structure!$J$16,$HA$14:$HZ$14,0))))</f>
        <v>0</v>
      </c>
      <c r="BI51" s="621">
        <f>IF(A51=FALSE,"",IF(ID51&lt;&gt;$BC$7,0,INDEX(IA51:IZ51,1,MATCH(Structure!$C$12,$IA$14:$IZ$14,0)))+OL51)</f>
        <v>0</v>
      </c>
      <c r="BJ51" s="237">
        <f>IF(A51=FALSE,"",IF(JD51&lt;&gt;$BC$7,0,INDEX(JA51:JZ51,1,MATCH(Structure!$C$12,$JA$14:$JZ$14,0))))</f>
        <v>0</v>
      </c>
      <c r="BK51" s="621">
        <f>IF(A51=FALSE,"",IF(KD51&lt;&gt;$BC$7,0,INDEX(KA51:KZ51,1,MATCH(Structure!$C$12,$KA$14:$KZ$14,0)))+PL51)</f>
        <v>0</v>
      </c>
      <c r="BL51" s="237">
        <f>IF(A51=FALSE,"",IF(LD51&lt;&gt;$BC$7,0,INDEX(LA51:LZ51,1,MATCH(Structure!$C$12,$LA$14:$LZ$14,0))))</f>
        <v>0</v>
      </c>
      <c r="BM51" s="237">
        <f>IF(A51=FALSE,"",IF(MD51&lt;&gt;$BC$7,0,INDEX(MA51:MZ51,1,MATCH(Structure!$C$12,$MA$14:$MZ$14,0))))</f>
        <v>0</v>
      </c>
      <c r="BN51" s="326">
        <f>IF(A51=FALSE,"",IF(ND51&lt;&gt;$BC$7,0,INDEX(NA51:OC51,1,MATCH(Structure!$C$12,$NA$14:$OC$14,0))))</f>
        <v>0</v>
      </c>
      <c r="BO51" s="435">
        <f t="shared" si="241"/>
        <v>516.87361360415684</v>
      </c>
      <c r="BP51" s="237">
        <f t="shared" si="242"/>
        <v>496.99385923476621</v>
      </c>
      <c r="BQ51" s="237">
        <f>IF(A51=FALSE,"",IF(ED51&lt;&gt;$BO$7,0,INDEX(EA51:EZ51,1,MATCH(Structure!$C$12,$EA$14:$EZ$14,0))))</f>
        <v>0</v>
      </c>
      <c r="BR51" s="237">
        <f>IF(A51=FALSE,"",IF(FD51&lt;&gt;$BO$7,0,INDEX(FA51:FZ51,1,MATCH(Structure!$C$12,$FA$14:$FZ$14,0))))</f>
        <v>0</v>
      </c>
      <c r="BS51" s="237">
        <f>IF(A51=FALSE,"",IF(ID51&lt;&gt;$BO$7,0,INDEX(IA51:IZ51,1,MATCH(Structure!$C$13,$IA$14:$IZ$14,0))))</f>
        <v>25.558809636277754</v>
      </c>
      <c r="BT51" s="237">
        <f>IF(A51=FALSE,"",IF(JD51&lt;&gt;$BO$7,0,INDEX(JA51:JZ51,1,MATCH(Structure!$C$13,$JA$14:$JZ$14,0))))</f>
        <v>63.922531884742568</v>
      </c>
      <c r="BU51" s="237">
        <f>IF(A51=FALSE,"",IF(KD51&lt;&gt;$BO$7,0,INDEX(KA51:KZ51,1,MATCH(Structure!$C$13,$KA$14:$KZ$14,0))))</f>
        <v>31.578649031648556</v>
      </c>
      <c r="BV51" s="237">
        <f>IF(A51=FALSE,"",IF(LD51&lt;&gt;$BO$7,0,INDEX(LA51:LZ51,1,MATCH(Structure!$C$13,$LA$14:$LZ$14,0))))</f>
        <v>75.962210675484158</v>
      </c>
      <c r="BW51" s="237">
        <f>IF(A51=FALSE,"",IF(MD51&lt;&gt;$BO$7,0,INDEX(MA51:MZ51,1,MATCH(Structure!$C$13,$MA$14:$MZ$14,0))))</f>
        <v>100.04156825696741</v>
      </c>
      <c r="BX51" s="326">
        <f>IF(A51=FALSE,"",IF(ND51&lt;&gt;$BO$7,0,INDEX(NA51:OC51,1,MATCH(Structure!$C$13,$NA$14:$OC$14,0))))</f>
        <v>199.93008974964573</v>
      </c>
      <c r="BY51" s="412"/>
      <c r="BZ51" s="412"/>
      <c r="CA51" s="1255" t="str">
        <f>IF(A51=FALSE,"",IF(LISTES!$A$17=1,Cotations!AG51,Cotations!AH51))</f>
        <v>2017EURAIG Luxembourg-StandardMLC S</v>
      </c>
      <c r="CB51" s="1266">
        <f t="shared" si="243"/>
        <v>260.98557692307691</v>
      </c>
      <c r="CC51" s="1120">
        <f t="shared" si="244"/>
        <v>213.38942307692304</v>
      </c>
      <c r="CD51" s="1120">
        <f t="shared" si="245"/>
        <v>47.596153846153847</v>
      </c>
      <c r="CE51" s="1120">
        <f t="shared" si="246"/>
        <v>0</v>
      </c>
      <c r="CF51" s="1120">
        <f t="shared" si="247"/>
        <v>0</v>
      </c>
      <c r="CG51" s="1267"/>
      <c r="CH51" s="1267"/>
      <c r="CI51" s="1268">
        <f t="shared" si="248"/>
        <v>271.42499999999995</v>
      </c>
      <c r="CJ51" s="286">
        <f t="shared" si="249"/>
        <v>221.92499999999995</v>
      </c>
      <c r="CK51" s="286">
        <f t="shared" si="250"/>
        <v>49.5</v>
      </c>
      <c r="CL51" s="1263"/>
      <c r="CM51" s="1263"/>
      <c r="CN51" s="1263"/>
      <c r="CO51" s="1263"/>
      <c r="CP51" s="319" t="str">
        <f t="shared" si="251"/>
        <v>EUR</v>
      </c>
      <c r="CQ51" s="443" t="str">
        <f>IF(A51=FALSE,"",Cotations!AM51)</f>
        <v>fix Fees pro rata month</v>
      </c>
      <c r="CR51" s="443">
        <f>IF(A51=FALSE,"",IF(Cotations!AN51="","",Cotations!AN51))</f>
        <v>15.1752</v>
      </c>
      <c r="CS51" s="433">
        <f>IF(A51=FALSE,"",Cotations!AO51)</f>
        <v>0</v>
      </c>
      <c r="CT51" s="443">
        <f>IF(A51=FALSE,"",IF(CQ51="N/A",0,IF(INDEX(LISTES!$F$105:$F$109,MATCH(CQ51,LISTES!$C$105:$C$109,0))="FIX",IF(INDEX(LISTES!$E$105:$E$109,MATCH(CQ51,LISTES!$C$105:$C$109,0))=12,CR51/12*L51,CR51/365*M51),CS51*EQ51)))</f>
        <v>6.3229999999999995</v>
      </c>
      <c r="CU51" s="434">
        <f>IF(A51=FALSE,"",(CJ51+CK51)*Cotations!AP51)</f>
        <v>271.42499999999995</v>
      </c>
      <c r="CV51" s="434">
        <f>IF(A51=FALSE,"",(CJ51+CK51)*Cotations!AQ51)</f>
        <v>0</v>
      </c>
      <c r="DA51" s="1253" t="str">
        <f>IF(A51=FALSE,"",IF(LISTES!$A$17=1,Cotations!AV51,Cotations!AW51))</f>
        <v>2017EURAnker Verzekeringen n.v.-Formula 3 (7/365)</v>
      </c>
      <c r="DB51" s="1271">
        <f t="shared" si="252"/>
        <v>496.99385923476621</v>
      </c>
      <c r="DC51" s="1270">
        <f t="shared" si="253"/>
        <v>25.558809636277754</v>
      </c>
      <c r="DD51" s="1270">
        <f t="shared" si="254"/>
        <v>63.922531884742568</v>
      </c>
      <c r="DE51" s="1270">
        <f t="shared" si="255"/>
        <v>31.578649031648556</v>
      </c>
      <c r="DF51" s="1270">
        <f t="shared" si="256"/>
        <v>75.962210675484158</v>
      </c>
      <c r="DG51" s="1270">
        <f t="shared" si="257"/>
        <v>100.04156825696741</v>
      </c>
      <c r="DH51" s="1270">
        <f t="shared" si="258"/>
        <v>199.93008974964573</v>
      </c>
      <c r="DI51" s="1271">
        <f t="shared" si="259"/>
        <v>516.87361360415684</v>
      </c>
      <c r="DJ51" s="286">
        <f t="shared" si="260"/>
        <v>26.581162021728865</v>
      </c>
      <c r="DK51" s="286">
        <f t="shared" si="261"/>
        <v>66.479433160132274</v>
      </c>
      <c r="DL51" s="1264">
        <f t="shared" si="262"/>
        <v>32.841794992914501</v>
      </c>
      <c r="DM51" s="1264">
        <f t="shared" si="263"/>
        <v>79.000699102503532</v>
      </c>
      <c r="DN51" s="1264">
        <f t="shared" si="264"/>
        <v>104.0432309872461</v>
      </c>
      <c r="DO51" s="1264">
        <f t="shared" si="265"/>
        <v>207.92729333963158</v>
      </c>
      <c r="DP51" s="323" t="str">
        <f t="shared" si="299"/>
        <v>EUR</v>
      </c>
      <c r="DQ51" s="444" t="str">
        <f>IF(A51=FALSE,"",Cotations!BW51)</f>
        <v>N/A</v>
      </c>
      <c r="DR51" s="444">
        <f>IF(A51=FALSE,"",Cotations!BX51)</f>
        <v>0</v>
      </c>
      <c r="DS51" s="433">
        <f>IF(A51=FALSE,"",Cotations!BY51)</f>
        <v>0</v>
      </c>
      <c r="DT51" s="830">
        <f>IF(A51=FALSE,"",IF(DQ51="N/A",0,IF(INDEX(LISTES!$F$105:$F$109,MATCH(DQ51,LISTES!$C$105:$C$109,0))="FIX",IF(INDEX(LISTES!$E$105:$E$109,MATCH(DQ51,LISTES!$C$105:$C$109,0))=12,DR51/12*L51,DR51/365*M51),DS51*(DN51+DO51))))</f>
        <v>0</v>
      </c>
      <c r="DU51" s="434">
        <f>IF(A51=FALSE,"",DJ51*Cotations!BZ51)</f>
        <v>26.581162021728865</v>
      </c>
      <c r="DV51" s="434">
        <f>IF(A51=FALSE,"",DJ51*Cotations!CA51)</f>
        <v>0</v>
      </c>
      <c r="EA51" s="432" t="str">
        <f>IF(A51=FALSE,"",Cotations!AT51)</f>
        <v>PROP</v>
      </c>
      <c r="EB51" s="1234" t="str">
        <f>IF(A51=FALSE,"",YEAR(Detail!F51)&amp;Detail!AG51&amp;Detail!AD51&amp;"-"&amp;Detail!$AD$13&amp;Detail!AE51)</f>
        <v>1900-Healthcare Plan</v>
      </c>
      <c r="EC51" s="434" t="str">
        <f>IF(A51=FALSE,"",IF(LISTES!$A$17=1,EB51,INDEX(colMOD1,MATCH(Cotations!AH51,colchoice,0))))</f>
        <v>2017EURAIG Luxembourg-Healthcare PlanStandardMLC S</v>
      </c>
      <c r="ED51" s="277" t="str">
        <f t="shared" si="300"/>
        <v>AIG Luxembourg</v>
      </c>
      <c r="EE51" s="277" t="str">
        <f t="shared" si="301"/>
        <v>StandardMLC S</v>
      </c>
      <c r="EF51" s="277"/>
      <c r="EG51" s="277"/>
      <c r="EH51" s="277">
        <f t="shared" si="302"/>
        <v>569.03846153846143</v>
      </c>
      <c r="EI51" s="1104">
        <f t="shared" si="303"/>
        <v>0</v>
      </c>
      <c r="EJ51" s="1104">
        <f t="shared" si="304"/>
        <v>569.03846153846143</v>
      </c>
      <c r="EK51" s="443">
        <f>IF(A51=FALSE,"",IF(Cotations!AF51="monthly",EH51/12*L51,EH51/365*M51))</f>
        <v>237.09935897435895</v>
      </c>
      <c r="EL51" s="1103">
        <f>IF(A51=FALSE,"",IF(Cotations!AF51="monthly",EJ51/12*L51,EJ51/365*M51))</f>
        <v>237.09935897435895</v>
      </c>
      <c r="EM51" s="433">
        <f>IF(A51=FALSE,"",IF(Cotations!AI51="","",Cotations!AI51))</f>
        <v>0.1</v>
      </c>
      <c r="EN51" s="277">
        <f t="shared" si="305"/>
        <v>23.709935897435898</v>
      </c>
      <c r="EO51" s="277">
        <f t="shared" si="306"/>
        <v>213.38942307692304</v>
      </c>
      <c r="EP51" s="1104">
        <f t="shared" si="307"/>
        <v>0</v>
      </c>
      <c r="EQ51" s="277">
        <f t="shared" si="308"/>
        <v>221.92499999999995</v>
      </c>
      <c r="ER51" s="759">
        <f>IF(A51=FALSE,"",((EH51*TAXE)-(EH51*TAXE*EM51)+EI51)+IF(CQ51="N/A",0,IF(INDEX(LISTES!$F$105:$F$109,MATCH(CQ51,LISTES!$C$105:$C$109,0))="FIX",CR51,CS51*EQ51)))</f>
        <v>547.79520000000002</v>
      </c>
      <c r="ET51" s="422"/>
      <c r="EU51" s="422"/>
      <c r="EV51" s="422"/>
      <c r="EW51" s="422"/>
      <c r="EX51" s="422"/>
      <c r="EY51" s="422"/>
      <c r="EZ51" s="422"/>
      <c r="FA51" s="432" t="str">
        <f>IF(A51=FALSE,"",Cotations!AT51)</f>
        <v>PROP</v>
      </c>
      <c r="FB51" s="1235" t="str">
        <f>IF(A51=FALSE,"",IF(Detail!AL51="","N/A",YEAR(Detail!F51)&amp;Detail!AO51&amp;Detail!AL51&amp;"-"&amp;Detail!$AL$13&amp;Detail!AM51))</f>
        <v>N/A</v>
      </c>
      <c r="FC51" s="434" t="str">
        <f>IF(A51=FALSE,"",IF(LISTES!$A$17=1,FB51,INDEX(colMOD2,MATCH(Cotations!AH51,colchoice,0))))</f>
        <v>2017EURAIG Luxembourg-Assistance and RepatriationStandardMLC S</v>
      </c>
      <c r="FD51" s="277" t="str">
        <f t="shared" si="309"/>
        <v>AIG Luxembourg</v>
      </c>
      <c r="FE51" s="443" t="str">
        <f>IF(A51=FALSE,"",IF(Detail!AM51="","",Detail!AM51))</f>
        <v/>
      </c>
      <c r="FF51" s="277"/>
      <c r="FG51" s="277"/>
      <c r="FH51" s="277">
        <f t="shared" si="310"/>
        <v>126.92307692307692</v>
      </c>
      <c r="FI51" s="1104"/>
      <c r="FJ51" s="1104"/>
      <c r="FK51" s="443">
        <f>IF(A51=FALSE,"",IF(Cotations!AF51="monthly",FH51/12*L51,FH51/365*M51))</f>
        <v>52.884615384615387</v>
      </c>
      <c r="FL51" s="1103">
        <f>IF(A51=FALSE,"",IF(Cotations!AF51="monthly",FJ51/12*L51,FJ51/365*M51))</f>
        <v>0</v>
      </c>
      <c r="FM51" s="433">
        <f>IF(A51=FALSE,"",IF(Cotations!AJ51="","",Cotations!AJ51))</f>
        <v>0.1</v>
      </c>
      <c r="FN51" s="277">
        <f t="shared" si="268"/>
        <v>5.2884615384615392</v>
      </c>
      <c r="FO51" s="277">
        <f t="shared" si="269"/>
        <v>47.596153846153847</v>
      </c>
      <c r="FP51" s="1104"/>
      <c r="FQ51" s="277">
        <f t="shared" si="270"/>
        <v>49.5</v>
      </c>
      <c r="FR51" s="759" t="e">
        <f>IF(A51=FALSE,"",((FH51*TAXE)-(FH51*TAXE*FM51))+IF(#REF!="N/A",0,IF(INDEX(LISTES!$F$105:$F$109,MATCH(#REF!,LISTES!$C$105:$C$109,0))="FIX",#REF!,#REF!*FQ51)))</f>
        <v>#REF!</v>
      </c>
      <c r="FS51" s="422"/>
      <c r="FT51" s="422"/>
      <c r="FU51" s="422"/>
      <c r="FV51" s="422"/>
      <c r="FW51" s="422"/>
      <c r="FX51" s="422"/>
      <c r="FY51" s="422"/>
      <c r="FZ51" s="422"/>
      <c r="GA51" s="432" t="str">
        <f t="shared" si="311"/>
        <v>PROP</v>
      </c>
      <c r="GB51" s="1234" t="str">
        <f>IF(A51=FALSE,"",IF(Detail!DF51="","N/A",YEAR(Detail!F51)&amp;Detail!DI51&amp;Detail!DF51&amp;"-"&amp;Detail!$DF$13))</f>
        <v>N/A</v>
      </c>
      <c r="GC51" s="434" t="str">
        <f>IF(A51=FALSE,"",IF(LISTES!$A$17=1,GB51,INDEX(colMOD3,MATCH(Cotations!AH51,colchoice,0))))</f>
        <v>N/A</v>
      </c>
      <c r="GD51" s="277" t="str">
        <f t="shared" si="312"/>
        <v>N/A</v>
      </c>
      <c r="GE51" s="277">
        <f t="shared" si="313"/>
        <v>0</v>
      </c>
      <c r="GF51" s="277"/>
      <c r="GG51" s="277"/>
      <c r="GH51" s="277">
        <f t="shared" si="271"/>
        <v>0</v>
      </c>
      <c r="GI51" s="1104">
        <f t="shared" si="272"/>
        <v>0</v>
      </c>
      <c r="GJ51" s="1104">
        <f t="shared" si="273"/>
        <v>0</v>
      </c>
      <c r="GK51" s="443">
        <f>IF(A51=FALSE,"",IF(Cotations!AF51="monthly",GH51/12*L51,GH51/365*M51))</f>
        <v>0</v>
      </c>
      <c r="GL51" s="1103">
        <f>IF(A51=FALSE,"",IF(Cotations!AF51="monthly",GJ51/12*L51,GJ51/365*M51))</f>
        <v>0</v>
      </c>
      <c r="GM51" s="433">
        <f>IF(A51=FALSE,"",IF(Cotations!AK51="","",Cotations!AK51))</f>
        <v>0</v>
      </c>
      <c r="GN51" s="277">
        <f t="shared" si="274"/>
        <v>0</v>
      </c>
      <c r="GO51" s="277">
        <f t="shared" si="275"/>
        <v>0</v>
      </c>
      <c r="GP51" s="1104">
        <f t="shared" si="276"/>
        <v>0</v>
      </c>
      <c r="GQ51" s="277">
        <f t="shared" si="277"/>
        <v>0</v>
      </c>
      <c r="GR51" s="759">
        <f>IF(A51=FALSE,"",((GH51*TAXE)-(GH51*TAXE*GM51)+GI51)+IF(CQ51="N/A",0,IF(INDEX(LISTES!$F$105:$F$109,MATCH(CQ51,LISTES!$C$105:$C$109,0))="FIX",CR51,CS51*GQ51)))</f>
        <v>15.1752</v>
      </c>
      <c r="GS51" s="412"/>
      <c r="GT51" s="412"/>
      <c r="GU51" s="412"/>
      <c r="GV51" s="412"/>
      <c r="GW51" s="412"/>
      <c r="GX51" s="412"/>
      <c r="GY51" s="412"/>
      <c r="GZ51" s="412"/>
      <c r="HA51" s="432" t="str">
        <f t="shared" si="314"/>
        <v>PROP</v>
      </c>
      <c r="HB51" s="1234" t="str">
        <f>IF(A51=FALSE,"",IF(Detail!DF51="","N/A",YEAR(Detail!F51)&amp;Detail!DI51&amp;Detail!DF51&amp;"-"&amp;Detail!$DF$13))</f>
        <v>N/A</v>
      </c>
      <c r="HC51" s="434" t="str">
        <f>IF(A51=FALSE,"",IF(LISTES!$A$17=1,HB51,INDEX(colMOD4,MATCH(Cotations!AH51,colchoice,0))))</f>
        <v>N/A</v>
      </c>
      <c r="HD51" s="277" t="str">
        <f t="shared" si="278"/>
        <v>N/A</v>
      </c>
      <c r="HE51" s="277">
        <f t="shared" si="279"/>
        <v>0</v>
      </c>
      <c r="HF51" s="277"/>
      <c r="HG51" s="277"/>
      <c r="HH51" s="277">
        <f t="shared" si="280"/>
        <v>0</v>
      </c>
      <c r="HI51" s="1104">
        <f t="shared" si="281"/>
        <v>0</v>
      </c>
      <c r="HJ51" s="1104">
        <f t="shared" si="282"/>
        <v>0</v>
      </c>
      <c r="HK51" s="443">
        <f>IF(A51=FALSE,"",IF(Cotations!AF51="monthly",HH51/12*L51,HH51/365*M51))</f>
        <v>0</v>
      </c>
      <c r="HL51" s="1103">
        <f>IF(A51=FALSE,"",IF(Cotations!AF51="monthly",HJ51/12*L51,HJ51/365*M51))</f>
        <v>0</v>
      </c>
      <c r="HM51" s="433">
        <f>IF(A51=FALSE,"",IF(Cotations!AL51="","",Cotations!AL51))</f>
        <v>0</v>
      </c>
      <c r="HN51" s="277">
        <f t="shared" si="283"/>
        <v>0</v>
      </c>
      <c r="HO51" s="277">
        <f t="shared" si="284"/>
        <v>0</v>
      </c>
      <c r="HP51" s="1104">
        <f t="shared" si="285"/>
        <v>0</v>
      </c>
      <c r="HQ51" s="277">
        <f t="shared" si="286"/>
        <v>0</v>
      </c>
      <c r="HR51" s="759">
        <f>IF(A51=FALSE,"",((HH51*TAXE)-(HH51*TAXE*HM51)+HI51)+IF(CQ51="N/A",0,IF(INDEX(LISTES!$F$105:$F$109,MATCH(CQ51,LISTES!$C$105:$C$109,0))="FIX",CR51,CS51*HQ51)))</f>
        <v>15.1752</v>
      </c>
      <c r="HS51" s="412"/>
      <c r="HT51" s="412"/>
      <c r="HU51" s="412"/>
      <c r="HV51" s="412"/>
      <c r="HW51" s="412"/>
      <c r="HX51" s="412"/>
      <c r="HY51" s="412"/>
      <c r="HZ51" s="1262"/>
      <c r="IA51" s="432" t="str">
        <f>IF(A51=FALSE,"",Cotations!AT51)</f>
        <v>PROP</v>
      </c>
      <c r="IB51" s="1253" t="str">
        <f>IF(A51=FALSE,"",IF(Detail!AT51="","N/A",YEAR(Detail!F51)&amp;Detail!AW51&amp;Detail!AT51&amp;"-"&amp;Detail!$AT$13&amp;Detail!AU51))</f>
        <v>N/A</v>
      </c>
      <c r="IC51" s="431" t="str">
        <f>IF(A51=FALSE,"",IF(LISTES!$A$17=1,IB51,INDEX(colMOD1,MATCH(DA51,colchoice,0))))</f>
        <v>2017EURAnker Verzekeringen n.v.-Death AccidentFormula 3</v>
      </c>
      <c r="ID51" s="759" t="str">
        <f t="shared" ref="ID51:ID114" si="358">IF(A51=FALSE,"",INDEX(colAssureur,MATCH(IC51,colMOD1,0)))</f>
        <v>Anker Verzekeringen n.v.</v>
      </c>
      <c r="IE51" s="292" t="str">
        <f>IF(A51=FALSE,"",IF(LISTES!$A$17=1,Detail!AU51,INDEX(Rates!$M$1:$M$270,MATCH(IC51,colMOD1,0))))</f>
        <v>Formula 3</v>
      </c>
      <c r="IF51" s="409">
        <f t="shared" ref="IF51:IF114" si="359">IF(A51=FALSE,"",IF(IA51="POEA",$IA$2,INDEX(colMOD1HT,MATCH(IC51,colMOD1,0))))</f>
        <v>6.9103448275862072E-4</v>
      </c>
      <c r="IG51" s="430">
        <f>IF(A51=FALSE,"",IF(IA51="POEA",Cotations!AY51,IF(IA51="FIXE",Cotations!AZ51,IF(Cotations!BA51*Y51&lt;50000,Z51,Cotations!BA51*Y51))))</f>
        <v>90000</v>
      </c>
      <c r="IH51" s="292">
        <f t="shared" ref="IH51:IH114" si="360">IF(A51=FALSE,"",IF(IC51="N/A",0,IG51*IF51))</f>
        <v>62.193103448275863</v>
      </c>
      <c r="II51" s="446">
        <f>IF(A51=FALSE,"",IF(Cotations!AU51="monthly",IH51/12*L51,IH51/365*M51))</f>
        <v>25.558809636277754</v>
      </c>
      <c r="IJ51" s="429">
        <f>IF(A51=FALSE,"",IF(Cotations!BB51="","",Cotations!BB51))</f>
        <v>0</v>
      </c>
      <c r="IK51" s="292">
        <f t="shared" ref="IK51:IK114" si="361">IF(A51=FALSE,"",II51*IJ51)</f>
        <v>0</v>
      </c>
      <c r="IL51" s="292">
        <f t="shared" ref="IL51:IL114" si="362">IF(A51=FALSE,"",II51-IK51)</f>
        <v>25.558809636277754</v>
      </c>
      <c r="IM51" s="759">
        <f t="shared" ref="IM51:IM114" si="363">IF(A51=FALSE,"",IL51*TAXE)</f>
        <v>26.581162021728865</v>
      </c>
      <c r="IN51" s="759">
        <f>IF(A51=FALSE,"",((IH51*TAXE)-(IH51*TAXE*IJ51))+IF(DQ51="N/A",0,IF(INDEX(LISTES!$F$105:$F$109,MATCH(DQ51,LISTES!$C$105:$C$109,0))="FIX",DR51,DS51*IM51)))</f>
        <v>64.680827586206902</v>
      </c>
      <c r="JA51" s="432" t="str">
        <f>IF(A51=FALSE,"",Cotations!AT51)</f>
        <v>PROP</v>
      </c>
      <c r="JB51" s="1234" t="str">
        <f>IF(A51=FALSE,"",IF(Detail!BB51="","N/A",YEAR(Detail!F51)&amp;Detail!BE51&amp;Detail!BB51&amp;"-"&amp;Detail!$BB$13&amp;Detail!BC51))</f>
        <v>N/A</v>
      </c>
      <c r="JC51" s="431" t="str">
        <f>IF(A51=FALSE,"",IF(LISTES!$A$17=1,JB51,INDEX(colMOD2,MATCH(DA51,colchoice,0))))</f>
        <v>2017EURAnker Verzekeringen n.v.-Death illnessFormula 3</v>
      </c>
      <c r="JD51" s="759" t="str">
        <f t="shared" si="321"/>
        <v>Anker Verzekeringen n.v.</v>
      </c>
      <c r="JE51" s="292"/>
      <c r="JF51" s="409">
        <f t="shared" si="322"/>
        <v>1.7282758620689655E-3</v>
      </c>
      <c r="JG51" s="430">
        <f>IF(A51=FALSE,"",IF(JA51="POEA",Cotations!BC51,IF(JA51="FIXE",Cotations!BD51,IF(Cotations!BE51*Y51&lt;50000,Z51,Cotations!BE51*Y51))))</f>
        <v>90000</v>
      </c>
      <c r="JH51" s="292">
        <f t="shared" si="323"/>
        <v>155.54482758620691</v>
      </c>
      <c r="JI51" s="446">
        <f>IF(A51=FALSE,"",IF(Cotations!AU51="monthly",JH51/12*L51,JH51/365*M51))</f>
        <v>63.922531884742568</v>
      </c>
      <c r="JJ51" s="429">
        <f>IF(A51=FALSE,"",IF(Cotations!BF51="","",Cotations!BF51))</f>
        <v>0</v>
      </c>
      <c r="JK51" s="292">
        <f t="shared" si="324"/>
        <v>0</v>
      </c>
      <c r="JL51" s="292">
        <f t="shared" si="325"/>
        <v>63.922531884742568</v>
      </c>
      <c r="JM51" s="759">
        <f t="shared" si="326"/>
        <v>66.479433160132274</v>
      </c>
      <c r="JN51" s="759" t="e">
        <f>IF(A51=FALSE,"",((JH51*TAXE)-(JH51*TAXE*JJ51))+IF(#REF!="N/A",0,IF(INDEX(LISTES!$F$105:$F$109,MATCH(#REF!,LISTES!$C$105:$C$109,0))="FIX",#REF!,#REF!*JM51)))</f>
        <v>#REF!</v>
      </c>
      <c r="KA51" s="432" t="str">
        <f>IF(A51=FALSE,"",Cotations!AT51)</f>
        <v>PROP</v>
      </c>
      <c r="KB51" s="1234" t="str">
        <f>IF(A51=FALSE,"",IF(Detail!BJ51="","N/A",YEAR(Detail!F51)&amp;Detail!BM51&amp;Detail!BJ51&amp;"-"&amp;Detail!$BJ$13&amp;Detail!BK51))</f>
        <v>N/A</v>
      </c>
      <c r="KC51" s="431" t="str">
        <f>IF(A51=FALSE,"",IF(LISTES!$A$17=1,KB51,INDEX(colMOD3,MATCH(DA51,colchoice,0))))</f>
        <v>2017EURAnker Verzekeringen n.v.-Permanent Disability AccidentFormula 3</v>
      </c>
      <c r="KD51" s="759" t="str">
        <f t="shared" si="327"/>
        <v>Anker Verzekeringen n.v.</v>
      </c>
      <c r="KE51" s="292"/>
      <c r="KF51" s="409">
        <f t="shared" si="328"/>
        <v>6.9103448275862072E-4</v>
      </c>
      <c r="KG51" s="430">
        <f>IF(A51=FALSE,"",IF(KA51="POEA",Cotations!BG51,IF(KA51="FIXE",Cotations!BH51,IF(Cotations!BI51*Y51&lt;50000,Z51,Cotations!BI51*Y51))))</f>
        <v>90000</v>
      </c>
      <c r="KH51" s="292">
        <f t="shared" si="329"/>
        <v>76.84137931034482</v>
      </c>
      <c r="KI51" s="446">
        <f>IF(A51=FALSE,"",IF(Cotations!AU51="monthly",KH51/12*L51,KH51/365*M51))</f>
        <v>31.578649031648556</v>
      </c>
      <c r="KJ51" s="429">
        <f>IF(A51=FALSE,"",IF(Cotations!BJ51="","",Cotations!BJ51))</f>
        <v>0</v>
      </c>
      <c r="KK51" s="292">
        <f t="shared" si="330"/>
        <v>0</v>
      </c>
      <c r="KL51" s="292">
        <f t="shared" si="331"/>
        <v>31.578649031648556</v>
      </c>
      <c r="KM51" s="759">
        <f t="shared" si="332"/>
        <v>32.841794992914501</v>
      </c>
      <c r="KN51" s="759" t="e">
        <f>IF(A51=FALSE,"",((KH51*TAXE)-(KH51*TAXE*KJ51))+IF(#REF!="N/A",0,IF(INDEX(LISTES!$F$105:$F$109,MATCH(#REF!,LISTES!$C$105:$C$109,0))="FIX",#REF!,#REF!*KM51)))</f>
        <v>#REF!</v>
      </c>
      <c r="LA51" s="432" t="str">
        <f>IF(A51=FALSE,"",Cotations!AT51)</f>
        <v>PROP</v>
      </c>
      <c r="LB51" s="1234" t="str">
        <f>IF(A51=FALSE,"",IF(Detail!BR51="","N/A",YEAR(Detail!F51)&amp;Detail!BU51&amp;Detail!BR51&amp;"-"&amp;Detail!$BR$13&amp;Detail!BS51))</f>
        <v>N/A</v>
      </c>
      <c r="LC51" s="431" t="str">
        <f>IF(A51=FALSE,"",IF(LISTES!$A$17=1,LB51,INDEX(colMOD4,MATCH(DA51,colchoice,0))))</f>
        <v>2017EURAnker Verzekeringen n.v.-Permanent Disability illnessFormula 3</v>
      </c>
      <c r="LD51" s="759" t="str">
        <f t="shared" si="333"/>
        <v>Anker Verzekeringen n.v.</v>
      </c>
      <c r="LE51" s="292"/>
      <c r="LF51" s="409">
        <f t="shared" si="334"/>
        <v>2.0537931034482759E-3</v>
      </c>
      <c r="LG51" s="430">
        <f>IF(A51=FALSE,"",IF(LA51="POEA",Cotations!BK51,IF(LA51="FIXE",Cotations!BL51,IF(Cotations!BM51*Y51&lt;50000,Z51,Cotations!BM51*Y51))))</f>
        <v>90000</v>
      </c>
      <c r="LH51" s="292">
        <f t="shared" si="335"/>
        <v>184.84137931034482</v>
      </c>
      <c r="LI51" s="446">
        <f>IF(A51=FALSE,"",IF(Cotations!AU51="monthly",LH51/12*L51,LH51/365*M51))</f>
        <v>75.962210675484158</v>
      </c>
      <c r="LJ51" s="429">
        <f>IF(A51=FALSE,"",IF(Cotations!BN51="","",Cotations!BN51))</f>
        <v>0</v>
      </c>
      <c r="LK51" s="292">
        <f t="shared" si="336"/>
        <v>0</v>
      </c>
      <c r="LL51" s="292">
        <f t="shared" si="337"/>
        <v>75.962210675484158</v>
      </c>
      <c r="LM51" s="759">
        <f t="shared" si="338"/>
        <v>79.000699102503532</v>
      </c>
      <c r="LN51" s="759" t="e">
        <f>IF(A51=FALSE,"",((LH51*TAXE)-(LH51*TAXE*LJ51))+IF(#REF!="N/A",0,IF(INDEX(LISTES!$F$105:$F$109,MATCH(#REF!,LISTES!$C$105:$C$109,0))="FIX",#REF!,#REF!*LM51)))</f>
        <v>#REF!</v>
      </c>
      <c r="MA51" s="432" t="str">
        <f t="shared" si="339"/>
        <v>PROP</v>
      </c>
      <c r="MB51" s="1234" t="str">
        <f>IF(A51=FALSE,"",IF(Detail!BZ51="","N/A",YEAR(Detail!F51)&amp;Detail!CC51&amp;Detail!BZ51&amp;"-"&amp;Detail!$BZ$13&amp;" (100%/"&amp;Detail!CD51&amp;"/"&amp;Detail!CE51&amp;")"))</f>
        <v>N/A</v>
      </c>
      <c r="MC51" s="431" t="str">
        <f>IF(A51=FALSE,"",IF(LISTES!$A$17=1,MB51,INDEX(colMOD5,MATCH(DA51,colchoice,0))))</f>
        <v>2017EURAnker Verzekeringen n.v.-Temporary Disability Accident (100%/7/365)</v>
      </c>
      <c r="MD51" s="759" t="str">
        <f t="shared" si="340"/>
        <v>Anker Verzekeringen n.v.</v>
      </c>
      <c r="ME51" s="292"/>
      <c r="MF51" s="409">
        <f t="shared" si="341"/>
        <v>8.1144827586206898E-3</v>
      </c>
      <c r="MG51" s="430">
        <f>IF(A51=FALSE,"",Cotations!BQ51*AA51)</f>
        <v>30000</v>
      </c>
      <c r="MH51" s="292">
        <f t="shared" si="342"/>
        <v>243.4344827586207</v>
      </c>
      <c r="MI51" s="446">
        <f>IF(A51=FALSE,"",IF(Cotations!AU51="monthly",MH51/12*L51,MH51/365*M51))</f>
        <v>100.04156825696741</v>
      </c>
      <c r="MJ51" s="429">
        <f>IF(A51=FALSE,"",IF(Cotations!BR51="","",Cotations!BR51))</f>
        <v>0</v>
      </c>
      <c r="MK51" s="292">
        <f t="shared" si="343"/>
        <v>0</v>
      </c>
      <c r="ML51" s="292">
        <f t="shared" si="344"/>
        <v>100.04156825696741</v>
      </c>
      <c r="MM51" s="759">
        <f t="shared" si="345"/>
        <v>104.0432309872461</v>
      </c>
      <c r="MN51" s="759" t="e">
        <f>IF(A51=FALSE,"",((MH51*TAXE)-(MH51*TAXE*MJ51))+IF(#REF!="N/A",0,IF(INDEX(LISTES!$F$105:$F$109,MATCH(#REF!,LISTES!$C$105:$C$109,0))="FIX",#REF!,#REF!*MM51)))</f>
        <v>#REF!</v>
      </c>
      <c r="NA51" s="432" t="str">
        <f t="shared" si="346"/>
        <v>PROP</v>
      </c>
      <c r="NB51" s="1234" t="str">
        <f>IF(A51=FALSE,"",IF(Detail!CH51="","N/A",YEAR(Detail!F51)&amp;Detail!CK51&amp;Detail!CH51&amp;"-"&amp;Detail!$CH$13&amp;" (100%/"&amp;Detail!CL51&amp;"/"&amp;Detail!CM51&amp;")"))</f>
        <v>N/A</v>
      </c>
      <c r="NC51" s="431" t="str">
        <f>IF(A51=FALSE,"",IF(LISTES!$A$17=1,NB51,INDEX(colMOD6,MATCH(DA51,colchoice,0))))</f>
        <v>2017EURAnker Verzekeringen n.v.-Temporary Disability illness (100%/7/365)</v>
      </c>
      <c r="ND51" s="759" t="str">
        <f t="shared" si="347"/>
        <v>Anker Verzekeringen n.v.</v>
      </c>
      <c r="NE51" s="292"/>
      <c r="NF51" s="409">
        <f t="shared" si="348"/>
        <v>8.1144827586206898E-3</v>
      </c>
      <c r="NG51" s="430">
        <f>IF(A51=FALSE,"",Cotations!BU51*AA51)</f>
        <v>30000</v>
      </c>
      <c r="NH51" s="292">
        <f t="shared" si="349"/>
        <v>486.49655172413799</v>
      </c>
      <c r="NI51" s="446">
        <f>IF(A51=FALSE,"",IF(Cotations!AU51="monthly",NH51/12*L51,NH51/365*M51))</f>
        <v>199.93008974964573</v>
      </c>
      <c r="NJ51" s="429">
        <f>IF(A51=FALSE,"",IF(Cotations!BV51="","",Cotations!BV51))</f>
        <v>0</v>
      </c>
      <c r="NK51" s="292">
        <f t="shared" si="350"/>
        <v>0</v>
      </c>
      <c r="NL51" s="292">
        <f t="shared" si="351"/>
        <v>199.93008974964573</v>
      </c>
      <c r="NM51" s="759">
        <f t="shared" si="352"/>
        <v>207.92729333963158</v>
      </c>
      <c r="NN51" s="759" t="e">
        <f>IF(A51=FALSE,"",((NH51*TAXE)-(NH51*TAXE*NJ51))+IF(#REF!="N/A",0,IF(INDEX(LISTES!$F$105:$F$109,MATCH(#REF!,LISTES!$C$105:$C$109,0))="FIX",#REF!,#REF!*NM51)))</f>
        <v>#REF!</v>
      </c>
      <c r="NZ51" s="1281" t="str">
        <f>IF(A51=FALSE,"",IF(Detail!CP51="","N/A",YEAR(Detail!F51)&amp;Detail!CS51&amp;Detail!CP51&amp;"-"&amp;Detail!CQ51))</f>
        <v>N/A</v>
      </c>
      <c r="OA51" s="432" t="str">
        <f>IF(A51=FALSE,"",Cotations!CF51)</f>
        <v>FIXE</v>
      </c>
      <c r="OB51" s="1282" t="str">
        <f>IF(A51=FALSE,"",IF(Detail!CP51="","N/A",YEAR(Detail!F51)&amp;Detail!CS51&amp;Detail!CP51&amp;"-"&amp;Detail!$CP$13&amp;Detail!CQ51))</f>
        <v>N/A</v>
      </c>
      <c r="OC51" s="1283" t="str">
        <f>IF(A51=FALSE,"",IF(LISTES!$A$17=1,OB51,INDEX(colMOD1,MATCH(Cotations!CE51,colchoice,0))))</f>
        <v>N/A</v>
      </c>
      <c r="OD51" s="759" t="str">
        <f t="shared" si="353"/>
        <v>N/A</v>
      </c>
      <c r="OE51" s="292">
        <f>IF(A51=FALSE,"",Detail!CQ51)</f>
        <v>0</v>
      </c>
      <c r="OF51" s="409" t="str">
        <f t="shared" si="354"/>
        <v/>
      </c>
      <c r="OG51" s="430">
        <f>IF(A51=FALSE,"",IF(OA51="FIXE",Cotations!CM51,Cotations!CN51*AA51))</f>
        <v>100000</v>
      </c>
      <c r="OH51" s="292">
        <f t="shared" si="288"/>
        <v>0</v>
      </c>
      <c r="OI51" s="446">
        <f>IF(A51=FALSE,"",IF(Cotations!CF51="monthly",OH51/12*L51,OH51/365*M51))</f>
        <v>0</v>
      </c>
      <c r="OJ51" s="429">
        <f>IF(A51=FALSE,"",IF(Cotations!CO51="","",Cotations!CO51))</f>
        <v>0</v>
      </c>
      <c r="OK51" s="292">
        <f t="shared" si="289"/>
        <v>0</v>
      </c>
      <c r="OL51" s="292">
        <f t="shared" si="290"/>
        <v>0</v>
      </c>
      <c r="OM51" s="759">
        <f t="shared" si="355"/>
        <v>0</v>
      </c>
      <c r="ON51" s="759" t="e">
        <f>IF(A51=FALSE,"",((OH51*(1+TAXE)-(OH51*(1+TAXE)*OJ51))+IF(#REF!="N/A",0,IF(INDEX(LISTES!$F$105:$F$109,MATCH(#REF!,LISTES!$C$105:$C$109,0))="FIX",#REF!,#REF!*OM51))))</f>
        <v>#REF!</v>
      </c>
      <c r="PA51" s="432" t="str">
        <f>IF(A51=FALSE,"",Cotations!CF51)</f>
        <v>FIXE</v>
      </c>
      <c r="PB51" s="1282" t="str">
        <f>IF(A51=FALSE,"",IF(Detail!CX51="","N/A",YEAR(Detail!F51)&amp;Detail!DA51&amp;Detail!CX51&amp;"-"&amp;Detail!$CX$13&amp;Detail!CY51))</f>
        <v>N/A</v>
      </c>
      <c r="PC51" s="1283" t="str">
        <f>IF(A51=FALSE,"",IF(LISTES!$A$17=1,PB51,INDEX(colMOD3,MATCH(Cotations!CE51,colchoice,0))))</f>
        <v>N/A</v>
      </c>
      <c r="PD51" s="759" t="str">
        <f t="shared" si="356"/>
        <v>N/A</v>
      </c>
      <c r="PE51" s="292" t="str">
        <f>IF(A51=FALSE,"",IF(Detail!CY51="","",Detail!CY51))</f>
        <v/>
      </c>
      <c r="PF51" s="409">
        <f t="shared" si="291"/>
        <v>0</v>
      </c>
      <c r="PG51" s="430">
        <f>IF(A51=FALSE,"",IF(PA51="FIXE",Cotations!CP51,Cotations!CQ51*AA51))</f>
        <v>100000</v>
      </c>
      <c r="PH51" s="292">
        <f t="shared" si="292"/>
        <v>0</v>
      </c>
      <c r="PI51" s="446">
        <f>IF(A51=FALSE,"",IF(Cotations!CG51="monthly",PH51/12*L51,PH51/365*M51))</f>
        <v>0</v>
      </c>
      <c r="PJ51" s="429">
        <f>IF(A51=FALSE,"",IF(Cotations!DA51="",0,Cotations!DA51))</f>
        <v>0</v>
      </c>
      <c r="PK51" s="292">
        <f t="shared" si="293"/>
        <v>0</v>
      </c>
      <c r="PL51" s="292">
        <f t="shared" si="294"/>
        <v>0</v>
      </c>
      <c r="PM51" s="759">
        <f t="shared" si="357"/>
        <v>0</v>
      </c>
      <c r="PN51" s="759" t="e">
        <f>IF(A51=FALSE,"",((PH51*(1+TAXE)-(PH51*(1+TAXE)*PJ51))+IF(#REF!="N/A",0,IF(INDEX(LISTES!$F$105:$F$109,MATCH(#REF!,LISTES!$C$105:$C$109,0))="FIX",#REF!,#REF!*PM51))))</f>
        <v>#REF!</v>
      </c>
    </row>
    <row r="52" spans="1:430">
      <c r="A52" s="779" t="b">
        <f t="shared" si="295"/>
        <v>1</v>
      </c>
      <c r="B52" s="779" t="b">
        <f>IF(NAMES!$B$9=TRUE,TRUE,FALSE)</f>
        <v>1</v>
      </c>
      <c r="C52" s="779" t="b">
        <f t="shared" si="212"/>
        <v>1</v>
      </c>
      <c r="D52" s="779" t="b">
        <f t="shared" si="213"/>
        <v>1</v>
      </c>
      <c r="E52" s="267" t="b">
        <f>IF(Cotations!C52="","",Cotations!C52)</f>
        <v>1</v>
      </c>
      <c r="F52" s="267" t="str">
        <f>IF(Cotations!AT52="","",Cotations!AT52)</f>
        <v>PROP</v>
      </c>
      <c r="G52" s="267" t="str">
        <f>IF(Cotations!D52="","",Cotations!D52)</f>
        <v>2017-2017!</v>
      </c>
      <c r="H52" s="267" t="str">
        <f>IF(Cotations!E52="","",Cotations!E52)</f>
        <v>SINGLE</v>
      </c>
      <c r="I52" s="267" t="str">
        <f>IF(Cotations!F52="","",Cotations!F52)</f>
        <v>X-3</v>
      </c>
      <c r="J52" s="267" t="str">
        <f>IF(Cotations!G52="","",Cotations!G52)</f>
        <v/>
      </c>
      <c r="K52" s="267" t="str">
        <f>IF(Cotations!H52="","",Cotations!H52)</f>
        <v/>
      </c>
      <c r="L52" s="267">
        <f>IF(A52=FALSE,"",IF(Cotations!M52="","",Cotations!M52))</f>
        <v>5</v>
      </c>
      <c r="M52" s="267">
        <f>IF(Cotations!O52="","",Cotations!O52)</f>
        <v>150</v>
      </c>
      <c r="N52" s="588">
        <f>IF(NAMES!$B$10=TRUE,Cotations!I52,Cotations!K52)</f>
        <v>42781</v>
      </c>
      <c r="O52" s="588">
        <f>IF(NAMES!$B$10=TRUE,Cotations!J52,Cotations!L52)</f>
        <v>42930</v>
      </c>
      <c r="P52" s="780" t="str">
        <f t="shared" si="214"/>
        <v>février</v>
      </c>
      <c r="Q52" s="588">
        <f>IF(A52=FALSE,"",IF(Crewlist!Y52="","",Crewlist!Y52))</f>
        <v>42930</v>
      </c>
      <c r="R52" s="78" t="str">
        <f>IF(Cotations!T52="","",Cotations!T52)</f>
        <v>seasonal</v>
      </c>
      <c r="S52" s="780" t="str">
        <f t="shared" si="215"/>
        <v>VRAIX-3février42781</v>
      </c>
      <c r="T52" s="759">
        <f>IF(A52=FALSE,"",VLOOKUP($U$15:$U$120,Currency!$A$2:$D$10,4,0)*Crewlist!N52)</f>
        <v>2500</v>
      </c>
      <c r="U52" s="1097" t="str">
        <f>IF(A52=FALSE,"",IF(DP52=0,Crewlist!M52&amp;"/"&amp;CP52,Crewlist!M52&amp;"/"&amp;DP52))</f>
        <v>EUR/EUR</v>
      </c>
      <c r="V52" s="759">
        <f>IF(A52=FALSE,"",VLOOKUP($U$15:$U$120,Currency!$A$2:$D$10,4,0)*Detail!Q52)</f>
        <v>0</v>
      </c>
      <c r="W52" s="1097" t="str">
        <f>IF(A52=FALSE,"",IF(DP52=0,Detail!R52&amp;"/"&amp;CP52,Detail!R52&amp;"/"&amp;DP52))</f>
        <v>/EUR</v>
      </c>
      <c r="X52" s="759">
        <f>IF(A52=FALSE,"",IF(LISTES!$C$17="Crewlist",Calcul!T52,Calcul!V52))</f>
        <v>2500</v>
      </c>
      <c r="Y52" s="618">
        <f t="shared" si="216"/>
        <v>30000</v>
      </c>
      <c r="Z52" s="618">
        <f>IF(A52=FALSE,"",IF(X52=0,0,IF((Cotations!BA52*12*X52)&lt;50000,50000,(12*X52))))</f>
        <v>30000</v>
      </c>
      <c r="AA52" s="618">
        <f t="shared" si="217"/>
        <v>30000</v>
      </c>
      <c r="AB52" s="618">
        <f>IF(A52=FALSE,"",IF(Crewlist!O52=0,"",Crewlist!O52))</f>
        <v>2200</v>
      </c>
      <c r="AC52" s="618" t="e">
        <f>IF(I52="","",VLOOKUP($AB$15:$AB$120,Currency!$A$15:$B$34,2,0))</f>
        <v>#N/A</v>
      </c>
      <c r="AD52" s="618" t="e">
        <f t="shared" si="218"/>
        <v>#N/A</v>
      </c>
      <c r="AE52" s="618" t="e">
        <f t="shared" si="219"/>
        <v>#N/A</v>
      </c>
      <c r="AF52" s="618" t="e">
        <f t="shared" si="220"/>
        <v>#N/A</v>
      </c>
      <c r="AG52" s="618">
        <f t="shared" si="221"/>
        <v>12328.767123287671</v>
      </c>
      <c r="AH52" s="1097" t="str">
        <f t="shared" si="296"/>
        <v>EUR</v>
      </c>
      <c r="AI52" s="759">
        <f t="shared" si="222"/>
        <v>799.62161360415689</v>
      </c>
      <c r="AJ52" s="1120">
        <f t="shared" si="223"/>
        <v>277.74799999999999</v>
      </c>
      <c r="AK52" s="1120">
        <f t="shared" si="224"/>
        <v>516.87361360415684</v>
      </c>
      <c r="AL52" s="236">
        <f t="shared" si="225"/>
        <v>6.3229999999999995</v>
      </c>
      <c r="AM52" s="236">
        <f t="shared" si="226"/>
        <v>30.319177446313752</v>
      </c>
      <c r="AN52" s="1112">
        <f t="shared" si="227"/>
        <v>0</v>
      </c>
      <c r="AO52" s="236">
        <f t="shared" si="228"/>
        <v>36.642177446313752</v>
      </c>
      <c r="AP52" s="327" t="str">
        <f>IF(A52=FALSE,"",INDEX(Rates!$Q$1:$Q$278,MATCH(CA52,colchoice,0)))</f>
        <v>WCA</v>
      </c>
      <c r="AQ52" s="236">
        <f t="shared" si="229"/>
        <v>5</v>
      </c>
      <c r="AR52" s="236">
        <f t="shared" si="230"/>
        <v>757.97943615784311</v>
      </c>
      <c r="AS52" s="236">
        <f t="shared" si="297"/>
        <v>271.42500000000001</v>
      </c>
      <c r="AT52" s="236">
        <f t="shared" si="298"/>
        <v>516.87361360415684</v>
      </c>
      <c r="AU52" s="236">
        <f t="shared" si="231"/>
        <v>213.38942307692304</v>
      </c>
      <c r="AV52" s="236">
        <f t="shared" si="232"/>
        <v>47.596153846153847</v>
      </c>
      <c r="AW52" s="236">
        <f t="shared" si="233"/>
        <v>25.558809636277754</v>
      </c>
      <c r="AX52" s="236">
        <f t="shared" si="234"/>
        <v>63.922531884742568</v>
      </c>
      <c r="AY52" s="236">
        <f t="shared" si="235"/>
        <v>31.578649031648556</v>
      </c>
      <c r="AZ52" s="236">
        <f t="shared" si="236"/>
        <v>75.962210675484158</v>
      </c>
      <c r="BA52" s="236">
        <f t="shared" si="237"/>
        <v>100.04156825696741</v>
      </c>
      <c r="BB52" s="467">
        <f t="shared" si="238"/>
        <v>199.93008974964573</v>
      </c>
      <c r="BC52" s="329">
        <f t="shared" si="239"/>
        <v>271.42500000000001</v>
      </c>
      <c r="BD52" s="237">
        <f t="shared" si="240"/>
        <v>260.98557692307691</v>
      </c>
      <c r="BE52" s="237">
        <f>IF(A52=FALSE,"",IF(ED52&lt;&gt;$BC$7,0,INDEX(EA52:EZ52,1,MATCH(Structure!$J$16,$EA$14:$EZ$14,0))))</f>
        <v>213.38942307692304</v>
      </c>
      <c r="BF52" s="237">
        <f>IF(A52=FALSE,"",IF(FD52&lt;&gt;$BC$7,0,INDEX(FA52:FZ52,1,MATCH(Structure!$J$16,$FA$14:$FZ$14,0))))</f>
        <v>47.596153846153847</v>
      </c>
      <c r="BG52" s="237">
        <f>IF(A52=FALSE,"",IF(GD52&lt;&gt;$BC$7,0,INDEX(GA52:GZ52,1,MATCH(Structure!$J$16,$GA$14:$GZ$14,0))))</f>
        <v>0</v>
      </c>
      <c r="BH52" s="237">
        <f>IF(A52=FALSE,"",IF(HD52&lt;&gt;$BC$7,0,INDEX(HA52:HZ52,1,MATCH(Structure!$J$16,$HA$14:$HZ$14,0))))</f>
        <v>0</v>
      </c>
      <c r="BI52" s="621">
        <f>IF(A52=FALSE,"",IF(ID52&lt;&gt;$BC$7,0,INDEX(IA52:IZ52,1,MATCH(Structure!$C$12,$IA$14:$IZ$14,0)))+OL52)</f>
        <v>0</v>
      </c>
      <c r="BJ52" s="237">
        <f>IF(A52=FALSE,"",IF(JD52&lt;&gt;$BC$7,0,INDEX(JA52:JZ52,1,MATCH(Structure!$C$12,$JA$14:$JZ$14,0))))</f>
        <v>0</v>
      </c>
      <c r="BK52" s="621">
        <f>IF(A52=FALSE,"",IF(KD52&lt;&gt;$BC$7,0,INDEX(KA52:KZ52,1,MATCH(Structure!$C$12,$KA$14:$KZ$14,0)))+PL52)</f>
        <v>0</v>
      </c>
      <c r="BL52" s="237">
        <f>IF(A52=FALSE,"",IF(LD52&lt;&gt;$BC$7,0,INDEX(LA52:LZ52,1,MATCH(Structure!$C$12,$LA$14:$LZ$14,0))))</f>
        <v>0</v>
      </c>
      <c r="BM52" s="237">
        <f>IF(A52=FALSE,"",IF(MD52&lt;&gt;$BC$7,0,INDEX(MA52:MZ52,1,MATCH(Structure!$C$12,$MA$14:$MZ$14,0))))</f>
        <v>0</v>
      </c>
      <c r="BN52" s="326">
        <f>IF(A52=FALSE,"",IF(ND52&lt;&gt;$BC$7,0,INDEX(NA52:OC52,1,MATCH(Structure!$C$12,$NA$14:$OC$14,0))))</f>
        <v>0</v>
      </c>
      <c r="BO52" s="435">
        <f t="shared" si="241"/>
        <v>516.87361360415684</v>
      </c>
      <c r="BP52" s="237">
        <f t="shared" si="242"/>
        <v>496.99385923476621</v>
      </c>
      <c r="BQ52" s="237">
        <f>IF(A52=FALSE,"",IF(ED52&lt;&gt;$BO$7,0,INDEX(EA52:EZ52,1,MATCH(Structure!$C$12,$EA$14:$EZ$14,0))))</f>
        <v>0</v>
      </c>
      <c r="BR52" s="237">
        <f>IF(A52=FALSE,"",IF(FD52&lt;&gt;$BO$7,0,INDEX(FA52:FZ52,1,MATCH(Structure!$C$12,$FA$14:$FZ$14,0))))</f>
        <v>0</v>
      </c>
      <c r="BS52" s="237">
        <f>IF(A52=FALSE,"",IF(ID52&lt;&gt;$BO$7,0,INDEX(IA52:IZ52,1,MATCH(Structure!$C$13,$IA$14:$IZ$14,0))))</f>
        <v>25.558809636277754</v>
      </c>
      <c r="BT52" s="237">
        <f>IF(A52=FALSE,"",IF(JD52&lt;&gt;$BO$7,0,INDEX(JA52:JZ52,1,MATCH(Structure!$C$13,$JA$14:$JZ$14,0))))</f>
        <v>63.922531884742568</v>
      </c>
      <c r="BU52" s="237">
        <f>IF(A52=FALSE,"",IF(KD52&lt;&gt;$BO$7,0,INDEX(KA52:KZ52,1,MATCH(Structure!$C$13,$KA$14:$KZ$14,0))))</f>
        <v>31.578649031648556</v>
      </c>
      <c r="BV52" s="237">
        <f>IF(A52=FALSE,"",IF(LD52&lt;&gt;$BO$7,0,INDEX(LA52:LZ52,1,MATCH(Structure!$C$13,$LA$14:$LZ$14,0))))</f>
        <v>75.962210675484158</v>
      </c>
      <c r="BW52" s="237">
        <f>IF(A52=FALSE,"",IF(MD52&lt;&gt;$BO$7,0,INDEX(MA52:MZ52,1,MATCH(Structure!$C$13,$MA$14:$MZ$14,0))))</f>
        <v>100.04156825696741</v>
      </c>
      <c r="BX52" s="326">
        <f>IF(A52=FALSE,"",IF(ND52&lt;&gt;$BO$7,0,INDEX(NA52:OC52,1,MATCH(Structure!$C$13,$NA$14:$OC$14,0))))</f>
        <v>199.93008974964573</v>
      </c>
      <c r="BY52" s="412"/>
      <c r="BZ52" s="412"/>
      <c r="CA52" s="1255" t="str">
        <f>IF(A52=FALSE,"",IF(LISTES!$A$17=1,Cotations!AG52,Cotations!AH52))</f>
        <v>2017EURAIG Luxembourg-StandardMLC S</v>
      </c>
      <c r="CB52" s="1266">
        <f t="shared" si="243"/>
        <v>260.98557692307691</v>
      </c>
      <c r="CC52" s="1120">
        <f t="shared" si="244"/>
        <v>213.38942307692304</v>
      </c>
      <c r="CD52" s="1120">
        <f t="shared" si="245"/>
        <v>47.596153846153847</v>
      </c>
      <c r="CE52" s="1120">
        <f t="shared" si="246"/>
        <v>0</v>
      </c>
      <c r="CF52" s="1120">
        <f t="shared" si="247"/>
        <v>0</v>
      </c>
      <c r="CG52" s="1267"/>
      <c r="CH52" s="1267"/>
      <c r="CI52" s="1268">
        <f t="shared" si="248"/>
        <v>271.42499999999995</v>
      </c>
      <c r="CJ52" s="286">
        <f t="shared" si="249"/>
        <v>221.92499999999995</v>
      </c>
      <c r="CK52" s="286">
        <f t="shared" si="250"/>
        <v>49.5</v>
      </c>
      <c r="CL52" s="1263"/>
      <c r="CM52" s="1263"/>
      <c r="CN52" s="1263"/>
      <c r="CO52" s="1263"/>
      <c r="CP52" s="319" t="str">
        <f t="shared" si="251"/>
        <v>EUR</v>
      </c>
      <c r="CQ52" s="443" t="str">
        <f>IF(A52=FALSE,"",Cotations!AM52)</f>
        <v>fix Fees pro rata month</v>
      </c>
      <c r="CR52" s="443">
        <f>IF(A52=FALSE,"",IF(Cotations!AN52="","",Cotations!AN52))</f>
        <v>15.1752</v>
      </c>
      <c r="CS52" s="433">
        <f>IF(A52=FALSE,"",Cotations!AO52)</f>
        <v>0</v>
      </c>
      <c r="CT52" s="443">
        <f>IF(A52=FALSE,"",IF(CQ52="N/A",0,IF(INDEX(LISTES!$F$105:$F$109,MATCH(CQ52,LISTES!$C$105:$C$109,0))="FIX",IF(INDEX(LISTES!$E$105:$E$109,MATCH(CQ52,LISTES!$C$105:$C$109,0))=12,CR52/12*L52,CR52/365*M52),CS52*EQ52)))</f>
        <v>6.3229999999999995</v>
      </c>
      <c r="CU52" s="434">
        <f>IF(A52=FALSE,"",(CJ52+CK52)*Cotations!AP52)</f>
        <v>271.42499999999995</v>
      </c>
      <c r="CV52" s="434">
        <f>IF(A52=FALSE,"",(CJ52+CK52)*Cotations!AQ52)</f>
        <v>0</v>
      </c>
      <c r="DA52" s="1253" t="str">
        <f>IF(A52=FALSE,"",IF(LISTES!$A$17=1,Cotations!AV52,Cotations!AW52))</f>
        <v>2017EURAnker Verzekeringen n.v.-Formula 3 (7/365)</v>
      </c>
      <c r="DB52" s="1271">
        <f t="shared" si="252"/>
        <v>496.99385923476621</v>
      </c>
      <c r="DC52" s="1270">
        <f t="shared" si="253"/>
        <v>25.558809636277754</v>
      </c>
      <c r="DD52" s="1270">
        <f t="shared" si="254"/>
        <v>63.922531884742568</v>
      </c>
      <c r="DE52" s="1270">
        <f t="shared" si="255"/>
        <v>31.578649031648556</v>
      </c>
      <c r="DF52" s="1270">
        <f t="shared" si="256"/>
        <v>75.962210675484158</v>
      </c>
      <c r="DG52" s="1270">
        <f t="shared" si="257"/>
        <v>100.04156825696741</v>
      </c>
      <c r="DH52" s="1270">
        <f t="shared" si="258"/>
        <v>199.93008974964573</v>
      </c>
      <c r="DI52" s="1271">
        <f t="shared" si="259"/>
        <v>516.87361360415684</v>
      </c>
      <c r="DJ52" s="286">
        <f t="shared" si="260"/>
        <v>26.581162021728865</v>
      </c>
      <c r="DK52" s="286">
        <f t="shared" si="261"/>
        <v>66.479433160132274</v>
      </c>
      <c r="DL52" s="1264">
        <f t="shared" si="262"/>
        <v>32.841794992914501</v>
      </c>
      <c r="DM52" s="1264">
        <f t="shared" si="263"/>
        <v>79.000699102503532</v>
      </c>
      <c r="DN52" s="1264">
        <f t="shared" si="264"/>
        <v>104.0432309872461</v>
      </c>
      <c r="DO52" s="1264">
        <f t="shared" si="265"/>
        <v>207.92729333963158</v>
      </c>
      <c r="DP52" s="323" t="str">
        <f t="shared" si="299"/>
        <v>EUR</v>
      </c>
      <c r="DQ52" s="444" t="str">
        <f>IF(A52=FALSE,"",Cotations!BW52)</f>
        <v>N/A</v>
      </c>
      <c r="DR52" s="444">
        <f>IF(A52=FALSE,"",Cotations!BX52)</f>
        <v>0</v>
      </c>
      <c r="DS52" s="433">
        <f>IF(A52=FALSE,"",Cotations!BY52)</f>
        <v>0</v>
      </c>
      <c r="DT52" s="830">
        <f>IF(A52=FALSE,"",IF(DQ52="N/A",0,IF(INDEX(LISTES!$F$105:$F$109,MATCH(DQ52,LISTES!$C$105:$C$109,0))="FIX",IF(INDEX(LISTES!$E$105:$E$109,MATCH(DQ52,LISTES!$C$105:$C$109,0))=12,DR52/12*L52,DR52/365*M52),DS52*(DN52+DO52))))</f>
        <v>0</v>
      </c>
      <c r="DU52" s="434">
        <f>IF(A52=FALSE,"",DJ52*Cotations!BZ52)</f>
        <v>26.581162021728865</v>
      </c>
      <c r="DV52" s="434">
        <f>IF(A52=FALSE,"",DJ52*Cotations!CA52)</f>
        <v>0</v>
      </c>
      <c r="EA52" s="432" t="str">
        <f>IF(A52=FALSE,"",Cotations!AT52)</f>
        <v>PROP</v>
      </c>
      <c r="EB52" s="1234" t="str">
        <f>IF(A52=FALSE,"",YEAR(Detail!F52)&amp;Detail!AG52&amp;Detail!AD52&amp;"-"&amp;Detail!$AD$13&amp;Detail!AE52)</f>
        <v>1900-Healthcare Plan</v>
      </c>
      <c r="EC52" s="434" t="str">
        <f>IF(A52=FALSE,"",IF(LISTES!$A$17=1,EB52,INDEX(colMOD1,MATCH(Cotations!AH52,colchoice,0))))</f>
        <v>2017EURAIG Luxembourg-Healthcare PlanStandardMLC S</v>
      </c>
      <c r="ED52" s="277" t="str">
        <f t="shared" si="300"/>
        <v>AIG Luxembourg</v>
      </c>
      <c r="EE52" s="277" t="str">
        <f t="shared" si="301"/>
        <v>StandardMLC S</v>
      </c>
      <c r="EF52" s="277"/>
      <c r="EG52" s="277"/>
      <c r="EH52" s="277">
        <f t="shared" si="302"/>
        <v>569.03846153846143</v>
      </c>
      <c r="EI52" s="1104">
        <f t="shared" si="303"/>
        <v>0</v>
      </c>
      <c r="EJ52" s="1104">
        <f t="shared" si="304"/>
        <v>569.03846153846143</v>
      </c>
      <c r="EK52" s="443">
        <f>IF(A52=FALSE,"",IF(Cotations!AF52="monthly",EH52/12*L52,EH52/365*M52))</f>
        <v>237.09935897435895</v>
      </c>
      <c r="EL52" s="1103">
        <f>IF(A52=FALSE,"",IF(Cotations!AF52="monthly",EJ52/12*L52,EJ52/365*M52))</f>
        <v>237.09935897435895</v>
      </c>
      <c r="EM52" s="433">
        <f>IF(A52=FALSE,"",IF(Cotations!AI52="","",Cotations!AI52))</f>
        <v>0.1</v>
      </c>
      <c r="EN52" s="277">
        <f t="shared" si="305"/>
        <v>23.709935897435898</v>
      </c>
      <c r="EO52" s="277">
        <f t="shared" si="306"/>
        <v>213.38942307692304</v>
      </c>
      <c r="EP52" s="1104">
        <f t="shared" si="307"/>
        <v>0</v>
      </c>
      <c r="EQ52" s="277">
        <f t="shared" si="308"/>
        <v>221.92499999999995</v>
      </c>
      <c r="ER52" s="759">
        <f>IF(A52=FALSE,"",((EH52*TAXE)-(EH52*TAXE*EM52)+EI52)+IF(CQ52="N/A",0,IF(INDEX(LISTES!$F$105:$F$109,MATCH(CQ52,LISTES!$C$105:$C$109,0))="FIX",CR52,CS52*EQ52)))</f>
        <v>547.79520000000002</v>
      </c>
      <c r="ET52" s="422"/>
      <c r="EU52" s="422"/>
      <c r="EV52" s="422"/>
      <c r="EW52" s="422"/>
      <c r="EX52" s="422"/>
      <c r="EY52" s="422"/>
      <c r="EZ52" s="422"/>
      <c r="FA52" s="432" t="str">
        <f>IF(A52=FALSE,"",Cotations!AT52)</f>
        <v>PROP</v>
      </c>
      <c r="FB52" s="1235" t="str">
        <f>IF(A52=FALSE,"",IF(Detail!AL52="","N/A",YEAR(Detail!F52)&amp;Detail!AO52&amp;Detail!AL52&amp;"-"&amp;Detail!$AL$13&amp;Detail!AM52))</f>
        <v>N/A</v>
      </c>
      <c r="FC52" s="434" t="str">
        <f>IF(A52=FALSE,"",IF(LISTES!$A$17=1,FB52,INDEX(colMOD2,MATCH(Cotations!AH52,colchoice,0))))</f>
        <v>2017EURAIG Luxembourg-Assistance and RepatriationStandardMLC S</v>
      </c>
      <c r="FD52" s="277" t="str">
        <f t="shared" si="309"/>
        <v>AIG Luxembourg</v>
      </c>
      <c r="FE52" s="443" t="str">
        <f>IF(A52=FALSE,"",IF(Detail!AM52="","",Detail!AM52))</f>
        <v/>
      </c>
      <c r="FF52" s="277"/>
      <c r="FG52" s="277"/>
      <c r="FH52" s="277">
        <f t="shared" si="310"/>
        <v>126.92307692307692</v>
      </c>
      <c r="FI52" s="1104"/>
      <c r="FJ52" s="1104"/>
      <c r="FK52" s="443">
        <f>IF(A52=FALSE,"",IF(Cotations!AF52="monthly",FH52/12*L52,FH52/365*M52))</f>
        <v>52.884615384615387</v>
      </c>
      <c r="FL52" s="1103">
        <f>IF(A52=FALSE,"",IF(Cotations!AF52="monthly",FJ52/12*L52,FJ52/365*M52))</f>
        <v>0</v>
      </c>
      <c r="FM52" s="433">
        <f>IF(A52=FALSE,"",IF(Cotations!AJ52="","",Cotations!AJ52))</f>
        <v>0.1</v>
      </c>
      <c r="FN52" s="277">
        <f t="shared" si="268"/>
        <v>5.2884615384615392</v>
      </c>
      <c r="FO52" s="277">
        <f t="shared" si="269"/>
        <v>47.596153846153847</v>
      </c>
      <c r="FP52" s="1104"/>
      <c r="FQ52" s="277">
        <f t="shared" si="270"/>
        <v>49.5</v>
      </c>
      <c r="FR52" s="759" t="e">
        <f>IF(A52=FALSE,"",((FH52*TAXE)-(FH52*TAXE*FM52))+IF(#REF!="N/A",0,IF(INDEX(LISTES!$F$105:$F$109,MATCH(#REF!,LISTES!$C$105:$C$109,0))="FIX",#REF!,#REF!*FQ52)))</f>
        <v>#REF!</v>
      </c>
      <c r="FS52" s="422"/>
      <c r="FT52" s="422"/>
      <c r="FU52" s="422"/>
      <c r="FV52" s="422"/>
      <c r="FW52" s="422"/>
      <c r="FX52" s="422"/>
      <c r="FY52" s="422"/>
      <c r="FZ52" s="422"/>
      <c r="GA52" s="432" t="str">
        <f t="shared" si="311"/>
        <v>PROP</v>
      </c>
      <c r="GB52" s="1234" t="str">
        <f>IF(A52=FALSE,"",IF(Detail!DF52="","N/A",YEAR(Detail!F52)&amp;Detail!DI52&amp;Detail!DF52&amp;"-"&amp;Detail!$DF$13))</f>
        <v>N/A</v>
      </c>
      <c r="GC52" s="434" t="str">
        <f>IF(A52=FALSE,"",IF(LISTES!$A$17=1,GB52,INDEX(colMOD3,MATCH(Cotations!AH52,colchoice,0))))</f>
        <v>N/A</v>
      </c>
      <c r="GD52" s="277" t="str">
        <f t="shared" si="312"/>
        <v>N/A</v>
      </c>
      <c r="GE52" s="277">
        <f t="shared" si="313"/>
        <v>0</v>
      </c>
      <c r="GF52" s="277"/>
      <c r="GG52" s="277"/>
      <c r="GH52" s="277">
        <f t="shared" si="271"/>
        <v>0</v>
      </c>
      <c r="GI52" s="1104">
        <f t="shared" si="272"/>
        <v>0</v>
      </c>
      <c r="GJ52" s="1104">
        <f t="shared" si="273"/>
        <v>0</v>
      </c>
      <c r="GK52" s="443">
        <f>IF(A52=FALSE,"",IF(Cotations!AF52="monthly",GH52/12*L52,GH52/365*M52))</f>
        <v>0</v>
      </c>
      <c r="GL52" s="1103">
        <f>IF(A52=FALSE,"",IF(Cotations!AF52="monthly",GJ52/12*L52,GJ52/365*M52))</f>
        <v>0</v>
      </c>
      <c r="GM52" s="433">
        <f>IF(A52=FALSE,"",IF(Cotations!AK52="","",Cotations!AK52))</f>
        <v>0</v>
      </c>
      <c r="GN52" s="277">
        <f t="shared" si="274"/>
        <v>0</v>
      </c>
      <c r="GO52" s="277">
        <f t="shared" si="275"/>
        <v>0</v>
      </c>
      <c r="GP52" s="1104">
        <f t="shared" si="276"/>
        <v>0</v>
      </c>
      <c r="GQ52" s="277">
        <f t="shared" si="277"/>
        <v>0</v>
      </c>
      <c r="GR52" s="759">
        <f>IF(A52=FALSE,"",((GH52*TAXE)-(GH52*TAXE*GM52)+GI52)+IF(CQ52="N/A",0,IF(INDEX(LISTES!$F$105:$F$109,MATCH(CQ52,LISTES!$C$105:$C$109,0))="FIX",CR52,CS52*GQ52)))</f>
        <v>15.1752</v>
      </c>
      <c r="GS52" s="412"/>
      <c r="GT52" s="412"/>
      <c r="GU52" s="412"/>
      <c r="GV52" s="412"/>
      <c r="GW52" s="412"/>
      <c r="GX52" s="412"/>
      <c r="GY52" s="412"/>
      <c r="GZ52" s="412"/>
      <c r="HA52" s="432" t="str">
        <f t="shared" si="314"/>
        <v>PROP</v>
      </c>
      <c r="HB52" s="1234" t="str">
        <f>IF(A52=FALSE,"",IF(Detail!DF52="","N/A",YEAR(Detail!F52)&amp;Detail!DI52&amp;Detail!DF52&amp;"-"&amp;Detail!$DF$13))</f>
        <v>N/A</v>
      </c>
      <c r="HC52" s="434" t="str">
        <f>IF(A52=FALSE,"",IF(LISTES!$A$17=1,HB52,INDEX(colMOD4,MATCH(Cotations!AH52,colchoice,0))))</f>
        <v>N/A</v>
      </c>
      <c r="HD52" s="277" t="str">
        <f t="shared" si="278"/>
        <v>N/A</v>
      </c>
      <c r="HE52" s="277">
        <f t="shared" si="279"/>
        <v>0</v>
      </c>
      <c r="HF52" s="277"/>
      <c r="HG52" s="277"/>
      <c r="HH52" s="277">
        <f t="shared" si="280"/>
        <v>0</v>
      </c>
      <c r="HI52" s="1104">
        <f t="shared" si="281"/>
        <v>0</v>
      </c>
      <c r="HJ52" s="1104">
        <f t="shared" si="282"/>
        <v>0</v>
      </c>
      <c r="HK52" s="443">
        <f>IF(A52=FALSE,"",IF(Cotations!AF52="monthly",HH52/12*L52,HH52/365*M52))</f>
        <v>0</v>
      </c>
      <c r="HL52" s="1103">
        <f>IF(A52=FALSE,"",IF(Cotations!AF52="monthly",HJ52/12*L52,HJ52/365*M52))</f>
        <v>0</v>
      </c>
      <c r="HM52" s="433">
        <f>IF(A52=FALSE,"",IF(Cotations!AL52="","",Cotations!AL52))</f>
        <v>0</v>
      </c>
      <c r="HN52" s="277">
        <f t="shared" si="283"/>
        <v>0</v>
      </c>
      <c r="HO52" s="277">
        <f t="shared" si="284"/>
        <v>0</v>
      </c>
      <c r="HP52" s="1104">
        <f t="shared" si="285"/>
        <v>0</v>
      </c>
      <c r="HQ52" s="277">
        <f t="shared" si="286"/>
        <v>0</v>
      </c>
      <c r="HR52" s="759">
        <f>IF(A52=FALSE,"",((HH52*TAXE)-(HH52*TAXE*HM52)+HI52)+IF(CQ52="N/A",0,IF(INDEX(LISTES!$F$105:$F$109,MATCH(CQ52,LISTES!$C$105:$C$109,0))="FIX",CR52,CS52*HQ52)))</f>
        <v>15.1752</v>
      </c>
      <c r="HS52" s="412"/>
      <c r="HT52" s="412"/>
      <c r="HU52" s="412"/>
      <c r="HV52" s="412"/>
      <c r="HW52" s="412"/>
      <c r="HX52" s="412"/>
      <c r="HY52" s="412"/>
      <c r="HZ52" s="1262"/>
      <c r="IA52" s="432" t="str">
        <f>IF(A52=FALSE,"",Cotations!AT52)</f>
        <v>PROP</v>
      </c>
      <c r="IB52" s="1253" t="str">
        <f>IF(A52=FALSE,"",IF(Detail!AT52="","N/A",YEAR(Detail!F52)&amp;Detail!AW52&amp;Detail!AT52&amp;"-"&amp;Detail!$AT$13&amp;Detail!AU52))</f>
        <v>N/A</v>
      </c>
      <c r="IC52" s="431" t="str">
        <f>IF(A52=FALSE,"",IF(LISTES!$A$17=1,IB52,INDEX(colMOD1,MATCH(DA52,colchoice,0))))</f>
        <v>2017EURAnker Verzekeringen n.v.-Death AccidentFormula 3</v>
      </c>
      <c r="ID52" s="759" t="str">
        <f t="shared" si="358"/>
        <v>Anker Verzekeringen n.v.</v>
      </c>
      <c r="IE52" s="292" t="str">
        <f>IF(A52=FALSE,"",IF(LISTES!$A$17=1,Detail!AU52,INDEX(Rates!$M$1:$M$270,MATCH(IC52,colMOD1,0))))</f>
        <v>Formula 3</v>
      </c>
      <c r="IF52" s="409">
        <f t="shared" si="359"/>
        <v>6.9103448275862072E-4</v>
      </c>
      <c r="IG52" s="430">
        <f>IF(A52=FALSE,"",IF(IA52="POEA",Cotations!AY52,IF(IA52="FIXE",Cotations!AZ52,IF(Cotations!BA52*Y52&lt;50000,Z52,Cotations!BA52*Y52))))</f>
        <v>90000</v>
      </c>
      <c r="IH52" s="292">
        <f t="shared" si="360"/>
        <v>62.193103448275863</v>
      </c>
      <c r="II52" s="446">
        <f>IF(A52=FALSE,"",IF(Cotations!AU52="monthly",IH52/12*L52,IH52/365*M52))</f>
        <v>25.558809636277754</v>
      </c>
      <c r="IJ52" s="429">
        <f>IF(A52=FALSE,"",IF(Cotations!BB52="","",Cotations!BB52))</f>
        <v>0</v>
      </c>
      <c r="IK52" s="292">
        <f t="shared" si="361"/>
        <v>0</v>
      </c>
      <c r="IL52" s="292">
        <f t="shared" si="362"/>
        <v>25.558809636277754</v>
      </c>
      <c r="IM52" s="759">
        <f t="shared" si="363"/>
        <v>26.581162021728865</v>
      </c>
      <c r="IN52" s="759">
        <f>IF(A52=FALSE,"",((IH52*TAXE)-(IH52*TAXE*IJ52))+IF(DQ52="N/A",0,IF(INDEX(LISTES!$F$105:$F$109,MATCH(DQ52,LISTES!$C$105:$C$109,0))="FIX",DR52,DS52*IM52)))</f>
        <v>64.680827586206902</v>
      </c>
      <c r="JA52" s="432" t="str">
        <f>IF(A52=FALSE,"",Cotations!AT52)</f>
        <v>PROP</v>
      </c>
      <c r="JB52" s="1234" t="str">
        <f>IF(A52=FALSE,"",IF(Detail!BB52="","N/A",YEAR(Detail!F52)&amp;Detail!BE52&amp;Detail!BB52&amp;"-"&amp;Detail!$BB$13&amp;Detail!BC52))</f>
        <v>N/A</v>
      </c>
      <c r="JC52" s="431" t="str">
        <f>IF(A52=FALSE,"",IF(LISTES!$A$17=1,JB52,INDEX(colMOD2,MATCH(DA52,colchoice,0))))</f>
        <v>2017EURAnker Verzekeringen n.v.-Death illnessFormula 3</v>
      </c>
      <c r="JD52" s="759" t="str">
        <f t="shared" si="321"/>
        <v>Anker Verzekeringen n.v.</v>
      </c>
      <c r="JE52" s="292"/>
      <c r="JF52" s="409">
        <f t="shared" si="322"/>
        <v>1.7282758620689655E-3</v>
      </c>
      <c r="JG52" s="430">
        <f>IF(A52=FALSE,"",IF(JA52="POEA",Cotations!BC52,IF(JA52="FIXE",Cotations!BD52,IF(Cotations!BE52*Y52&lt;50000,Z52,Cotations!BE52*Y52))))</f>
        <v>90000</v>
      </c>
      <c r="JH52" s="292">
        <f t="shared" si="323"/>
        <v>155.54482758620691</v>
      </c>
      <c r="JI52" s="446">
        <f>IF(A52=FALSE,"",IF(Cotations!AU52="monthly",JH52/12*L52,JH52/365*M52))</f>
        <v>63.922531884742568</v>
      </c>
      <c r="JJ52" s="429">
        <f>IF(A52=FALSE,"",IF(Cotations!BF52="","",Cotations!BF52))</f>
        <v>0</v>
      </c>
      <c r="JK52" s="292">
        <f t="shared" si="324"/>
        <v>0</v>
      </c>
      <c r="JL52" s="292">
        <f t="shared" si="325"/>
        <v>63.922531884742568</v>
      </c>
      <c r="JM52" s="759">
        <f t="shared" si="326"/>
        <v>66.479433160132274</v>
      </c>
      <c r="JN52" s="759" t="e">
        <f>IF(A52=FALSE,"",((JH52*TAXE)-(JH52*TAXE*JJ52))+IF(#REF!="N/A",0,IF(INDEX(LISTES!$F$105:$F$109,MATCH(#REF!,LISTES!$C$105:$C$109,0))="FIX",#REF!,#REF!*JM52)))</f>
        <v>#REF!</v>
      </c>
      <c r="KA52" s="432" t="str">
        <f>IF(A52=FALSE,"",Cotations!AT52)</f>
        <v>PROP</v>
      </c>
      <c r="KB52" s="1234" t="str">
        <f>IF(A52=FALSE,"",IF(Detail!BJ52="","N/A",YEAR(Detail!F52)&amp;Detail!BM52&amp;Detail!BJ52&amp;"-"&amp;Detail!$BJ$13&amp;Detail!BK52))</f>
        <v>N/A</v>
      </c>
      <c r="KC52" s="431" t="str">
        <f>IF(A52=FALSE,"",IF(LISTES!$A$17=1,KB52,INDEX(colMOD3,MATCH(DA52,colchoice,0))))</f>
        <v>2017EURAnker Verzekeringen n.v.-Permanent Disability AccidentFormula 3</v>
      </c>
      <c r="KD52" s="759" t="str">
        <f t="shared" si="327"/>
        <v>Anker Verzekeringen n.v.</v>
      </c>
      <c r="KE52" s="292"/>
      <c r="KF52" s="409">
        <f t="shared" si="328"/>
        <v>6.9103448275862072E-4</v>
      </c>
      <c r="KG52" s="430">
        <f>IF(A52=FALSE,"",IF(KA52="POEA",Cotations!BG52,IF(KA52="FIXE",Cotations!BH52,IF(Cotations!BI52*Y52&lt;50000,Z52,Cotations!BI52*Y52))))</f>
        <v>90000</v>
      </c>
      <c r="KH52" s="292">
        <f t="shared" si="329"/>
        <v>76.84137931034482</v>
      </c>
      <c r="KI52" s="446">
        <f>IF(A52=FALSE,"",IF(Cotations!AU52="monthly",KH52/12*L52,KH52/365*M52))</f>
        <v>31.578649031648556</v>
      </c>
      <c r="KJ52" s="429">
        <f>IF(A52=FALSE,"",IF(Cotations!BJ52="","",Cotations!BJ52))</f>
        <v>0</v>
      </c>
      <c r="KK52" s="292">
        <f t="shared" si="330"/>
        <v>0</v>
      </c>
      <c r="KL52" s="292">
        <f t="shared" si="331"/>
        <v>31.578649031648556</v>
      </c>
      <c r="KM52" s="759">
        <f t="shared" si="332"/>
        <v>32.841794992914501</v>
      </c>
      <c r="KN52" s="759" t="e">
        <f>IF(A52=FALSE,"",((KH52*TAXE)-(KH52*TAXE*KJ52))+IF(#REF!="N/A",0,IF(INDEX(LISTES!$F$105:$F$109,MATCH(#REF!,LISTES!$C$105:$C$109,0))="FIX",#REF!,#REF!*KM52)))</f>
        <v>#REF!</v>
      </c>
      <c r="LA52" s="432" t="str">
        <f>IF(A52=FALSE,"",Cotations!AT52)</f>
        <v>PROP</v>
      </c>
      <c r="LB52" s="1234" t="str">
        <f>IF(A52=FALSE,"",IF(Detail!BR52="","N/A",YEAR(Detail!F52)&amp;Detail!BU52&amp;Detail!BR52&amp;"-"&amp;Detail!$BR$13&amp;Detail!BS52))</f>
        <v>N/A</v>
      </c>
      <c r="LC52" s="431" t="str">
        <f>IF(A52=FALSE,"",IF(LISTES!$A$17=1,LB52,INDEX(colMOD4,MATCH(DA52,colchoice,0))))</f>
        <v>2017EURAnker Verzekeringen n.v.-Permanent Disability illnessFormula 3</v>
      </c>
      <c r="LD52" s="759" t="str">
        <f t="shared" si="333"/>
        <v>Anker Verzekeringen n.v.</v>
      </c>
      <c r="LE52" s="292"/>
      <c r="LF52" s="409">
        <f t="shared" si="334"/>
        <v>2.0537931034482759E-3</v>
      </c>
      <c r="LG52" s="430">
        <f>IF(A52=FALSE,"",IF(LA52="POEA",Cotations!BK52,IF(LA52="FIXE",Cotations!BL52,IF(Cotations!BM52*Y52&lt;50000,Z52,Cotations!BM52*Y52))))</f>
        <v>90000</v>
      </c>
      <c r="LH52" s="292">
        <f t="shared" si="335"/>
        <v>184.84137931034482</v>
      </c>
      <c r="LI52" s="446">
        <f>IF(A52=FALSE,"",IF(Cotations!AU52="monthly",LH52/12*L52,LH52/365*M52))</f>
        <v>75.962210675484158</v>
      </c>
      <c r="LJ52" s="429">
        <f>IF(A52=FALSE,"",IF(Cotations!BN52="","",Cotations!BN52))</f>
        <v>0</v>
      </c>
      <c r="LK52" s="292">
        <f t="shared" si="336"/>
        <v>0</v>
      </c>
      <c r="LL52" s="292">
        <f t="shared" si="337"/>
        <v>75.962210675484158</v>
      </c>
      <c r="LM52" s="759">
        <f t="shared" si="338"/>
        <v>79.000699102503532</v>
      </c>
      <c r="LN52" s="759" t="e">
        <f>IF(A52=FALSE,"",((LH52*TAXE)-(LH52*TAXE*LJ52))+IF(#REF!="N/A",0,IF(INDEX(LISTES!$F$105:$F$109,MATCH(#REF!,LISTES!$C$105:$C$109,0))="FIX",#REF!,#REF!*LM52)))</f>
        <v>#REF!</v>
      </c>
      <c r="MA52" s="432" t="str">
        <f t="shared" si="339"/>
        <v>PROP</v>
      </c>
      <c r="MB52" s="1234" t="str">
        <f>IF(A52=FALSE,"",IF(Detail!BZ52="","N/A",YEAR(Detail!F52)&amp;Detail!CC52&amp;Detail!BZ52&amp;"-"&amp;Detail!$BZ$13&amp;" (100%/"&amp;Detail!CD52&amp;"/"&amp;Detail!CE52&amp;")"))</f>
        <v>N/A</v>
      </c>
      <c r="MC52" s="431" t="str">
        <f>IF(A52=FALSE,"",IF(LISTES!$A$17=1,MB52,INDEX(colMOD5,MATCH(DA52,colchoice,0))))</f>
        <v>2017EURAnker Verzekeringen n.v.-Temporary Disability Accident (100%/7/365)</v>
      </c>
      <c r="MD52" s="759" t="str">
        <f t="shared" si="340"/>
        <v>Anker Verzekeringen n.v.</v>
      </c>
      <c r="ME52" s="292"/>
      <c r="MF52" s="409">
        <f t="shared" si="341"/>
        <v>8.1144827586206898E-3</v>
      </c>
      <c r="MG52" s="430">
        <f>IF(A52=FALSE,"",Cotations!BQ52*AA52)</f>
        <v>30000</v>
      </c>
      <c r="MH52" s="292">
        <f t="shared" si="342"/>
        <v>243.4344827586207</v>
      </c>
      <c r="MI52" s="446">
        <f>IF(A52=FALSE,"",IF(Cotations!AU52="monthly",MH52/12*L52,MH52/365*M52))</f>
        <v>100.04156825696741</v>
      </c>
      <c r="MJ52" s="429">
        <f>IF(A52=FALSE,"",IF(Cotations!BR52="","",Cotations!BR52))</f>
        <v>0</v>
      </c>
      <c r="MK52" s="292">
        <f t="shared" si="343"/>
        <v>0</v>
      </c>
      <c r="ML52" s="292">
        <f t="shared" si="344"/>
        <v>100.04156825696741</v>
      </c>
      <c r="MM52" s="759">
        <f t="shared" si="345"/>
        <v>104.0432309872461</v>
      </c>
      <c r="MN52" s="759" t="e">
        <f>IF(A52=FALSE,"",((MH52*TAXE)-(MH52*TAXE*MJ52))+IF(#REF!="N/A",0,IF(INDEX(LISTES!$F$105:$F$109,MATCH(#REF!,LISTES!$C$105:$C$109,0))="FIX",#REF!,#REF!*MM52)))</f>
        <v>#REF!</v>
      </c>
      <c r="NA52" s="432" t="str">
        <f t="shared" si="346"/>
        <v>PROP</v>
      </c>
      <c r="NB52" s="1234" t="str">
        <f>IF(A52=FALSE,"",IF(Detail!CH52="","N/A",YEAR(Detail!F52)&amp;Detail!CK52&amp;Detail!CH52&amp;"-"&amp;Detail!$CH$13&amp;" (100%/"&amp;Detail!CL52&amp;"/"&amp;Detail!CM52&amp;")"))</f>
        <v>N/A</v>
      </c>
      <c r="NC52" s="431" t="str">
        <f>IF(A52=FALSE,"",IF(LISTES!$A$17=1,NB52,INDEX(colMOD6,MATCH(DA52,colchoice,0))))</f>
        <v>2017EURAnker Verzekeringen n.v.-Temporary Disability illness (100%/7/365)</v>
      </c>
      <c r="ND52" s="759" t="str">
        <f t="shared" si="347"/>
        <v>Anker Verzekeringen n.v.</v>
      </c>
      <c r="NE52" s="292"/>
      <c r="NF52" s="409">
        <f t="shared" si="348"/>
        <v>8.1144827586206898E-3</v>
      </c>
      <c r="NG52" s="430">
        <f>IF(A52=FALSE,"",Cotations!BU52*AA52)</f>
        <v>30000</v>
      </c>
      <c r="NH52" s="292">
        <f t="shared" si="349"/>
        <v>486.49655172413799</v>
      </c>
      <c r="NI52" s="446">
        <f>IF(A52=FALSE,"",IF(Cotations!AU52="monthly",NH52/12*L52,NH52/365*M52))</f>
        <v>199.93008974964573</v>
      </c>
      <c r="NJ52" s="429">
        <f>IF(A52=FALSE,"",IF(Cotations!BV52="","",Cotations!BV52))</f>
        <v>0</v>
      </c>
      <c r="NK52" s="292">
        <f t="shared" si="350"/>
        <v>0</v>
      </c>
      <c r="NL52" s="292">
        <f t="shared" si="351"/>
        <v>199.93008974964573</v>
      </c>
      <c r="NM52" s="759">
        <f t="shared" si="352"/>
        <v>207.92729333963158</v>
      </c>
      <c r="NN52" s="759" t="e">
        <f>IF(A52=FALSE,"",((NH52*TAXE)-(NH52*TAXE*NJ52))+IF(#REF!="N/A",0,IF(INDEX(LISTES!$F$105:$F$109,MATCH(#REF!,LISTES!$C$105:$C$109,0))="FIX",#REF!,#REF!*NM52)))</f>
        <v>#REF!</v>
      </c>
      <c r="NZ52" s="1281" t="str">
        <f>IF(A52=FALSE,"",IF(Detail!CP52="","N/A",YEAR(Detail!F52)&amp;Detail!CS52&amp;Detail!CP52&amp;"-"&amp;Detail!CQ52))</f>
        <v>N/A</v>
      </c>
      <c r="OA52" s="432" t="str">
        <f>IF(A52=FALSE,"",Cotations!CF52)</f>
        <v>FIXE</v>
      </c>
      <c r="OB52" s="1282" t="str">
        <f>IF(A52=FALSE,"",IF(Detail!CP52="","N/A",YEAR(Detail!F52)&amp;Detail!CS52&amp;Detail!CP52&amp;"-"&amp;Detail!$CP$13&amp;Detail!CQ52))</f>
        <v>N/A</v>
      </c>
      <c r="OC52" s="1283" t="str">
        <f>IF(A52=FALSE,"",IF(LISTES!$A$17=1,OB52,INDEX(colMOD1,MATCH(Cotations!CE52,colchoice,0))))</f>
        <v>N/A</v>
      </c>
      <c r="OD52" s="759" t="str">
        <f t="shared" si="353"/>
        <v>N/A</v>
      </c>
      <c r="OE52" s="292">
        <f>IF(A52=FALSE,"",Detail!CQ52)</f>
        <v>0</v>
      </c>
      <c r="OF52" s="409" t="str">
        <f t="shared" si="354"/>
        <v/>
      </c>
      <c r="OG52" s="430">
        <f>IF(A52=FALSE,"",IF(OA52="FIXE",Cotations!CM52,Cotations!CN52*AA52))</f>
        <v>100000</v>
      </c>
      <c r="OH52" s="292">
        <f t="shared" si="288"/>
        <v>0</v>
      </c>
      <c r="OI52" s="446">
        <f>IF(A52=FALSE,"",IF(Cotations!CF52="monthly",OH52/12*L52,OH52/365*M52))</f>
        <v>0</v>
      </c>
      <c r="OJ52" s="429">
        <f>IF(A52=FALSE,"",IF(Cotations!CO52="","",Cotations!CO52))</f>
        <v>0</v>
      </c>
      <c r="OK52" s="292">
        <f t="shared" si="289"/>
        <v>0</v>
      </c>
      <c r="OL52" s="292">
        <f t="shared" si="290"/>
        <v>0</v>
      </c>
      <c r="OM52" s="759">
        <f t="shared" si="355"/>
        <v>0</v>
      </c>
      <c r="ON52" s="759" t="e">
        <f>IF(A52=FALSE,"",((OH52*(1+TAXE)-(OH52*(1+TAXE)*OJ52))+IF(#REF!="N/A",0,IF(INDEX(LISTES!$F$105:$F$109,MATCH(#REF!,LISTES!$C$105:$C$109,0))="FIX",#REF!,#REF!*OM52))))</f>
        <v>#REF!</v>
      </c>
      <c r="PA52" s="432" t="str">
        <f>IF(A52=FALSE,"",Cotations!CF52)</f>
        <v>FIXE</v>
      </c>
      <c r="PB52" s="1282" t="str">
        <f>IF(A52=FALSE,"",IF(Detail!CX52="","N/A",YEAR(Detail!F52)&amp;Detail!DA52&amp;Detail!CX52&amp;"-"&amp;Detail!$CX$13&amp;Detail!CY52))</f>
        <v>N/A</v>
      </c>
      <c r="PC52" s="1283" t="str">
        <f>IF(A52=FALSE,"",IF(LISTES!$A$17=1,PB52,INDEX(colMOD3,MATCH(Cotations!CE52,colchoice,0))))</f>
        <v>N/A</v>
      </c>
      <c r="PD52" s="759" t="str">
        <f t="shared" si="356"/>
        <v>N/A</v>
      </c>
      <c r="PE52" s="292" t="str">
        <f>IF(A52=FALSE,"",IF(Detail!CY52="","",Detail!CY52))</f>
        <v/>
      </c>
      <c r="PF52" s="409">
        <f t="shared" si="291"/>
        <v>0</v>
      </c>
      <c r="PG52" s="430">
        <f>IF(A52=FALSE,"",IF(PA52="FIXE",Cotations!CP52,Cotations!CQ52*AA52))</f>
        <v>100000</v>
      </c>
      <c r="PH52" s="292">
        <f t="shared" si="292"/>
        <v>0</v>
      </c>
      <c r="PI52" s="446">
        <f>IF(A52=FALSE,"",IF(Cotations!CG52="monthly",PH52/12*L52,PH52/365*M52))</f>
        <v>0</v>
      </c>
      <c r="PJ52" s="429">
        <f>IF(A52=FALSE,"",IF(Cotations!DA52="",0,Cotations!DA52))</f>
        <v>0</v>
      </c>
      <c r="PK52" s="292">
        <f t="shared" si="293"/>
        <v>0</v>
      </c>
      <c r="PL52" s="292">
        <f t="shared" si="294"/>
        <v>0</v>
      </c>
      <c r="PM52" s="759">
        <f t="shared" si="357"/>
        <v>0</v>
      </c>
      <c r="PN52" s="759" t="e">
        <f>IF(A52=FALSE,"",((PH52*(1+TAXE)-(PH52*(1+TAXE)*PJ52))+IF(#REF!="N/A",0,IF(INDEX(LISTES!$F$105:$F$109,MATCH(#REF!,LISTES!$C$105:$C$109,0))="FIX",#REF!,#REF!*PM52))))</f>
        <v>#REF!</v>
      </c>
    </row>
    <row r="53" spans="1:430">
      <c r="A53" s="779" t="b">
        <f t="shared" si="295"/>
        <v>0</v>
      </c>
      <c r="B53" s="779" t="b">
        <f>IF(NAMES!$B$9=TRUE,TRUE,FALSE)</f>
        <v>1</v>
      </c>
      <c r="C53" s="779" t="b">
        <f t="shared" si="212"/>
        <v>0</v>
      </c>
      <c r="D53" s="779" t="b">
        <f t="shared" si="213"/>
        <v>0</v>
      </c>
      <c r="E53" s="267" t="b">
        <f>IF(Cotations!C53="","",Cotations!C53)</f>
        <v>0</v>
      </c>
      <c r="F53" s="267" t="str">
        <f>IF(Cotations!AT53="","",Cotations!AT53)</f>
        <v>PROP</v>
      </c>
      <c r="G53" s="267" t="str">
        <f>IF(Cotations!D53="","",Cotations!D53)</f>
        <v>2017-2017!</v>
      </c>
      <c r="H53" s="267" t="str">
        <f>IF(Cotations!E53="","",Cotations!E53)</f>
        <v>SINGLE</v>
      </c>
      <c r="I53" s="267" t="str">
        <f>IF(Cotations!F53="","",Cotations!F53)</f>
        <v/>
      </c>
      <c r="J53" s="267" t="str">
        <f>IF(Cotations!G53="","",Cotations!G53)</f>
        <v/>
      </c>
      <c r="K53" s="267" t="str">
        <f>IF(Cotations!H53="","",Cotations!H53)</f>
        <v/>
      </c>
      <c r="L53" s="267" t="str">
        <f>IF(A53=FALSE,"",IF(Cotations!M53="","",Cotations!M53))</f>
        <v/>
      </c>
      <c r="M53" s="267" t="str">
        <f>IF(Cotations!O53="","",Cotations!O53)</f>
        <v/>
      </c>
      <c r="N53" s="588" t="str">
        <f>IF(NAMES!$B$10=TRUE,Cotations!I53,Cotations!K53)</f>
        <v/>
      </c>
      <c r="O53" s="588" t="str">
        <f>IF(NAMES!$B$10=TRUE,Cotations!J53,Cotations!L53)</f>
        <v/>
      </c>
      <c r="P53" s="780" t="str">
        <f t="shared" si="214"/>
        <v/>
      </c>
      <c r="Q53" s="588" t="str">
        <f>IF(A53=FALSE,"",IF(Crewlist!Y53="","",Crewlist!Y53))</f>
        <v/>
      </c>
      <c r="R53" s="78" t="str">
        <f>IF(Cotations!T53="","",Cotations!T53)</f>
        <v/>
      </c>
      <c r="S53" s="780" t="str">
        <f t="shared" si="215"/>
        <v/>
      </c>
      <c r="T53" s="759" t="str">
        <f>IF(A53=FALSE,"",VLOOKUP($U$15:$U$120,Currency!$A$2:$D$10,4,0)*Crewlist!N53)</f>
        <v/>
      </c>
      <c r="U53" s="1097" t="str">
        <f>IF(A53=FALSE,"",IF(DP53=0,Crewlist!M53&amp;"/"&amp;CP53,Crewlist!M53&amp;"/"&amp;DP53))</f>
        <v/>
      </c>
      <c r="V53" s="759" t="str">
        <f>IF(A53=FALSE,"",VLOOKUP($U$15:$U$120,Currency!$A$2:$D$10,4,0)*Detail!Q53)</f>
        <v/>
      </c>
      <c r="W53" s="1097" t="str">
        <f>IF(A53=FALSE,"",IF(DP53=0,Detail!R53&amp;"/"&amp;CP53,Detail!R53&amp;"/"&amp;DP53))</f>
        <v/>
      </c>
      <c r="X53" s="759" t="str">
        <f>IF(A53=FALSE,"",IF(LISTES!$C$17="Crewlist",Calcul!T53,Calcul!V53))</f>
        <v/>
      </c>
      <c r="Y53" s="618" t="str">
        <f t="shared" si="216"/>
        <v/>
      </c>
      <c r="Z53" s="618" t="str">
        <f>IF(A53=FALSE,"",IF(X53=0,0,IF((Cotations!BA53*12*X53)&lt;50000,50000,(12*X53))))</f>
        <v/>
      </c>
      <c r="AA53" s="618" t="str">
        <f t="shared" si="217"/>
        <v/>
      </c>
      <c r="AB53" s="618" t="str">
        <f>IF(A53=FALSE,"",IF(Crewlist!O53=0,"",Crewlist!O53))</f>
        <v/>
      </c>
      <c r="AC53" s="618" t="str">
        <f>IF(I53="","",VLOOKUP($AB$15:$AB$120,Currency!$A$15:$B$34,2,0))</f>
        <v/>
      </c>
      <c r="AD53" s="618" t="str">
        <f t="shared" si="218"/>
        <v/>
      </c>
      <c r="AE53" s="618" t="str">
        <f t="shared" si="219"/>
        <v/>
      </c>
      <c r="AF53" s="618" t="str">
        <f t="shared" si="220"/>
        <v/>
      </c>
      <c r="AG53" s="618" t="str">
        <f t="shared" si="221"/>
        <v/>
      </c>
      <c r="AH53" s="1097" t="str">
        <f t="shared" si="296"/>
        <v/>
      </c>
      <c r="AI53" s="759" t="str">
        <f t="shared" si="222"/>
        <v/>
      </c>
      <c r="AJ53" s="1120" t="str">
        <f t="shared" si="223"/>
        <v/>
      </c>
      <c r="AK53" s="1120" t="str">
        <f t="shared" si="224"/>
        <v/>
      </c>
      <c r="AL53" s="236" t="str">
        <f t="shared" si="225"/>
        <v/>
      </c>
      <c r="AM53" s="236" t="str">
        <f t="shared" si="226"/>
        <v/>
      </c>
      <c r="AN53" s="1112" t="str">
        <f t="shared" si="227"/>
        <v/>
      </c>
      <c r="AO53" s="236" t="str">
        <f t="shared" si="228"/>
        <v/>
      </c>
      <c r="AP53" s="327" t="str">
        <f>IF(A53=FALSE,"",INDEX(Rates!$Q$1:$Q$278,MATCH(CA53,colchoice,0)))</f>
        <v/>
      </c>
      <c r="AQ53" s="236" t="str">
        <f t="shared" si="229"/>
        <v/>
      </c>
      <c r="AR53" s="236" t="str">
        <f t="shared" si="230"/>
        <v/>
      </c>
      <c r="AS53" s="236" t="str">
        <f t="shared" si="297"/>
        <v/>
      </c>
      <c r="AT53" s="236" t="str">
        <f t="shared" si="298"/>
        <v/>
      </c>
      <c r="AU53" s="236" t="str">
        <f t="shared" si="231"/>
        <v/>
      </c>
      <c r="AV53" s="236" t="str">
        <f t="shared" si="232"/>
        <v/>
      </c>
      <c r="AW53" s="236" t="str">
        <f t="shared" si="233"/>
        <v/>
      </c>
      <c r="AX53" s="236" t="str">
        <f t="shared" si="234"/>
        <v/>
      </c>
      <c r="AY53" s="236" t="str">
        <f t="shared" si="235"/>
        <v/>
      </c>
      <c r="AZ53" s="236" t="str">
        <f t="shared" si="236"/>
        <v/>
      </c>
      <c r="BA53" s="236" t="str">
        <f t="shared" si="237"/>
        <v/>
      </c>
      <c r="BB53" s="467" t="str">
        <f t="shared" si="238"/>
        <v/>
      </c>
      <c r="BC53" s="329" t="str">
        <f t="shared" si="239"/>
        <v/>
      </c>
      <c r="BD53" s="237" t="str">
        <f t="shared" si="240"/>
        <v/>
      </c>
      <c r="BE53" s="237" t="str">
        <f>IF(A53=FALSE,"",IF(ED53&lt;&gt;$BC$7,0,INDEX(EA53:EZ53,1,MATCH(Structure!$J$16,$EA$14:$EZ$14,0))))</f>
        <v/>
      </c>
      <c r="BF53" s="237" t="str">
        <f>IF(A53=FALSE,"",IF(FD53&lt;&gt;$BC$7,0,INDEX(FA53:FZ53,1,MATCH(Structure!$J$16,$FA$14:$FZ$14,0))))</f>
        <v/>
      </c>
      <c r="BG53" s="237" t="str">
        <f>IF(A53=FALSE,"",IF(GD53&lt;&gt;$BC$7,0,INDEX(GA53:GZ53,1,MATCH(Structure!$J$16,$GA$14:$GZ$14,0))))</f>
        <v/>
      </c>
      <c r="BH53" s="237" t="str">
        <f>IF(A53=FALSE,"",IF(HD53&lt;&gt;$BC$7,0,INDEX(HA53:HZ53,1,MATCH(Structure!$J$16,$HA$14:$HZ$14,0))))</f>
        <v/>
      </c>
      <c r="BI53" s="621" t="str">
        <f>IF(A53=FALSE,"",IF(ID53&lt;&gt;$BC$7,0,INDEX(IA53:IZ53,1,MATCH(Structure!$C$12,$IA$14:$IZ$14,0)))+OL53)</f>
        <v/>
      </c>
      <c r="BJ53" s="237" t="str">
        <f>IF(A53=FALSE,"",IF(JD53&lt;&gt;$BC$7,0,INDEX(JA53:JZ53,1,MATCH(Structure!$C$12,$JA$14:$JZ$14,0))))</f>
        <v/>
      </c>
      <c r="BK53" s="621" t="str">
        <f>IF(A53=FALSE,"",IF(KD53&lt;&gt;$BC$7,0,INDEX(KA53:KZ53,1,MATCH(Structure!$C$12,$KA$14:$KZ$14,0)))+PL53)</f>
        <v/>
      </c>
      <c r="BL53" s="237" t="str">
        <f>IF(A53=FALSE,"",IF(LD53&lt;&gt;$BC$7,0,INDEX(LA53:LZ53,1,MATCH(Structure!$C$12,$LA$14:$LZ$14,0))))</f>
        <v/>
      </c>
      <c r="BM53" s="237" t="str">
        <f>IF(A53=FALSE,"",IF(MD53&lt;&gt;$BC$7,0,INDEX(MA53:MZ53,1,MATCH(Structure!$C$12,$MA$14:$MZ$14,0))))</f>
        <v/>
      </c>
      <c r="BN53" s="326" t="str">
        <f>IF(A53=FALSE,"",IF(ND53&lt;&gt;$BC$7,0,INDEX(NA53:OC53,1,MATCH(Structure!$C$12,$NA$14:$OC$14,0))))</f>
        <v/>
      </c>
      <c r="BO53" s="435" t="str">
        <f t="shared" si="241"/>
        <v/>
      </c>
      <c r="BP53" s="237" t="str">
        <f t="shared" si="242"/>
        <v/>
      </c>
      <c r="BQ53" s="237" t="str">
        <f>IF(A53=FALSE,"",IF(ED53&lt;&gt;$BO$7,0,INDEX(EA53:EZ53,1,MATCH(Structure!$C$12,$EA$14:$EZ$14,0))))</f>
        <v/>
      </c>
      <c r="BR53" s="237" t="str">
        <f>IF(A53=FALSE,"",IF(FD53&lt;&gt;$BO$7,0,INDEX(FA53:FZ53,1,MATCH(Structure!$C$12,$FA$14:$FZ$14,0))))</f>
        <v/>
      </c>
      <c r="BS53" s="237" t="str">
        <f>IF(A53=FALSE,"",IF(ID53&lt;&gt;$BO$7,0,INDEX(IA53:IZ53,1,MATCH(Structure!$C$13,$IA$14:$IZ$14,0))))</f>
        <v/>
      </c>
      <c r="BT53" s="237" t="str">
        <f>IF(A53=FALSE,"",IF(JD53&lt;&gt;$BO$7,0,INDEX(JA53:JZ53,1,MATCH(Structure!$C$13,$JA$14:$JZ$14,0))))</f>
        <v/>
      </c>
      <c r="BU53" s="237" t="str">
        <f>IF(A53=FALSE,"",IF(KD53&lt;&gt;$BO$7,0,INDEX(KA53:KZ53,1,MATCH(Structure!$C$13,$KA$14:$KZ$14,0))))</f>
        <v/>
      </c>
      <c r="BV53" s="237" t="str">
        <f>IF(A53=FALSE,"",IF(LD53&lt;&gt;$BO$7,0,INDEX(LA53:LZ53,1,MATCH(Structure!$C$13,$LA$14:$LZ$14,0))))</f>
        <v/>
      </c>
      <c r="BW53" s="237" t="str">
        <f>IF(A53=FALSE,"",IF(MD53&lt;&gt;$BO$7,0,INDEX(MA53:MZ53,1,MATCH(Structure!$C$13,$MA$14:$MZ$14,0))))</f>
        <v/>
      </c>
      <c r="BX53" s="326" t="str">
        <f>IF(A53=FALSE,"",IF(ND53&lt;&gt;$BO$7,0,INDEX(NA53:OC53,1,MATCH(Structure!$C$13,$NA$14:$OC$14,0))))</f>
        <v/>
      </c>
      <c r="BY53" s="412"/>
      <c r="BZ53" s="412"/>
      <c r="CA53" s="1255" t="str">
        <f>IF(A53=FALSE,"",IF(LISTES!$A$17=1,Cotations!AG53,Cotations!AH53))</f>
        <v/>
      </c>
      <c r="CB53" s="1266" t="str">
        <f t="shared" si="243"/>
        <v/>
      </c>
      <c r="CC53" s="1120" t="str">
        <f t="shared" si="244"/>
        <v/>
      </c>
      <c r="CD53" s="1120" t="str">
        <f t="shared" si="245"/>
        <v/>
      </c>
      <c r="CE53" s="1120" t="str">
        <f t="shared" si="246"/>
        <v/>
      </c>
      <c r="CF53" s="1120" t="str">
        <f t="shared" si="247"/>
        <v/>
      </c>
      <c r="CG53" s="1267"/>
      <c r="CH53" s="1267"/>
      <c r="CI53" s="1268" t="str">
        <f t="shared" si="248"/>
        <v/>
      </c>
      <c r="CJ53" s="286" t="str">
        <f t="shared" si="249"/>
        <v/>
      </c>
      <c r="CK53" s="286" t="str">
        <f t="shared" si="250"/>
        <v/>
      </c>
      <c r="CL53" s="1263"/>
      <c r="CM53" s="1263"/>
      <c r="CN53" s="1263"/>
      <c r="CO53" s="1263"/>
      <c r="CP53" s="319" t="str">
        <f t="shared" si="251"/>
        <v/>
      </c>
      <c r="CQ53" s="443" t="str">
        <f>IF(A53=FALSE,"",Cotations!AM53)</f>
        <v/>
      </c>
      <c r="CR53" s="443" t="str">
        <f>IF(A53=FALSE,"",IF(Cotations!AN53="","",Cotations!AN53))</f>
        <v/>
      </c>
      <c r="CS53" s="433" t="str">
        <f>IF(A53=FALSE,"",Cotations!AO53)</f>
        <v/>
      </c>
      <c r="CT53" s="443" t="str">
        <f>IF(A53=FALSE,"",IF(CQ53="N/A",0,IF(INDEX(LISTES!$F$105:$F$109,MATCH(CQ53,LISTES!$C$105:$C$109,0))="FIX",IF(INDEX(LISTES!$E$105:$E$109,MATCH(CQ53,LISTES!$C$105:$C$109,0))=12,CR53/12*L53,CR53/365*M53),CS53*EQ53)))</f>
        <v/>
      </c>
      <c r="CU53" s="434" t="str">
        <f>IF(A53=FALSE,"",(CJ53+CK53)*Cotations!AP53)</f>
        <v/>
      </c>
      <c r="CV53" s="434" t="str">
        <f>IF(A53=FALSE,"",(CJ53+CK53)*Cotations!AQ53)</f>
        <v/>
      </c>
      <c r="DA53" s="1253" t="str">
        <f>IF(A53=FALSE,"",IF(LISTES!$A$17=1,Cotations!AV53,Cotations!AW53))</f>
        <v/>
      </c>
      <c r="DB53" s="1271" t="str">
        <f t="shared" si="252"/>
        <v/>
      </c>
      <c r="DC53" s="1270" t="str">
        <f t="shared" si="253"/>
        <v/>
      </c>
      <c r="DD53" s="1270" t="str">
        <f t="shared" si="254"/>
        <v/>
      </c>
      <c r="DE53" s="1270" t="str">
        <f t="shared" si="255"/>
        <v/>
      </c>
      <c r="DF53" s="1270" t="str">
        <f t="shared" si="256"/>
        <v/>
      </c>
      <c r="DG53" s="1270" t="str">
        <f t="shared" si="257"/>
        <v/>
      </c>
      <c r="DH53" s="1270" t="str">
        <f t="shared" si="258"/>
        <v/>
      </c>
      <c r="DI53" s="1271" t="str">
        <f t="shared" si="259"/>
        <v/>
      </c>
      <c r="DJ53" s="286" t="str">
        <f t="shared" si="260"/>
        <v/>
      </c>
      <c r="DK53" s="286" t="str">
        <f t="shared" si="261"/>
        <v/>
      </c>
      <c r="DL53" s="1264" t="str">
        <f t="shared" si="262"/>
        <v/>
      </c>
      <c r="DM53" s="1264" t="str">
        <f t="shared" si="263"/>
        <v/>
      </c>
      <c r="DN53" s="1264" t="str">
        <f t="shared" si="264"/>
        <v/>
      </c>
      <c r="DO53" s="1264" t="str">
        <f t="shared" si="265"/>
        <v/>
      </c>
      <c r="DP53" s="323" t="str">
        <f t="shared" si="299"/>
        <v/>
      </c>
      <c r="DQ53" s="444" t="str">
        <f>IF(A53=FALSE,"",Cotations!BW53)</f>
        <v/>
      </c>
      <c r="DR53" s="444" t="str">
        <f>IF(A53=FALSE,"",Cotations!BX53)</f>
        <v/>
      </c>
      <c r="DS53" s="433" t="str">
        <f>IF(A53=FALSE,"",Cotations!BY53)</f>
        <v/>
      </c>
      <c r="DT53" s="830" t="str">
        <f>IF(A53=FALSE,"",IF(DQ53="N/A",0,IF(INDEX(LISTES!$F$105:$F$109,MATCH(DQ53,LISTES!$C$105:$C$109,0))="FIX",IF(INDEX(LISTES!$E$105:$E$109,MATCH(DQ53,LISTES!$C$105:$C$109,0))=12,DR53/12*L53,DR53/365*M53),DS53*(DN53+DO53))))</f>
        <v/>
      </c>
      <c r="DU53" s="434" t="str">
        <f>IF(A53=FALSE,"",DJ53*Cotations!BZ53)</f>
        <v/>
      </c>
      <c r="DV53" s="434" t="str">
        <f>IF(A53=FALSE,"",DJ53*Cotations!CA53)</f>
        <v/>
      </c>
      <c r="EA53" s="432" t="str">
        <f>IF(A53=FALSE,"",Cotations!AT53)</f>
        <v/>
      </c>
      <c r="EB53" s="1234" t="str">
        <f>IF(A53=FALSE,"",YEAR(Detail!F53)&amp;Detail!AG53&amp;Detail!AD53&amp;"-"&amp;Detail!$AD$13&amp;Detail!AE53)</f>
        <v/>
      </c>
      <c r="EC53" s="434" t="str">
        <f>IF(A53=FALSE,"",IF(LISTES!$A$17=1,EB53,INDEX(colMOD1,MATCH(Cotations!AH53,colchoice,0))))</f>
        <v/>
      </c>
      <c r="ED53" s="277" t="str">
        <f t="shared" si="300"/>
        <v/>
      </c>
      <c r="EE53" s="277" t="str">
        <f t="shared" si="301"/>
        <v/>
      </c>
      <c r="EF53" s="277"/>
      <c r="EG53" s="277"/>
      <c r="EH53" s="277" t="str">
        <f t="shared" si="302"/>
        <v/>
      </c>
      <c r="EI53" s="1104" t="str">
        <f t="shared" si="303"/>
        <v/>
      </c>
      <c r="EJ53" s="1104" t="str">
        <f t="shared" si="304"/>
        <v/>
      </c>
      <c r="EK53" s="443" t="str">
        <f>IF(A53=FALSE,"",IF(Cotations!AF53="monthly",EH53/12*L53,EH53/365*M53))</f>
        <v/>
      </c>
      <c r="EL53" s="1103" t="str">
        <f>IF(A53=FALSE,"",IF(Cotations!AF53="monthly",EJ53/12*L53,EJ53/365*M53))</f>
        <v/>
      </c>
      <c r="EM53" s="433" t="str">
        <f>IF(A53=FALSE,"",IF(Cotations!AI53="","",Cotations!AI53))</f>
        <v/>
      </c>
      <c r="EN53" s="277" t="str">
        <f t="shared" si="305"/>
        <v/>
      </c>
      <c r="EO53" s="277" t="str">
        <f t="shared" si="306"/>
        <v/>
      </c>
      <c r="EP53" s="1104" t="str">
        <f t="shared" si="307"/>
        <v/>
      </c>
      <c r="EQ53" s="277" t="str">
        <f t="shared" si="308"/>
        <v/>
      </c>
      <c r="ER53" s="759" t="str">
        <f>IF(A53=FALSE,"",((EH53*TAXE)-(EH53*TAXE*EM53)+EI53)+IF(CQ53="N/A",0,IF(INDEX(LISTES!$F$105:$F$109,MATCH(CQ53,LISTES!$C$105:$C$109,0))="FIX",CR53,CS53*EQ53)))</f>
        <v/>
      </c>
      <c r="ET53" s="422"/>
      <c r="EU53" s="422"/>
      <c r="EV53" s="422"/>
      <c r="EW53" s="422"/>
      <c r="EX53" s="422"/>
      <c r="EY53" s="422"/>
      <c r="EZ53" s="422"/>
      <c r="FA53" s="432" t="str">
        <f>IF(A53=FALSE,"",Cotations!AT53)</f>
        <v/>
      </c>
      <c r="FB53" s="1235" t="str">
        <f>IF(A53=FALSE,"",IF(Detail!AL53="","N/A",YEAR(Detail!F53)&amp;Detail!AO53&amp;Detail!AL53&amp;"-"&amp;Detail!$AL$13&amp;Detail!AM53))</f>
        <v/>
      </c>
      <c r="FC53" s="434" t="str">
        <f>IF(A53=FALSE,"",IF(LISTES!$A$17=1,FB53,INDEX(colMOD2,MATCH(Cotations!AH53,colchoice,0))))</f>
        <v/>
      </c>
      <c r="FD53" s="277" t="str">
        <f t="shared" si="309"/>
        <v/>
      </c>
      <c r="FE53" s="443" t="str">
        <f>IF(A53=FALSE,"",IF(Detail!AM53="","",Detail!AM53))</f>
        <v/>
      </c>
      <c r="FF53" s="277"/>
      <c r="FG53" s="277"/>
      <c r="FH53" s="277" t="str">
        <f t="shared" si="310"/>
        <v/>
      </c>
      <c r="FI53" s="1104"/>
      <c r="FJ53" s="1104"/>
      <c r="FK53" s="443" t="str">
        <f>IF(A53=FALSE,"",IF(Cotations!AF53="monthly",FH53/12*L53,FH53/365*M53))</f>
        <v/>
      </c>
      <c r="FL53" s="1103" t="str">
        <f>IF(A53=FALSE,"",IF(Cotations!AF53="monthly",FJ53/12*L53,FJ53/365*M53))</f>
        <v/>
      </c>
      <c r="FM53" s="433" t="str">
        <f>IF(A53=FALSE,"",IF(Cotations!AJ53="","",Cotations!AJ53))</f>
        <v/>
      </c>
      <c r="FN53" s="277" t="str">
        <f t="shared" si="268"/>
        <v/>
      </c>
      <c r="FO53" s="277" t="str">
        <f t="shared" si="269"/>
        <v/>
      </c>
      <c r="FP53" s="1104"/>
      <c r="FQ53" s="277" t="str">
        <f t="shared" si="270"/>
        <v/>
      </c>
      <c r="FR53" s="759" t="str">
        <f>IF(A53=FALSE,"",((FH53*TAXE)-(FH53*TAXE*FM53))+IF(#REF!="N/A",0,IF(INDEX(LISTES!$F$105:$F$109,MATCH(#REF!,LISTES!$C$105:$C$109,0))="FIX",#REF!,#REF!*FQ53)))</f>
        <v/>
      </c>
      <c r="FS53" s="422"/>
      <c r="FT53" s="422"/>
      <c r="FU53" s="422"/>
      <c r="FV53" s="422"/>
      <c r="FW53" s="422"/>
      <c r="FX53" s="422"/>
      <c r="FY53" s="422"/>
      <c r="FZ53" s="422"/>
      <c r="GA53" s="432" t="str">
        <f t="shared" si="311"/>
        <v/>
      </c>
      <c r="GB53" s="1234" t="str">
        <f>IF(A53=FALSE,"",IF(Detail!DF53="","N/A",YEAR(Detail!F53)&amp;Detail!DI53&amp;Detail!DF53&amp;"-"&amp;Detail!$DF$13))</f>
        <v/>
      </c>
      <c r="GC53" s="434" t="str">
        <f>IF(A53=FALSE,"",IF(LISTES!$A$17=1,GB53,INDEX(colMOD3,MATCH(Cotations!AH53,colchoice,0))))</f>
        <v/>
      </c>
      <c r="GD53" s="277" t="str">
        <f t="shared" si="312"/>
        <v/>
      </c>
      <c r="GE53" s="277" t="str">
        <f t="shared" si="313"/>
        <v/>
      </c>
      <c r="GF53" s="277"/>
      <c r="GG53" s="277"/>
      <c r="GH53" s="277" t="str">
        <f t="shared" si="271"/>
        <v/>
      </c>
      <c r="GI53" s="1104" t="str">
        <f t="shared" si="272"/>
        <v/>
      </c>
      <c r="GJ53" s="1104" t="str">
        <f t="shared" si="273"/>
        <v/>
      </c>
      <c r="GK53" s="443" t="str">
        <f>IF(A53=FALSE,"",IF(Cotations!AF53="monthly",GH53/12*L53,GH53/365*M53))</f>
        <v/>
      </c>
      <c r="GL53" s="1103" t="str">
        <f>IF(A53=FALSE,"",IF(Cotations!AF53="monthly",GJ53/12*L53,GJ53/365*M53))</f>
        <v/>
      </c>
      <c r="GM53" s="433" t="str">
        <f>IF(A53=FALSE,"",IF(Cotations!AK53="","",Cotations!AK53))</f>
        <v/>
      </c>
      <c r="GN53" s="277" t="str">
        <f t="shared" si="274"/>
        <v/>
      </c>
      <c r="GO53" s="277" t="str">
        <f t="shared" si="275"/>
        <v/>
      </c>
      <c r="GP53" s="1104" t="str">
        <f t="shared" si="276"/>
        <v/>
      </c>
      <c r="GQ53" s="277" t="str">
        <f t="shared" si="277"/>
        <v/>
      </c>
      <c r="GR53" s="759" t="str">
        <f>IF(A53=FALSE,"",((GH53*TAXE)-(GH53*TAXE*GM53)+GI53)+IF(CQ53="N/A",0,IF(INDEX(LISTES!$F$105:$F$109,MATCH(CQ53,LISTES!$C$105:$C$109,0))="FIX",CR53,CS53*GQ53)))</f>
        <v/>
      </c>
      <c r="GS53" s="412"/>
      <c r="GT53" s="412"/>
      <c r="GU53" s="412"/>
      <c r="GV53" s="412"/>
      <c r="GW53" s="412"/>
      <c r="GX53" s="412"/>
      <c r="GY53" s="412"/>
      <c r="GZ53" s="412"/>
      <c r="HA53" s="432" t="str">
        <f t="shared" si="314"/>
        <v/>
      </c>
      <c r="HB53" s="1234" t="str">
        <f>IF(A53=FALSE,"",IF(Detail!DF53="","N/A",YEAR(Detail!F53)&amp;Detail!DI53&amp;Detail!DF53&amp;"-"&amp;Detail!$DF$13))</f>
        <v/>
      </c>
      <c r="HC53" s="434" t="str">
        <f>IF(A53=FALSE,"",IF(LISTES!$A$17=1,HB53,INDEX(colMOD4,MATCH(Cotations!AH53,colchoice,0))))</f>
        <v/>
      </c>
      <c r="HD53" s="277" t="str">
        <f t="shared" si="278"/>
        <v/>
      </c>
      <c r="HE53" s="277" t="str">
        <f t="shared" si="279"/>
        <v/>
      </c>
      <c r="HF53" s="277"/>
      <c r="HG53" s="277"/>
      <c r="HH53" s="277" t="str">
        <f t="shared" si="280"/>
        <v/>
      </c>
      <c r="HI53" s="1104" t="str">
        <f t="shared" si="281"/>
        <v/>
      </c>
      <c r="HJ53" s="1104" t="str">
        <f t="shared" si="282"/>
        <v/>
      </c>
      <c r="HK53" s="443" t="str">
        <f>IF(A53=FALSE,"",IF(Cotations!AF53="monthly",HH53/12*L53,HH53/365*M53))</f>
        <v/>
      </c>
      <c r="HL53" s="1103" t="str">
        <f>IF(A53=FALSE,"",IF(Cotations!AF53="monthly",HJ53/12*L53,HJ53/365*M53))</f>
        <v/>
      </c>
      <c r="HM53" s="433" t="str">
        <f>IF(A53=FALSE,"",IF(Cotations!AL53="","",Cotations!AL53))</f>
        <v/>
      </c>
      <c r="HN53" s="277" t="str">
        <f t="shared" si="283"/>
        <v/>
      </c>
      <c r="HO53" s="277" t="str">
        <f t="shared" si="284"/>
        <v/>
      </c>
      <c r="HP53" s="1104" t="str">
        <f t="shared" si="285"/>
        <v/>
      </c>
      <c r="HQ53" s="277" t="str">
        <f t="shared" si="286"/>
        <v/>
      </c>
      <c r="HR53" s="759" t="str">
        <f>IF(A53=FALSE,"",((HH53*TAXE)-(HH53*TAXE*HM53)+HI53)+IF(CQ53="N/A",0,IF(INDEX(LISTES!$F$105:$F$109,MATCH(CQ53,LISTES!$C$105:$C$109,0))="FIX",CR53,CS53*HQ53)))</f>
        <v/>
      </c>
      <c r="HS53" s="412"/>
      <c r="HT53" s="412"/>
      <c r="HU53" s="412"/>
      <c r="HV53" s="412"/>
      <c r="HW53" s="412"/>
      <c r="HX53" s="412"/>
      <c r="HY53" s="412"/>
      <c r="HZ53" s="1262"/>
      <c r="IA53" s="432" t="str">
        <f>IF(A53=FALSE,"",Cotations!AT53)</f>
        <v/>
      </c>
      <c r="IB53" s="1253" t="str">
        <f>IF(A53=FALSE,"",IF(Detail!AT53="","N/A",YEAR(Detail!F53)&amp;Detail!AW53&amp;Detail!AT53&amp;"-"&amp;Detail!$AT$13&amp;Detail!AU53))</f>
        <v/>
      </c>
      <c r="IC53" s="431" t="str">
        <f>IF(A53=FALSE,"",IF(LISTES!$A$17=1,IB53,INDEX(colMOD1,MATCH(DA53,colchoice,0))))</f>
        <v/>
      </c>
      <c r="ID53" s="759" t="str">
        <f t="shared" si="358"/>
        <v/>
      </c>
      <c r="IE53" s="292" t="str">
        <f>IF(A53=FALSE,"",IF(LISTES!$A$17=1,Detail!AU53,INDEX(Rates!$M$1:$M$270,MATCH(IC53,colMOD1,0))))</f>
        <v/>
      </c>
      <c r="IF53" s="409" t="str">
        <f t="shared" si="359"/>
        <v/>
      </c>
      <c r="IG53" s="430" t="str">
        <f>IF(A53=FALSE,"",IF(IA53="POEA",Cotations!AY53,IF(IA53="FIXE",Cotations!AZ53,IF(Cotations!BA53*Y53&lt;50000,Z53,Cotations!BA53*Y53))))</f>
        <v/>
      </c>
      <c r="IH53" s="292" t="str">
        <f t="shared" si="360"/>
        <v/>
      </c>
      <c r="II53" s="446" t="str">
        <f>IF(A53=FALSE,"",IF(Cotations!AU53="monthly",IH53/12*L53,IH53/365*M53))</f>
        <v/>
      </c>
      <c r="IJ53" s="429" t="str">
        <f>IF(A53=FALSE,"",IF(Cotations!BB53="","",Cotations!BB53))</f>
        <v/>
      </c>
      <c r="IK53" s="292" t="str">
        <f t="shared" si="361"/>
        <v/>
      </c>
      <c r="IL53" s="292" t="str">
        <f t="shared" si="362"/>
        <v/>
      </c>
      <c r="IM53" s="759" t="str">
        <f t="shared" si="363"/>
        <v/>
      </c>
      <c r="IN53" s="759" t="str">
        <f>IF(A53=FALSE,"",((IH53*TAXE)-(IH53*TAXE*IJ53))+IF(DQ53="N/A",0,IF(INDEX(LISTES!$F$105:$F$109,MATCH(DQ53,LISTES!$C$105:$C$109,0))="FIX",DR53,DS53*IM53)))</f>
        <v/>
      </c>
      <c r="JA53" s="432" t="str">
        <f>IF(A53=FALSE,"",Cotations!AT53)</f>
        <v/>
      </c>
      <c r="JB53" s="1234" t="str">
        <f>IF(A53=FALSE,"",IF(Detail!BB53="","N/A",YEAR(Detail!F53)&amp;Detail!BE53&amp;Detail!BB53&amp;"-"&amp;Detail!$BB$13&amp;Detail!BC53))</f>
        <v/>
      </c>
      <c r="JC53" s="431" t="str">
        <f>IF(A53=FALSE,"",IF(LISTES!$A$17=1,JB53,INDEX(colMOD2,MATCH(DA53,colchoice,0))))</f>
        <v/>
      </c>
      <c r="JD53" s="759" t="str">
        <f t="shared" si="321"/>
        <v/>
      </c>
      <c r="JE53" s="292"/>
      <c r="JF53" s="409" t="str">
        <f t="shared" si="322"/>
        <v/>
      </c>
      <c r="JG53" s="430" t="str">
        <f>IF(A53=FALSE,"",IF(JA53="POEA",Cotations!BC53,IF(JA53="FIXE",Cotations!BD53,IF(Cotations!BE53*Y53&lt;50000,Z53,Cotations!BE53*Y53))))</f>
        <v/>
      </c>
      <c r="JH53" s="292" t="str">
        <f t="shared" si="323"/>
        <v/>
      </c>
      <c r="JI53" s="446" t="str">
        <f>IF(A53=FALSE,"",IF(Cotations!AU53="monthly",JH53/12*L53,JH53/365*M53))</f>
        <v/>
      </c>
      <c r="JJ53" s="429" t="str">
        <f>IF(A53=FALSE,"",IF(Cotations!BF53="","",Cotations!BF53))</f>
        <v/>
      </c>
      <c r="JK53" s="292" t="str">
        <f t="shared" si="324"/>
        <v/>
      </c>
      <c r="JL53" s="292" t="str">
        <f t="shared" si="325"/>
        <v/>
      </c>
      <c r="JM53" s="759" t="str">
        <f t="shared" si="326"/>
        <v/>
      </c>
      <c r="JN53" s="759" t="str">
        <f>IF(A53=FALSE,"",((JH53*TAXE)-(JH53*TAXE*JJ53))+IF(#REF!="N/A",0,IF(INDEX(LISTES!$F$105:$F$109,MATCH(#REF!,LISTES!$C$105:$C$109,0))="FIX",#REF!,#REF!*JM53)))</f>
        <v/>
      </c>
      <c r="KA53" s="432" t="str">
        <f>IF(A53=FALSE,"",Cotations!AT53)</f>
        <v/>
      </c>
      <c r="KB53" s="1234" t="str">
        <f>IF(A53=FALSE,"",IF(Detail!BJ53="","N/A",YEAR(Detail!F53)&amp;Detail!BM53&amp;Detail!BJ53&amp;"-"&amp;Detail!$BJ$13&amp;Detail!BK53))</f>
        <v/>
      </c>
      <c r="KC53" s="431" t="str">
        <f>IF(A53=FALSE,"",IF(LISTES!$A$17=1,KB53,INDEX(colMOD3,MATCH(DA53,colchoice,0))))</f>
        <v/>
      </c>
      <c r="KD53" s="759" t="str">
        <f t="shared" si="327"/>
        <v/>
      </c>
      <c r="KE53" s="292"/>
      <c r="KF53" s="409" t="str">
        <f t="shared" si="328"/>
        <v/>
      </c>
      <c r="KG53" s="430" t="str">
        <f>IF(A53=FALSE,"",IF(KA53="POEA",Cotations!BG53,IF(KA53="FIXE",Cotations!BH53,IF(Cotations!BI53*Y53&lt;50000,Z53,Cotations!BI53*Y53))))</f>
        <v/>
      </c>
      <c r="KH53" s="292" t="str">
        <f t="shared" si="329"/>
        <v/>
      </c>
      <c r="KI53" s="446" t="str">
        <f>IF(A53=FALSE,"",IF(Cotations!AU53="monthly",KH53/12*L53,KH53/365*M53))</f>
        <v/>
      </c>
      <c r="KJ53" s="429" t="str">
        <f>IF(A53=FALSE,"",IF(Cotations!BJ53="","",Cotations!BJ53))</f>
        <v/>
      </c>
      <c r="KK53" s="292" t="str">
        <f t="shared" si="330"/>
        <v/>
      </c>
      <c r="KL53" s="292" t="str">
        <f t="shared" si="331"/>
        <v/>
      </c>
      <c r="KM53" s="759" t="str">
        <f t="shared" si="332"/>
        <v/>
      </c>
      <c r="KN53" s="759" t="str">
        <f>IF(A53=FALSE,"",((KH53*TAXE)-(KH53*TAXE*KJ53))+IF(#REF!="N/A",0,IF(INDEX(LISTES!$F$105:$F$109,MATCH(#REF!,LISTES!$C$105:$C$109,0))="FIX",#REF!,#REF!*KM53)))</f>
        <v/>
      </c>
      <c r="LA53" s="432" t="str">
        <f>IF(A53=FALSE,"",Cotations!AT53)</f>
        <v/>
      </c>
      <c r="LB53" s="1234" t="str">
        <f>IF(A53=FALSE,"",IF(Detail!BR53="","N/A",YEAR(Detail!F53)&amp;Detail!BU53&amp;Detail!BR53&amp;"-"&amp;Detail!$BR$13&amp;Detail!BS53))</f>
        <v/>
      </c>
      <c r="LC53" s="431" t="str">
        <f>IF(A53=FALSE,"",IF(LISTES!$A$17=1,LB53,INDEX(colMOD4,MATCH(DA53,colchoice,0))))</f>
        <v/>
      </c>
      <c r="LD53" s="759" t="str">
        <f t="shared" si="333"/>
        <v/>
      </c>
      <c r="LE53" s="292"/>
      <c r="LF53" s="409" t="str">
        <f t="shared" si="334"/>
        <v/>
      </c>
      <c r="LG53" s="430" t="str">
        <f>IF(A53=FALSE,"",IF(LA53="POEA",Cotations!BK53,IF(LA53="FIXE",Cotations!BL53,IF(Cotations!BM53*Y53&lt;50000,Z53,Cotations!BM53*Y53))))</f>
        <v/>
      </c>
      <c r="LH53" s="292" t="str">
        <f t="shared" si="335"/>
        <v/>
      </c>
      <c r="LI53" s="446" t="str">
        <f>IF(A53=FALSE,"",IF(Cotations!AU53="monthly",LH53/12*L53,LH53/365*M53))</f>
        <v/>
      </c>
      <c r="LJ53" s="429" t="str">
        <f>IF(A53=FALSE,"",IF(Cotations!BN53="","",Cotations!BN53))</f>
        <v/>
      </c>
      <c r="LK53" s="292" t="str">
        <f t="shared" si="336"/>
        <v/>
      </c>
      <c r="LL53" s="292" t="str">
        <f t="shared" si="337"/>
        <v/>
      </c>
      <c r="LM53" s="759" t="str">
        <f t="shared" si="338"/>
        <v/>
      </c>
      <c r="LN53" s="759" t="str">
        <f>IF(A53=FALSE,"",((LH53*TAXE)-(LH53*TAXE*LJ53))+IF(#REF!="N/A",0,IF(INDEX(LISTES!$F$105:$F$109,MATCH(#REF!,LISTES!$C$105:$C$109,0))="FIX",#REF!,#REF!*LM53)))</f>
        <v/>
      </c>
      <c r="MA53" s="432" t="str">
        <f t="shared" si="339"/>
        <v/>
      </c>
      <c r="MB53" s="1234" t="str">
        <f>IF(A53=FALSE,"",IF(Detail!BZ53="","N/A",YEAR(Detail!F53)&amp;Detail!CC53&amp;Detail!BZ53&amp;"-"&amp;Detail!$BZ$13&amp;" (100%/"&amp;Detail!CD53&amp;"/"&amp;Detail!CE53&amp;")"))</f>
        <v/>
      </c>
      <c r="MC53" s="431" t="str">
        <f>IF(A53=FALSE,"",IF(LISTES!$A$17=1,MB53,INDEX(colMOD5,MATCH(DA53,colchoice,0))))</f>
        <v/>
      </c>
      <c r="MD53" s="759" t="str">
        <f t="shared" si="340"/>
        <v/>
      </c>
      <c r="ME53" s="292"/>
      <c r="MF53" s="409" t="str">
        <f t="shared" si="341"/>
        <v/>
      </c>
      <c r="MG53" s="430" t="str">
        <f>IF(A53=FALSE,"",Cotations!BQ53*AA53)</f>
        <v/>
      </c>
      <c r="MH53" s="292" t="str">
        <f t="shared" si="342"/>
        <v/>
      </c>
      <c r="MI53" s="446" t="str">
        <f>IF(A53=FALSE,"",IF(Cotations!AU53="monthly",MH53/12*L53,MH53/365*M53))</f>
        <v/>
      </c>
      <c r="MJ53" s="429" t="str">
        <f>IF(A53=FALSE,"",IF(Cotations!BR53="","",Cotations!BR53))</f>
        <v/>
      </c>
      <c r="MK53" s="292" t="str">
        <f t="shared" si="343"/>
        <v/>
      </c>
      <c r="ML53" s="292" t="str">
        <f t="shared" si="344"/>
        <v/>
      </c>
      <c r="MM53" s="759" t="str">
        <f t="shared" si="345"/>
        <v/>
      </c>
      <c r="MN53" s="759" t="str">
        <f>IF(A53=FALSE,"",((MH53*TAXE)-(MH53*TAXE*MJ53))+IF(#REF!="N/A",0,IF(INDEX(LISTES!$F$105:$F$109,MATCH(#REF!,LISTES!$C$105:$C$109,0))="FIX",#REF!,#REF!*MM53)))</f>
        <v/>
      </c>
      <c r="NA53" s="432" t="str">
        <f t="shared" si="346"/>
        <v/>
      </c>
      <c r="NB53" s="1234" t="str">
        <f>IF(A53=FALSE,"",IF(Detail!CH53="","N/A",YEAR(Detail!F53)&amp;Detail!CK53&amp;Detail!CH53&amp;"-"&amp;Detail!$CH$13&amp;" (100%/"&amp;Detail!CL53&amp;"/"&amp;Detail!CM53&amp;")"))</f>
        <v/>
      </c>
      <c r="NC53" s="431" t="str">
        <f>IF(A53=FALSE,"",IF(LISTES!$A$17=1,NB53,INDEX(colMOD6,MATCH(DA53,colchoice,0))))</f>
        <v/>
      </c>
      <c r="ND53" s="759" t="str">
        <f t="shared" si="347"/>
        <v/>
      </c>
      <c r="NE53" s="292"/>
      <c r="NF53" s="409" t="str">
        <f t="shared" si="348"/>
        <v/>
      </c>
      <c r="NG53" s="430" t="str">
        <f>IF(A53=FALSE,"",Cotations!BU53*AA53)</f>
        <v/>
      </c>
      <c r="NH53" s="292" t="str">
        <f t="shared" si="349"/>
        <v/>
      </c>
      <c r="NI53" s="446" t="str">
        <f>IF(A53=FALSE,"",IF(Cotations!AU53="monthly",NH53/12*L53,NH53/365*M53))</f>
        <v/>
      </c>
      <c r="NJ53" s="429" t="str">
        <f>IF(A53=FALSE,"",IF(Cotations!BV53="","",Cotations!BV53))</f>
        <v/>
      </c>
      <c r="NK53" s="292" t="str">
        <f t="shared" si="350"/>
        <v/>
      </c>
      <c r="NL53" s="292" t="str">
        <f t="shared" si="351"/>
        <v/>
      </c>
      <c r="NM53" s="759" t="str">
        <f t="shared" si="352"/>
        <v/>
      </c>
      <c r="NN53" s="759" t="str">
        <f>IF(A53=FALSE,"",((NH53*TAXE)-(NH53*TAXE*NJ53))+IF(#REF!="N/A",0,IF(INDEX(LISTES!$F$105:$F$109,MATCH(#REF!,LISTES!$C$105:$C$109,0))="FIX",#REF!,#REF!*NM53)))</f>
        <v/>
      </c>
      <c r="NZ53" s="1281" t="str">
        <f>IF(A53=FALSE,"",IF(Detail!CP53="","N/A",YEAR(Detail!F53)&amp;Detail!CS53&amp;Detail!CP53&amp;"-"&amp;Detail!CQ53))</f>
        <v/>
      </c>
      <c r="OA53" s="432" t="str">
        <f>IF(A53=FALSE,"",Cotations!CF53)</f>
        <v/>
      </c>
      <c r="OB53" s="1282" t="str">
        <f>IF(A53=FALSE,"",IF(Detail!CP53="","N/A",YEAR(Detail!F53)&amp;Detail!CS53&amp;Detail!CP53&amp;"-"&amp;Detail!$CP$13&amp;Detail!CQ53))</f>
        <v/>
      </c>
      <c r="OC53" s="1283" t="str">
        <f>IF(A53=FALSE,"",IF(LISTES!$A$17=1,OB53,INDEX(colMOD1,MATCH(Cotations!CE53,colchoice,0))))</f>
        <v/>
      </c>
      <c r="OD53" s="759" t="str">
        <f t="shared" si="353"/>
        <v/>
      </c>
      <c r="OE53" s="292" t="str">
        <f>IF(A53=FALSE,"",Detail!CQ53)</f>
        <v/>
      </c>
      <c r="OF53" s="409" t="str">
        <f t="shared" si="354"/>
        <v/>
      </c>
      <c r="OG53" s="430" t="str">
        <f>IF(A53=FALSE,"",IF(OA53="FIXE",Cotations!CM53,Cotations!CN53*AA53))</f>
        <v/>
      </c>
      <c r="OH53" s="292" t="str">
        <f t="shared" si="288"/>
        <v/>
      </c>
      <c r="OI53" s="446" t="str">
        <f>IF(A53=FALSE,"",IF(Cotations!CF53="monthly",OH53/12*L53,OH53/365*M53))</f>
        <v/>
      </c>
      <c r="OJ53" s="429" t="str">
        <f>IF(A53=FALSE,"",IF(Cotations!CO53="","",Cotations!CO53))</f>
        <v/>
      </c>
      <c r="OK53" s="292" t="str">
        <f t="shared" si="289"/>
        <v/>
      </c>
      <c r="OL53" s="292" t="str">
        <f t="shared" si="290"/>
        <v/>
      </c>
      <c r="OM53" s="759" t="str">
        <f t="shared" si="355"/>
        <v/>
      </c>
      <c r="ON53" s="759" t="str">
        <f>IF(A53=FALSE,"",((OH53*(1+TAXE)-(OH53*(1+TAXE)*OJ53))+IF(#REF!="N/A",0,IF(INDEX(LISTES!$F$105:$F$109,MATCH(#REF!,LISTES!$C$105:$C$109,0))="FIX",#REF!,#REF!*OM53))))</f>
        <v/>
      </c>
      <c r="PA53" s="432" t="str">
        <f>IF(A53=FALSE,"",Cotations!CF53)</f>
        <v/>
      </c>
      <c r="PB53" s="1282" t="str">
        <f>IF(A53=FALSE,"",IF(Detail!CX53="","N/A",YEAR(Detail!F53)&amp;Detail!DA53&amp;Detail!CX53&amp;"-"&amp;Detail!$CX$13&amp;Detail!CY53))</f>
        <v/>
      </c>
      <c r="PC53" s="1283" t="str">
        <f>IF(A53=FALSE,"",IF(LISTES!$A$17=1,PB53,INDEX(colMOD3,MATCH(Cotations!CE53,colchoice,0))))</f>
        <v/>
      </c>
      <c r="PD53" s="759" t="str">
        <f t="shared" si="356"/>
        <v/>
      </c>
      <c r="PE53" s="292" t="str">
        <f>IF(A53=FALSE,"",IF(Detail!CY53="","",Detail!CY53))</f>
        <v/>
      </c>
      <c r="PF53" s="409" t="str">
        <f t="shared" si="291"/>
        <v/>
      </c>
      <c r="PG53" s="430" t="str">
        <f>IF(A53=FALSE,"",IF(PA53="FIXE",Cotations!CP53,Cotations!CQ53*AA53))</f>
        <v/>
      </c>
      <c r="PH53" s="292" t="str">
        <f t="shared" si="292"/>
        <v/>
      </c>
      <c r="PI53" s="446" t="str">
        <f>IF(A53=FALSE,"",IF(Cotations!CG53="monthly",PH53/12*L53,PH53/365*M53))</f>
        <v/>
      </c>
      <c r="PJ53" s="429" t="str">
        <f>IF(A53=FALSE,"",IF(Cotations!DA53="",0,Cotations!DA53))</f>
        <v/>
      </c>
      <c r="PK53" s="292" t="str">
        <f t="shared" si="293"/>
        <v/>
      </c>
      <c r="PL53" s="292" t="str">
        <f t="shared" si="294"/>
        <v/>
      </c>
      <c r="PM53" s="759" t="str">
        <f t="shared" si="357"/>
        <v/>
      </c>
      <c r="PN53" s="759" t="str">
        <f>IF(A53=FALSE,"",((PH53*(1+TAXE)-(PH53*(1+TAXE)*PJ53))+IF(#REF!="N/A",0,IF(INDEX(LISTES!$F$105:$F$109,MATCH(#REF!,LISTES!$C$105:$C$109,0))="FIX",#REF!,#REF!*PM53))))</f>
        <v/>
      </c>
    </row>
    <row r="54" spans="1:430">
      <c r="A54" s="779" t="b">
        <f t="shared" si="295"/>
        <v>0</v>
      </c>
      <c r="B54" s="779" t="b">
        <f>IF(NAMES!$B$9=TRUE,TRUE,FALSE)</f>
        <v>1</v>
      </c>
      <c r="C54" s="779" t="b">
        <f t="shared" si="212"/>
        <v>0</v>
      </c>
      <c r="D54" s="779" t="b">
        <f t="shared" si="213"/>
        <v>0</v>
      </c>
      <c r="E54" s="267" t="b">
        <f>IF(Cotations!C54="","",Cotations!C54)</f>
        <v>0</v>
      </c>
      <c r="F54" s="267" t="str">
        <f>IF(Cotations!AT54="","",Cotations!AT54)</f>
        <v>PROP</v>
      </c>
      <c r="G54" s="267" t="str">
        <f>IF(Cotations!D54="","",Cotations!D54)</f>
        <v>2017-2017!</v>
      </c>
      <c r="H54" s="267" t="str">
        <f>IF(Cotations!E54="","",Cotations!E54)</f>
        <v>SINGLE</v>
      </c>
      <c r="I54" s="267" t="str">
        <f>IF(Cotations!F54="","",Cotations!F54)</f>
        <v/>
      </c>
      <c r="J54" s="267" t="str">
        <f>IF(Cotations!G54="","",Cotations!G54)</f>
        <v/>
      </c>
      <c r="K54" s="267" t="str">
        <f>IF(Cotations!H54="","",Cotations!H54)</f>
        <v/>
      </c>
      <c r="L54" s="267" t="str">
        <f>IF(A54=FALSE,"",IF(Cotations!M54="","",Cotations!M54))</f>
        <v/>
      </c>
      <c r="M54" s="267" t="str">
        <f>IF(Cotations!O54="","",Cotations!O54)</f>
        <v/>
      </c>
      <c r="N54" s="588" t="str">
        <f>IF(NAMES!$B$10=TRUE,Cotations!I54,Cotations!K54)</f>
        <v/>
      </c>
      <c r="O54" s="588" t="str">
        <f>IF(NAMES!$B$10=TRUE,Cotations!J54,Cotations!L54)</f>
        <v/>
      </c>
      <c r="P54" s="780" t="str">
        <f t="shared" si="214"/>
        <v/>
      </c>
      <c r="Q54" s="588" t="str">
        <f>IF(A54=FALSE,"",IF(Crewlist!Y54="","",Crewlist!Y54))</f>
        <v/>
      </c>
      <c r="R54" s="78" t="str">
        <f>IF(Cotations!T54="","",Cotations!T54)</f>
        <v/>
      </c>
      <c r="S54" s="780" t="str">
        <f t="shared" si="215"/>
        <v/>
      </c>
      <c r="T54" s="759" t="str">
        <f>IF(A54=FALSE,"",VLOOKUP($U$15:$U$120,Currency!$A$2:$D$10,4,0)*Crewlist!N54)</f>
        <v/>
      </c>
      <c r="U54" s="1097" t="str">
        <f>IF(A54=FALSE,"",IF(DP54=0,Crewlist!M54&amp;"/"&amp;CP54,Crewlist!M54&amp;"/"&amp;DP54))</f>
        <v/>
      </c>
      <c r="V54" s="759" t="str">
        <f>IF(A54=FALSE,"",VLOOKUP($U$15:$U$120,Currency!$A$2:$D$10,4,0)*Detail!Q54)</f>
        <v/>
      </c>
      <c r="W54" s="1097" t="str">
        <f>IF(A54=FALSE,"",IF(DP54=0,Detail!R54&amp;"/"&amp;CP54,Detail!R54&amp;"/"&amp;DP54))</f>
        <v/>
      </c>
      <c r="X54" s="759" t="str">
        <f>IF(A54=FALSE,"",IF(LISTES!$C$17="Crewlist",Calcul!T54,Calcul!V54))</f>
        <v/>
      </c>
      <c r="Y54" s="618" t="str">
        <f t="shared" si="216"/>
        <v/>
      </c>
      <c r="Z54" s="618" t="str">
        <f>IF(A54=FALSE,"",IF(X54=0,0,IF((Cotations!BA54*12*X54)&lt;50000,50000,(12*X54))))</f>
        <v/>
      </c>
      <c r="AA54" s="618" t="str">
        <f t="shared" si="217"/>
        <v/>
      </c>
      <c r="AB54" s="618" t="str">
        <f>IF(A54=FALSE,"",IF(Crewlist!O54=0,"",Crewlist!O54))</f>
        <v/>
      </c>
      <c r="AC54" s="618" t="str">
        <f>IF(I54="","",VLOOKUP($AB$15:$AB$120,Currency!$A$15:$B$34,2,0))</f>
        <v/>
      </c>
      <c r="AD54" s="618" t="str">
        <f t="shared" si="218"/>
        <v/>
      </c>
      <c r="AE54" s="618" t="str">
        <f t="shared" si="219"/>
        <v/>
      </c>
      <c r="AF54" s="618" t="str">
        <f t="shared" si="220"/>
        <v/>
      </c>
      <c r="AG54" s="618" t="str">
        <f t="shared" si="221"/>
        <v/>
      </c>
      <c r="AH54" s="1097" t="str">
        <f t="shared" si="296"/>
        <v/>
      </c>
      <c r="AI54" s="759" t="str">
        <f t="shared" si="222"/>
        <v/>
      </c>
      <c r="AJ54" s="1120" t="str">
        <f t="shared" si="223"/>
        <v/>
      </c>
      <c r="AK54" s="1120" t="str">
        <f t="shared" si="224"/>
        <v/>
      </c>
      <c r="AL54" s="236" t="str">
        <f t="shared" si="225"/>
        <v/>
      </c>
      <c r="AM54" s="236" t="str">
        <f t="shared" si="226"/>
        <v/>
      </c>
      <c r="AN54" s="1112" t="str">
        <f t="shared" si="227"/>
        <v/>
      </c>
      <c r="AO54" s="236" t="str">
        <f t="shared" si="228"/>
        <v/>
      </c>
      <c r="AP54" s="327" t="str">
        <f>IF(A54=FALSE,"",INDEX(Rates!$Q$1:$Q$278,MATCH(CA54,colchoice,0)))</f>
        <v/>
      </c>
      <c r="AQ54" s="236" t="str">
        <f t="shared" si="229"/>
        <v/>
      </c>
      <c r="AR54" s="236" t="str">
        <f t="shared" si="230"/>
        <v/>
      </c>
      <c r="AS54" s="236" t="str">
        <f t="shared" si="297"/>
        <v/>
      </c>
      <c r="AT54" s="236" t="str">
        <f t="shared" si="298"/>
        <v/>
      </c>
      <c r="AU54" s="236" t="str">
        <f t="shared" si="231"/>
        <v/>
      </c>
      <c r="AV54" s="236" t="str">
        <f t="shared" si="232"/>
        <v/>
      </c>
      <c r="AW54" s="236" t="str">
        <f t="shared" si="233"/>
        <v/>
      </c>
      <c r="AX54" s="236" t="str">
        <f t="shared" si="234"/>
        <v/>
      </c>
      <c r="AY54" s="236" t="str">
        <f t="shared" si="235"/>
        <v/>
      </c>
      <c r="AZ54" s="236" t="str">
        <f t="shared" si="236"/>
        <v/>
      </c>
      <c r="BA54" s="236" t="str">
        <f t="shared" si="237"/>
        <v/>
      </c>
      <c r="BB54" s="467" t="str">
        <f t="shared" si="238"/>
        <v/>
      </c>
      <c r="BC54" s="329" t="str">
        <f t="shared" si="239"/>
        <v/>
      </c>
      <c r="BD54" s="237" t="str">
        <f t="shared" si="240"/>
        <v/>
      </c>
      <c r="BE54" s="237" t="str">
        <f>IF(A54=FALSE,"",IF(ED54&lt;&gt;$BC$7,0,INDEX(EA54:EZ54,1,MATCH(Structure!$J$16,$EA$14:$EZ$14,0))))</f>
        <v/>
      </c>
      <c r="BF54" s="237" t="str">
        <f>IF(A54=FALSE,"",IF(FD54&lt;&gt;$BC$7,0,INDEX(FA54:FZ54,1,MATCH(Structure!$J$16,$FA$14:$FZ$14,0))))</f>
        <v/>
      </c>
      <c r="BG54" s="237" t="str">
        <f>IF(A54=FALSE,"",IF(GD54&lt;&gt;$BC$7,0,INDEX(GA54:GZ54,1,MATCH(Structure!$J$16,$GA$14:$GZ$14,0))))</f>
        <v/>
      </c>
      <c r="BH54" s="237" t="str">
        <f>IF(A54=FALSE,"",IF(HD54&lt;&gt;$BC$7,0,INDEX(HA54:HZ54,1,MATCH(Structure!$J$16,$HA$14:$HZ$14,0))))</f>
        <v/>
      </c>
      <c r="BI54" s="621" t="str">
        <f>IF(A54=FALSE,"",IF(ID54&lt;&gt;$BC$7,0,INDEX(IA54:IZ54,1,MATCH(Structure!$C$12,$IA$14:$IZ$14,0)))+OL54)</f>
        <v/>
      </c>
      <c r="BJ54" s="237" t="str">
        <f>IF(A54=FALSE,"",IF(JD54&lt;&gt;$BC$7,0,INDEX(JA54:JZ54,1,MATCH(Structure!$C$12,$JA$14:$JZ$14,0))))</f>
        <v/>
      </c>
      <c r="BK54" s="621" t="str">
        <f>IF(A54=FALSE,"",IF(KD54&lt;&gt;$BC$7,0,INDEX(KA54:KZ54,1,MATCH(Structure!$C$12,$KA$14:$KZ$14,0)))+PL54)</f>
        <v/>
      </c>
      <c r="BL54" s="237" t="str">
        <f>IF(A54=FALSE,"",IF(LD54&lt;&gt;$BC$7,0,INDEX(LA54:LZ54,1,MATCH(Structure!$C$12,$LA$14:$LZ$14,0))))</f>
        <v/>
      </c>
      <c r="BM54" s="237" t="str">
        <f>IF(A54=FALSE,"",IF(MD54&lt;&gt;$BC$7,0,INDEX(MA54:MZ54,1,MATCH(Structure!$C$12,$MA$14:$MZ$14,0))))</f>
        <v/>
      </c>
      <c r="BN54" s="326" t="str">
        <f>IF(A54=FALSE,"",IF(ND54&lt;&gt;$BC$7,0,INDEX(NA54:OC54,1,MATCH(Structure!$C$12,$NA$14:$OC$14,0))))</f>
        <v/>
      </c>
      <c r="BO54" s="435" t="str">
        <f t="shared" si="241"/>
        <v/>
      </c>
      <c r="BP54" s="237" t="str">
        <f t="shared" si="242"/>
        <v/>
      </c>
      <c r="BQ54" s="237" t="str">
        <f>IF(A54=FALSE,"",IF(ED54&lt;&gt;$BO$7,0,INDEX(EA54:EZ54,1,MATCH(Structure!$C$12,$EA$14:$EZ$14,0))))</f>
        <v/>
      </c>
      <c r="BR54" s="237" t="str">
        <f>IF(A54=FALSE,"",IF(FD54&lt;&gt;$BO$7,0,INDEX(FA54:FZ54,1,MATCH(Structure!$C$12,$FA$14:$FZ$14,0))))</f>
        <v/>
      </c>
      <c r="BS54" s="237" t="str">
        <f>IF(A54=FALSE,"",IF(ID54&lt;&gt;$BO$7,0,INDEX(IA54:IZ54,1,MATCH(Structure!$C$13,$IA$14:$IZ$14,0))))</f>
        <v/>
      </c>
      <c r="BT54" s="237" t="str">
        <f>IF(A54=FALSE,"",IF(JD54&lt;&gt;$BO$7,0,INDEX(JA54:JZ54,1,MATCH(Structure!$C$13,$JA$14:$JZ$14,0))))</f>
        <v/>
      </c>
      <c r="BU54" s="237" t="str">
        <f>IF(A54=FALSE,"",IF(KD54&lt;&gt;$BO$7,0,INDEX(KA54:KZ54,1,MATCH(Structure!$C$13,$KA$14:$KZ$14,0))))</f>
        <v/>
      </c>
      <c r="BV54" s="237" t="str">
        <f>IF(A54=FALSE,"",IF(LD54&lt;&gt;$BO$7,0,INDEX(LA54:LZ54,1,MATCH(Structure!$C$13,$LA$14:$LZ$14,0))))</f>
        <v/>
      </c>
      <c r="BW54" s="237" t="str">
        <f>IF(A54=FALSE,"",IF(MD54&lt;&gt;$BO$7,0,INDEX(MA54:MZ54,1,MATCH(Structure!$C$13,$MA$14:$MZ$14,0))))</f>
        <v/>
      </c>
      <c r="BX54" s="326" t="str">
        <f>IF(A54=FALSE,"",IF(ND54&lt;&gt;$BO$7,0,INDEX(NA54:OC54,1,MATCH(Structure!$C$13,$NA$14:$OC$14,0))))</f>
        <v/>
      </c>
      <c r="BY54" s="412"/>
      <c r="BZ54" s="412"/>
      <c r="CA54" s="1255" t="str">
        <f>IF(A54=FALSE,"",IF(LISTES!$A$17=1,Cotations!AG54,Cotations!AH54))</f>
        <v/>
      </c>
      <c r="CB54" s="1266" t="str">
        <f t="shared" si="243"/>
        <v/>
      </c>
      <c r="CC54" s="1120" t="str">
        <f t="shared" si="244"/>
        <v/>
      </c>
      <c r="CD54" s="1120" t="str">
        <f t="shared" si="245"/>
        <v/>
      </c>
      <c r="CE54" s="1120" t="str">
        <f t="shared" si="246"/>
        <v/>
      </c>
      <c r="CF54" s="1120" t="str">
        <f t="shared" si="247"/>
        <v/>
      </c>
      <c r="CG54" s="1267"/>
      <c r="CH54" s="1267"/>
      <c r="CI54" s="1268" t="str">
        <f t="shared" si="248"/>
        <v/>
      </c>
      <c r="CJ54" s="286" t="str">
        <f t="shared" si="249"/>
        <v/>
      </c>
      <c r="CK54" s="286" t="str">
        <f t="shared" si="250"/>
        <v/>
      </c>
      <c r="CL54" s="1263"/>
      <c r="CM54" s="1263"/>
      <c r="CN54" s="1263"/>
      <c r="CO54" s="1263"/>
      <c r="CP54" s="319" t="str">
        <f t="shared" si="251"/>
        <v/>
      </c>
      <c r="CQ54" s="443" t="str">
        <f>IF(A54=FALSE,"",Cotations!AM54)</f>
        <v/>
      </c>
      <c r="CR54" s="443" t="str">
        <f>IF(A54=FALSE,"",IF(Cotations!AN54="","",Cotations!AN54))</f>
        <v/>
      </c>
      <c r="CS54" s="433" t="str">
        <f>IF(A54=FALSE,"",Cotations!AO54)</f>
        <v/>
      </c>
      <c r="CT54" s="443" t="str">
        <f>IF(A54=FALSE,"",IF(CQ54="N/A",0,IF(INDEX(LISTES!$F$105:$F$109,MATCH(CQ54,LISTES!$C$105:$C$109,0))="FIX",IF(INDEX(LISTES!$E$105:$E$109,MATCH(CQ54,LISTES!$C$105:$C$109,0))=12,CR54/12*L54,CR54/365*M54),CS54*EQ54)))</f>
        <v/>
      </c>
      <c r="CU54" s="434" t="str">
        <f>IF(A54=FALSE,"",(CJ54+CK54)*Cotations!AP54)</f>
        <v/>
      </c>
      <c r="CV54" s="434" t="str">
        <f>IF(A54=FALSE,"",(CJ54+CK54)*Cotations!AQ54)</f>
        <v/>
      </c>
      <c r="DA54" s="1253" t="str">
        <f>IF(A54=FALSE,"",IF(LISTES!$A$17=1,Cotations!AV54,Cotations!AW54))</f>
        <v/>
      </c>
      <c r="DB54" s="1271" t="str">
        <f t="shared" si="252"/>
        <v/>
      </c>
      <c r="DC54" s="1270" t="str">
        <f t="shared" si="253"/>
        <v/>
      </c>
      <c r="DD54" s="1270" t="str">
        <f t="shared" si="254"/>
        <v/>
      </c>
      <c r="DE54" s="1270" t="str">
        <f t="shared" si="255"/>
        <v/>
      </c>
      <c r="DF54" s="1270" t="str">
        <f t="shared" si="256"/>
        <v/>
      </c>
      <c r="DG54" s="1270" t="str">
        <f t="shared" si="257"/>
        <v/>
      </c>
      <c r="DH54" s="1270" t="str">
        <f t="shared" si="258"/>
        <v/>
      </c>
      <c r="DI54" s="1271" t="str">
        <f t="shared" si="259"/>
        <v/>
      </c>
      <c r="DJ54" s="286" t="str">
        <f t="shared" si="260"/>
        <v/>
      </c>
      <c r="DK54" s="286" t="str">
        <f t="shared" si="261"/>
        <v/>
      </c>
      <c r="DL54" s="1264" t="str">
        <f t="shared" si="262"/>
        <v/>
      </c>
      <c r="DM54" s="1264" t="str">
        <f t="shared" si="263"/>
        <v/>
      </c>
      <c r="DN54" s="1264" t="str">
        <f t="shared" si="264"/>
        <v/>
      </c>
      <c r="DO54" s="1264" t="str">
        <f t="shared" si="265"/>
        <v/>
      </c>
      <c r="DP54" s="323" t="str">
        <f t="shared" si="299"/>
        <v/>
      </c>
      <c r="DQ54" s="444" t="str">
        <f>IF(A54=FALSE,"",Cotations!BW54)</f>
        <v/>
      </c>
      <c r="DR54" s="444" t="str">
        <f>IF(A54=FALSE,"",Cotations!BX54)</f>
        <v/>
      </c>
      <c r="DS54" s="433" t="str">
        <f>IF(A54=FALSE,"",Cotations!BY54)</f>
        <v/>
      </c>
      <c r="DT54" s="830" t="str">
        <f>IF(A54=FALSE,"",IF(DQ54="N/A",0,IF(INDEX(LISTES!$F$105:$F$109,MATCH(DQ54,LISTES!$C$105:$C$109,0))="FIX",IF(INDEX(LISTES!$E$105:$E$109,MATCH(DQ54,LISTES!$C$105:$C$109,0))=12,DR54/12*L54,DR54/365*M54),DS54*(DN54+DO54))))</f>
        <v/>
      </c>
      <c r="DU54" s="434" t="str">
        <f>IF(A54=FALSE,"",DJ54*Cotations!BZ54)</f>
        <v/>
      </c>
      <c r="DV54" s="434" t="str">
        <f>IF(A54=FALSE,"",DJ54*Cotations!CA54)</f>
        <v/>
      </c>
      <c r="EA54" s="432" t="str">
        <f>IF(A54=FALSE,"",Cotations!AT54)</f>
        <v/>
      </c>
      <c r="EB54" s="1234" t="str">
        <f>IF(A54=FALSE,"",YEAR(Detail!F54)&amp;Detail!AG54&amp;Detail!AD54&amp;"-"&amp;Detail!$AD$13&amp;Detail!AE54)</f>
        <v/>
      </c>
      <c r="EC54" s="434" t="str">
        <f>IF(A54=FALSE,"",IF(LISTES!$A$17=1,EB54,INDEX(colMOD1,MATCH(Cotations!AH54,colchoice,0))))</f>
        <v/>
      </c>
      <c r="ED54" s="277" t="str">
        <f t="shared" si="300"/>
        <v/>
      </c>
      <c r="EE54" s="277" t="str">
        <f t="shared" si="301"/>
        <v/>
      </c>
      <c r="EF54" s="277"/>
      <c r="EG54" s="277"/>
      <c r="EH54" s="277" t="str">
        <f t="shared" si="302"/>
        <v/>
      </c>
      <c r="EI54" s="1104" t="str">
        <f t="shared" si="303"/>
        <v/>
      </c>
      <c r="EJ54" s="1104" t="str">
        <f t="shared" si="304"/>
        <v/>
      </c>
      <c r="EK54" s="443" t="str">
        <f>IF(A54=FALSE,"",IF(Cotations!AF54="monthly",EH54/12*L54,EH54/365*M54))</f>
        <v/>
      </c>
      <c r="EL54" s="1103" t="str">
        <f>IF(A54=FALSE,"",IF(Cotations!AF54="monthly",EJ54/12*L54,EJ54/365*M54))</f>
        <v/>
      </c>
      <c r="EM54" s="433" t="str">
        <f>IF(A54=FALSE,"",IF(Cotations!AI54="","",Cotations!AI54))</f>
        <v/>
      </c>
      <c r="EN54" s="277" t="str">
        <f t="shared" si="305"/>
        <v/>
      </c>
      <c r="EO54" s="277" t="str">
        <f t="shared" si="306"/>
        <v/>
      </c>
      <c r="EP54" s="1104" t="str">
        <f t="shared" si="307"/>
        <v/>
      </c>
      <c r="EQ54" s="277" t="str">
        <f t="shared" si="308"/>
        <v/>
      </c>
      <c r="ER54" s="759" t="str">
        <f>IF(A54=FALSE,"",((EH54*TAXE)-(EH54*TAXE*EM54)+EI54)+IF(CQ54="N/A",0,IF(INDEX(LISTES!$F$105:$F$109,MATCH(CQ54,LISTES!$C$105:$C$109,0))="FIX",CR54,CS54*EQ54)))</f>
        <v/>
      </c>
      <c r="ET54" s="422"/>
      <c r="EU54" s="422"/>
      <c r="EV54" s="422"/>
      <c r="EW54" s="422"/>
      <c r="EX54" s="422"/>
      <c r="EY54" s="422"/>
      <c r="EZ54" s="422"/>
      <c r="FA54" s="432" t="str">
        <f>IF(A54=FALSE,"",Cotations!AT54)</f>
        <v/>
      </c>
      <c r="FB54" s="1235" t="str">
        <f>IF(A54=FALSE,"",IF(Detail!AL54="","N/A",YEAR(Detail!F54)&amp;Detail!AO54&amp;Detail!AL54&amp;"-"&amp;Detail!$AL$13&amp;Detail!AM54))</f>
        <v/>
      </c>
      <c r="FC54" s="434" t="str">
        <f>IF(A54=FALSE,"",IF(LISTES!$A$17=1,FB54,INDEX(colMOD2,MATCH(Cotations!AH54,colchoice,0))))</f>
        <v/>
      </c>
      <c r="FD54" s="277" t="str">
        <f t="shared" si="309"/>
        <v/>
      </c>
      <c r="FE54" s="443" t="str">
        <f>IF(A54=FALSE,"",IF(Detail!AM54="","",Detail!AM54))</f>
        <v/>
      </c>
      <c r="FF54" s="277"/>
      <c r="FG54" s="277"/>
      <c r="FH54" s="277" t="str">
        <f t="shared" si="310"/>
        <v/>
      </c>
      <c r="FI54" s="1104"/>
      <c r="FJ54" s="1104"/>
      <c r="FK54" s="443" t="str">
        <f>IF(A54=FALSE,"",IF(Cotations!AF54="monthly",FH54/12*L54,FH54/365*M54))</f>
        <v/>
      </c>
      <c r="FL54" s="1103" t="str">
        <f>IF(A54=FALSE,"",IF(Cotations!AF54="monthly",FJ54/12*L54,FJ54/365*M54))</f>
        <v/>
      </c>
      <c r="FM54" s="433" t="str">
        <f>IF(A54=FALSE,"",IF(Cotations!AJ54="","",Cotations!AJ54))</f>
        <v/>
      </c>
      <c r="FN54" s="277" t="str">
        <f t="shared" si="268"/>
        <v/>
      </c>
      <c r="FO54" s="277" t="str">
        <f t="shared" si="269"/>
        <v/>
      </c>
      <c r="FP54" s="1104"/>
      <c r="FQ54" s="277" t="str">
        <f t="shared" si="270"/>
        <v/>
      </c>
      <c r="FR54" s="759" t="str">
        <f>IF(A54=FALSE,"",((FH54*TAXE)-(FH54*TAXE*FM54))+IF(#REF!="N/A",0,IF(INDEX(LISTES!$F$105:$F$109,MATCH(#REF!,LISTES!$C$105:$C$109,0))="FIX",#REF!,#REF!*FQ54)))</f>
        <v/>
      </c>
      <c r="FS54" s="422"/>
      <c r="FT54" s="422"/>
      <c r="FU54" s="422"/>
      <c r="FV54" s="422"/>
      <c r="FW54" s="422"/>
      <c r="FX54" s="422"/>
      <c r="FY54" s="422"/>
      <c r="FZ54" s="422"/>
      <c r="GA54" s="432" t="str">
        <f t="shared" si="311"/>
        <v/>
      </c>
      <c r="GB54" s="1234" t="str">
        <f>IF(A54=FALSE,"",IF(Detail!DF54="","N/A",YEAR(Detail!F54)&amp;Detail!DI54&amp;Detail!DF54&amp;"-"&amp;Detail!$DF$13))</f>
        <v/>
      </c>
      <c r="GC54" s="434" t="str">
        <f>IF(A54=FALSE,"",IF(LISTES!$A$17=1,GB54,INDEX(colMOD3,MATCH(Cotations!AH54,colchoice,0))))</f>
        <v/>
      </c>
      <c r="GD54" s="277" t="str">
        <f t="shared" si="312"/>
        <v/>
      </c>
      <c r="GE54" s="277" t="str">
        <f t="shared" si="313"/>
        <v/>
      </c>
      <c r="GF54" s="277"/>
      <c r="GG54" s="277"/>
      <c r="GH54" s="277" t="str">
        <f t="shared" si="271"/>
        <v/>
      </c>
      <c r="GI54" s="1104" t="str">
        <f t="shared" si="272"/>
        <v/>
      </c>
      <c r="GJ54" s="1104" t="str">
        <f t="shared" si="273"/>
        <v/>
      </c>
      <c r="GK54" s="443" t="str">
        <f>IF(A54=FALSE,"",IF(Cotations!AF54="monthly",GH54/12*L54,GH54/365*M54))</f>
        <v/>
      </c>
      <c r="GL54" s="1103" t="str">
        <f>IF(A54=FALSE,"",IF(Cotations!AF54="monthly",GJ54/12*L54,GJ54/365*M54))</f>
        <v/>
      </c>
      <c r="GM54" s="433" t="str">
        <f>IF(A54=FALSE,"",IF(Cotations!AK54="","",Cotations!AK54))</f>
        <v/>
      </c>
      <c r="GN54" s="277" t="str">
        <f t="shared" si="274"/>
        <v/>
      </c>
      <c r="GO54" s="277" t="str">
        <f t="shared" si="275"/>
        <v/>
      </c>
      <c r="GP54" s="1104" t="str">
        <f t="shared" si="276"/>
        <v/>
      </c>
      <c r="GQ54" s="277" t="str">
        <f t="shared" si="277"/>
        <v/>
      </c>
      <c r="GR54" s="759" t="str">
        <f>IF(A54=FALSE,"",((GH54*TAXE)-(GH54*TAXE*GM54)+GI54)+IF(CQ54="N/A",0,IF(INDEX(LISTES!$F$105:$F$109,MATCH(CQ54,LISTES!$C$105:$C$109,0))="FIX",CR54,CS54*GQ54)))</f>
        <v/>
      </c>
      <c r="GS54" s="412"/>
      <c r="GT54" s="412"/>
      <c r="GU54" s="412"/>
      <c r="GV54" s="412"/>
      <c r="GW54" s="412"/>
      <c r="GX54" s="412"/>
      <c r="GY54" s="412"/>
      <c r="GZ54" s="412"/>
      <c r="HA54" s="432" t="str">
        <f t="shared" si="314"/>
        <v/>
      </c>
      <c r="HB54" s="1234" t="str">
        <f>IF(A54=FALSE,"",IF(Detail!DF54="","N/A",YEAR(Detail!F54)&amp;Detail!DI54&amp;Detail!DF54&amp;"-"&amp;Detail!$DF$13))</f>
        <v/>
      </c>
      <c r="HC54" s="434" t="str">
        <f>IF(A54=FALSE,"",IF(LISTES!$A$17=1,HB54,INDEX(colMOD4,MATCH(Cotations!AH54,colchoice,0))))</f>
        <v/>
      </c>
      <c r="HD54" s="277" t="str">
        <f t="shared" si="278"/>
        <v/>
      </c>
      <c r="HE54" s="277" t="str">
        <f t="shared" si="279"/>
        <v/>
      </c>
      <c r="HF54" s="277"/>
      <c r="HG54" s="277"/>
      <c r="HH54" s="277" t="str">
        <f t="shared" si="280"/>
        <v/>
      </c>
      <c r="HI54" s="1104" t="str">
        <f t="shared" si="281"/>
        <v/>
      </c>
      <c r="HJ54" s="1104" t="str">
        <f t="shared" si="282"/>
        <v/>
      </c>
      <c r="HK54" s="443" t="str">
        <f>IF(A54=FALSE,"",IF(Cotations!AF54="monthly",HH54/12*L54,HH54/365*M54))</f>
        <v/>
      </c>
      <c r="HL54" s="1103" t="str">
        <f>IF(A54=FALSE,"",IF(Cotations!AF54="monthly",HJ54/12*L54,HJ54/365*M54))</f>
        <v/>
      </c>
      <c r="HM54" s="433" t="str">
        <f>IF(A54=FALSE,"",IF(Cotations!AL54="","",Cotations!AL54))</f>
        <v/>
      </c>
      <c r="HN54" s="277" t="str">
        <f t="shared" si="283"/>
        <v/>
      </c>
      <c r="HO54" s="277" t="str">
        <f t="shared" si="284"/>
        <v/>
      </c>
      <c r="HP54" s="1104" t="str">
        <f t="shared" si="285"/>
        <v/>
      </c>
      <c r="HQ54" s="277" t="str">
        <f t="shared" si="286"/>
        <v/>
      </c>
      <c r="HR54" s="759" t="str">
        <f>IF(A54=FALSE,"",((HH54*TAXE)-(HH54*TAXE*HM54)+HI54)+IF(CQ54="N/A",0,IF(INDEX(LISTES!$F$105:$F$109,MATCH(CQ54,LISTES!$C$105:$C$109,0))="FIX",CR54,CS54*HQ54)))</f>
        <v/>
      </c>
      <c r="HS54" s="412"/>
      <c r="HT54" s="412"/>
      <c r="HU54" s="412"/>
      <c r="HV54" s="412"/>
      <c r="HW54" s="412"/>
      <c r="HX54" s="412"/>
      <c r="HY54" s="412"/>
      <c r="HZ54" s="1262"/>
      <c r="IA54" s="432" t="str">
        <f>IF(A54=FALSE,"",Cotations!AT54)</f>
        <v/>
      </c>
      <c r="IB54" s="1253" t="str">
        <f>IF(A54=FALSE,"",IF(Detail!AT54="","N/A",YEAR(Detail!F54)&amp;Detail!AW54&amp;Detail!AT54&amp;"-"&amp;Detail!$AT$13&amp;Detail!AU54))</f>
        <v/>
      </c>
      <c r="IC54" s="431" t="str">
        <f>IF(A54=FALSE,"",IF(LISTES!$A$17=1,IB54,INDEX(colMOD1,MATCH(DA54,colchoice,0))))</f>
        <v/>
      </c>
      <c r="ID54" s="759" t="str">
        <f t="shared" si="358"/>
        <v/>
      </c>
      <c r="IE54" s="292" t="str">
        <f>IF(A54=FALSE,"",IF(LISTES!$A$17=1,Detail!AU54,INDEX(Rates!$M$1:$M$270,MATCH(IC54,colMOD1,0))))</f>
        <v/>
      </c>
      <c r="IF54" s="409" t="str">
        <f t="shared" si="359"/>
        <v/>
      </c>
      <c r="IG54" s="430" t="str">
        <f>IF(A54=FALSE,"",IF(IA54="POEA",Cotations!AY54,IF(IA54="FIXE",Cotations!AZ54,IF(Cotations!BA54*Y54&lt;50000,Z54,Cotations!BA54*Y54))))</f>
        <v/>
      </c>
      <c r="IH54" s="292" t="str">
        <f t="shared" si="360"/>
        <v/>
      </c>
      <c r="II54" s="446" t="str">
        <f>IF(A54=FALSE,"",IF(Cotations!AU54="monthly",IH54/12*L54,IH54/365*M54))</f>
        <v/>
      </c>
      <c r="IJ54" s="429" t="str">
        <f>IF(A54=FALSE,"",IF(Cotations!BB54="","",Cotations!BB54))</f>
        <v/>
      </c>
      <c r="IK54" s="292" t="str">
        <f t="shared" si="361"/>
        <v/>
      </c>
      <c r="IL54" s="292" t="str">
        <f t="shared" si="362"/>
        <v/>
      </c>
      <c r="IM54" s="759" t="str">
        <f t="shared" si="363"/>
        <v/>
      </c>
      <c r="IN54" s="759" t="str">
        <f>IF(A54=FALSE,"",((IH54*TAXE)-(IH54*TAXE*IJ54))+IF(DQ54="N/A",0,IF(INDEX(LISTES!$F$105:$F$109,MATCH(DQ54,LISTES!$C$105:$C$109,0))="FIX",DR54,DS54*IM54)))</f>
        <v/>
      </c>
      <c r="JA54" s="432" t="str">
        <f>IF(A54=FALSE,"",Cotations!AT54)</f>
        <v/>
      </c>
      <c r="JB54" s="1234" t="str">
        <f>IF(A54=FALSE,"",IF(Detail!BB54="","N/A",YEAR(Detail!F54)&amp;Detail!BE54&amp;Detail!BB54&amp;"-"&amp;Detail!$BB$13&amp;Detail!BC54))</f>
        <v/>
      </c>
      <c r="JC54" s="431" t="str">
        <f>IF(A54=FALSE,"",IF(LISTES!$A$17=1,JB54,INDEX(colMOD2,MATCH(DA54,colchoice,0))))</f>
        <v/>
      </c>
      <c r="JD54" s="759" t="str">
        <f t="shared" si="321"/>
        <v/>
      </c>
      <c r="JE54" s="292"/>
      <c r="JF54" s="409" t="str">
        <f t="shared" si="322"/>
        <v/>
      </c>
      <c r="JG54" s="430" t="str">
        <f>IF(A54=FALSE,"",IF(JA54="POEA",Cotations!BC54,IF(JA54="FIXE",Cotations!BD54,IF(Cotations!BE54*Y54&lt;50000,Z54,Cotations!BE54*Y54))))</f>
        <v/>
      </c>
      <c r="JH54" s="292" t="str">
        <f t="shared" si="323"/>
        <v/>
      </c>
      <c r="JI54" s="446" t="str">
        <f>IF(A54=FALSE,"",IF(Cotations!AU54="monthly",JH54/12*L54,JH54/365*M54))</f>
        <v/>
      </c>
      <c r="JJ54" s="429" t="str">
        <f>IF(A54=FALSE,"",IF(Cotations!BF54="","",Cotations!BF54))</f>
        <v/>
      </c>
      <c r="JK54" s="292" t="str">
        <f t="shared" si="324"/>
        <v/>
      </c>
      <c r="JL54" s="292" t="str">
        <f t="shared" si="325"/>
        <v/>
      </c>
      <c r="JM54" s="759" t="str">
        <f t="shared" si="326"/>
        <v/>
      </c>
      <c r="JN54" s="759" t="str">
        <f>IF(A54=FALSE,"",((JH54*TAXE)-(JH54*TAXE*JJ54))+IF(#REF!="N/A",0,IF(INDEX(LISTES!$F$105:$F$109,MATCH(#REF!,LISTES!$C$105:$C$109,0))="FIX",#REF!,#REF!*JM54)))</f>
        <v/>
      </c>
      <c r="KA54" s="432" t="str">
        <f>IF(A54=FALSE,"",Cotations!AT54)</f>
        <v/>
      </c>
      <c r="KB54" s="1234" t="str">
        <f>IF(A54=FALSE,"",IF(Detail!BJ54="","N/A",YEAR(Detail!F54)&amp;Detail!BM54&amp;Detail!BJ54&amp;"-"&amp;Detail!$BJ$13&amp;Detail!BK54))</f>
        <v/>
      </c>
      <c r="KC54" s="431" t="str">
        <f>IF(A54=FALSE,"",IF(LISTES!$A$17=1,KB54,INDEX(colMOD3,MATCH(DA54,colchoice,0))))</f>
        <v/>
      </c>
      <c r="KD54" s="759" t="str">
        <f t="shared" si="327"/>
        <v/>
      </c>
      <c r="KE54" s="292"/>
      <c r="KF54" s="409" t="str">
        <f t="shared" si="328"/>
        <v/>
      </c>
      <c r="KG54" s="430" t="str">
        <f>IF(A54=FALSE,"",IF(KA54="POEA",Cotations!BG54,IF(KA54="FIXE",Cotations!BH54,IF(Cotations!BI54*Y54&lt;50000,Z54,Cotations!BI54*Y54))))</f>
        <v/>
      </c>
      <c r="KH54" s="292" t="str">
        <f t="shared" si="329"/>
        <v/>
      </c>
      <c r="KI54" s="446" t="str">
        <f>IF(A54=FALSE,"",IF(Cotations!AU54="monthly",KH54/12*L54,KH54/365*M54))</f>
        <v/>
      </c>
      <c r="KJ54" s="429" t="str">
        <f>IF(A54=FALSE,"",IF(Cotations!BJ54="","",Cotations!BJ54))</f>
        <v/>
      </c>
      <c r="KK54" s="292" t="str">
        <f t="shared" si="330"/>
        <v/>
      </c>
      <c r="KL54" s="292" t="str">
        <f t="shared" si="331"/>
        <v/>
      </c>
      <c r="KM54" s="759" t="str">
        <f t="shared" si="332"/>
        <v/>
      </c>
      <c r="KN54" s="759" t="str">
        <f>IF(A54=FALSE,"",((KH54*TAXE)-(KH54*TAXE*KJ54))+IF(#REF!="N/A",0,IF(INDEX(LISTES!$F$105:$F$109,MATCH(#REF!,LISTES!$C$105:$C$109,0))="FIX",#REF!,#REF!*KM54)))</f>
        <v/>
      </c>
      <c r="LA54" s="432" t="str">
        <f>IF(A54=FALSE,"",Cotations!AT54)</f>
        <v/>
      </c>
      <c r="LB54" s="1234" t="str">
        <f>IF(A54=FALSE,"",IF(Detail!BR54="","N/A",YEAR(Detail!F54)&amp;Detail!BU54&amp;Detail!BR54&amp;"-"&amp;Detail!$BR$13&amp;Detail!BS54))</f>
        <v/>
      </c>
      <c r="LC54" s="431" t="str">
        <f>IF(A54=FALSE,"",IF(LISTES!$A$17=1,LB54,INDEX(colMOD4,MATCH(DA54,colchoice,0))))</f>
        <v/>
      </c>
      <c r="LD54" s="759" t="str">
        <f t="shared" si="333"/>
        <v/>
      </c>
      <c r="LE54" s="292"/>
      <c r="LF54" s="409" t="str">
        <f t="shared" si="334"/>
        <v/>
      </c>
      <c r="LG54" s="430" t="str">
        <f>IF(A54=FALSE,"",IF(LA54="POEA",Cotations!BK54,IF(LA54="FIXE",Cotations!BL54,IF(Cotations!BM54*Y54&lt;50000,Z54,Cotations!BM54*Y54))))</f>
        <v/>
      </c>
      <c r="LH54" s="292" t="str">
        <f t="shared" si="335"/>
        <v/>
      </c>
      <c r="LI54" s="446" t="str">
        <f>IF(A54=FALSE,"",IF(Cotations!AU54="monthly",LH54/12*L54,LH54/365*M54))</f>
        <v/>
      </c>
      <c r="LJ54" s="429" t="str">
        <f>IF(A54=FALSE,"",IF(Cotations!BN54="","",Cotations!BN54))</f>
        <v/>
      </c>
      <c r="LK54" s="292" t="str">
        <f t="shared" si="336"/>
        <v/>
      </c>
      <c r="LL54" s="292" t="str">
        <f t="shared" si="337"/>
        <v/>
      </c>
      <c r="LM54" s="759" t="str">
        <f t="shared" si="338"/>
        <v/>
      </c>
      <c r="LN54" s="759" t="str">
        <f>IF(A54=FALSE,"",((LH54*TAXE)-(LH54*TAXE*LJ54))+IF(#REF!="N/A",0,IF(INDEX(LISTES!$F$105:$F$109,MATCH(#REF!,LISTES!$C$105:$C$109,0))="FIX",#REF!,#REF!*LM54)))</f>
        <v/>
      </c>
      <c r="MA54" s="432" t="str">
        <f t="shared" si="339"/>
        <v/>
      </c>
      <c r="MB54" s="1234" t="str">
        <f>IF(A54=FALSE,"",IF(Detail!BZ54="","N/A",YEAR(Detail!F54)&amp;Detail!CC54&amp;Detail!BZ54&amp;"-"&amp;Detail!$BZ$13&amp;" (100%/"&amp;Detail!CD54&amp;"/"&amp;Detail!CE54&amp;")"))</f>
        <v/>
      </c>
      <c r="MC54" s="431" t="str">
        <f>IF(A54=FALSE,"",IF(LISTES!$A$17=1,MB54,INDEX(colMOD5,MATCH(DA54,colchoice,0))))</f>
        <v/>
      </c>
      <c r="MD54" s="759" t="str">
        <f t="shared" si="340"/>
        <v/>
      </c>
      <c r="ME54" s="292"/>
      <c r="MF54" s="409" t="str">
        <f t="shared" si="341"/>
        <v/>
      </c>
      <c r="MG54" s="430" t="str">
        <f>IF(A54=FALSE,"",Cotations!BQ54*AA54)</f>
        <v/>
      </c>
      <c r="MH54" s="292" t="str">
        <f t="shared" si="342"/>
        <v/>
      </c>
      <c r="MI54" s="446" t="str">
        <f>IF(A54=FALSE,"",IF(Cotations!AU54="monthly",MH54/12*L54,MH54/365*M54))</f>
        <v/>
      </c>
      <c r="MJ54" s="429" t="str">
        <f>IF(A54=FALSE,"",IF(Cotations!BR54="","",Cotations!BR54))</f>
        <v/>
      </c>
      <c r="MK54" s="292" t="str">
        <f t="shared" si="343"/>
        <v/>
      </c>
      <c r="ML54" s="292" t="str">
        <f t="shared" si="344"/>
        <v/>
      </c>
      <c r="MM54" s="759" t="str">
        <f t="shared" si="345"/>
        <v/>
      </c>
      <c r="MN54" s="759" t="str">
        <f>IF(A54=FALSE,"",((MH54*TAXE)-(MH54*TAXE*MJ54))+IF(#REF!="N/A",0,IF(INDEX(LISTES!$F$105:$F$109,MATCH(#REF!,LISTES!$C$105:$C$109,0))="FIX",#REF!,#REF!*MM54)))</f>
        <v/>
      </c>
      <c r="NA54" s="432" t="str">
        <f t="shared" si="346"/>
        <v/>
      </c>
      <c r="NB54" s="1234" t="str">
        <f>IF(A54=FALSE,"",IF(Detail!CH54="","N/A",YEAR(Detail!F54)&amp;Detail!CK54&amp;Detail!CH54&amp;"-"&amp;Detail!$CH$13&amp;" (100%/"&amp;Detail!CL54&amp;"/"&amp;Detail!CM54&amp;")"))</f>
        <v/>
      </c>
      <c r="NC54" s="431" t="str">
        <f>IF(A54=FALSE,"",IF(LISTES!$A$17=1,NB54,INDEX(colMOD6,MATCH(DA54,colchoice,0))))</f>
        <v/>
      </c>
      <c r="ND54" s="759" t="str">
        <f t="shared" si="347"/>
        <v/>
      </c>
      <c r="NE54" s="292"/>
      <c r="NF54" s="409" t="str">
        <f t="shared" si="348"/>
        <v/>
      </c>
      <c r="NG54" s="430" t="str">
        <f>IF(A54=FALSE,"",Cotations!BU54*AA54)</f>
        <v/>
      </c>
      <c r="NH54" s="292" t="str">
        <f t="shared" si="349"/>
        <v/>
      </c>
      <c r="NI54" s="446" t="str">
        <f>IF(A54=FALSE,"",IF(Cotations!AU54="monthly",NH54/12*L54,NH54/365*M54))</f>
        <v/>
      </c>
      <c r="NJ54" s="429" t="str">
        <f>IF(A54=FALSE,"",IF(Cotations!BV54="","",Cotations!BV54))</f>
        <v/>
      </c>
      <c r="NK54" s="292" t="str">
        <f t="shared" si="350"/>
        <v/>
      </c>
      <c r="NL54" s="292" t="str">
        <f t="shared" si="351"/>
        <v/>
      </c>
      <c r="NM54" s="759" t="str">
        <f t="shared" si="352"/>
        <v/>
      </c>
      <c r="NN54" s="759" t="str">
        <f>IF(A54=FALSE,"",((NH54*TAXE)-(NH54*TAXE*NJ54))+IF(#REF!="N/A",0,IF(INDEX(LISTES!$F$105:$F$109,MATCH(#REF!,LISTES!$C$105:$C$109,0))="FIX",#REF!,#REF!*NM54)))</f>
        <v/>
      </c>
      <c r="NZ54" s="1281" t="str">
        <f>IF(A54=FALSE,"",IF(Detail!CP54="","N/A",YEAR(Detail!F54)&amp;Detail!CS54&amp;Detail!CP54&amp;"-"&amp;Detail!CQ54))</f>
        <v/>
      </c>
      <c r="OA54" s="432" t="str">
        <f>IF(A54=FALSE,"",Cotations!CF54)</f>
        <v/>
      </c>
      <c r="OB54" s="1282" t="str">
        <f>IF(A54=FALSE,"",IF(Detail!CP54="","N/A",YEAR(Detail!F54)&amp;Detail!CS54&amp;Detail!CP54&amp;"-"&amp;Detail!$CP$13&amp;Detail!CQ54))</f>
        <v/>
      </c>
      <c r="OC54" s="1283" t="str">
        <f>IF(A54=FALSE,"",IF(LISTES!$A$17=1,OB54,INDEX(colMOD1,MATCH(Cotations!CE54,colchoice,0))))</f>
        <v/>
      </c>
      <c r="OD54" s="759" t="str">
        <f t="shared" si="353"/>
        <v/>
      </c>
      <c r="OE54" s="292" t="str">
        <f>IF(A54=FALSE,"",Detail!CQ54)</f>
        <v/>
      </c>
      <c r="OF54" s="409" t="str">
        <f t="shared" si="354"/>
        <v/>
      </c>
      <c r="OG54" s="430" t="str">
        <f>IF(A54=FALSE,"",IF(OA54="FIXE",Cotations!CM54,Cotations!CN54*AA54))</f>
        <v/>
      </c>
      <c r="OH54" s="292" t="str">
        <f t="shared" si="288"/>
        <v/>
      </c>
      <c r="OI54" s="446" t="str">
        <f>IF(A54=FALSE,"",IF(Cotations!CF54="monthly",OH54/12*L54,OH54/365*M54))</f>
        <v/>
      </c>
      <c r="OJ54" s="429" t="str">
        <f>IF(A54=FALSE,"",IF(Cotations!CO54="","",Cotations!CO54))</f>
        <v/>
      </c>
      <c r="OK54" s="292" t="str">
        <f t="shared" si="289"/>
        <v/>
      </c>
      <c r="OL54" s="292" t="str">
        <f t="shared" si="290"/>
        <v/>
      </c>
      <c r="OM54" s="759" t="str">
        <f t="shared" si="355"/>
        <v/>
      </c>
      <c r="ON54" s="759" t="str">
        <f>IF(A54=FALSE,"",((OH54*(1+TAXE)-(OH54*(1+TAXE)*OJ54))+IF(#REF!="N/A",0,IF(INDEX(LISTES!$F$105:$F$109,MATCH(#REF!,LISTES!$C$105:$C$109,0))="FIX",#REF!,#REF!*OM54))))</f>
        <v/>
      </c>
      <c r="PA54" s="432" t="str">
        <f>IF(A54=FALSE,"",Cotations!CF54)</f>
        <v/>
      </c>
      <c r="PB54" s="1282" t="str">
        <f>IF(A54=FALSE,"",IF(Detail!CX54="","N/A",YEAR(Detail!F54)&amp;Detail!DA54&amp;Detail!CX54&amp;"-"&amp;Detail!$CX$13&amp;Detail!CY54))</f>
        <v/>
      </c>
      <c r="PC54" s="1283" t="str">
        <f>IF(A54=FALSE,"",IF(LISTES!$A$17=1,PB54,INDEX(colMOD3,MATCH(Cotations!CE54,colchoice,0))))</f>
        <v/>
      </c>
      <c r="PD54" s="759" t="str">
        <f t="shared" si="356"/>
        <v/>
      </c>
      <c r="PE54" s="292" t="str">
        <f>IF(A54=FALSE,"",IF(Detail!CY54="","",Detail!CY54))</f>
        <v/>
      </c>
      <c r="PF54" s="409" t="str">
        <f t="shared" si="291"/>
        <v/>
      </c>
      <c r="PG54" s="430" t="str">
        <f>IF(A54=FALSE,"",IF(PA54="FIXE",Cotations!CP54,Cotations!CQ54*AA54))</f>
        <v/>
      </c>
      <c r="PH54" s="292" t="str">
        <f t="shared" si="292"/>
        <v/>
      </c>
      <c r="PI54" s="446" t="str">
        <f>IF(A54=FALSE,"",IF(Cotations!CG54="monthly",PH54/12*L54,PH54/365*M54))</f>
        <v/>
      </c>
      <c r="PJ54" s="429" t="str">
        <f>IF(A54=FALSE,"",IF(Cotations!DA54="",0,Cotations!DA54))</f>
        <v/>
      </c>
      <c r="PK54" s="292" t="str">
        <f t="shared" si="293"/>
        <v/>
      </c>
      <c r="PL54" s="292" t="str">
        <f t="shared" si="294"/>
        <v/>
      </c>
      <c r="PM54" s="759" t="str">
        <f t="shared" si="357"/>
        <v/>
      </c>
      <c r="PN54" s="759" t="str">
        <f>IF(A54=FALSE,"",((PH54*(1+TAXE)-(PH54*(1+TAXE)*PJ54))+IF(#REF!="N/A",0,IF(INDEX(LISTES!$F$105:$F$109,MATCH(#REF!,LISTES!$C$105:$C$109,0))="FIX",#REF!,#REF!*PM54))))</f>
        <v/>
      </c>
    </row>
    <row r="55" spans="1:430">
      <c r="A55" s="779" t="b">
        <f t="shared" si="295"/>
        <v>0</v>
      </c>
      <c r="B55" s="779" t="b">
        <f>IF(NAMES!$B$9=TRUE,TRUE,FALSE)</f>
        <v>1</v>
      </c>
      <c r="C55" s="779" t="b">
        <f t="shared" si="212"/>
        <v>0</v>
      </c>
      <c r="D55" s="779" t="b">
        <f t="shared" si="213"/>
        <v>0</v>
      </c>
      <c r="E55" s="267" t="b">
        <f>IF(Cotations!C55="","",Cotations!C55)</f>
        <v>0</v>
      </c>
      <c r="F55" s="267" t="str">
        <f>IF(Cotations!AT55="","",Cotations!AT55)</f>
        <v>PROP</v>
      </c>
      <c r="G55" s="267" t="str">
        <f>IF(Cotations!D55="","",Cotations!D55)</f>
        <v>2017-2017!</v>
      </c>
      <c r="H55" s="267" t="str">
        <f>IF(Cotations!E55="","",Cotations!E55)</f>
        <v>SINGLE</v>
      </c>
      <c r="I55" s="267" t="str">
        <f>IF(Cotations!F55="","",Cotations!F55)</f>
        <v/>
      </c>
      <c r="J55" s="267" t="str">
        <f>IF(Cotations!G55="","",Cotations!G55)</f>
        <v/>
      </c>
      <c r="K55" s="267" t="str">
        <f>IF(Cotations!H55="","",Cotations!H55)</f>
        <v/>
      </c>
      <c r="L55" s="267" t="str">
        <f>IF(A55=FALSE,"",IF(Cotations!M55="","",Cotations!M55))</f>
        <v/>
      </c>
      <c r="M55" s="267" t="str">
        <f>IF(Cotations!O55="","",Cotations!O55)</f>
        <v/>
      </c>
      <c r="N55" s="588" t="str">
        <f>IF(NAMES!$B$10=TRUE,Cotations!I55,Cotations!K55)</f>
        <v/>
      </c>
      <c r="O55" s="588" t="str">
        <f>IF(NAMES!$B$10=TRUE,Cotations!J55,Cotations!L55)</f>
        <v/>
      </c>
      <c r="P55" s="780" t="str">
        <f t="shared" si="214"/>
        <v/>
      </c>
      <c r="Q55" s="588" t="str">
        <f>IF(A55=FALSE,"",IF(Crewlist!Y55="","",Crewlist!Y55))</f>
        <v/>
      </c>
      <c r="R55" s="78" t="str">
        <f>IF(Cotations!T55="","",Cotations!T55)</f>
        <v/>
      </c>
      <c r="S55" s="780" t="str">
        <f t="shared" si="215"/>
        <v/>
      </c>
      <c r="T55" s="759" t="str">
        <f>IF(A55=FALSE,"",VLOOKUP($U$15:$U$120,Currency!$A$2:$D$10,4,0)*Crewlist!N55)</f>
        <v/>
      </c>
      <c r="U55" s="1097" t="str">
        <f>IF(A55=FALSE,"",IF(DP55=0,Crewlist!M55&amp;"/"&amp;CP55,Crewlist!M55&amp;"/"&amp;DP55))</f>
        <v/>
      </c>
      <c r="V55" s="759" t="str">
        <f>IF(A55=FALSE,"",VLOOKUP($U$15:$U$120,Currency!$A$2:$D$10,4,0)*Detail!Q55)</f>
        <v/>
      </c>
      <c r="W55" s="1097" t="str">
        <f>IF(A55=FALSE,"",IF(DP55=0,Detail!R55&amp;"/"&amp;CP55,Detail!R55&amp;"/"&amp;DP55))</f>
        <v/>
      </c>
      <c r="X55" s="759" t="str">
        <f>IF(A55=FALSE,"",IF(LISTES!$C$17="Crewlist",Calcul!T55,Calcul!V55))</f>
        <v/>
      </c>
      <c r="Y55" s="618" t="str">
        <f t="shared" si="216"/>
        <v/>
      </c>
      <c r="Z55" s="618" t="str">
        <f>IF(A55=FALSE,"",IF(X55=0,0,IF((Cotations!BA55*12*X55)&lt;50000,50000,(12*X55))))</f>
        <v/>
      </c>
      <c r="AA55" s="618" t="str">
        <f t="shared" si="217"/>
        <v/>
      </c>
      <c r="AB55" s="618" t="str">
        <f>IF(A55=FALSE,"",IF(Crewlist!O55=0,"",Crewlist!O55))</f>
        <v/>
      </c>
      <c r="AC55" s="618" t="str">
        <f>IF(I55="","",VLOOKUP($AB$15:$AB$120,Currency!$A$15:$B$34,2,0))</f>
        <v/>
      </c>
      <c r="AD55" s="618" t="str">
        <f t="shared" si="218"/>
        <v/>
      </c>
      <c r="AE55" s="618" t="str">
        <f t="shared" si="219"/>
        <v/>
      </c>
      <c r="AF55" s="618" t="str">
        <f t="shared" si="220"/>
        <v/>
      </c>
      <c r="AG55" s="618" t="str">
        <f t="shared" si="221"/>
        <v/>
      </c>
      <c r="AH55" s="1097" t="str">
        <f t="shared" si="296"/>
        <v/>
      </c>
      <c r="AI55" s="759" t="str">
        <f t="shared" si="222"/>
        <v/>
      </c>
      <c r="AJ55" s="1120" t="str">
        <f t="shared" si="223"/>
        <v/>
      </c>
      <c r="AK55" s="1120" t="str">
        <f t="shared" si="224"/>
        <v/>
      </c>
      <c r="AL55" s="236" t="str">
        <f t="shared" si="225"/>
        <v/>
      </c>
      <c r="AM55" s="236" t="str">
        <f t="shared" si="226"/>
        <v/>
      </c>
      <c r="AN55" s="1112" t="str">
        <f t="shared" si="227"/>
        <v/>
      </c>
      <c r="AO55" s="236" t="str">
        <f t="shared" si="228"/>
        <v/>
      </c>
      <c r="AP55" s="327" t="str">
        <f>IF(A55=FALSE,"",INDEX(Rates!$Q$1:$Q$278,MATCH(CA55,colchoice,0)))</f>
        <v/>
      </c>
      <c r="AQ55" s="236" t="str">
        <f t="shared" si="229"/>
        <v/>
      </c>
      <c r="AR55" s="236" t="str">
        <f t="shared" si="230"/>
        <v/>
      </c>
      <c r="AS55" s="236" t="str">
        <f t="shared" si="297"/>
        <v/>
      </c>
      <c r="AT55" s="236" t="str">
        <f t="shared" si="298"/>
        <v/>
      </c>
      <c r="AU55" s="236" t="str">
        <f t="shared" si="231"/>
        <v/>
      </c>
      <c r="AV55" s="236" t="str">
        <f t="shared" si="232"/>
        <v/>
      </c>
      <c r="AW55" s="236" t="str">
        <f t="shared" si="233"/>
        <v/>
      </c>
      <c r="AX55" s="236" t="str">
        <f t="shared" si="234"/>
        <v/>
      </c>
      <c r="AY55" s="236" t="str">
        <f t="shared" si="235"/>
        <v/>
      </c>
      <c r="AZ55" s="236" t="str">
        <f t="shared" si="236"/>
        <v/>
      </c>
      <c r="BA55" s="236" t="str">
        <f t="shared" si="237"/>
        <v/>
      </c>
      <c r="BB55" s="467" t="str">
        <f t="shared" si="238"/>
        <v/>
      </c>
      <c r="BC55" s="329" t="str">
        <f t="shared" si="239"/>
        <v/>
      </c>
      <c r="BD55" s="237" t="str">
        <f t="shared" si="240"/>
        <v/>
      </c>
      <c r="BE55" s="237" t="str">
        <f>IF(A55=FALSE,"",IF(ED55&lt;&gt;$BC$7,0,INDEX(EA55:EZ55,1,MATCH(Structure!$J$16,$EA$14:$EZ$14,0))))</f>
        <v/>
      </c>
      <c r="BF55" s="237" t="str">
        <f>IF(A55=FALSE,"",IF(FD55&lt;&gt;$BC$7,0,INDEX(FA55:FZ55,1,MATCH(Structure!$J$16,$FA$14:$FZ$14,0))))</f>
        <v/>
      </c>
      <c r="BG55" s="237" t="str">
        <f>IF(A55=FALSE,"",IF(GD55&lt;&gt;$BC$7,0,INDEX(GA55:GZ55,1,MATCH(Structure!$J$16,$GA$14:$GZ$14,0))))</f>
        <v/>
      </c>
      <c r="BH55" s="237" t="str">
        <f>IF(A55=FALSE,"",IF(HD55&lt;&gt;$BC$7,0,INDEX(HA55:HZ55,1,MATCH(Structure!$J$16,$HA$14:$HZ$14,0))))</f>
        <v/>
      </c>
      <c r="BI55" s="621" t="str">
        <f>IF(A55=FALSE,"",IF(ID55&lt;&gt;$BC$7,0,INDEX(IA55:IZ55,1,MATCH(Structure!$C$12,$IA$14:$IZ$14,0)))+OL55)</f>
        <v/>
      </c>
      <c r="BJ55" s="237" t="str">
        <f>IF(A55=FALSE,"",IF(JD55&lt;&gt;$BC$7,0,INDEX(JA55:JZ55,1,MATCH(Structure!$C$12,$JA$14:$JZ$14,0))))</f>
        <v/>
      </c>
      <c r="BK55" s="621" t="str">
        <f>IF(A55=FALSE,"",IF(KD55&lt;&gt;$BC$7,0,INDEX(KA55:KZ55,1,MATCH(Structure!$C$12,$KA$14:$KZ$14,0)))+PL55)</f>
        <v/>
      </c>
      <c r="BL55" s="237" t="str">
        <f>IF(A55=FALSE,"",IF(LD55&lt;&gt;$BC$7,0,INDEX(LA55:LZ55,1,MATCH(Structure!$C$12,$LA$14:$LZ$14,0))))</f>
        <v/>
      </c>
      <c r="BM55" s="237" t="str">
        <f>IF(A55=FALSE,"",IF(MD55&lt;&gt;$BC$7,0,INDEX(MA55:MZ55,1,MATCH(Structure!$C$12,$MA$14:$MZ$14,0))))</f>
        <v/>
      </c>
      <c r="BN55" s="326" t="str">
        <f>IF(A55=FALSE,"",IF(ND55&lt;&gt;$BC$7,0,INDEX(NA55:OC55,1,MATCH(Structure!$C$12,$NA$14:$OC$14,0))))</f>
        <v/>
      </c>
      <c r="BO55" s="435" t="str">
        <f t="shared" si="241"/>
        <v/>
      </c>
      <c r="BP55" s="237" t="str">
        <f t="shared" si="242"/>
        <v/>
      </c>
      <c r="BQ55" s="237" t="str">
        <f>IF(A55=FALSE,"",IF(ED55&lt;&gt;$BO$7,0,INDEX(EA55:EZ55,1,MATCH(Structure!$C$12,$EA$14:$EZ$14,0))))</f>
        <v/>
      </c>
      <c r="BR55" s="237" t="str">
        <f>IF(A55=FALSE,"",IF(FD55&lt;&gt;$BO$7,0,INDEX(FA55:FZ55,1,MATCH(Structure!$C$12,$FA$14:$FZ$14,0))))</f>
        <v/>
      </c>
      <c r="BS55" s="237" t="str">
        <f>IF(A55=FALSE,"",IF(ID55&lt;&gt;$BO$7,0,INDEX(IA55:IZ55,1,MATCH(Structure!$C$13,$IA$14:$IZ$14,0))))</f>
        <v/>
      </c>
      <c r="BT55" s="237" t="str">
        <f>IF(A55=FALSE,"",IF(JD55&lt;&gt;$BO$7,0,INDEX(JA55:JZ55,1,MATCH(Structure!$C$13,$JA$14:$JZ$14,0))))</f>
        <v/>
      </c>
      <c r="BU55" s="237" t="str">
        <f>IF(A55=FALSE,"",IF(KD55&lt;&gt;$BO$7,0,INDEX(KA55:KZ55,1,MATCH(Structure!$C$13,$KA$14:$KZ$14,0))))</f>
        <v/>
      </c>
      <c r="BV55" s="237" t="str">
        <f>IF(A55=FALSE,"",IF(LD55&lt;&gt;$BO$7,0,INDEX(LA55:LZ55,1,MATCH(Structure!$C$13,$LA$14:$LZ$14,0))))</f>
        <v/>
      </c>
      <c r="BW55" s="237" t="str">
        <f>IF(A55=FALSE,"",IF(MD55&lt;&gt;$BO$7,0,INDEX(MA55:MZ55,1,MATCH(Structure!$C$13,$MA$14:$MZ$14,0))))</f>
        <v/>
      </c>
      <c r="BX55" s="326" t="str">
        <f>IF(A55=FALSE,"",IF(ND55&lt;&gt;$BO$7,0,INDEX(NA55:OC55,1,MATCH(Structure!$C$13,$NA$14:$OC$14,0))))</f>
        <v/>
      </c>
      <c r="BY55" s="412"/>
      <c r="BZ55" s="412"/>
      <c r="CA55" s="1255" t="str">
        <f>IF(A55=FALSE,"",IF(LISTES!$A$17=1,Cotations!AG55,Cotations!AH55))</f>
        <v/>
      </c>
      <c r="CB55" s="1266" t="str">
        <f t="shared" si="243"/>
        <v/>
      </c>
      <c r="CC55" s="1120" t="str">
        <f t="shared" si="244"/>
        <v/>
      </c>
      <c r="CD55" s="1120" t="str">
        <f t="shared" si="245"/>
        <v/>
      </c>
      <c r="CE55" s="1120" t="str">
        <f t="shared" si="246"/>
        <v/>
      </c>
      <c r="CF55" s="1120" t="str">
        <f t="shared" si="247"/>
        <v/>
      </c>
      <c r="CG55" s="1267"/>
      <c r="CH55" s="1267"/>
      <c r="CI55" s="1268" t="str">
        <f t="shared" si="248"/>
        <v/>
      </c>
      <c r="CJ55" s="286" t="str">
        <f t="shared" si="249"/>
        <v/>
      </c>
      <c r="CK55" s="286" t="str">
        <f t="shared" si="250"/>
        <v/>
      </c>
      <c r="CL55" s="1263"/>
      <c r="CM55" s="1263"/>
      <c r="CN55" s="1263"/>
      <c r="CO55" s="1263"/>
      <c r="CP55" s="319" t="str">
        <f t="shared" si="251"/>
        <v/>
      </c>
      <c r="CQ55" s="443" t="str">
        <f>IF(A55=FALSE,"",Cotations!AM55)</f>
        <v/>
      </c>
      <c r="CR55" s="443" t="str">
        <f>IF(A55=FALSE,"",IF(Cotations!AN55="","",Cotations!AN55))</f>
        <v/>
      </c>
      <c r="CS55" s="433" t="str">
        <f>IF(A55=FALSE,"",Cotations!AO55)</f>
        <v/>
      </c>
      <c r="CT55" s="443" t="str">
        <f>IF(A55=FALSE,"",IF(CQ55="N/A",0,IF(INDEX(LISTES!$F$105:$F$109,MATCH(CQ55,LISTES!$C$105:$C$109,0))="FIX",IF(INDEX(LISTES!$E$105:$E$109,MATCH(CQ55,LISTES!$C$105:$C$109,0))=12,CR55/12*L55,CR55/365*M55),CS55*EQ55)))</f>
        <v/>
      </c>
      <c r="CU55" s="434" t="str">
        <f>IF(A55=FALSE,"",(CJ55+CK55)*Cotations!AP55)</f>
        <v/>
      </c>
      <c r="CV55" s="434" t="str">
        <f>IF(A55=FALSE,"",(CJ55+CK55)*Cotations!AQ55)</f>
        <v/>
      </c>
      <c r="DA55" s="1253" t="str">
        <f>IF(A55=FALSE,"",IF(LISTES!$A$17=1,Cotations!AV55,Cotations!AW55))</f>
        <v/>
      </c>
      <c r="DB55" s="1271" t="str">
        <f t="shared" si="252"/>
        <v/>
      </c>
      <c r="DC55" s="1270" t="str">
        <f t="shared" si="253"/>
        <v/>
      </c>
      <c r="DD55" s="1270" t="str">
        <f t="shared" si="254"/>
        <v/>
      </c>
      <c r="DE55" s="1270" t="str">
        <f t="shared" si="255"/>
        <v/>
      </c>
      <c r="DF55" s="1270" t="str">
        <f t="shared" si="256"/>
        <v/>
      </c>
      <c r="DG55" s="1270" t="str">
        <f t="shared" si="257"/>
        <v/>
      </c>
      <c r="DH55" s="1270" t="str">
        <f t="shared" si="258"/>
        <v/>
      </c>
      <c r="DI55" s="1271" t="str">
        <f t="shared" si="259"/>
        <v/>
      </c>
      <c r="DJ55" s="286" t="str">
        <f t="shared" si="260"/>
        <v/>
      </c>
      <c r="DK55" s="286" t="str">
        <f t="shared" si="261"/>
        <v/>
      </c>
      <c r="DL55" s="1264" t="str">
        <f t="shared" si="262"/>
        <v/>
      </c>
      <c r="DM55" s="1264" t="str">
        <f t="shared" si="263"/>
        <v/>
      </c>
      <c r="DN55" s="1264" t="str">
        <f t="shared" si="264"/>
        <v/>
      </c>
      <c r="DO55" s="1264" t="str">
        <f t="shared" si="265"/>
        <v/>
      </c>
      <c r="DP55" s="323" t="str">
        <f t="shared" si="299"/>
        <v/>
      </c>
      <c r="DQ55" s="444" t="str">
        <f>IF(A55=FALSE,"",Cotations!BW55)</f>
        <v/>
      </c>
      <c r="DR55" s="444" t="str">
        <f>IF(A55=FALSE,"",Cotations!BX55)</f>
        <v/>
      </c>
      <c r="DS55" s="433" t="str">
        <f>IF(A55=FALSE,"",Cotations!BY55)</f>
        <v/>
      </c>
      <c r="DT55" s="830" t="str">
        <f>IF(A55=FALSE,"",IF(DQ55="N/A",0,IF(INDEX(LISTES!$F$105:$F$109,MATCH(DQ55,LISTES!$C$105:$C$109,0))="FIX",IF(INDEX(LISTES!$E$105:$E$109,MATCH(DQ55,LISTES!$C$105:$C$109,0))=12,DR55/12*L55,DR55/365*M55),DS55*(DN55+DO55))))</f>
        <v/>
      </c>
      <c r="DU55" s="434" t="str">
        <f>IF(A55=FALSE,"",DJ55*Cotations!BZ55)</f>
        <v/>
      </c>
      <c r="DV55" s="434" t="str">
        <f>IF(A55=FALSE,"",DJ55*Cotations!CA55)</f>
        <v/>
      </c>
      <c r="EA55" s="432" t="str">
        <f>IF(A55=FALSE,"",Cotations!AT55)</f>
        <v/>
      </c>
      <c r="EB55" s="1234" t="str">
        <f>IF(A55=FALSE,"",YEAR(Detail!F55)&amp;Detail!AG55&amp;Detail!AD55&amp;"-"&amp;Detail!$AD$13&amp;Detail!AE55)</f>
        <v/>
      </c>
      <c r="EC55" s="434" t="str">
        <f>IF(A55=FALSE,"",IF(LISTES!$A$17=1,EB55,INDEX(colMOD1,MATCH(Cotations!AH55,colchoice,0))))</f>
        <v/>
      </c>
      <c r="ED55" s="277" t="str">
        <f t="shared" si="300"/>
        <v/>
      </c>
      <c r="EE55" s="277" t="str">
        <f t="shared" si="301"/>
        <v/>
      </c>
      <c r="EF55" s="277"/>
      <c r="EG55" s="277"/>
      <c r="EH55" s="277" t="str">
        <f t="shared" si="302"/>
        <v/>
      </c>
      <c r="EI55" s="1104" t="str">
        <f t="shared" si="303"/>
        <v/>
      </c>
      <c r="EJ55" s="1104" t="str">
        <f t="shared" si="304"/>
        <v/>
      </c>
      <c r="EK55" s="443" t="str">
        <f>IF(A55=FALSE,"",IF(Cotations!AF55="monthly",EH55/12*L55,EH55/365*M55))</f>
        <v/>
      </c>
      <c r="EL55" s="1103" t="str">
        <f>IF(A55=FALSE,"",IF(Cotations!AF55="monthly",EJ55/12*L55,EJ55/365*M55))</f>
        <v/>
      </c>
      <c r="EM55" s="433" t="str">
        <f>IF(A55=FALSE,"",IF(Cotations!AI55="","",Cotations!AI55))</f>
        <v/>
      </c>
      <c r="EN55" s="277" t="str">
        <f t="shared" si="305"/>
        <v/>
      </c>
      <c r="EO55" s="277" t="str">
        <f t="shared" si="306"/>
        <v/>
      </c>
      <c r="EP55" s="1104" t="str">
        <f t="shared" si="307"/>
        <v/>
      </c>
      <c r="EQ55" s="277" t="str">
        <f t="shared" si="308"/>
        <v/>
      </c>
      <c r="ER55" s="759" t="str">
        <f>IF(A55=FALSE,"",((EH55*TAXE)-(EH55*TAXE*EM55)+EI55)+IF(CQ55="N/A",0,IF(INDEX(LISTES!$F$105:$F$109,MATCH(CQ55,LISTES!$C$105:$C$109,0))="FIX",CR55,CS55*EQ55)))</f>
        <v/>
      </c>
      <c r="ET55" s="422"/>
      <c r="EU55" s="422"/>
      <c r="EV55" s="422"/>
      <c r="EW55" s="422"/>
      <c r="EX55" s="422"/>
      <c r="EY55" s="422"/>
      <c r="EZ55" s="422"/>
      <c r="FA55" s="432" t="str">
        <f>IF(A55=FALSE,"",Cotations!AT55)</f>
        <v/>
      </c>
      <c r="FB55" s="1235" t="str">
        <f>IF(A55=FALSE,"",IF(Detail!AL55="","N/A",YEAR(Detail!F55)&amp;Detail!AO55&amp;Detail!AL55&amp;"-"&amp;Detail!$AL$13&amp;Detail!AM55))</f>
        <v/>
      </c>
      <c r="FC55" s="434" t="str">
        <f>IF(A55=FALSE,"",IF(LISTES!$A$17=1,FB55,INDEX(colMOD2,MATCH(Cotations!AH55,colchoice,0))))</f>
        <v/>
      </c>
      <c r="FD55" s="277" t="str">
        <f t="shared" si="309"/>
        <v/>
      </c>
      <c r="FE55" s="443" t="str">
        <f>IF(A55=FALSE,"",IF(Detail!AM55="","",Detail!AM55))</f>
        <v/>
      </c>
      <c r="FF55" s="277"/>
      <c r="FG55" s="277"/>
      <c r="FH55" s="277" t="str">
        <f t="shared" si="310"/>
        <v/>
      </c>
      <c r="FI55" s="1104"/>
      <c r="FJ55" s="1104"/>
      <c r="FK55" s="443" t="str">
        <f>IF(A55=FALSE,"",IF(Cotations!AF55="monthly",FH55/12*L55,FH55/365*M55))</f>
        <v/>
      </c>
      <c r="FL55" s="1103" t="str">
        <f>IF(A55=FALSE,"",IF(Cotations!AF55="monthly",FJ55/12*L55,FJ55/365*M55))</f>
        <v/>
      </c>
      <c r="FM55" s="433" t="str">
        <f>IF(A55=FALSE,"",IF(Cotations!AJ55="","",Cotations!AJ55))</f>
        <v/>
      </c>
      <c r="FN55" s="277" t="str">
        <f t="shared" si="268"/>
        <v/>
      </c>
      <c r="FO55" s="277" t="str">
        <f t="shared" si="269"/>
        <v/>
      </c>
      <c r="FP55" s="1104"/>
      <c r="FQ55" s="277" t="str">
        <f t="shared" si="270"/>
        <v/>
      </c>
      <c r="FR55" s="759" t="str">
        <f>IF(A55=FALSE,"",((FH55*TAXE)-(FH55*TAXE*FM55))+IF(#REF!="N/A",0,IF(INDEX(LISTES!$F$105:$F$109,MATCH(#REF!,LISTES!$C$105:$C$109,0))="FIX",#REF!,#REF!*FQ55)))</f>
        <v/>
      </c>
      <c r="FS55" s="422"/>
      <c r="FT55" s="422"/>
      <c r="FU55" s="422"/>
      <c r="FV55" s="422"/>
      <c r="FW55" s="422"/>
      <c r="FX55" s="422"/>
      <c r="FY55" s="422"/>
      <c r="FZ55" s="422"/>
      <c r="GA55" s="432" t="str">
        <f t="shared" si="311"/>
        <v/>
      </c>
      <c r="GB55" s="1234" t="str">
        <f>IF(A55=FALSE,"",IF(Detail!DF55="","N/A",YEAR(Detail!F55)&amp;Detail!DI55&amp;Detail!DF55&amp;"-"&amp;Detail!$DF$13))</f>
        <v/>
      </c>
      <c r="GC55" s="434" t="str">
        <f>IF(A55=FALSE,"",IF(LISTES!$A$17=1,GB55,INDEX(colMOD3,MATCH(Cotations!AH55,colchoice,0))))</f>
        <v/>
      </c>
      <c r="GD55" s="277" t="str">
        <f t="shared" si="312"/>
        <v/>
      </c>
      <c r="GE55" s="277" t="str">
        <f t="shared" si="313"/>
        <v/>
      </c>
      <c r="GF55" s="277"/>
      <c r="GG55" s="277"/>
      <c r="GH55" s="277" t="str">
        <f t="shared" si="271"/>
        <v/>
      </c>
      <c r="GI55" s="1104" t="str">
        <f t="shared" si="272"/>
        <v/>
      </c>
      <c r="GJ55" s="1104" t="str">
        <f t="shared" si="273"/>
        <v/>
      </c>
      <c r="GK55" s="443" t="str">
        <f>IF(A55=FALSE,"",IF(Cotations!AF55="monthly",GH55/12*L55,GH55/365*M55))</f>
        <v/>
      </c>
      <c r="GL55" s="1103" t="str">
        <f>IF(A55=FALSE,"",IF(Cotations!AF55="monthly",GJ55/12*L55,GJ55/365*M55))</f>
        <v/>
      </c>
      <c r="GM55" s="433" t="str">
        <f>IF(A55=FALSE,"",IF(Cotations!AK55="","",Cotations!AK55))</f>
        <v/>
      </c>
      <c r="GN55" s="277" t="str">
        <f t="shared" si="274"/>
        <v/>
      </c>
      <c r="GO55" s="277" t="str">
        <f t="shared" si="275"/>
        <v/>
      </c>
      <c r="GP55" s="1104" t="str">
        <f t="shared" si="276"/>
        <v/>
      </c>
      <c r="GQ55" s="277" t="str">
        <f t="shared" si="277"/>
        <v/>
      </c>
      <c r="GR55" s="759" t="str">
        <f>IF(A55=FALSE,"",((GH55*TAXE)-(GH55*TAXE*GM55)+GI55)+IF(CQ55="N/A",0,IF(INDEX(LISTES!$F$105:$F$109,MATCH(CQ55,LISTES!$C$105:$C$109,0))="FIX",CR55,CS55*GQ55)))</f>
        <v/>
      </c>
      <c r="GS55" s="412"/>
      <c r="GT55" s="412"/>
      <c r="GU55" s="412"/>
      <c r="GV55" s="412"/>
      <c r="GW55" s="412"/>
      <c r="GX55" s="412"/>
      <c r="GY55" s="412"/>
      <c r="GZ55" s="412"/>
      <c r="HA55" s="432" t="str">
        <f t="shared" si="314"/>
        <v/>
      </c>
      <c r="HB55" s="1234" t="str">
        <f>IF(A55=FALSE,"",IF(Detail!DF55="","N/A",YEAR(Detail!F55)&amp;Detail!DI55&amp;Detail!DF55&amp;"-"&amp;Detail!$DF$13))</f>
        <v/>
      </c>
      <c r="HC55" s="434" t="str">
        <f>IF(A55=FALSE,"",IF(LISTES!$A$17=1,HB55,INDEX(colMOD4,MATCH(Cotations!AH55,colchoice,0))))</f>
        <v/>
      </c>
      <c r="HD55" s="277" t="str">
        <f t="shared" si="278"/>
        <v/>
      </c>
      <c r="HE55" s="277" t="str">
        <f t="shared" si="279"/>
        <v/>
      </c>
      <c r="HF55" s="277"/>
      <c r="HG55" s="277"/>
      <c r="HH55" s="277" t="str">
        <f t="shared" si="280"/>
        <v/>
      </c>
      <c r="HI55" s="1104" t="str">
        <f t="shared" si="281"/>
        <v/>
      </c>
      <c r="HJ55" s="1104" t="str">
        <f t="shared" si="282"/>
        <v/>
      </c>
      <c r="HK55" s="443" t="str">
        <f>IF(A55=FALSE,"",IF(Cotations!AF55="monthly",HH55/12*L55,HH55/365*M55))</f>
        <v/>
      </c>
      <c r="HL55" s="1103" t="str">
        <f>IF(A55=FALSE,"",IF(Cotations!AF55="monthly",HJ55/12*L55,HJ55/365*M55))</f>
        <v/>
      </c>
      <c r="HM55" s="433" t="str">
        <f>IF(A55=FALSE,"",IF(Cotations!AL55="","",Cotations!AL55))</f>
        <v/>
      </c>
      <c r="HN55" s="277" t="str">
        <f t="shared" si="283"/>
        <v/>
      </c>
      <c r="HO55" s="277" t="str">
        <f t="shared" si="284"/>
        <v/>
      </c>
      <c r="HP55" s="1104" t="str">
        <f t="shared" si="285"/>
        <v/>
      </c>
      <c r="HQ55" s="277" t="str">
        <f t="shared" si="286"/>
        <v/>
      </c>
      <c r="HR55" s="759" t="str">
        <f>IF(A55=FALSE,"",((HH55*TAXE)-(HH55*TAXE*HM55)+HI55)+IF(CQ55="N/A",0,IF(INDEX(LISTES!$F$105:$F$109,MATCH(CQ55,LISTES!$C$105:$C$109,0))="FIX",CR55,CS55*HQ55)))</f>
        <v/>
      </c>
      <c r="HS55" s="412"/>
      <c r="HT55" s="412"/>
      <c r="HU55" s="412"/>
      <c r="HV55" s="412"/>
      <c r="HW55" s="412"/>
      <c r="HX55" s="412"/>
      <c r="HY55" s="412"/>
      <c r="HZ55" s="1262"/>
      <c r="IA55" s="432" t="str">
        <f>IF(A55=FALSE,"",Cotations!AT55)</f>
        <v/>
      </c>
      <c r="IB55" s="1253" t="str">
        <f>IF(A55=FALSE,"",IF(Detail!AT55="","N/A",YEAR(Detail!F55)&amp;Detail!AW55&amp;Detail!AT55&amp;"-"&amp;Detail!$AT$13&amp;Detail!AU55))</f>
        <v/>
      </c>
      <c r="IC55" s="431" t="str">
        <f>IF(A55=FALSE,"",IF(LISTES!$A$17=1,IB55,INDEX(colMOD1,MATCH(DA55,colchoice,0))))</f>
        <v/>
      </c>
      <c r="ID55" s="759" t="str">
        <f t="shared" si="358"/>
        <v/>
      </c>
      <c r="IE55" s="292" t="str">
        <f>IF(A55=FALSE,"",IF(LISTES!$A$17=1,Detail!AU55,INDEX(Rates!$M$1:$M$270,MATCH(IC55,colMOD1,0))))</f>
        <v/>
      </c>
      <c r="IF55" s="409" t="str">
        <f t="shared" si="359"/>
        <v/>
      </c>
      <c r="IG55" s="430" t="str">
        <f>IF(A55=FALSE,"",IF(IA55="POEA",Cotations!AY55,IF(IA55="FIXE",Cotations!AZ55,IF(Cotations!BA55*Y55&lt;50000,Z55,Cotations!BA55*Y55))))</f>
        <v/>
      </c>
      <c r="IH55" s="292" t="str">
        <f t="shared" si="360"/>
        <v/>
      </c>
      <c r="II55" s="446" t="str">
        <f>IF(A55=FALSE,"",IF(Cotations!AU55="monthly",IH55/12*L55,IH55/365*M55))</f>
        <v/>
      </c>
      <c r="IJ55" s="429" t="str">
        <f>IF(A55=FALSE,"",IF(Cotations!BB55="","",Cotations!BB55))</f>
        <v/>
      </c>
      <c r="IK55" s="292" t="str">
        <f t="shared" si="361"/>
        <v/>
      </c>
      <c r="IL55" s="292" t="str">
        <f t="shared" si="362"/>
        <v/>
      </c>
      <c r="IM55" s="759" t="str">
        <f t="shared" si="363"/>
        <v/>
      </c>
      <c r="IN55" s="759" t="str">
        <f>IF(A55=FALSE,"",((IH55*TAXE)-(IH55*TAXE*IJ55))+IF(DQ55="N/A",0,IF(INDEX(LISTES!$F$105:$F$109,MATCH(DQ55,LISTES!$C$105:$C$109,0))="FIX",DR55,DS55*IM55)))</f>
        <v/>
      </c>
      <c r="JA55" s="432" t="str">
        <f>IF(A55=FALSE,"",Cotations!AT55)</f>
        <v/>
      </c>
      <c r="JB55" s="1234" t="str">
        <f>IF(A55=FALSE,"",IF(Detail!BB55="","N/A",YEAR(Detail!F55)&amp;Detail!BE55&amp;Detail!BB55&amp;"-"&amp;Detail!$BB$13&amp;Detail!BC55))</f>
        <v/>
      </c>
      <c r="JC55" s="431" t="str">
        <f>IF(A55=FALSE,"",IF(LISTES!$A$17=1,JB55,INDEX(colMOD2,MATCH(DA55,colchoice,0))))</f>
        <v/>
      </c>
      <c r="JD55" s="759" t="str">
        <f t="shared" si="321"/>
        <v/>
      </c>
      <c r="JE55" s="292"/>
      <c r="JF55" s="409" t="str">
        <f t="shared" si="322"/>
        <v/>
      </c>
      <c r="JG55" s="430" t="str">
        <f>IF(A55=FALSE,"",IF(JA55="POEA",Cotations!BC55,IF(JA55="FIXE",Cotations!BD55,IF(Cotations!BE55*Y55&lt;50000,Z55,Cotations!BE55*Y55))))</f>
        <v/>
      </c>
      <c r="JH55" s="292" t="str">
        <f t="shared" si="323"/>
        <v/>
      </c>
      <c r="JI55" s="446" t="str">
        <f>IF(A55=FALSE,"",IF(Cotations!AU55="monthly",JH55/12*L55,JH55/365*M55))</f>
        <v/>
      </c>
      <c r="JJ55" s="429" t="str">
        <f>IF(A55=FALSE,"",IF(Cotations!BF55="","",Cotations!BF55))</f>
        <v/>
      </c>
      <c r="JK55" s="292" t="str">
        <f t="shared" si="324"/>
        <v/>
      </c>
      <c r="JL55" s="292" t="str">
        <f t="shared" si="325"/>
        <v/>
      </c>
      <c r="JM55" s="759" t="str">
        <f t="shared" si="326"/>
        <v/>
      </c>
      <c r="JN55" s="759" t="str">
        <f>IF(A55=FALSE,"",((JH55*TAXE)-(JH55*TAXE*JJ55))+IF(#REF!="N/A",0,IF(INDEX(LISTES!$F$105:$F$109,MATCH(#REF!,LISTES!$C$105:$C$109,0))="FIX",#REF!,#REF!*JM55)))</f>
        <v/>
      </c>
      <c r="KA55" s="432" t="str">
        <f>IF(A55=FALSE,"",Cotations!AT55)</f>
        <v/>
      </c>
      <c r="KB55" s="1234" t="str">
        <f>IF(A55=FALSE,"",IF(Detail!BJ55="","N/A",YEAR(Detail!F55)&amp;Detail!BM55&amp;Detail!BJ55&amp;"-"&amp;Detail!$BJ$13&amp;Detail!BK55))</f>
        <v/>
      </c>
      <c r="KC55" s="431" t="str">
        <f>IF(A55=FALSE,"",IF(LISTES!$A$17=1,KB55,INDEX(colMOD3,MATCH(DA55,colchoice,0))))</f>
        <v/>
      </c>
      <c r="KD55" s="759" t="str">
        <f t="shared" si="327"/>
        <v/>
      </c>
      <c r="KE55" s="292"/>
      <c r="KF55" s="409" t="str">
        <f t="shared" si="328"/>
        <v/>
      </c>
      <c r="KG55" s="430" t="str">
        <f>IF(A55=FALSE,"",IF(KA55="POEA",Cotations!BG55,IF(KA55="FIXE",Cotations!BH55,IF(Cotations!BI55*Y55&lt;50000,Z55,Cotations!BI55*Y55))))</f>
        <v/>
      </c>
      <c r="KH55" s="292" t="str">
        <f t="shared" si="329"/>
        <v/>
      </c>
      <c r="KI55" s="446" t="str">
        <f>IF(A55=FALSE,"",IF(Cotations!AU55="monthly",KH55/12*L55,KH55/365*M55))</f>
        <v/>
      </c>
      <c r="KJ55" s="429" t="str">
        <f>IF(A55=FALSE,"",IF(Cotations!BJ55="","",Cotations!BJ55))</f>
        <v/>
      </c>
      <c r="KK55" s="292" t="str">
        <f t="shared" si="330"/>
        <v/>
      </c>
      <c r="KL55" s="292" t="str">
        <f t="shared" si="331"/>
        <v/>
      </c>
      <c r="KM55" s="759" t="str">
        <f t="shared" si="332"/>
        <v/>
      </c>
      <c r="KN55" s="759" t="str">
        <f>IF(A55=FALSE,"",((KH55*TAXE)-(KH55*TAXE*KJ55))+IF(#REF!="N/A",0,IF(INDEX(LISTES!$F$105:$F$109,MATCH(#REF!,LISTES!$C$105:$C$109,0))="FIX",#REF!,#REF!*KM55)))</f>
        <v/>
      </c>
      <c r="LA55" s="432" t="str">
        <f>IF(A55=FALSE,"",Cotations!AT55)</f>
        <v/>
      </c>
      <c r="LB55" s="1234" t="str">
        <f>IF(A55=FALSE,"",IF(Detail!BR55="","N/A",YEAR(Detail!F55)&amp;Detail!BU55&amp;Detail!BR55&amp;"-"&amp;Detail!$BR$13&amp;Detail!BS55))</f>
        <v/>
      </c>
      <c r="LC55" s="431" t="str">
        <f>IF(A55=FALSE,"",IF(LISTES!$A$17=1,LB55,INDEX(colMOD4,MATCH(DA55,colchoice,0))))</f>
        <v/>
      </c>
      <c r="LD55" s="759" t="str">
        <f t="shared" si="333"/>
        <v/>
      </c>
      <c r="LE55" s="292"/>
      <c r="LF55" s="409" t="str">
        <f t="shared" si="334"/>
        <v/>
      </c>
      <c r="LG55" s="430" t="str">
        <f>IF(A55=FALSE,"",IF(LA55="POEA",Cotations!BK55,IF(LA55="FIXE",Cotations!BL55,IF(Cotations!BM55*Y55&lt;50000,Z55,Cotations!BM55*Y55))))</f>
        <v/>
      </c>
      <c r="LH55" s="292" t="str">
        <f t="shared" si="335"/>
        <v/>
      </c>
      <c r="LI55" s="446" t="str">
        <f>IF(A55=FALSE,"",IF(Cotations!AU55="monthly",LH55/12*L55,LH55/365*M55))</f>
        <v/>
      </c>
      <c r="LJ55" s="429" t="str">
        <f>IF(A55=FALSE,"",IF(Cotations!BN55="","",Cotations!BN55))</f>
        <v/>
      </c>
      <c r="LK55" s="292" t="str">
        <f t="shared" si="336"/>
        <v/>
      </c>
      <c r="LL55" s="292" t="str">
        <f t="shared" si="337"/>
        <v/>
      </c>
      <c r="LM55" s="759" t="str">
        <f t="shared" si="338"/>
        <v/>
      </c>
      <c r="LN55" s="759" t="str">
        <f>IF(A55=FALSE,"",((LH55*TAXE)-(LH55*TAXE*LJ55))+IF(#REF!="N/A",0,IF(INDEX(LISTES!$F$105:$F$109,MATCH(#REF!,LISTES!$C$105:$C$109,0))="FIX",#REF!,#REF!*LM55)))</f>
        <v/>
      </c>
      <c r="MA55" s="432" t="str">
        <f t="shared" si="339"/>
        <v/>
      </c>
      <c r="MB55" s="1234" t="str">
        <f>IF(A55=FALSE,"",IF(Detail!BZ55="","N/A",YEAR(Detail!F55)&amp;Detail!CC55&amp;Detail!BZ55&amp;"-"&amp;Detail!$BZ$13&amp;" (100%/"&amp;Detail!CD55&amp;"/"&amp;Detail!CE55&amp;")"))</f>
        <v/>
      </c>
      <c r="MC55" s="431" t="str">
        <f>IF(A55=FALSE,"",IF(LISTES!$A$17=1,MB55,INDEX(colMOD5,MATCH(DA55,colchoice,0))))</f>
        <v/>
      </c>
      <c r="MD55" s="759" t="str">
        <f t="shared" si="340"/>
        <v/>
      </c>
      <c r="ME55" s="292"/>
      <c r="MF55" s="409" t="str">
        <f t="shared" si="341"/>
        <v/>
      </c>
      <c r="MG55" s="430" t="str">
        <f>IF(A55=FALSE,"",Cotations!BQ55*AA55)</f>
        <v/>
      </c>
      <c r="MH55" s="292" t="str">
        <f t="shared" si="342"/>
        <v/>
      </c>
      <c r="MI55" s="446" t="str">
        <f>IF(A55=FALSE,"",IF(Cotations!AU55="monthly",MH55/12*L55,MH55/365*M55))</f>
        <v/>
      </c>
      <c r="MJ55" s="429" t="str">
        <f>IF(A55=FALSE,"",IF(Cotations!BR55="","",Cotations!BR55))</f>
        <v/>
      </c>
      <c r="MK55" s="292" t="str">
        <f t="shared" si="343"/>
        <v/>
      </c>
      <c r="ML55" s="292" t="str">
        <f t="shared" si="344"/>
        <v/>
      </c>
      <c r="MM55" s="759" t="str">
        <f t="shared" si="345"/>
        <v/>
      </c>
      <c r="MN55" s="759" t="str">
        <f>IF(A55=FALSE,"",((MH55*TAXE)-(MH55*TAXE*MJ55))+IF(#REF!="N/A",0,IF(INDEX(LISTES!$F$105:$F$109,MATCH(#REF!,LISTES!$C$105:$C$109,0))="FIX",#REF!,#REF!*MM55)))</f>
        <v/>
      </c>
      <c r="NA55" s="432" t="str">
        <f t="shared" si="346"/>
        <v/>
      </c>
      <c r="NB55" s="1234" t="str">
        <f>IF(A55=FALSE,"",IF(Detail!CH55="","N/A",YEAR(Detail!F55)&amp;Detail!CK55&amp;Detail!CH55&amp;"-"&amp;Detail!$CH$13&amp;" (100%/"&amp;Detail!CL55&amp;"/"&amp;Detail!CM55&amp;")"))</f>
        <v/>
      </c>
      <c r="NC55" s="431" t="str">
        <f>IF(A55=FALSE,"",IF(LISTES!$A$17=1,NB55,INDEX(colMOD6,MATCH(DA55,colchoice,0))))</f>
        <v/>
      </c>
      <c r="ND55" s="759" t="str">
        <f t="shared" si="347"/>
        <v/>
      </c>
      <c r="NE55" s="292"/>
      <c r="NF55" s="409" t="str">
        <f t="shared" si="348"/>
        <v/>
      </c>
      <c r="NG55" s="430" t="str">
        <f>IF(A55=FALSE,"",Cotations!BU55*AA55)</f>
        <v/>
      </c>
      <c r="NH55" s="292" t="str">
        <f t="shared" si="349"/>
        <v/>
      </c>
      <c r="NI55" s="446" t="str">
        <f>IF(A55=FALSE,"",IF(Cotations!AU55="monthly",NH55/12*L55,NH55/365*M55))</f>
        <v/>
      </c>
      <c r="NJ55" s="429" t="str">
        <f>IF(A55=FALSE,"",IF(Cotations!BV55="","",Cotations!BV55))</f>
        <v/>
      </c>
      <c r="NK55" s="292" t="str">
        <f t="shared" si="350"/>
        <v/>
      </c>
      <c r="NL55" s="292" t="str">
        <f t="shared" si="351"/>
        <v/>
      </c>
      <c r="NM55" s="759" t="str">
        <f t="shared" si="352"/>
        <v/>
      </c>
      <c r="NN55" s="759" t="str">
        <f>IF(A55=FALSE,"",((NH55*TAXE)-(NH55*TAXE*NJ55))+IF(#REF!="N/A",0,IF(INDEX(LISTES!$F$105:$F$109,MATCH(#REF!,LISTES!$C$105:$C$109,0))="FIX",#REF!,#REF!*NM55)))</f>
        <v/>
      </c>
      <c r="NZ55" s="1281" t="str">
        <f>IF(A55=FALSE,"",IF(Detail!CP55="","N/A",YEAR(Detail!F55)&amp;Detail!CS55&amp;Detail!CP55&amp;"-"&amp;Detail!CQ55))</f>
        <v/>
      </c>
      <c r="OA55" s="432" t="str">
        <f>IF(A55=FALSE,"",Cotations!CF55)</f>
        <v/>
      </c>
      <c r="OB55" s="1282" t="str">
        <f>IF(A55=FALSE,"",IF(Detail!CP55="","N/A",YEAR(Detail!F55)&amp;Detail!CS55&amp;Detail!CP55&amp;"-"&amp;Detail!$CP$13&amp;Detail!CQ55))</f>
        <v/>
      </c>
      <c r="OC55" s="1283" t="str">
        <f>IF(A55=FALSE,"",IF(LISTES!$A$17=1,OB55,INDEX(colMOD1,MATCH(Cotations!CE55,colchoice,0))))</f>
        <v/>
      </c>
      <c r="OD55" s="759" t="str">
        <f t="shared" si="353"/>
        <v/>
      </c>
      <c r="OE55" s="292" t="str">
        <f>IF(A55=FALSE,"",Detail!CQ55)</f>
        <v/>
      </c>
      <c r="OF55" s="409" t="str">
        <f t="shared" si="354"/>
        <v/>
      </c>
      <c r="OG55" s="430" t="str">
        <f>IF(A55=FALSE,"",IF(OA55="FIXE",Cotations!CM55,Cotations!CN55*AA55))</f>
        <v/>
      </c>
      <c r="OH55" s="292" t="str">
        <f t="shared" si="288"/>
        <v/>
      </c>
      <c r="OI55" s="446" t="str">
        <f>IF(A55=FALSE,"",IF(Cotations!CF55="monthly",OH55/12*L55,OH55/365*M55))</f>
        <v/>
      </c>
      <c r="OJ55" s="429" t="str">
        <f>IF(A55=FALSE,"",IF(Cotations!CO55="","",Cotations!CO55))</f>
        <v/>
      </c>
      <c r="OK55" s="292" t="str">
        <f t="shared" si="289"/>
        <v/>
      </c>
      <c r="OL55" s="292" t="str">
        <f t="shared" si="290"/>
        <v/>
      </c>
      <c r="OM55" s="759" t="str">
        <f t="shared" si="355"/>
        <v/>
      </c>
      <c r="ON55" s="759" t="str">
        <f>IF(A55=FALSE,"",((OH55*(1+TAXE)-(OH55*(1+TAXE)*OJ55))+IF(#REF!="N/A",0,IF(INDEX(LISTES!$F$105:$F$109,MATCH(#REF!,LISTES!$C$105:$C$109,0))="FIX",#REF!,#REF!*OM55))))</f>
        <v/>
      </c>
      <c r="PA55" s="432" t="str">
        <f>IF(A55=FALSE,"",Cotations!CF55)</f>
        <v/>
      </c>
      <c r="PB55" s="1282" t="str">
        <f>IF(A55=FALSE,"",IF(Detail!CX55="","N/A",YEAR(Detail!F55)&amp;Detail!DA55&amp;Detail!CX55&amp;"-"&amp;Detail!$CX$13&amp;Detail!CY55))</f>
        <v/>
      </c>
      <c r="PC55" s="1283" t="str">
        <f>IF(A55=FALSE,"",IF(LISTES!$A$17=1,PB55,INDEX(colMOD3,MATCH(Cotations!CE55,colchoice,0))))</f>
        <v/>
      </c>
      <c r="PD55" s="759" t="str">
        <f t="shared" si="356"/>
        <v/>
      </c>
      <c r="PE55" s="292" t="str">
        <f>IF(A55=FALSE,"",IF(Detail!CY55="","",Detail!CY55))</f>
        <v/>
      </c>
      <c r="PF55" s="409" t="str">
        <f t="shared" si="291"/>
        <v/>
      </c>
      <c r="PG55" s="430" t="str">
        <f>IF(A55=FALSE,"",IF(PA55="FIXE",Cotations!CP55,Cotations!CQ55*AA55))</f>
        <v/>
      </c>
      <c r="PH55" s="292" t="str">
        <f t="shared" si="292"/>
        <v/>
      </c>
      <c r="PI55" s="446" t="str">
        <f>IF(A55=FALSE,"",IF(Cotations!CG55="monthly",PH55/12*L55,PH55/365*M55))</f>
        <v/>
      </c>
      <c r="PJ55" s="429" t="str">
        <f>IF(A55=FALSE,"",IF(Cotations!DA55="",0,Cotations!DA55))</f>
        <v/>
      </c>
      <c r="PK55" s="292" t="str">
        <f t="shared" si="293"/>
        <v/>
      </c>
      <c r="PL55" s="292" t="str">
        <f t="shared" si="294"/>
        <v/>
      </c>
      <c r="PM55" s="759" t="str">
        <f t="shared" si="357"/>
        <v/>
      </c>
      <c r="PN55" s="759" t="str">
        <f>IF(A55=FALSE,"",((PH55*(1+TAXE)-(PH55*(1+TAXE)*PJ55))+IF(#REF!="N/A",0,IF(INDEX(LISTES!$F$105:$F$109,MATCH(#REF!,LISTES!$C$105:$C$109,0))="FIX",#REF!,#REF!*PM55))))</f>
        <v/>
      </c>
    </row>
    <row r="56" spans="1:430" s="49" customFormat="1">
      <c r="A56" s="779" t="b">
        <f t="shared" si="295"/>
        <v>0</v>
      </c>
      <c r="B56" s="779" t="b">
        <f>IF(NAMES!$B$9=TRUE,TRUE,FALSE)</f>
        <v>1</v>
      </c>
      <c r="C56" s="779" t="b">
        <f t="shared" si="212"/>
        <v>0</v>
      </c>
      <c r="D56" s="779" t="b">
        <f t="shared" si="213"/>
        <v>0</v>
      </c>
      <c r="E56" s="267" t="b">
        <f>IF(Cotations!C56="","",Cotations!C56)</f>
        <v>0</v>
      </c>
      <c r="F56" s="267" t="str">
        <f>IF(Cotations!AT56="","",Cotations!AT56)</f>
        <v>PROP</v>
      </c>
      <c r="G56" s="267" t="str">
        <f>IF(Cotations!D56="","",Cotations!D56)</f>
        <v>2017-2017!</v>
      </c>
      <c r="H56" s="267" t="str">
        <f>IF(Cotations!E56="","",Cotations!E56)</f>
        <v>SINGLE</v>
      </c>
      <c r="I56" s="267" t="str">
        <f>IF(Cotations!F56="","",Cotations!F56)</f>
        <v/>
      </c>
      <c r="J56" s="267" t="str">
        <f>IF(Cotations!G56="","",Cotations!G56)</f>
        <v/>
      </c>
      <c r="K56" s="267" t="str">
        <f>IF(Cotations!H56="","",Cotations!H56)</f>
        <v/>
      </c>
      <c r="L56" s="267" t="str">
        <f>IF(A56=FALSE,"",IF(Cotations!M56="","",Cotations!M56))</f>
        <v/>
      </c>
      <c r="M56" s="267" t="str">
        <f>IF(Cotations!O56="","",Cotations!O56)</f>
        <v/>
      </c>
      <c r="N56" s="588" t="str">
        <f>IF(NAMES!$B$10=TRUE,Cotations!I56,Cotations!K56)</f>
        <v/>
      </c>
      <c r="O56" s="588" t="str">
        <f>IF(NAMES!$B$10=TRUE,Cotations!J56,Cotations!L56)</f>
        <v/>
      </c>
      <c r="P56" s="780" t="str">
        <f t="shared" si="214"/>
        <v/>
      </c>
      <c r="Q56" s="588" t="str">
        <f>IF(A56=FALSE,"",IF(Crewlist!Y56="","",Crewlist!Y56))</f>
        <v/>
      </c>
      <c r="R56" s="78" t="str">
        <f>IF(Cotations!T56="","",Cotations!T56)</f>
        <v/>
      </c>
      <c r="S56" s="780" t="str">
        <f t="shared" si="215"/>
        <v/>
      </c>
      <c r="T56" s="759" t="str">
        <f>IF(A56=FALSE,"",VLOOKUP($U$15:$U$120,Currency!$A$2:$D$10,4,0)*Crewlist!N56)</f>
        <v/>
      </c>
      <c r="U56" s="1097" t="str">
        <f>IF(A56=FALSE,"",IF(DP56=0,Crewlist!M56&amp;"/"&amp;CP56,Crewlist!M56&amp;"/"&amp;DP56))</f>
        <v/>
      </c>
      <c r="V56" s="759" t="str">
        <f>IF(A56=FALSE,"",VLOOKUP($U$15:$U$120,Currency!$A$2:$D$10,4,0)*Detail!Q56)</f>
        <v/>
      </c>
      <c r="W56" s="1097" t="str">
        <f>IF(A56=FALSE,"",IF(DP56=0,Detail!R56&amp;"/"&amp;CP56,Detail!R56&amp;"/"&amp;DP56))</f>
        <v/>
      </c>
      <c r="X56" s="759" t="str">
        <f>IF(A56=FALSE,"",IF(LISTES!$C$17="Crewlist",Calcul!T56,Calcul!V56))</f>
        <v/>
      </c>
      <c r="Y56" s="618" t="str">
        <f t="shared" si="216"/>
        <v/>
      </c>
      <c r="Z56" s="618" t="str">
        <f>IF(A56=FALSE,"",IF(X56=0,0,IF((Cotations!BA56*12*X56)&lt;50000,50000,(12*X56))))</f>
        <v/>
      </c>
      <c r="AA56" s="618" t="str">
        <f t="shared" si="217"/>
        <v/>
      </c>
      <c r="AB56" s="618" t="str">
        <f>IF(A56=FALSE,"",IF(Crewlist!O56=0,"",Crewlist!O56))</f>
        <v/>
      </c>
      <c r="AC56" s="618" t="str">
        <f>IF(I56="","",VLOOKUP($AB$15:$AB$120,Currency!$A$15:$B$34,2,0))</f>
        <v/>
      </c>
      <c r="AD56" s="618" t="str">
        <f t="shared" si="218"/>
        <v/>
      </c>
      <c r="AE56" s="618" t="str">
        <f t="shared" si="219"/>
        <v/>
      </c>
      <c r="AF56" s="618" t="str">
        <f t="shared" si="220"/>
        <v/>
      </c>
      <c r="AG56" s="618" t="str">
        <f t="shared" si="221"/>
        <v/>
      </c>
      <c r="AH56" s="1097" t="str">
        <f t="shared" si="296"/>
        <v/>
      </c>
      <c r="AI56" s="759" t="str">
        <f t="shared" si="222"/>
        <v/>
      </c>
      <c r="AJ56" s="1120" t="str">
        <f t="shared" si="223"/>
        <v/>
      </c>
      <c r="AK56" s="1120" t="str">
        <f t="shared" si="224"/>
        <v/>
      </c>
      <c r="AL56" s="236" t="str">
        <f t="shared" si="225"/>
        <v/>
      </c>
      <c r="AM56" s="236" t="str">
        <f t="shared" si="226"/>
        <v/>
      </c>
      <c r="AN56" s="1112" t="str">
        <f t="shared" si="227"/>
        <v/>
      </c>
      <c r="AO56" s="236" t="str">
        <f t="shared" si="228"/>
        <v/>
      </c>
      <c r="AP56" s="327" t="str">
        <f>IF(A56=FALSE,"",INDEX(Rates!$Q$1:$Q$278,MATCH(CA56,colchoice,0)))</f>
        <v/>
      </c>
      <c r="AQ56" s="236" t="str">
        <f t="shared" si="229"/>
        <v/>
      </c>
      <c r="AR56" s="236" t="str">
        <f t="shared" si="230"/>
        <v/>
      </c>
      <c r="AS56" s="236" t="str">
        <f t="shared" si="297"/>
        <v/>
      </c>
      <c r="AT56" s="236" t="str">
        <f t="shared" si="298"/>
        <v/>
      </c>
      <c r="AU56" s="236" t="str">
        <f t="shared" si="231"/>
        <v/>
      </c>
      <c r="AV56" s="236" t="str">
        <f t="shared" si="232"/>
        <v/>
      </c>
      <c r="AW56" s="236" t="str">
        <f t="shared" si="233"/>
        <v/>
      </c>
      <c r="AX56" s="236" t="str">
        <f t="shared" si="234"/>
        <v/>
      </c>
      <c r="AY56" s="236" t="str">
        <f t="shared" si="235"/>
        <v/>
      </c>
      <c r="AZ56" s="236" t="str">
        <f t="shared" si="236"/>
        <v/>
      </c>
      <c r="BA56" s="236" t="str">
        <f t="shared" si="237"/>
        <v/>
      </c>
      <c r="BB56" s="467" t="str">
        <f t="shared" si="238"/>
        <v/>
      </c>
      <c r="BC56" s="329" t="str">
        <f t="shared" si="239"/>
        <v/>
      </c>
      <c r="BD56" s="237" t="str">
        <f t="shared" si="240"/>
        <v/>
      </c>
      <c r="BE56" s="237" t="str">
        <f>IF(A56=FALSE,"",IF(ED56&lt;&gt;$BC$7,0,INDEX(EA56:EZ56,1,MATCH(Structure!$J$16,$EA$14:$EZ$14,0))))</f>
        <v/>
      </c>
      <c r="BF56" s="237" t="str">
        <f>IF(A56=FALSE,"",IF(FD56&lt;&gt;$BC$7,0,INDEX(FA56:FZ56,1,MATCH(Structure!$J$16,$FA$14:$FZ$14,0))))</f>
        <v/>
      </c>
      <c r="BG56" s="237" t="str">
        <f>IF(A56=FALSE,"",IF(GD56&lt;&gt;$BC$7,0,INDEX(GA56:GZ56,1,MATCH(Structure!$J$16,$GA$14:$GZ$14,0))))</f>
        <v/>
      </c>
      <c r="BH56" s="237" t="str">
        <f>IF(A56=FALSE,"",IF(HD56&lt;&gt;$BC$7,0,INDEX(HA56:HZ56,1,MATCH(Structure!$J$16,$HA$14:$HZ$14,0))))</f>
        <v/>
      </c>
      <c r="BI56" s="621" t="str">
        <f>IF(A56=FALSE,"",IF(ID56&lt;&gt;$BC$7,0,INDEX(IA56:IZ56,1,MATCH(Structure!$C$12,$IA$14:$IZ$14,0)))+OL56)</f>
        <v/>
      </c>
      <c r="BJ56" s="237" t="str">
        <f>IF(A56=FALSE,"",IF(JD56&lt;&gt;$BC$7,0,INDEX(JA56:JZ56,1,MATCH(Structure!$C$12,$JA$14:$JZ$14,0))))</f>
        <v/>
      </c>
      <c r="BK56" s="621" t="str">
        <f>IF(A56=FALSE,"",IF(KD56&lt;&gt;$BC$7,0,INDEX(KA56:KZ56,1,MATCH(Structure!$C$12,$KA$14:$KZ$14,0)))+PL56)</f>
        <v/>
      </c>
      <c r="BL56" s="237" t="str">
        <f>IF(A56=FALSE,"",IF(LD56&lt;&gt;$BC$7,0,INDEX(LA56:LZ56,1,MATCH(Structure!$C$12,$LA$14:$LZ$14,0))))</f>
        <v/>
      </c>
      <c r="BM56" s="237" t="str">
        <f>IF(A56=FALSE,"",IF(MD56&lt;&gt;$BC$7,0,INDEX(MA56:MZ56,1,MATCH(Structure!$C$12,$MA$14:$MZ$14,0))))</f>
        <v/>
      </c>
      <c r="BN56" s="326" t="str">
        <f>IF(A56=FALSE,"",IF(ND56&lt;&gt;$BC$7,0,INDEX(NA56:OC56,1,MATCH(Structure!$C$12,$NA$14:$OC$14,0))))</f>
        <v/>
      </c>
      <c r="BO56" s="435" t="str">
        <f t="shared" si="241"/>
        <v/>
      </c>
      <c r="BP56" s="237" t="str">
        <f t="shared" si="242"/>
        <v/>
      </c>
      <c r="BQ56" s="237" t="str">
        <f>IF(A56=FALSE,"",IF(ED56&lt;&gt;$BO$7,0,INDEX(EA56:EZ56,1,MATCH(Structure!$C$12,$EA$14:$EZ$14,0))))</f>
        <v/>
      </c>
      <c r="BR56" s="237" t="str">
        <f>IF(A56=FALSE,"",IF(FD56&lt;&gt;$BO$7,0,INDEX(FA56:FZ56,1,MATCH(Structure!$C$12,$FA$14:$FZ$14,0))))</f>
        <v/>
      </c>
      <c r="BS56" s="237" t="str">
        <f>IF(A56=FALSE,"",IF(ID56&lt;&gt;$BO$7,0,INDEX(IA56:IZ56,1,MATCH(Structure!$C$13,$IA$14:$IZ$14,0))))</f>
        <v/>
      </c>
      <c r="BT56" s="237" t="str">
        <f>IF(A56=FALSE,"",IF(JD56&lt;&gt;$BO$7,0,INDEX(JA56:JZ56,1,MATCH(Structure!$C$13,$JA$14:$JZ$14,0))))</f>
        <v/>
      </c>
      <c r="BU56" s="237" t="str">
        <f>IF(A56=FALSE,"",IF(KD56&lt;&gt;$BO$7,0,INDEX(KA56:KZ56,1,MATCH(Structure!$C$13,$KA$14:$KZ$14,0))))</f>
        <v/>
      </c>
      <c r="BV56" s="237" t="str">
        <f>IF(A56=FALSE,"",IF(LD56&lt;&gt;$BO$7,0,INDEX(LA56:LZ56,1,MATCH(Structure!$C$13,$LA$14:$LZ$14,0))))</f>
        <v/>
      </c>
      <c r="BW56" s="237" t="str">
        <f>IF(A56=FALSE,"",IF(MD56&lt;&gt;$BO$7,0,INDEX(MA56:MZ56,1,MATCH(Structure!$C$13,$MA$14:$MZ$14,0))))</f>
        <v/>
      </c>
      <c r="BX56" s="326" t="str">
        <f>IF(A56=FALSE,"",IF(ND56&lt;&gt;$BO$7,0,INDEX(NA56:OC56,1,MATCH(Structure!$C$13,$NA$14:$OC$14,0))))</f>
        <v/>
      </c>
      <c r="BY56" s="412"/>
      <c r="BZ56" s="412"/>
      <c r="CA56" s="1255" t="str">
        <f>IF(A56=FALSE,"",IF(LISTES!$A$17=1,Cotations!AG56,Cotations!AH56))</f>
        <v/>
      </c>
      <c r="CB56" s="1266" t="str">
        <f t="shared" si="243"/>
        <v/>
      </c>
      <c r="CC56" s="1120" t="str">
        <f t="shared" si="244"/>
        <v/>
      </c>
      <c r="CD56" s="1120" t="str">
        <f t="shared" si="245"/>
        <v/>
      </c>
      <c r="CE56" s="1120" t="str">
        <f t="shared" si="246"/>
        <v/>
      </c>
      <c r="CF56" s="1120" t="str">
        <f t="shared" si="247"/>
        <v/>
      </c>
      <c r="CG56" s="1267"/>
      <c r="CH56" s="1267"/>
      <c r="CI56" s="1268" t="str">
        <f t="shared" si="248"/>
        <v/>
      </c>
      <c r="CJ56" s="286" t="str">
        <f t="shared" si="249"/>
        <v/>
      </c>
      <c r="CK56" s="286" t="str">
        <f t="shared" si="250"/>
        <v/>
      </c>
      <c r="CL56" s="1263"/>
      <c r="CM56" s="1263"/>
      <c r="CN56" s="1263"/>
      <c r="CO56" s="1263"/>
      <c r="CP56" s="319" t="str">
        <f t="shared" si="251"/>
        <v/>
      </c>
      <c r="CQ56" s="443" t="str">
        <f>IF(A56=FALSE,"",Cotations!AM56)</f>
        <v/>
      </c>
      <c r="CR56" s="443" t="str">
        <f>IF(A56=FALSE,"",IF(Cotations!AN56="","",Cotations!AN56))</f>
        <v/>
      </c>
      <c r="CS56" s="433" t="str">
        <f>IF(A56=FALSE,"",Cotations!AO56)</f>
        <v/>
      </c>
      <c r="CT56" s="443" t="str">
        <f>IF(A56=FALSE,"",IF(CQ56="N/A",0,IF(INDEX(LISTES!$F$105:$F$109,MATCH(CQ56,LISTES!$C$105:$C$109,0))="FIX",IF(INDEX(LISTES!$E$105:$E$109,MATCH(CQ56,LISTES!$C$105:$C$109,0))=12,CR56/12*L56,CR56/365*M56),CS56*EQ56)))</f>
        <v/>
      </c>
      <c r="CU56" s="434" t="str">
        <f>IF(A56=FALSE,"",(CJ56+CK56)*Cotations!AP56)</f>
        <v/>
      </c>
      <c r="CV56" s="434" t="str">
        <f>IF(A56=FALSE,"",(CJ56+CK56)*Cotations!AQ56)</f>
        <v/>
      </c>
      <c r="CX56" s="369"/>
      <c r="CY56" s="369"/>
      <c r="CZ56" s="369"/>
      <c r="DA56" s="1253" t="str">
        <f>IF(A56=FALSE,"",IF(LISTES!$A$17=1,Cotations!AV56,Cotations!AW56))</f>
        <v/>
      </c>
      <c r="DB56" s="1271" t="str">
        <f t="shared" si="252"/>
        <v/>
      </c>
      <c r="DC56" s="1270" t="str">
        <f t="shared" si="253"/>
        <v/>
      </c>
      <c r="DD56" s="1270" t="str">
        <f t="shared" si="254"/>
        <v/>
      </c>
      <c r="DE56" s="1270" t="str">
        <f t="shared" si="255"/>
        <v/>
      </c>
      <c r="DF56" s="1270" t="str">
        <f t="shared" si="256"/>
        <v/>
      </c>
      <c r="DG56" s="1270" t="str">
        <f t="shared" si="257"/>
        <v/>
      </c>
      <c r="DH56" s="1270" t="str">
        <f t="shared" si="258"/>
        <v/>
      </c>
      <c r="DI56" s="1271" t="str">
        <f t="shared" si="259"/>
        <v/>
      </c>
      <c r="DJ56" s="286" t="str">
        <f t="shared" si="260"/>
        <v/>
      </c>
      <c r="DK56" s="286" t="str">
        <f t="shared" si="261"/>
        <v/>
      </c>
      <c r="DL56" s="1264" t="str">
        <f t="shared" si="262"/>
        <v/>
      </c>
      <c r="DM56" s="1264" t="str">
        <f t="shared" si="263"/>
        <v/>
      </c>
      <c r="DN56" s="1264" t="str">
        <f t="shared" si="264"/>
        <v/>
      </c>
      <c r="DO56" s="1264" t="str">
        <f t="shared" si="265"/>
        <v/>
      </c>
      <c r="DP56" s="323" t="str">
        <f t="shared" si="299"/>
        <v/>
      </c>
      <c r="DQ56" s="444" t="str">
        <f>IF(A56=FALSE,"",Cotations!BW56)</f>
        <v/>
      </c>
      <c r="DR56" s="444" t="str">
        <f>IF(A56=FALSE,"",Cotations!BX56)</f>
        <v/>
      </c>
      <c r="DS56" s="433" t="str">
        <f>IF(A56=FALSE,"",Cotations!BY56)</f>
        <v/>
      </c>
      <c r="DT56" s="830" t="str">
        <f>IF(A56=FALSE,"",IF(DQ56="N/A",0,IF(INDEX(LISTES!$F$105:$F$109,MATCH(DQ56,LISTES!$C$105:$C$109,0))="FIX",IF(INDEX(LISTES!$E$105:$E$109,MATCH(DQ56,LISTES!$C$105:$C$109,0))=12,DR56/12*L56,DR56/365*M56),DS56*(DN56+DO56))))</f>
        <v/>
      </c>
      <c r="DU56" s="434" t="str">
        <f>IF(A56=FALSE,"",DJ56*Cotations!BZ56)</f>
        <v/>
      </c>
      <c r="DV56" s="434" t="str">
        <f>IF(A56=FALSE,"",DJ56*Cotations!CA56)</f>
        <v/>
      </c>
      <c r="DX56" s="369"/>
      <c r="DY56" s="369"/>
      <c r="DZ56" s="369"/>
      <c r="EA56" s="432" t="str">
        <f>IF(A56=FALSE,"",Cotations!AT56)</f>
        <v/>
      </c>
      <c r="EB56" s="1234" t="str">
        <f>IF(A56=FALSE,"",YEAR(Detail!F56)&amp;Detail!AG56&amp;Detail!AD56&amp;"-"&amp;Detail!$AD$13&amp;Detail!AE56)</f>
        <v/>
      </c>
      <c r="EC56" s="434" t="str">
        <f>IF(A56=FALSE,"",IF(LISTES!$A$17=1,EB56,INDEX(colMOD1,MATCH(Cotations!AH56,colchoice,0))))</f>
        <v/>
      </c>
      <c r="ED56" s="277" t="str">
        <f t="shared" si="300"/>
        <v/>
      </c>
      <c r="EE56" s="277" t="str">
        <f t="shared" si="301"/>
        <v/>
      </c>
      <c r="EF56" s="277"/>
      <c r="EG56" s="277"/>
      <c r="EH56" s="277" t="str">
        <f t="shared" si="302"/>
        <v/>
      </c>
      <c r="EI56" s="1104" t="str">
        <f t="shared" si="303"/>
        <v/>
      </c>
      <c r="EJ56" s="1104" t="str">
        <f t="shared" si="304"/>
        <v/>
      </c>
      <c r="EK56" s="443" t="str">
        <f>IF(A56=FALSE,"",IF(Cotations!AF56="monthly",EH56/12*L56,EH56/365*M56))</f>
        <v/>
      </c>
      <c r="EL56" s="1103" t="str">
        <f>IF(A56=FALSE,"",IF(Cotations!AF56="monthly",EJ56/12*L56,EJ56/365*M56))</f>
        <v/>
      </c>
      <c r="EM56" s="433" t="str">
        <f>IF(A56=FALSE,"",IF(Cotations!AI56="","",Cotations!AI56))</f>
        <v/>
      </c>
      <c r="EN56" s="277" t="str">
        <f t="shared" si="305"/>
        <v/>
      </c>
      <c r="EO56" s="277" t="str">
        <f t="shared" si="306"/>
        <v/>
      </c>
      <c r="EP56" s="1104" t="str">
        <f t="shared" si="307"/>
        <v/>
      </c>
      <c r="EQ56" s="277" t="str">
        <f t="shared" si="308"/>
        <v/>
      </c>
      <c r="ER56" s="759" t="str">
        <f>IF(A56=FALSE,"",((EH56*TAXE)-(EH56*TAXE*EM56)+EI56)+IF(CQ56="N/A",0,IF(INDEX(LISTES!$F$105:$F$109,MATCH(CQ56,LISTES!$C$105:$C$109,0))="FIX",CR56,CS56*EQ56)))</f>
        <v/>
      </c>
      <c r="ES56" s="369"/>
      <c r="ET56" s="422"/>
      <c r="EU56" s="422"/>
      <c r="EV56" s="422"/>
      <c r="EW56" s="422"/>
      <c r="EX56" s="422"/>
      <c r="EY56" s="422"/>
      <c r="EZ56" s="422"/>
      <c r="FA56" s="432" t="str">
        <f>IF(A56=FALSE,"",Cotations!AT56)</f>
        <v/>
      </c>
      <c r="FB56" s="1235" t="str">
        <f>IF(A56=FALSE,"",IF(Detail!AL56="","N/A",YEAR(Detail!F56)&amp;Detail!AO56&amp;Detail!AL56&amp;"-"&amp;Detail!$AL$13&amp;Detail!AM56))</f>
        <v/>
      </c>
      <c r="FC56" s="434" t="str">
        <f>IF(A56=FALSE,"",IF(LISTES!$A$17=1,FB56,INDEX(colMOD2,MATCH(Cotations!AH56,colchoice,0))))</f>
        <v/>
      </c>
      <c r="FD56" s="277" t="str">
        <f t="shared" si="309"/>
        <v/>
      </c>
      <c r="FE56" s="443" t="str">
        <f>IF(A56=FALSE,"",IF(Detail!AM56="","",Detail!AM56))</f>
        <v/>
      </c>
      <c r="FF56" s="277"/>
      <c r="FG56" s="277"/>
      <c r="FH56" s="277" t="str">
        <f t="shared" si="310"/>
        <v/>
      </c>
      <c r="FI56" s="1104"/>
      <c r="FJ56" s="1104"/>
      <c r="FK56" s="443" t="str">
        <f>IF(A56=FALSE,"",IF(Cotations!AF56="monthly",FH56/12*L56,FH56/365*M56))</f>
        <v/>
      </c>
      <c r="FL56" s="1103" t="str">
        <f>IF(A56=FALSE,"",IF(Cotations!AF56="monthly",FJ56/12*L56,FJ56/365*M56))</f>
        <v/>
      </c>
      <c r="FM56" s="433" t="str">
        <f>IF(A56=FALSE,"",IF(Cotations!AJ56="","",Cotations!AJ56))</f>
        <v/>
      </c>
      <c r="FN56" s="277" t="str">
        <f t="shared" si="268"/>
        <v/>
      </c>
      <c r="FO56" s="277" t="str">
        <f t="shared" si="269"/>
        <v/>
      </c>
      <c r="FP56" s="1104"/>
      <c r="FQ56" s="277" t="str">
        <f t="shared" si="270"/>
        <v/>
      </c>
      <c r="FR56" s="759" t="str">
        <f>IF(A56=FALSE,"",((FH56*TAXE)-(FH56*TAXE*FM56))+IF(#REF!="N/A",0,IF(INDEX(LISTES!$F$105:$F$109,MATCH(#REF!,LISTES!$C$105:$C$109,0))="FIX",#REF!,#REF!*FQ56)))</f>
        <v/>
      </c>
      <c r="FS56" s="422"/>
      <c r="FT56" s="422"/>
      <c r="FU56" s="422"/>
      <c r="FV56" s="422"/>
      <c r="FW56" s="422"/>
      <c r="FX56" s="422"/>
      <c r="FY56" s="422"/>
      <c r="FZ56" s="422"/>
      <c r="GA56" s="432" t="str">
        <f t="shared" si="311"/>
        <v/>
      </c>
      <c r="GB56" s="1234" t="str">
        <f>IF(A56=FALSE,"",IF(Detail!DF56="","N/A",YEAR(Detail!F56)&amp;Detail!DI56&amp;Detail!DF56&amp;"-"&amp;Detail!$DF$13))</f>
        <v/>
      </c>
      <c r="GC56" s="434" t="str">
        <f>IF(A56=FALSE,"",IF(LISTES!$A$17=1,GB56,INDEX(colMOD3,MATCH(Cotations!AH56,colchoice,0))))</f>
        <v/>
      </c>
      <c r="GD56" s="277" t="str">
        <f t="shared" si="312"/>
        <v/>
      </c>
      <c r="GE56" s="277" t="str">
        <f t="shared" si="313"/>
        <v/>
      </c>
      <c r="GF56" s="277"/>
      <c r="GG56" s="277"/>
      <c r="GH56" s="277" t="str">
        <f t="shared" si="271"/>
        <v/>
      </c>
      <c r="GI56" s="1104" t="str">
        <f t="shared" si="272"/>
        <v/>
      </c>
      <c r="GJ56" s="1104" t="str">
        <f t="shared" si="273"/>
        <v/>
      </c>
      <c r="GK56" s="443" t="str">
        <f>IF(A56=FALSE,"",IF(Cotations!AF56="monthly",GH56/12*L56,GH56/365*M56))</f>
        <v/>
      </c>
      <c r="GL56" s="1103" t="str">
        <f>IF(A56=FALSE,"",IF(Cotations!AF56="monthly",GJ56/12*L56,GJ56/365*M56))</f>
        <v/>
      </c>
      <c r="GM56" s="433" t="str">
        <f>IF(A56=FALSE,"",IF(Cotations!AK56="","",Cotations!AK56))</f>
        <v/>
      </c>
      <c r="GN56" s="277" t="str">
        <f t="shared" si="274"/>
        <v/>
      </c>
      <c r="GO56" s="277" t="str">
        <f t="shared" si="275"/>
        <v/>
      </c>
      <c r="GP56" s="1104" t="str">
        <f t="shared" si="276"/>
        <v/>
      </c>
      <c r="GQ56" s="277" t="str">
        <f t="shared" si="277"/>
        <v/>
      </c>
      <c r="GR56" s="759" t="str">
        <f>IF(A56=FALSE,"",((GH56*TAXE)-(GH56*TAXE*GM56)+GI56)+IF(CQ56="N/A",0,IF(INDEX(LISTES!$F$105:$F$109,MATCH(CQ56,LISTES!$C$105:$C$109,0))="FIX",CR56,CS56*GQ56)))</f>
        <v/>
      </c>
      <c r="GS56" s="412"/>
      <c r="GT56" s="412"/>
      <c r="GU56" s="412"/>
      <c r="GV56" s="412"/>
      <c r="GW56" s="412"/>
      <c r="GX56" s="412"/>
      <c r="GY56" s="412"/>
      <c r="GZ56" s="412"/>
      <c r="HA56" s="432" t="str">
        <f t="shared" si="314"/>
        <v/>
      </c>
      <c r="HB56" s="1234" t="str">
        <f>IF(A56=FALSE,"",IF(Detail!DF56="","N/A",YEAR(Detail!F56)&amp;Detail!DI56&amp;Detail!DF56&amp;"-"&amp;Detail!$DF$13))</f>
        <v/>
      </c>
      <c r="HC56" s="434" t="str">
        <f>IF(A56=FALSE,"",IF(LISTES!$A$17=1,HB56,INDEX(colMOD4,MATCH(Cotations!AH56,colchoice,0))))</f>
        <v/>
      </c>
      <c r="HD56" s="277" t="str">
        <f t="shared" si="278"/>
        <v/>
      </c>
      <c r="HE56" s="277" t="str">
        <f t="shared" si="279"/>
        <v/>
      </c>
      <c r="HF56" s="277"/>
      <c r="HG56" s="277"/>
      <c r="HH56" s="277" t="str">
        <f t="shared" si="280"/>
        <v/>
      </c>
      <c r="HI56" s="1104" t="str">
        <f t="shared" si="281"/>
        <v/>
      </c>
      <c r="HJ56" s="1104" t="str">
        <f t="shared" si="282"/>
        <v/>
      </c>
      <c r="HK56" s="443" t="str">
        <f>IF(A56=FALSE,"",IF(Cotations!AF56="monthly",HH56/12*L56,HH56/365*M56))</f>
        <v/>
      </c>
      <c r="HL56" s="1103" t="str">
        <f>IF(A56=FALSE,"",IF(Cotations!AF56="monthly",HJ56/12*L56,HJ56/365*M56))</f>
        <v/>
      </c>
      <c r="HM56" s="433" t="str">
        <f>IF(A56=FALSE,"",IF(Cotations!AL56="","",Cotations!AL56))</f>
        <v/>
      </c>
      <c r="HN56" s="277" t="str">
        <f t="shared" si="283"/>
        <v/>
      </c>
      <c r="HO56" s="277" t="str">
        <f t="shared" si="284"/>
        <v/>
      </c>
      <c r="HP56" s="1104" t="str">
        <f t="shared" si="285"/>
        <v/>
      </c>
      <c r="HQ56" s="277" t="str">
        <f t="shared" si="286"/>
        <v/>
      </c>
      <c r="HR56" s="759" t="str">
        <f>IF(A56=FALSE,"",((HH56*TAXE)-(HH56*TAXE*HM56)+HI56)+IF(CQ56="N/A",0,IF(INDEX(LISTES!$F$105:$F$109,MATCH(CQ56,LISTES!$C$105:$C$109,0))="FIX",CR56,CS56*HQ56)))</f>
        <v/>
      </c>
      <c r="HS56" s="412"/>
      <c r="HT56" s="412"/>
      <c r="HU56" s="412"/>
      <c r="HV56" s="412"/>
      <c r="HW56" s="412"/>
      <c r="HX56" s="412"/>
      <c r="HY56" s="412"/>
      <c r="HZ56" s="1262"/>
      <c r="IA56" s="432" t="str">
        <f>IF(A56=FALSE,"",Cotations!AT56)</f>
        <v/>
      </c>
      <c r="IB56" s="1253" t="str">
        <f>IF(A56=FALSE,"",IF(Detail!AT56="","N/A",YEAR(Detail!F56)&amp;Detail!AW56&amp;Detail!AT56&amp;"-"&amp;Detail!$AT$13&amp;Detail!AU56))</f>
        <v/>
      </c>
      <c r="IC56" s="431" t="str">
        <f>IF(A56=FALSE,"",IF(LISTES!$A$17=1,IB56,INDEX(colMOD1,MATCH(DA56,colchoice,0))))</f>
        <v/>
      </c>
      <c r="ID56" s="759" t="str">
        <f t="shared" si="358"/>
        <v/>
      </c>
      <c r="IE56" s="292" t="str">
        <f>IF(A56=FALSE,"",IF(LISTES!$A$17=1,Detail!AU56,INDEX(Rates!$M$1:$M$270,MATCH(IC56,colMOD1,0))))</f>
        <v/>
      </c>
      <c r="IF56" s="409" t="str">
        <f t="shared" si="359"/>
        <v/>
      </c>
      <c r="IG56" s="430" t="str">
        <f>IF(A56=FALSE,"",IF(IA56="POEA",Cotations!AY56,IF(IA56="FIXE",Cotations!AZ56,IF(Cotations!BA56*Y56&lt;50000,Z56,Cotations!BA56*Y56))))</f>
        <v/>
      </c>
      <c r="IH56" s="292" t="str">
        <f t="shared" si="360"/>
        <v/>
      </c>
      <c r="II56" s="446" t="str">
        <f>IF(A56=FALSE,"",IF(Cotations!AU56="monthly",IH56/12*L56,IH56/365*M56))</f>
        <v/>
      </c>
      <c r="IJ56" s="429" t="str">
        <f>IF(A56=FALSE,"",IF(Cotations!BB56="","",Cotations!BB56))</f>
        <v/>
      </c>
      <c r="IK56" s="292" t="str">
        <f t="shared" si="361"/>
        <v/>
      </c>
      <c r="IL56" s="292" t="str">
        <f t="shared" si="362"/>
        <v/>
      </c>
      <c r="IM56" s="759" t="str">
        <f t="shared" si="363"/>
        <v/>
      </c>
      <c r="IN56" s="759" t="str">
        <f>IF(A56=FALSE,"",((IH56*TAXE)-(IH56*TAXE*IJ56))+IF(DQ56="N/A",0,IF(INDEX(LISTES!$F$105:$F$109,MATCH(DQ56,LISTES!$C$105:$C$109,0))="FIX",DR56,DS56*IM56)))</f>
        <v/>
      </c>
      <c r="IO56" s="383"/>
      <c r="IP56" s="1127"/>
      <c r="IQ56" s="1127"/>
      <c r="IR56" s="1127"/>
      <c r="IS56" s="1127"/>
      <c r="IT56" s="1127"/>
      <c r="IU56" s="1127"/>
      <c r="IV56" s="1127"/>
      <c r="IW56" s="1127"/>
      <c r="IX56" s="1127"/>
      <c r="IY56" s="1127"/>
      <c r="JA56" s="432" t="str">
        <f>IF(A56=FALSE,"",Cotations!AT56)</f>
        <v/>
      </c>
      <c r="JB56" s="1234" t="str">
        <f>IF(A56=FALSE,"",IF(Detail!BB56="","N/A",YEAR(Detail!F56)&amp;Detail!BE56&amp;Detail!BB56&amp;"-"&amp;Detail!$BB$13&amp;Detail!BC56))</f>
        <v/>
      </c>
      <c r="JC56" s="431" t="str">
        <f>IF(A56=FALSE,"",IF(LISTES!$A$17=1,JB56,INDEX(colMOD2,MATCH(DA56,colchoice,0))))</f>
        <v/>
      </c>
      <c r="JD56" s="759" t="str">
        <f t="shared" si="321"/>
        <v/>
      </c>
      <c r="JE56" s="292"/>
      <c r="JF56" s="409" t="str">
        <f t="shared" si="322"/>
        <v/>
      </c>
      <c r="JG56" s="430" t="str">
        <f>IF(A56=FALSE,"",IF(JA56="POEA",Cotations!BC56,IF(JA56="FIXE",Cotations!BD56,IF(Cotations!BE56*Y56&lt;50000,Z56,Cotations!BE56*Y56))))</f>
        <v/>
      </c>
      <c r="JH56" s="292" t="str">
        <f t="shared" si="323"/>
        <v/>
      </c>
      <c r="JI56" s="446" t="str">
        <f>IF(A56=FALSE,"",IF(Cotations!AU56="monthly",JH56/12*L56,JH56/365*M56))</f>
        <v/>
      </c>
      <c r="JJ56" s="429" t="str">
        <f>IF(A56=FALSE,"",IF(Cotations!BF56="","",Cotations!BF56))</f>
        <v/>
      </c>
      <c r="JK56" s="292" t="str">
        <f t="shared" si="324"/>
        <v/>
      </c>
      <c r="JL56" s="292" t="str">
        <f t="shared" si="325"/>
        <v/>
      </c>
      <c r="JM56" s="759" t="str">
        <f t="shared" si="326"/>
        <v/>
      </c>
      <c r="JN56" s="759" t="str">
        <f>IF(A56=FALSE,"",((JH56*TAXE)-(JH56*TAXE*JJ56))+IF(#REF!="N/A",0,IF(INDEX(LISTES!$F$105:$F$109,MATCH(#REF!,LISTES!$C$105:$C$109,0))="FIX",#REF!,#REF!*JM56)))</f>
        <v/>
      </c>
      <c r="JQ56" s="369"/>
      <c r="JR56" s="369"/>
      <c r="JS56" s="369"/>
      <c r="JT56" s="369"/>
      <c r="JU56" s="369"/>
      <c r="JV56" s="369"/>
      <c r="JW56" s="369"/>
      <c r="JX56" s="369"/>
      <c r="JY56" s="369"/>
      <c r="KA56" s="432" t="str">
        <f>IF(A56=FALSE,"",Cotations!AT56)</f>
        <v/>
      </c>
      <c r="KB56" s="1234" t="str">
        <f>IF(A56=FALSE,"",IF(Detail!BJ56="","N/A",YEAR(Detail!F56)&amp;Detail!BM56&amp;Detail!BJ56&amp;"-"&amp;Detail!$BJ$13&amp;Detail!BK56))</f>
        <v/>
      </c>
      <c r="KC56" s="431" t="str">
        <f>IF(A56=FALSE,"",IF(LISTES!$A$17=1,KB56,INDEX(colMOD3,MATCH(DA56,colchoice,0))))</f>
        <v/>
      </c>
      <c r="KD56" s="759" t="str">
        <f t="shared" si="327"/>
        <v/>
      </c>
      <c r="KE56" s="292"/>
      <c r="KF56" s="409" t="str">
        <f t="shared" si="328"/>
        <v/>
      </c>
      <c r="KG56" s="430" t="str">
        <f>IF(A56=FALSE,"",IF(KA56="POEA",Cotations!BG56,IF(KA56="FIXE",Cotations!BH56,IF(Cotations!BI56*Y56&lt;50000,Z56,Cotations!BI56*Y56))))</f>
        <v/>
      </c>
      <c r="KH56" s="292" t="str">
        <f t="shared" si="329"/>
        <v/>
      </c>
      <c r="KI56" s="446" t="str">
        <f>IF(A56=FALSE,"",IF(Cotations!AU56="monthly",KH56/12*L56,KH56/365*M56))</f>
        <v/>
      </c>
      <c r="KJ56" s="429" t="str">
        <f>IF(A56=FALSE,"",IF(Cotations!BJ56="","",Cotations!BJ56))</f>
        <v/>
      </c>
      <c r="KK56" s="292" t="str">
        <f t="shared" si="330"/>
        <v/>
      </c>
      <c r="KL56" s="292" t="str">
        <f t="shared" si="331"/>
        <v/>
      </c>
      <c r="KM56" s="759" t="str">
        <f t="shared" si="332"/>
        <v/>
      </c>
      <c r="KN56" s="759" t="str">
        <f>IF(A56=FALSE,"",((KH56*TAXE)-(KH56*TAXE*KJ56))+IF(#REF!="N/A",0,IF(INDEX(LISTES!$F$105:$F$109,MATCH(#REF!,LISTES!$C$105:$C$109,0))="FIX",#REF!,#REF!*KM56)))</f>
        <v/>
      </c>
      <c r="KR56" s="369"/>
      <c r="KS56" s="369"/>
      <c r="KT56" s="369"/>
      <c r="KU56" s="369"/>
      <c r="KV56" s="369"/>
      <c r="KW56" s="369"/>
      <c r="KX56" s="369"/>
      <c r="KY56" s="369"/>
      <c r="LA56" s="432" t="str">
        <f>IF(A56=FALSE,"",Cotations!AT56)</f>
        <v/>
      </c>
      <c r="LB56" s="1234" t="str">
        <f>IF(A56=FALSE,"",IF(Detail!BR56="","N/A",YEAR(Detail!F56)&amp;Detail!BU56&amp;Detail!BR56&amp;"-"&amp;Detail!$BR$13&amp;Detail!BS56))</f>
        <v/>
      </c>
      <c r="LC56" s="431" t="str">
        <f>IF(A56=FALSE,"",IF(LISTES!$A$17=1,LB56,INDEX(colMOD4,MATCH(DA56,colchoice,0))))</f>
        <v/>
      </c>
      <c r="LD56" s="759" t="str">
        <f t="shared" si="333"/>
        <v/>
      </c>
      <c r="LE56" s="292"/>
      <c r="LF56" s="409" t="str">
        <f t="shared" si="334"/>
        <v/>
      </c>
      <c r="LG56" s="430" t="str">
        <f>IF(A56=FALSE,"",IF(LA56="POEA",Cotations!BK56,IF(LA56="FIXE",Cotations!BL56,IF(Cotations!BM56*Y56&lt;50000,Z56,Cotations!BM56*Y56))))</f>
        <v/>
      </c>
      <c r="LH56" s="292" t="str">
        <f t="shared" si="335"/>
        <v/>
      </c>
      <c r="LI56" s="446" t="str">
        <f>IF(A56=FALSE,"",IF(Cotations!AU56="monthly",LH56/12*L56,LH56/365*M56))</f>
        <v/>
      </c>
      <c r="LJ56" s="429" t="str">
        <f>IF(A56=FALSE,"",IF(Cotations!BN56="","",Cotations!BN56))</f>
        <v/>
      </c>
      <c r="LK56" s="292" t="str">
        <f t="shared" si="336"/>
        <v/>
      </c>
      <c r="LL56" s="292" t="str">
        <f t="shared" si="337"/>
        <v/>
      </c>
      <c r="LM56" s="759" t="str">
        <f t="shared" si="338"/>
        <v/>
      </c>
      <c r="LN56" s="759" t="str">
        <f>IF(A56=FALSE,"",((LH56*TAXE)-(LH56*TAXE*LJ56))+IF(#REF!="N/A",0,IF(INDEX(LISTES!$F$105:$F$109,MATCH(#REF!,LISTES!$C$105:$C$109,0))="FIX",#REF!,#REF!*LM56)))</f>
        <v/>
      </c>
      <c r="LR56" s="369"/>
      <c r="LS56" s="369"/>
      <c r="LT56" s="369"/>
      <c r="LU56" s="369"/>
      <c r="LV56" s="369"/>
      <c r="LW56" s="369"/>
      <c r="LX56" s="369"/>
      <c r="LY56" s="369"/>
      <c r="MA56" s="432" t="str">
        <f t="shared" si="339"/>
        <v/>
      </c>
      <c r="MB56" s="1234" t="str">
        <f>IF(A56=FALSE,"",IF(Detail!BZ56="","N/A",YEAR(Detail!F56)&amp;Detail!CC56&amp;Detail!BZ56&amp;"-"&amp;Detail!$BZ$13&amp;" (100%/"&amp;Detail!CD56&amp;"/"&amp;Detail!CE56&amp;")"))</f>
        <v/>
      </c>
      <c r="MC56" s="431" t="str">
        <f>IF(A56=FALSE,"",IF(LISTES!$A$17=1,MB56,INDEX(colMOD5,MATCH(DA56,colchoice,0))))</f>
        <v/>
      </c>
      <c r="MD56" s="759" t="str">
        <f t="shared" si="340"/>
        <v/>
      </c>
      <c r="ME56" s="292"/>
      <c r="MF56" s="409" t="str">
        <f t="shared" si="341"/>
        <v/>
      </c>
      <c r="MG56" s="430" t="str">
        <f>IF(A56=FALSE,"",Cotations!BQ56*AA56)</f>
        <v/>
      </c>
      <c r="MH56" s="292" t="str">
        <f t="shared" si="342"/>
        <v/>
      </c>
      <c r="MI56" s="446" t="str">
        <f>IF(A56=FALSE,"",IF(Cotations!AU56="monthly",MH56/12*L56,MH56/365*M56))</f>
        <v/>
      </c>
      <c r="MJ56" s="429" t="str">
        <f>IF(A56=FALSE,"",IF(Cotations!BR56="","",Cotations!BR56))</f>
        <v/>
      </c>
      <c r="MK56" s="292" t="str">
        <f t="shared" si="343"/>
        <v/>
      </c>
      <c r="ML56" s="292" t="str">
        <f t="shared" si="344"/>
        <v/>
      </c>
      <c r="MM56" s="759" t="str">
        <f t="shared" si="345"/>
        <v/>
      </c>
      <c r="MN56" s="759" t="str">
        <f>IF(A56=FALSE,"",((MH56*TAXE)-(MH56*TAXE*MJ56))+IF(#REF!="N/A",0,IF(INDEX(LISTES!$F$105:$F$109,MATCH(#REF!,LISTES!$C$105:$C$109,0))="FIX",#REF!,#REF!*MM56)))</f>
        <v/>
      </c>
      <c r="MQ56" s="369"/>
      <c r="MR56" s="369"/>
      <c r="MS56" s="369"/>
      <c r="MT56" s="369"/>
      <c r="MU56" s="369"/>
      <c r="MV56" s="369"/>
      <c r="MW56" s="369"/>
      <c r="MX56" s="369"/>
      <c r="NA56" s="432" t="str">
        <f t="shared" si="346"/>
        <v/>
      </c>
      <c r="NB56" s="1234" t="str">
        <f>IF(A56=FALSE,"",IF(Detail!CH56="","N/A",YEAR(Detail!F56)&amp;Detail!CK56&amp;Detail!CH56&amp;"-"&amp;Detail!$CH$13&amp;" (100%/"&amp;Detail!CL56&amp;"/"&amp;Detail!CM56&amp;")"))</f>
        <v/>
      </c>
      <c r="NC56" s="431" t="str">
        <f>IF(A56=FALSE,"",IF(LISTES!$A$17=1,NB56,INDEX(colMOD6,MATCH(DA56,colchoice,0))))</f>
        <v/>
      </c>
      <c r="ND56" s="759" t="str">
        <f t="shared" si="347"/>
        <v/>
      </c>
      <c r="NE56" s="292"/>
      <c r="NF56" s="409" t="str">
        <f t="shared" si="348"/>
        <v/>
      </c>
      <c r="NG56" s="430" t="str">
        <f>IF(A56=FALSE,"",Cotations!BU56*AA56)</f>
        <v/>
      </c>
      <c r="NH56" s="292" t="str">
        <f t="shared" si="349"/>
        <v/>
      </c>
      <c r="NI56" s="446" t="str">
        <f>IF(A56=FALSE,"",IF(Cotations!AU56="monthly",NH56/12*L56,NH56/365*M56))</f>
        <v/>
      </c>
      <c r="NJ56" s="429" t="str">
        <f>IF(A56=FALSE,"",IF(Cotations!BV56="","",Cotations!BV56))</f>
        <v/>
      </c>
      <c r="NK56" s="292" t="str">
        <f t="shared" si="350"/>
        <v/>
      </c>
      <c r="NL56" s="292" t="str">
        <f t="shared" si="351"/>
        <v/>
      </c>
      <c r="NM56" s="759" t="str">
        <f t="shared" si="352"/>
        <v/>
      </c>
      <c r="NN56" s="759" t="str">
        <f>IF(A56=FALSE,"",((NH56*TAXE)-(NH56*TAXE*NJ56))+IF(#REF!="N/A",0,IF(INDEX(LISTES!$F$105:$F$109,MATCH(#REF!,LISTES!$C$105:$C$109,0))="FIX",#REF!,#REF!*NM56)))</f>
        <v/>
      </c>
      <c r="NR56" s="369"/>
      <c r="NS56" s="369"/>
      <c r="NT56" s="369"/>
      <c r="NU56" s="369"/>
      <c r="NV56" s="369"/>
      <c r="NW56" s="369"/>
      <c r="NX56" s="369"/>
      <c r="NY56" s="369"/>
      <c r="NZ56" s="1281" t="str">
        <f>IF(A56=FALSE,"",IF(Detail!CP56="","N/A",YEAR(Detail!F56)&amp;Detail!CS56&amp;Detail!CP56&amp;"-"&amp;Detail!CQ56))</f>
        <v/>
      </c>
      <c r="OA56" s="432" t="str">
        <f>IF(A56=FALSE,"",Cotations!CF56)</f>
        <v/>
      </c>
      <c r="OB56" s="1282" t="str">
        <f>IF(A56=FALSE,"",IF(Detail!CP56="","N/A",YEAR(Detail!F56)&amp;Detail!CS56&amp;Detail!CP56&amp;"-"&amp;Detail!$CP$13&amp;Detail!CQ56))</f>
        <v/>
      </c>
      <c r="OC56" s="1283" t="str">
        <f>IF(A56=FALSE,"",IF(LISTES!$A$17=1,OB56,INDEX(colMOD1,MATCH(Cotations!CE56,colchoice,0))))</f>
        <v/>
      </c>
      <c r="OD56" s="759" t="str">
        <f t="shared" si="353"/>
        <v/>
      </c>
      <c r="OE56" s="292" t="str">
        <f>IF(A56=FALSE,"",Detail!CQ56)</f>
        <v/>
      </c>
      <c r="OF56" s="409" t="str">
        <f t="shared" si="354"/>
        <v/>
      </c>
      <c r="OG56" s="430" t="str">
        <f>IF(A56=FALSE,"",IF(OA56="FIXE",Cotations!CM56,Cotations!CN56*AA56))</f>
        <v/>
      </c>
      <c r="OH56" s="292" t="str">
        <f t="shared" si="288"/>
        <v/>
      </c>
      <c r="OI56" s="446" t="str">
        <f>IF(A56=FALSE,"",IF(Cotations!CF56="monthly",OH56/12*L56,OH56/365*M56))</f>
        <v/>
      </c>
      <c r="OJ56" s="429" t="str">
        <f>IF(A56=FALSE,"",IF(Cotations!CO56="","",Cotations!CO56))</f>
        <v/>
      </c>
      <c r="OK56" s="292" t="str">
        <f t="shared" si="289"/>
        <v/>
      </c>
      <c r="OL56" s="292" t="str">
        <f t="shared" si="290"/>
        <v/>
      </c>
      <c r="OM56" s="759" t="str">
        <f t="shared" si="355"/>
        <v/>
      </c>
      <c r="ON56" s="759" t="str">
        <f>IF(A56=FALSE,"",((OH56*(1+TAXE)-(OH56*(1+TAXE)*OJ56))+IF(#REF!="N/A",0,IF(INDEX(LISTES!$F$105:$F$109,MATCH(#REF!,LISTES!$C$105:$C$109,0))="FIX",#REF!,#REF!*OM56))))</f>
        <v/>
      </c>
      <c r="PA56" s="432" t="str">
        <f>IF(A56=FALSE,"",Cotations!CF56)</f>
        <v/>
      </c>
      <c r="PB56" s="1282" t="str">
        <f>IF(A56=FALSE,"",IF(Detail!CX56="","N/A",YEAR(Detail!F56)&amp;Detail!DA56&amp;Detail!CX56&amp;"-"&amp;Detail!$CX$13&amp;Detail!CY56))</f>
        <v/>
      </c>
      <c r="PC56" s="1283" t="str">
        <f>IF(A56=FALSE,"",IF(LISTES!$A$17=1,PB56,INDEX(colMOD3,MATCH(Cotations!CE56,colchoice,0))))</f>
        <v/>
      </c>
      <c r="PD56" s="759" t="str">
        <f t="shared" si="356"/>
        <v/>
      </c>
      <c r="PE56" s="292" t="str">
        <f>IF(A56=FALSE,"",IF(Detail!CY56="","",Detail!CY56))</f>
        <v/>
      </c>
      <c r="PF56" s="409" t="str">
        <f t="shared" si="291"/>
        <v/>
      </c>
      <c r="PG56" s="430" t="str">
        <f>IF(A56=FALSE,"",IF(PA56="FIXE",Cotations!CP56,Cotations!CQ56*AA56))</f>
        <v/>
      </c>
      <c r="PH56" s="292" t="str">
        <f t="shared" si="292"/>
        <v/>
      </c>
      <c r="PI56" s="446" t="str">
        <f>IF(A56=FALSE,"",IF(Cotations!CG56="monthly",PH56/12*L56,PH56/365*M56))</f>
        <v/>
      </c>
      <c r="PJ56" s="429" t="str">
        <f>IF(A56=FALSE,"",IF(Cotations!DA56="",0,Cotations!DA56))</f>
        <v/>
      </c>
      <c r="PK56" s="292" t="str">
        <f t="shared" si="293"/>
        <v/>
      </c>
      <c r="PL56" s="292" t="str">
        <f t="shared" si="294"/>
        <v/>
      </c>
      <c r="PM56" s="759" t="str">
        <f t="shared" si="357"/>
        <v/>
      </c>
      <c r="PN56" s="759" t="str">
        <f>IF(A56=FALSE,"",((PH56*(1+TAXE)-(PH56*(1+TAXE)*PJ56))+IF(#REF!="N/A",0,IF(INDEX(LISTES!$F$105:$F$109,MATCH(#REF!,LISTES!$C$105:$C$109,0))="FIX",#REF!,#REF!*PM56))))</f>
        <v/>
      </c>
    </row>
    <row r="57" spans="1:430">
      <c r="A57" s="779" t="b">
        <f t="shared" si="295"/>
        <v>0</v>
      </c>
      <c r="B57" s="779" t="b">
        <f>IF(NAMES!$B$9=TRUE,TRUE,FALSE)</f>
        <v>1</v>
      </c>
      <c r="C57" s="779" t="b">
        <f t="shared" si="212"/>
        <v>0</v>
      </c>
      <c r="D57" s="779" t="b">
        <f t="shared" si="213"/>
        <v>0</v>
      </c>
      <c r="E57" s="267" t="b">
        <f>IF(Cotations!C57="","",Cotations!C57)</f>
        <v>0</v>
      </c>
      <c r="F57" s="267" t="str">
        <f>IF(Cotations!AT57="","",Cotations!AT57)</f>
        <v>PROP</v>
      </c>
      <c r="G57" s="267" t="str">
        <f>IF(Cotations!D57="","",Cotations!D57)</f>
        <v>2017-2017!</v>
      </c>
      <c r="H57" s="267" t="str">
        <f>IF(Cotations!E57="","",Cotations!E57)</f>
        <v>SINGLE</v>
      </c>
      <c r="I57" s="267" t="str">
        <f>IF(Cotations!F57="","",Cotations!F57)</f>
        <v/>
      </c>
      <c r="J57" s="267" t="str">
        <f>IF(Cotations!G57="","",Cotations!G57)</f>
        <v/>
      </c>
      <c r="K57" s="267" t="str">
        <f>IF(Cotations!H57="","",Cotations!H57)</f>
        <v/>
      </c>
      <c r="L57" s="267" t="str">
        <f>IF(A57=FALSE,"",IF(Cotations!M57="","",Cotations!M57))</f>
        <v/>
      </c>
      <c r="M57" s="267" t="str">
        <f>IF(Cotations!O57="","",Cotations!O57)</f>
        <v/>
      </c>
      <c r="N57" s="588" t="str">
        <f>IF(NAMES!$B$10=TRUE,Cotations!I57,Cotations!K57)</f>
        <v/>
      </c>
      <c r="O57" s="588" t="str">
        <f>IF(NAMES!$B$10=TRUE,Cotations!J57,Cotations!L57)</f>
        <v/>
      </c>
      <c r="P57" s="780" t="str">
        <f t="shared" si="214"/>
        <v/>
      </c>
      <c r="Q57" s="588" t="str">
        <f>IF(A57=FALSE,"",IF(Crewlist!Y57="","",Crewlist!Y57))</f>
        <v/>
      </c>
      <c r="R57" s="78" t="str">
        <f>IF(Cotations!T57="","",Cotations!T57)</f>
        <v/>
      </c>
      <c r="S57" s="780" t="str">
        <f t="shared" si="215"/>
        <v/>
      </c>
      <c r="T57" s="759" t="str">
        <f>IF(A57=FALSE,"",VLOOKUP($U$15:$U$120,Currency!$A$2:$D$10,4,0)*Crewlist!N57)</f>
        <v/>
      </c>
      <c r="U57" s="1097" t="str">
        <f>IF(A57=FALSE,"",IF(DP57=0,Crewlist!M57&amp;"/"&amp;CP57,Crewlist!M57&amp;"/"&amp;DP57))</f>
        <v/>
      </c>
      <c r="V57" s="759" t="str">
        <f>IF(A57=FALSE,"",VLOOKUP($U$15:$U$120,Currency!$A$2:$D$10,4,0)*Detail!Q57)</f>
        <v/>
      </c>
      <c r="W57" s="1097" t="str">
        <f>IF(A57=FALSE,"",IF(DP57=0,Detail!R57&amp;"/"&amp;CP57,Detail!R57&amp;"/"&amp;DP57))</f>
        <v/>
      </c>
      <c r="X57" s="759" t="str">
        <f>IF(A57=FALSE,"",IF(LISTES!$C$17="Crewlist",Calcul!T57,Calcul!V57))</f>
        <v/>
      </c>
      <c r="Y57" s="618" t="str">
        <f t="shared" si="216"/>
        <v/>
      </c>
      <c r="Z57" s="618" t="str">
        <f>IF(A57=FALSE,"",IF(X57=0,0,IF((Cotations!BA57*12*X57)&lt;50000,50000,(12*X57))))</f>
        <v/>
      </c>
      <c r="AA57" s="618" t="str">
        <f t="shared" si="217"/>
        <v/>
      </c>
      <c r="AB57" s="618" t="str">
        <f>IF(A57=FALSE,"",IF(Crewlist!O57=0,"",Crewlist!O57))</f>
        <v/>
      </c>
      <c r="AC57" s="618" t="str">
        <f>IF(I57="","",VLOOKUP($AB$15:$AB$120,Currency!$A$15:$B$34,2,0))</f>
        <v/>
      </c>
      <c r="AD57" s="618" t="str">
        <f t="shared" si="218"/>
        <v/>
      </c>
      <c r="AE57" s="618" t="str">
        <f t="shared" si="219"/>
        <v/>
      </c>
      <c r="AF57" s="618" t="str">
        <f t="shared" si="220"/>
        <v/>
      </c>
      <c r="AG57" s="618" t="str">
        <f t="shared" si="221"/>
        <v/>
      </c>
      <c r="AH57" s="1097" t="str">
        <f t="shared" si="296"/>
        <v/>
      </c>
      <c r="AI57" s="759" t="str">
        <f t="shared" si="222"/>
        <v/>
      </c>
      <c r="AJ57" s="1120" t="str">
        <f t="shared" si="223"/>
        <v/>
      </c>
      <c r="AK57" s="1120" t="str">
        <f t="shared" si="224"/>
        <v/>
      </c>
      <c r="AL57" s="236" t="str">
        <f t="shared" si="225"/>
        <v/>
      </c>
      <c r="AM57" s="236" t="str">
        <f t="shared" si="226"/>
        <v/>
      </c>
      <c r="AN57" s="1112" t="str">
        <f t="shared" si="227"/>
        <v/>
      </c>
      <c r="AO57" s="236" t="str">
        <f t="shared" si="228"/>
        <v/>
      </c>
      <c r="AP57" s="327" t="str">
        <f>IF(A57=FALSE,"",INDEX(Rates!$Q$1:$Q$278,MATCH(CA57,colchoice,0)))</f>
        <v/>
      </c>
      <c r="AQ57" s="236" t="str">
        <f t="shared" si="229"/>
        <v/>
      </c>
      <c r="AR57" s="236" t="str">
        <f t="shared" si="230"/>
        <v/>
      </c>
      <c r="AS57" s="236" t="str">
        <f t="shared" si="297"/>
        <v/>
      </c>
      <c r="AT57" s="236" t="str">
        <f t="shared" si="298"/>
        <v/>
      </c>
      <c r="AU57" s="236" t="str">
        <f t="shared" si="231"/>
        <v/>
      </c>
      <c r="AV57" s="236" t="str">
        <f t="shared" si="232"/>
        <v/>
      </c>
      <c r="AW57" s="236" t="str">
        <f t="shared" si="233"/>
        <v/>
      </c>
      <c r="AX57" s="236" t="str">
        <f t="shared" si="234"/>
        <v/>
      </c>
      <c r="AY57" s="236" t="str">
        <f t="shared" si="235"/>
        <v/>
      </c>
      <c r="AZ57" s="236" t="str">
        <f t="shared" si="236"/>
        <v/>
      </c>
      <c r="BA57" s="236" t="str">
        <f t="shared" si="237"/>
        <v/>
      </c>
      <c r="BB57" s="467" t="str">
        <f t="shared" si="238"/>
        <v/>
      </c>
      <c r="BC57" s="329" t="str">
        <f t="shared" si="239"/>
        <v/>
      </c>
      <c r="BD57" s="237" t="str">
        <f t="shared" si="240"/>
        <v/>
      </c>
      <c r="BE57" s="237" t="str">
        <f>IF(A57=FALSE,"",IF(ED57&lt;&gt;$BC$7,0,INDEX(EA57:EZ57,1,MATCH(Structure!$J$16,$EA$14:$EZ$14,0))))</f>
        <v/>
      </c>
      <c r="BF57" s="237" t="str">
        <f>IF(A57=FALSE,"",IF(FD57&lt;&gt;$BC$7,0,INDEX(FA57:FZ57,1,MATCH(Structure!$J$16,$FA$14:$FZ$14,0))))</f>
        <v/>
      </c>
      <c r="BG57" s="237" t="str">
        <f>IF(A57=FALSE,"",IF(GD57&lt;&gt;$BC$7,0,INDEX(GA57:GZ57,1,MATCH(Structure!$J$16,$GA$14:$GZ$14,0))))</f>
        <v/>
      </c>
      <c r="BH57" s="237" t="str">
        <f>IF(A57=FALSE,"",IF(HD57&lt;&gt;$BC$7,0,INDEX(HA57:HZ57,1,MATCH(Structure!$J$16,$HA$14:$HZ$14,0))))</f>
        <v/>
      </c>
      <c r="BI57" s="621" t="str">
        <f>IF(A57=FALSE,"",IF(ID57&lt;&gt;$BC$7,0,INDEX(IA57:IZ57,1,MATCH(Structure!$C$12,$IA$14:$IZ$14,0)))+OL57)</f>
        <v/>
      </c>
      <c r="BJ57" s="237" t="str">
        <f>IF(A57=FALSE,"",IF(JD57&lt;&gt;$BC$7,0,INDEX(JA57:JZ57,1,MATCH(Structure!$C$12,$JA$14:$JZ$14,0))))</f>
        <v/>
      </c>
      <c r="BK57" s="621" t="str">
        <f>IF(A57=FALSE,"",IF(KD57&lt;&gt;$BC$7,0,INDEX(KA57:KZ57,1,MATCH(Structure!$C$12,$KA$14:$KZ$14,0)))+PL57)</f>
        <v/>
      </c>
      <c r="BL57" s="237" t="str">
        <f>IF(A57=FALSE,"",IF(LD57&lt;&gt;$BC$7,0,INDEX(LA57:LZ57,1,MATCH(Structure!$C$12,$LA$14:$LZ$14,0))))</f>
        <v/>
      </c>
      <c r="BM57" s="237" t="str">
        <f>IF(A57=FALSE,"",IF(MD57&lt;&gt;$BC$7,0,INDEX(MA57:MZ57,1,MATCH(Structure!$C$12,$MA$14:$MZ$14,0))))</f>
        <v/>
      </c>
      <c r="BN57" s="326" t="str">
        <f>IF(A57=FALSE,"",IF(ND57&lt;&gt;$BC$7,0,INDEX(NA57:OC57,1,MATCH(Structure!$C$12,$NA$14:$OC$14,0))))</f>
        <v/>
      </c>
      <c r="BO57" s="435" t="str">
        <f t="shared" si="241"/>
        <v/>
      </c>
      <c r="BP57" s="237" t="str">
        <f t="shared" si="242"/>
        <v/>
      </c>
      <c r="BQ57" s="237" t="str">
        <f>IF(A57=FALSE,"",IF(ED57&lt;&gt;$BO$7,0,INDEX(EA57:EZ57,1,MATCH(Structure!$C$12,$EA$14:$EZ$14,0))))</f>
        <v/>
      </c>
      <c r="BR57" s="237" t="str">
        <f>IF(A57=FALSE,"",IF(FD57&lt;&gt;$BO$7,0,INDEX(FA57:FZ57,1,MATCH(Structure!$C$12,$FA$14:$FZ$14,0))))</f>
        <v/>
      </c>
      <c r="BS57" s="237" t="str">
        <f>IF(A57=FALSE,"",IF(ID57&lt;&gt;$BO$7,0,INDEX(IA57:IZ57,1,MATCH(Structure!$C$13,$IA$14:$IZ$14,0))))</f>
        <v/>
      </c>
      <c r="BT57" s="237" t="str">
        <f>IF(A57=FALSE,"",IF(JD57&lt;&gt;$BO$7,0,INDEX(JA57:JZ57,1,MATCH(Structure!$C$13,$JA$14:$JZ$14,0))))</f>
        <v/>
      </c>
      <c r="BU57" s="237" t="str">
        <f>IF(A57=FALSE,"",IF(KD57&lt;&gt;$BO$7,0,INDEX(KA57:KZ57,1,MATCH(Structure!$C$13,$KA$14:$KZ$14,0))))</f>
        <v/>
      </c>
      <c r="BV57" s="237" t="str">
        <f>IF(A57=FALSE,"",IF(LD57&lt;&gt;$BO$7,0,INDEX(LA57:LZ57,1,MATCH(Structure!$C$13,$LA$14:$LZ$14,0))))</f>
        <v/>
      </c>
      <c r="BW57" s="237" t="str">
        <f>IF(A57=FALSE,"",IF(MD57&lt;&gt;$BO$7,0,INDEX(MA57:MZ57,1,MATCH(Structure!$C$13,$MA$14:$MZ$14,0))))</f>
        <v/>
      </c>
      <c r="BX57" s="326" t="str">
        <f>IF(A57=FALSE,"",IF(ND57&lt;&gt;$BO$7,0,INDEX(NA57:OC57,1,MATCH(Structure!$C$13,$NA$14:$OC$14,0))))</f>
        <v/>
      </c>
      <c r="BY57" s="412"/>
      <c r="BZ57" s="412"/>
      <c r="CA57" s="1255" t="str">
        <f>IF(A57=FALSE,"",IF(LISTES!$A$17=1,Cotations!AG57,Cotations!AH57))</f>
        <v/>
      </c>
      <c r="CB57" s="1266" t="str">
        <f t="shared" si="243"/>
        <v/>
      </c>
      <c r="CC57" s="1120" t="str">
        <f t="shared" si="244"/>
        <v/>
      </c>
      <c r="CD57" s="1120" t="str">
        <f t="shared" si="245"/>
        <v/>
      </c>
      <c r="CE57" s="1120" t="str">
        <f t="shared" si="246"/>
        <v/>
      </c>
      <c r="CF57" s="1120" t="str">
        <f t="shared" si="247"/>
        <v/>
      </c>
      <c r="CG57" s="1267"/>
      <c r="CH57" s="1267"/>
      <c r="CI57" s="1268" t="str">
        <f t="shared" si="248"/>
        <v/>
      </c>
      <c r="CJ57" s="286" t="str">
        <f t="shared" si="249"/>
        <v/>
      </c>
      <c r="CK57" s="286" t="str">
        <f t="shared" si="250"/>
        <v/>
      </c>
      <c r="CL57" s="1263"/>
      <c r="CM57" s="1263"/>
      <c r="CN57" s="1263"/>
      <c r="CO57" s="1263"/>
      <c r="CP57" s="319" t="str">
        <f t="shared" si="251"/>
        <v/>
      </c>
      <c r="CQ57" s="443" t="str">
        <f>IF(A57=FALSE,"",Cotations!AM57)</f>
        <v/>
      </c>
      <c r="CR57" s="443" t="str">
        <f>IF(A57=FALSE,"",IF(Cotations!AN57="","",Cotations!AN57))</f>
        <v/>
      </c>
      <c r="CS57" s="433" t="str">
        <f>IF(A57=FALSE,"",Cotations!AO57)</f>
        <v/>
      </c>
      <c r="CT57" s="443" t="str">
        <f>IF(A57=FALSE,"",IF(CQ57="N/A",0,IF(INDEX(LISTES!$F$105:$F$109,MATCH(CQ57,LISTES!$C$105:$C$109,0))="FIX",IF(INDEX(LISTES!$E$105:$E$109,MATCH(CQ57,LISTES!$C$105:$C$109,0))=12,CR57/12*L57,CR57/365*M57),CS57*EQ57)))</f>
        <v/>
      </c>
      <c r="CU57" s="434" t="str">
        <f>IF(A57=FALSE,"",(CJ57+CK57)*Cotations!AP57)</f>
        <v/>
      </c>
      <c r="CV57" s="434" t="str">
        <f>IF(A57=FALSE,"",(CJ57+CK57)*Cotations!AQ57)</f>
        <v/>
      </c>
      <c r="DA57" s="1253" t="str">
        <f>IF(A57=FALSE,"",IF(LISTES!$A$17=1,Cotations!AV57,Cotations!AW57))</f>
        <v/>
      </c>
      <c r="DB57" s="1271" t="str">
        <f t="shared" si="252"/>
        <v/>
      </c>
      <c r="DC57" s="1270" t="str">
        <f t="shared" si="253"/>
        <v/>
      </c>
      <c r="DD57" s="1270" t="str">
        <f t="shared" si="254"/>
        <v/>
      </c>
      <c r="DE57" s="1270" t="str">
        <f t="shared" si="255"/>
        <v/>
      </c>
      <c r="DF57" s="1270" t="str">
        <f t="shared" si="256"/>
        <v/>
      </c>
      <c r="DG57" s="1270" t="str">
        <f t="shared" si="257"/>
        <v/>
      </c>
      <c r="DH57" s="1270" t="str">
        <f t="shared" si="258"/>
        <v/>
      </c>
      <c r="DI57" s="1271" t="str">
        <f t="shared" si="259"/>
        <v/>
      </c>
      <c r="DJ57" s="286" t="str">
        <f t="shared" si="260"/>
        <v/>
      </c>
      <c r="DK57" s="286" t="str">
        <f t="shared" si="261"/>
        <v/>
      </c>
      <c r="DL57" s="1264" t="str">
        <f t="shared" si="262"/>
        <v/>
      </c>
      <c r="DM57" s="1264" t="str">
        <f t="shared" si="263"/>
        <v/>
      </c>
      <c r="DN57" s="1264" t="str">
        <f t="shared" si="264"/>
        <v/>
      </c>
      <c r="DO57" s="1264" t="str">
        <f t="shared" si="265"/>
        <v/>
      </c>
      <c r="DP57" s="323" t="str">
        <f t="shared" si="299"/>
        <v/>
      </c>
      <c r="DQ57" s="444" t="str">
        <f>IF(A57=FALSE,"",Cotations!BW57)</f>
        <v/>
      </c>
      <c r="DR57" s="444" t="str">
        <f>IF(A57=FALSE,"",Cotations!BX57)</f>
        <v/>
      </c>
      <c r="DS57" s="433" t="str">
        <f>IF(A57=FALSE,"",Cotations!BY57)</f>
        <v/>
      </c>
      <c r="DT57" s="830" t="str">
        <f>IF(A57=FALSE,"",IF(DQ57="N/A",0,IF(INDEX(LISTES!$F$105:$F$109,MATCH(DQ57,LISTES!$C$105:$C$109,0))="FIX",IF(INDEX(LISTES!$E$105:$E$109,MATCH(DQ57,LISTES!$C$105:$C$109,0))=12,DR57/12*L57,DR57/365*M57),DS57*(DN57+DO57))))</f>
        <v/>
      </c>
      <c r="DU57" s="434" t="str">
        <f>IF(A57=FALSE,"",DJ57*Cotations!BZ57)</f>
        <v/>
      </c>
      <c r="DV57" s="434" t="str">
        <f>IF(A57=FALSE,"",DJ57*Cotations!CA57)</f>
        <v/>
      </c>
      <c r="EA57" s="432" t="str">
        <f>IF(A57=FALSE,"",Cotations!AT57)</f>
        <v/>
      </c>
      <c r="EB57" s="1234" t="str">
        <f>IF(A57=FALSE,"",YEAR(Detail!F57)&amp;Detail!AG57&amp;Detail!AD57&amp;"-"&amp;Detail!$AD$13&amp;Detail!AE57)</f>
        <v/>
      </c>
      <c r="EC57" s="434" t="str">
        <f>IF(A57=FALSE,"",IF(LISTES!$A$17=1,EB57,INDEX(colMOD1,MATCH(Cotations!AH57,colchoice,0))))</f>
        <v/>
      </c>
      <c r="ED57" s="277" t="str">
        <f t="shared" si="300"/>
        <v/>
      </c>
      <c r="EE57" s="277" t="str">
        <f t="shared" si="301"/>
        <v/>
      </c>
      <c r="EF57" s="277"/>
      <c r="EG57" s="277"/>
      <c r="EH57" s="277" t="str">
        <f t="shared" si="302"/>
        <v/>
      </c>
      <c r="EI57" s="1104" t="str">
        <f t="shared" si="303"/>
        <v/>
      </c>
      <c r="EJ57" s="1104" t="str">
        <f t="shared" si="304"/>
        <v/>
      </c>
      <c r="EK57" s="443" t="str">
        <f>IF(A57=FALSE,"",IF(Cotations!AF57="monthly",EH57/12*L57,EH57/365*M57))</f>
        <v/>
      </c>
      <c r="EL57" s="1103" t="str">
        <f>IF(A57=FALSE,"",IF(Cotations!AF57="monthly",EJ57/12*L57,EJ57/365*M57))</f>
        <v/>
      </c>
      <c r="EM57" s="433" t="str">
        <f>IF(A57=FALSE,"",IF(Cotations!AI57="","",Cotations!AI57))</f>
        <v/>
      </c>
      <c r="EN57" s="277" t="str">
        <f t="shared" si="305"/>
        <v/>
      </c>
      <c r="EO57" s="277" t="str">
        <f t="shared" si="306"/>
        <v/>
      </c>
      <c r="EP57" s="1104" t="str">
        <f t="shared" si="307"/>
        <v/>
      </c>
      <c r="EQ57" s="277" t="str">
        <f t="shared" si="308"/>
        <v/>
      </c>
      <c r="ER57" s="759" t="str">
        <f>IF(A57=FALSE,"",((EH57*TAXE)-(EH57*TAXE*EM57)+EI57)+IF(CQ57="N/A",0,IF(INDEX(LISTES!$F$105:$F$109,MATCH(CQ57,LISTES!$C$105:$C$109,0))="FIX",CR57,CS57*EQ57)))</f>
        <v/>
      </c>
      <c r="ET57" s="422"/>
      <c r="EU57" s="422"/>
      <c r="EV57" s="422"/>
      <c r="EW57" s="422"/>
      <c r="EX57" s="422"/>
      <c r="EY57" s="422"/>
      <c r="EZ57" s="422"/>
      <c r="FA57" s="432" t="str">
        <f>IF(A57=FALSE,"",Cotations!AT57)</f>
        <v/>
      </c>
      <c r="FB57" s="1235" t="str">
        <f>IF(A57=FALSE,"",IF(Detail!AL57="","N/A",YEAR(Detail!F57)&amp;Detail!AO57&amp;Detail!AL57&amp;"-"&amp;Detail!$AL$13&amp;Detail!AM57))</f>
        <v/>
      </c>
      <c r="FC57" s="434" t="str">
        <f>IF(A57=FALSE,"",IF(LISTES!$A$17=1,FB57,INDEX(colMOD2,MATCH(Cotations!AH57,colchoice,0))))</f>
        <v/>
      </c>
      <c r="FD57" s="277" t="str">
        <f t="shared" si="309"/>
        <v/>
      </c>
      <c r="FE57" s="443" t="str">
        <f>IF(A57=FALSE,"",IF(Detail!AM57="","",Detail!AM57))</f>
        <v/>
      </c>
      <c r="FF57" s="277"/>
      <c r="FG57" s="277"/>
      <c r="FH57" s="277" t="str">
        <f t="shared" si="310"/>
        <v/>
      </c>
      <c r="FI57" s="1104"/>
      <c r="FJ57" s="1104"/>
      <c r="FK57" s="443" t="str">
        <f>IF(A57=FALSE,"",IF(Cotations!AF57="monthly",FH57/12*L57,FH57/365*M57))</f>
        <v/>
      </c>
      <c r="FL57" s="1103" t="str">
        <f>IF(A57=FALSE,"",IF(Cotations!AF57="monthly",FJ57/12*L57,FJ57/365*M57))</f>
        <v/>
      </c>
      <c r="FM57" s="433" t="str">
        <f>IF(A57=FALSE,"",IF(Cotations!AJ57="","",Cotations!AJ57))</f>
        <v/>
      </c>
      <c r="FN57" s="277" t="str">
        <f t="shared" si="268"/>
        <v/>
      </c>
      <c r="FO57" s="277" t="str">
        <f t="shared" si="269"/>
        <v/>
      </c>
      <c r="FP57" s="1104"/>
      <c r="FQ57" s="277" t="str">
        <f t="shared" si="270"/>
        <v/>
      </c>
      <c r="FR57" s="759" t="str">
        <f>IF(A57=FALSE,"",((FH57*TAXE)-(FH57*TAXE*FM57))+IF(#REF!="N/A",0,IF(INDEX(LISTES!$F$105:$F$109,MATCH(#REF!,LISTES!$C$105:$C$109,0))="FIX",#REF!,#REF!*FQ57)))</f>
        <v/>
      </c>
      <c r="FS57" s="422"/>
      <c r="FT57" s="422"/>
      <c r="FU57" s="422"/>
      <c r="FV57" s="422"/>
      <c r="FW57" s="422"/>
      <c r="FX57" s="422"/>
      <c r="FY57" s="422"/>
      <c r="FZ57" s="422"/>
      <c r="GA57" s="432" t="str">
        <f t="shared" si="311"/>
        <v/>
      </c>
      <c r="GB57" s="1234" t="str">
        <f>IF(A57=FALSE,"",IF(Detail!DF57="","N/A",YEAR(Detail!F57)&amp;Detail!DI57&amp;Detail!DF57&amp;"-"&amp;Detail!$DF$13))</f>
        <v/>
      </c>
      <c r="GC57" s="434" t="str">
        <f>IF(A57=FALSE,"",IF(LISTES!$A$17=1,GB57,INDEX(colMOD3,MATCH(Cotations!AH57,colchoice,0))))</f>
        <v/>
      </c>
      <c r="GD57" s="277" t="str">
        <f t="shared" si="312"/>
        <v/>
      </c>
      <c r="GE57" s="277" t="str">
        <f t="shared" si="313"/>
        <v/>
      </c>
      <c r="GF57" s="277"/>
      <c r="GG57" s="277"/>
      <c r="GH57" s="277" t="str">
        <f t="shared" si="271"/>
        <v/>
      </c>
      <c r="GI57" s="1104" t="str">
        <f t="shared" si="272"/>
        <v/>
      </c>
      <c r="GJ57" s="1104" t="str">
        <f t="shared" si="273"/>
        <v/>
      </c>
      <c r="GK57" s="443" t="str">
        <f>IF(A57=FALSE,"",IF(Cotations!AF57="monthly",GH57/12*L57,GH57/365*M57))</f>
        <v/>
      </c>
      <c r="GL57" s="1103" t="str">
        <f>IF(A57=FALSE,"",IF(Cotations!AF57="monthly",GJ57/12*L57,GJ57/365*M57))</f>
        <v/>
      </c>
      <c r="GM57" s="433" t="str">
        <f>IF(A57=FALSE,"",IF(Cotations!AK57="","",Cotations!AK57))</f>
        <v/>
      </c>
      <c r="GN57" s="277" t="str">
        <f t="shared" si="274"/>
        <v/>
      </c>
      <c r="GO57" s="277" t="str">
        <f t="shared" si="275"/>
        <v/>
      </c>
      <c r="GP57" s="1104" t="str">
        <f t="shared" si="276"/>
        <v/>
      </c>
      <c r="GQ57" s="277" t="str">
        <f t="shared" si="277"/>
        <v/>
      </c>
      <c r="GR57" s="759" t="str">
        <f>IF(A57=FALSE,"",((GH57*TAXE)-(GH57*TAXE*GM57)+GI57)+IF(CQ57="N/A",0,IF(INDEX(LISTES!$F$105:$F$109,MATCH(CQ57,LISTES!$C$105:$C$109,0))="FIX",CR57,CS57*GQ57)))</f>
        <v/>
      </c>
      <c r="GS57" s="412"/>
      <c r="GT57" s="412"/>
      <c r="GU57" s="412"/>
      <c r="GV57" s="412"/>
      <c r="GW57" s="412"/>
      <c r="GX57" s="412"/>
      <c r="GY57" s="412"/>
      <c r="GZ57" s="412"/>
      <c r="HA57" s="432" t="str">
        <f t="shared" si="314"/>
        <v/>
      </c>
      <c r="HB57" s="1234" t="str">
        <f>IF(A57=FALSE,"",IF(Detail!DF57="","N/A",YEAR(Detail!F57)&amp;Detail!DI57&amp;Detail!DF57&amp;"-"&amp;Detail!$DF$13))</f>
        <v/>
      </c>
      <c r="HC57" s="434" t="str">
        <f>IF(A57=FALSE,"",IF(LISTES!$A$17=1,HB57,INDEX(colMOD4,MATCH(Cotations!AH57,colchoice,0))))</f>
        <v/>
      </c>
      <c r="HD57" s="277" t="str">
        <f t="shared" si="278"/>
        <v/>
      </c>
      <c r="HE57" s="277" t="str">
        <f t="shared" si="279"/>
        <v/>
      </c>
      <c r="HF57" s="277"/>
      <c r="HG57" s="277"/>
      <c r="HH57" s="277" t="str">
        <f t="shared" si="280"/>
        <v/>
      </c>
      <c r="HI57" s="1104" t="str">
        <f t="shared" si="281"/>
        <v/>
      </c>
      <c r="HJ57" s="1104" t="str">
        <f t="shared" si="282"/>
        <v/>
      </c>
      <c r="HK57" s="443" t="str">
        <f>IF(A57=FALSE,"",IF(Cotations!AF57="monthly",HH57/12*L57,HH57/365*M57))</f>
        <v/>
      </c>
      <c r="HL57" s="1103" t="str">
        <f>IF(A57=FALSE,"",IF(Cotations!AF57="monthly",HJ57/12*L57,HJ57/365*M57))</f>
        <v/>
      </c>
      <c r="HM57" s="433" t="str">
        <f>IF(A57=FALSE,"",IF(Cotations!AL57="","",Cotations!AL57))</f>
        <v/>
      </c>
      <c r="HN57" s="277" t="str">
        <f t="shared" si="283"/>
        <v/>
      </c>
      <c r="HO57" s="277" t="str">
        <f t="shared" si="284"/>
        <v/>
      </c>
      <c r="HP57" s="1104" t="str">
        <f t="shared" si="285"/>
        <v/>
      </c>
      <c r="HQ57" s="277" t="str">
        <f t="shared" si="286"/>
        <v/>
      </c>
      <c r="HR57" s="759" t="str">
        <f>IF(A57=FALSE,"",((HH57*TAXE)-(HH57*TAXE*HM57)+HI57)+IF(CQ57="N/A",0,IF(INDEX(LISTES!$F$105:$F$109,MATCH(CQ57,LISTES!$C$105:$C$109,0))="FIX",CR57,CS57*HQ57)))</f>
        <v/>
      </c>
      <c r="HS57" s="412"/>
      <c r="HT57" s="412"/>
      <c r="HU57" s="412"/>
      <c r="HV57" s="412"/>
      <c r="HW57" s="412"/>
      <c r="HX57" s="412"/>
      <c r="HY57" s="412"/>
      <c r="HZ57" s="1262"/>
      <c r="IA57" s="432" t="str">
        <f>IF(A57=FALSE,"",Cotations!AT57)</f>
        <v/>
      </c>
      <c r="IB57" s="1253" t="str">
        <f>IF(A57=FALSE,"",IF(Detail!AT57="","N/A",YEAR(Detail!F57)&amp;Detail!AW57&amp;Detail!AT57&amp;"-"&amp;Detail!$AT$13&amp;Detail!AU57))</f>
        <v/>
      </c>
      <c r="IC57" s="431" t="str">
        <f>IF(A57=FALSE,"",IF(LISTES!$A$17=1,IB57,INDEX(colMOD1,MATCH(DA57,colchoice,0))))</f>
        <v/>
      </c>
      <c r="ID57" s="759" t="str">
        <f t="shared" si="358"/>
        <v/>
      </c>
      <c r="IE57" s="292" t="str">
        <f>IF(A57=FALSE,"",IF(LISTES!$A$17=1,Detail!AU57,INDEX(Rates!$M$1:$M$270,MATCH(IC57,colMOD1,0))))</f>
        <v/>
      </c>
      <c r="IF57" s="409" t="str">
        <f t="shared" si="359"/>
        <v/>
      </c>
      <c r="IG57" s="430" t="str">
        <f>IF(A57=FALSE,"",IF(IA57="POEA",Cotations!AY57,IF(IA57="FIXE",Cotations!AZ57,IF(Cotations!BA57*Y57&lt;50000,Z57,Cotations!BA57*Y57))))</f>
        <v/>
      </c>
      <c r="IH57" s="292" t="str">
        <f t="shared" si="360"/>
        <v/>
      </c>
      <c r="II57" s="446" t="str">
        <f>IF(A57=FALSE,"",IF(Cotations!AU57="monthly",IH57/12*L57,IH57/365*M57))</f>
        <v/>
      </c>
      <c r="IJ57" s="429" t="str">
        <f>IF(A57=FALSE,"",IF(Cotations!BB57="","",Cotations!BB57))</f>
        <v/>
      </c>
      <c r="IK57" s="292" t="str">
        <f t="shared" si="361"/>
        <v/>
      </c>
      <c r="IL57" s="292" t="str">
        <f t="shared" si="362"/>
        <v/>
      </c>
      <c r="IM57" s="759" t="str">
        <f t="shared" si="363"/>
        <v/>
      </c>
      <c r="IN57" s="759" t="str">
        <f>IF(A57=FALSE,"",((IH57*TAXE)-(IH57*TAXE*IJ57))+IF(DQ57="N/A",0,IF(INDEX(LISTES!$F$105:$F$109,MATCH(DQ57,LISTES!$C$105:$C$109,0))="FIX",DR57,DS57*IM57)))</f>
        <v/>
      </c>
      <c r="JA57" s="432" t="str">
        <f>IF(A57=FALSE,"",Cotations!AT57)</f>
        <v/>
      </c>
      <c r="JB57" s="1234" t="str">
        <f>IF(A57=FALSE,"",IF(Detail!BB57="","N/A",YEAR(Detail!F57)&amp;Detail!BE57&amp;Detail!BB57&amp;"-"&amp;Detail!$BB$13&amp;Detail!BC57))</f>
        <v/>
      </c>
      <c r="JC57" s="431" t="str">
        <f>IF(A57=FALSE,"",IF(LISTES!$A$17=1,JB57,INDEX(colMOD2,MATCH(DA57,colchoice,0))))</f>
        <v/>
      </c>
      <c r="JD57" s="759" t="str">
        <f t="shared" si="321"/>
        <v/>
      </c>
      <c r="JE57" s="292"/>
      <c r="JF57" s="409" t="str">
        <f t="shared" si="322"/>
        <v/>
      </c>
      <c r="JG57" s="430" t="str">
        <f>IF(A57=FALSE,"",IF(JA57="POEA",Cotations!BC57,IF(JA57="FIXE",Cotations!BD57,IF(Cotations!BE57*Y57&lt;50000,Z57,Cotations!BE57*Y57))))</f>
        <v/>
      </c>
      <c r="JH57" s="292" t="str">
        <f t="shared" si="323"/>
        <v/>
      </c>
      <c r="JI57" s="446" t="str">
        <f>IF(A57=FALSE,"",IF(Cotations!AU57="monthly",JH57/12*L57,JH57/365*M57))</f>
        <v/>
      </c>
      <c r="JJ57" s="429" t="str">
        <f>IF(A57=FALSE,"",IF(Cotations!BF57="","",Cotations!BF57))</f>
        <v/>
      </c>
      <c r="JK57" s="292" t="str">
        <f t="shared" si="324"/>
        <v/>
      </c>
      <c r="JL57" s="292" t="str">
        <f t="shared" si="325"/>
        <v/>
      </c>
      <c r="JM57" s="759" t="str">
        <f t="shared" si="326"/>
        <v/>
      </c>
      <c r="JN57" s="759" t="str">
        <f>IF(A57=FALSE,"",((JH57*TAXE)-(JH57*TAXE*JJ57))+IF(#REF!="N/A",0,IF(INDEX(LISTES!$F$105:$F$109,MATCH(#REF!,LISTES!$C$105:$C$109,0))="FIX",#REF!,#REF!*JM57)))</f>
        <v/>
      </c>
      <c r="KA57" s="432" t="str">
        <f>IF(A57=FALSE,"",Cotations!AT57)</f>
        <v/>
      </c>
      <c r="KB57" s="1234" t="str">
        <f>IF(A57=FALSE,"",IF(Detail!BJ57="","N/A",YEAR(Detail!F57)&amp;Detail!BM57&amp;Detail!BJ57&amp;"-"&amp;Detail!$BJ$13&amp;Detail!BK57))</f>
        <v/>
      </c>
      <c r="KC57" s="431" t="str">
        <f>IF(A57=FALSE,"",IF(LISTES!$A$17=1,KB57,INDEX(colMOD3,MATCH(DA57,colchoice,0))))</f>
        <v/>
      </c>
      <c r="KD57" s="759" t="str">
        <f t="shared" si="327"/>
        <v/>
      </c>
      <c r="KE57" s="292"/>
      <c r="KF57" s="409" t="str">
        <f t="shared" si="328"/>
        <v/>
      </c>
      <c r="KG57" s="430" t="str">
        <f>IF(A57=FALSE,"",IF(KA57="POEA",Cotations!BG57,IF(KA57="FIXE",Cotations!BH57,IF(Cotations!BI57*Y57&lt;50000,Z57,Cotations!BI57*Y57))))</f>
        <v/>
      </c>
      <c r="KH57" s="292" t="str">
        <f t="shared" si="329"/>
        <v/>
      </c>
      <c r="KI57" s="446" t="str">
        <f>IF(A57=FALSE,"",IF(Cotations!AU57="monthly",KH57/12*L57,KH57/365*M57))</f>
        <v/>
      </c>
      <c r="KJ57" s="429" t="str">
        <f>IF(A57=FALSE,"",IF(Cotations!BJ57="","",Cotations!BJ57))</f>
        <v/>
      </c>
      <c r="KK57" s="292" t="str">
        <f t="shared" si="330"/>
        <v/>
      </c>
      <c r="KL57" s="292" t="str">
        <f t="shared" si="331"/>
        <v/>
      </c>
      <c r="KM57" s="759" t="str">
        <f t="shared" si="332"/>
        <v/>
      </c>
      <c r="KN57" s="759" t="str">
        <f>IF(A57=FALSE,"",((KH57*TAXE)-(KH57*TAXE*KJ57))+IF(#REF!="N/A",0,IF(INDEX(LISTES!$F$105:$F$109,MATCH(#REF!,LISTES!$C$105:$C$109,0))="FIX",#REF!,#REF!*KM57)))</f>
        <v/>
      </c>
      <c r="LA57" s="432" t="str">
        <f>IF(A57=FALSE,"",Cotations!AT57)</f>
        <v/>
      </c>
      <c r="LB57" s="1234" t="str">
        <f>IF(A57=FALSE,"",IF(Detail!BR57="","N/A",YEAR(Detail!F57)&amp;Detail!BU57&amp;Detail!BR57&amp;"-"&amp;Detail!$BR$13&amp;Detail!BS57))</f>
        <v/>
      </c>
      <c r="LC57" s="431" t="str">
        <f>IF(A57=FALSE,"",IF(LISTES!$A$17=1,LB57,INDEX(colMOD4,MATCH(DA57,colchoice,0))))</f>
        <v/>
      </c>
      <c r="LD57" s="759" t="str">
        <f t="shared" si="333"/>
        <v/>
      </c>
      <c r="LE57" s="292"/>
      <c r="LF57" s="409" t="str">
        <f t="shared" si="334"/>
        <v/>
      </c>
      <c r="LG57" s="430" t="str">
        <f>IF(A57=FALSE,"",IF(LA57="POEA",Cotations!BK57,IF(LA57="FIXE",Cotations!BL57,IF(Cotations!BM57*Y57&lt;50000,Z57,Cotations!BM57*Y57))))</f>
        <v/>
      </c>
      <c r="LH57" s="292" t="str">
        <f t="shared" si="335"/>
        <v/>
      </c>
      <c r="LI57" s="446" t="str">
        <f>IF(A57=FALSE,"",IF(Cotations!AU57="monthly",LH57/12*L57,LH57/365*M57))</f>
        <v/>
      </c>
      <c r="LJ57" s="429" t="str">
        <f>IF(A57=FALSE,"",IF(Cotations!BN57="","",Cotations!BN57))</f>
        <v/>
      </c>
      <c r="LK57" s="292" t="str">
        <f t="shared" si="336"/>
        <v/>
      </c>
      <c r="LL57" s="292" t="str">
        <f t="shared" si="337"/>
        <v/>
      </c>
      <c r="LM57" s="759" t="str">
        <f t="shared" si="338"/>
        <v/>
      </c>
      <c r="LN57" s="759" t="str">
        <f>IF(A57=FALSE,"",((LH57*TAXE)-(LH57*TAXE*LJ57))+IF(#REF!="N/A",0,IF(INDEX(LISTES!$F$105:$F$109,MATCH(#REF!,LISTES!$C$105:$C$109,0))="FIX",#REF!,#REF!*LM57)))</f>
        <v/>
      </c>
      <c r="MA57" s="432" t="str">
        <f t="shared" si="339"/>
        <v/>
      </c>
      <c r="MB57" s="1234" t="str">
        <f>IF(A57=FALSE,"",IF(Detail!BZ57="","N/A",YEAR(Detail!F57)&amp;Detail!CC57&amp;Detail!BZ57&amp;"-"&amp;Detail!$BZ$13&amp;" (100%/"&amp;Detail!CD57&amp;"/"&amp;Detail!CE57&amp;")"))</f>
        <v/>
      </c>
      <c r="MC57" s="431" t="str">
        <f>IF(A57=FALSE,"",IF(LISTES!$A$17=1,MB57,INDEX(colMOD5,MATCH(DA57,colchoice,0))))</f>
        <v/>
      </c>
      <c r="MD57" s="759" t="str">
        <f t="shared" si="340"/>
        <v/>
      </c>
      <c r="ME57" s="292"/>
      <c r="MF57" s="409" t="str">
        <f t="shared" si="341"/>
        <v/>
      </c>
      <c r="MG57" s="430" t="str">
        <f>IF(A57=FALSE,"",Cotations!BQ57*AA57)</f>
        <v/>
      </c>
      <c r="MH57" s="292" t="str">
        <f t="shared" si="342"/>
        <v/>
      </c>
      <c r="MI57" s="446" t="str">
        <f>IF(A57=FALSE,"",IF(Cotations!AU57="monthly",MH57/12*L57,MH57/365*M57))</f>
        <v/>
      </c>
      <c r="MJ57" s="429" t="str">
        <f>IF(A57=FALSE,"",IF(Cotations!BR57="","",Cotations!BR57))</f>
        <v/>
      </c>
      <c r="MK57" s="292" t="str">
        <f t="shared" si="343"/>
        <v/>
      </c>
      <c r="ML57" s="292" t="str">
        <f t="shared" si="344"/>
        <v/>
      </c>
      <c r="MM57" s="759" t="str">
        <f t="shared" si="345"/>
        <v/>
      </c>
      <c r="MN57" s="759" t="str">
        <f>IF(A57=FALSE,"",((MH57*TAXE)-(MH57*TAXE*MJ57))+IF(#REF!="N/A",0,IF(INDEX(LISTES!$F$105:$F$109,MATCH(#REF!,LISTES!$C$105:$C$109,0))="FIX",#REF!,#REF!*MM57)))</f>
        <v/>
      </c>
      <c r="NA57" s="432" t="str">
        <f t="shared" si="346"/>
        <v/>
      </c>
      <c r="NB57" s="1234" t="str">
        <f>IF(A57=FALSE,"",IF(Detail!CH57="","N/A",YEAR(Detail!F57)&amp;Detail!CK57&amp;Detail!CH57&amp;"-"&amp;Detail!$CH$13&amp;" (100%/"&amp;Detail!CL57&amp;"/"&amp;Detail!CM57&amp;")"))</f>
        <v/>
      </c>
      <c r="NC57" s="431" t="str">
        <f>IF(A57=FALSE,"",IF(LISTES!$A$17=1,NB57,INDEX(colMOD6,MATCH(DA57,colchoice,0))))</f>
        <v/>
      </c>
      <c r="ND57" s="759" t="str">
        <f t="shared" si="347"/>
        <v/>
      </c>
      <c r="NE57" s="292"/>
      <c r="NF57" s="409" t="str">
        <f t="shared" si="348"/>
        <v/>
      </c>
      <c r="NG57" s="430" t="str">
        <f>IF(A57=FALSE,"",Cotations!BU57*AA57)</f>
        <v/>
      </c>
      <c r="NH57" s="292" t="str">
        <f t="shared" si="349"/>
        <v/>
      </c>
      <c r="NI57" s="446" t="str">
        <f>IF(A57=FALSE,"",IF(Cotations!AU57="monthly",NH57/12*L57,NH57/365*M57))</f>
        <v/>
      </c>
      <c r="NJ57" s="429" t="str">
        <f>IF(A57=FALSE,"",IF(Cotations!BV57="","",Cotations!BV57))</f>
        <v/>
      </c>
      <c r="NK57" s="292" t="str">
        <f t="shared" si="350"/>
        <v/>
      </c>
      <c r="NL57" s="292" t="str">
        <f t="shared" si="351"/>
        <v/>
      </c>
      <c r="NM57" s="759" t="str">
        <f t="shared" si="352"/>
        <v/>
      </c>
      <c r="NN57" s="759" t="str">
        <f>IF(A57=FALSE,"",((NH57*TAXE)-(NH57*TAXE*NJ57))+IF(#REF!="N/A",0,IF(INDEX(LISTES!$F$105:$F$109,MATCH(#REF!,LISTES!$C$105:$C$109,0))="FIX",#REF!,#REF!*NM57)))</f>
        <v/>
      </c>
      <c r="NZ57" s="1281" t="str">
        <f>IF(A57=FALSE,"",IF(Detail!CP57="","N/A",YEAR(Detail!F57)&amp;Detail!CS57&amp;Detail!CP57&amp;"-"&amp;Detail!CQ57))</f>
        <v/>
      </c>
      <c r="OA57" s="432" t="str">
        <f>IF(A57=FALSE,"",Cotations!CF57)</f>
        <v/>
      </c>
      <c r="OB57" s="1282" t="str">
        <f>IF(A57=FALSE,"",IF(Detail!CP57="","N/A",YEAR(Detail!F57)&amp;Detail!CS57&amp;Detail!CP57&amp;"-"&amp;Detail!$CP$13&amp;Detail!CQ57))</f>
        <v/>
      </c>
      <c r="OC57" s="1283" t="str">
        <f>IF(A57=FALSE,"",IF(LISTES!$A$17=1,OB57,INDEX(colMOD1,MATCH(Cotations!CE57,colchoice,0))))</f>
        <v/>
      </c>
      <c r="OD57" s="759" t="str">
        <f t="shared" si="353"/>
        <v/>
      </c>
      <c r="OE57" s="292" t="str">
        <f>IF(A57=FALSE,"",Detail!CQ57)</f>
        <v/>
      </c>
      <c r="OF57" s="409" t="str">
        <f t="shared" si="354"/>
        <v/>
      </c>
      <c r="OG57" s="430" t="str">
        <f>IF(A57=FALSE,"",IF(OA57="FIXE",Cotations!CM57,Cotations!CN57*AA57))</f>
        <v/>
      </c>
      <c r="OH57" s="292" t="str">
        <f t="shared" si="288"/>
        <v/>
      </c>
      <c r="OI57" s="446" t="str">
        <f>IF(A57=FALSE,"",IF(Cotations!CF57="monthly",OH57/12*L57,OH57/365*M57))</f>
        <v/>
      </c>
      <c r="OJ57" s="429" t="str">
        <f>IF(A57=FALSE,"",IF(Cotations!CO57="","",Cotations!CO57))</f>
        <v/>
      </c>
      <c r="OK57" s="292" t="str">
        <f t="shared" si="289"/>
        <v/>
      </c>
      <c r="OL57" s="292" t="str">
        <f t="shared" si="290"/>
        <v/>
      </c>
      <c r="OM57" s="759" t="str">
        <f t="shared" si="355"/>
        <v/>
      </c>
      <c r="ON57" s="759" t="str">
        <f>IF(A57=FALSE,"",((OH57*(1+TAXE)-(OH57*(1+TAXE)*OJ57))+IF(#REF!="N/A",0,IF(INDEX(LISTES!$F$105:$F$109,MATCH(#REF!,LISTES!$C$105:$C$109,0))="FIX",#REF!,#REF!*OM57))))</f>
        <v/>
      </c>
      <c r="PA57" s="432" t="str">
        <f>IF(A57=FALSE,"",Cotations!CF57)</f>
        <v/>
      </c>
      <c r="PB57" s="1282" t="str">
        <f>IF(A57=FALSE,"",IF(Detail!CX57="","N/A",YEAR(Detail!F57)&amp;Detail!DA57&amp;Detail!CX57&amp;"-"&amp;Detail!$CX$13&amp;Detail!CY57))</f>
        <v/>
      </c>
      <c r="PC57" s="1283" t="str">
        <f>IF(A57=FALSE,"",IF(LISTES!$A$17=1,PB57,INDEX(colMOD3,MATCH(Cotations!CE57,colchoice,0))))</f>
        <v/>
      </c>
      <c r="PD57" s="759" t="str">
        <f t="shared" si="356"/>
        <v/>
      </c>
      <c r="PE57" s="292" t="str">
        <f>IF(A57=FALSE,"",IF(Detail!CY57="","",Detail!CY57))</f>
        <v/>
      </c>
      <c r="PF57" s="409" t="str">
        <f t="shared" si="291"/>
        <v/>
      </c>
      <c r="PG57" s="430" t="str">
        <f>IF(A57=FALSE,"",IF(PA57="FIXE",Cotations!CP57,Cotations!CQ57*AA57))</f>
        <v/>
      </c>
      <c r="PH57" s="292" t="str">
        <f t="shared" si="292"/>
        <v/>
      </c>
      <c r="PI57" s="446" t="str">
        <f>IF(A57=FALSE,"",IF(Cotations!CG57="monthly",PH57/12*L57,PH57/365*M57))</f>
        <v/>
      </c>
      <c r="PJ57" s="429" t="str">
        <f>IF(A57=FALSE,"",IF(Cotations!DA57="",0,Cotations!DA57))</f>
        <v/>
      </c>
      <c r="PK57" s="292" t="str">
        <f t="shared" si="293"/>
        <v/>
      </c>
      <c r="PL57" s="292" t="str">
        <f t="shared" si="294"/>
        <v/>
      </c>
      <c r="PM57" s="759" t="str">
        <f t="shared" si="357"/>
        <v/>
      </c>
      <c r="PN57" s="759" t="str">
        <f>IF(A57=FALSE,"",((PH57*(1+TAXE)-(PH57*(1+TAXE)*PJ57))+IF(#REF!="N/A",0,IF(INDEX(LISTES!$F$105:$F$109,MATCH(#REF!,LISTES!$C$105:$C$109,0))="FIX",#REF!,#REF!*PM57))))</f>
        <v/>
      </c>
    </row>
    <row r="58" spans="1:430">
      <c r="A58" s="779" t="b">
        <f t="shared" si="295"/>
        <v>0</v>
      </c>
      <c r="B58" s="779" t="b">
        <f>IF(NAMES!$B$9=TRUE,TRUE,FALSE)</f>
        <v>1</v>
      </c>
      <c r="C58" s="779" t="b">
        <f t="shared" si="212"/>
        <v>0</v>
      </c>
      <c r="D58" s="779" t="b">
        <f t="shared" si="213"/>
        <v>0</v>
      </c>
      <c r="E58" s="267" t="b">
        <f>IF(Cotations!C58="","",Cotations!C58)</f>
        <v>0</v>
      </c>
      <c r="F58" s="267" t="str">
        <f>IF(Cotations!AT58="","",Cotations!AT58)</f>
        <v>PROP</v>
      </c>
      <c r="G58" s="267" t="str">
        <f>IF(Cotations!D58="","",Cotations!D58)</f>
        <v>2017-2017!</v>
      </c>
      <c r="H58" s="267" t="str">
        <f>IF(Cotations!E58="","",Cotations!E58)</f>
        <v>SINGLE</v>
      </c>
      <c r="I58" s="267" t="str">
        <f>IF(Cotations!F58="","",Cotations!F58)</f>
        <v/>
      </c>
      <c r="J58" s="267" t="str">
        <f>IF(Cotations!G58="","",Cotations!G58)</f>
        <v/>
      </c>
      <c r="K58" s="267" t="str">
        <f>IF(Cotations!H58="","",Cotations!H58)</f>
        <v/>
      </c>
      <c r="L58" s="267" t="str">
        <f>IF(A58=FALSE,"",IF(Cotations!M58="","",Cotations!M58))</f>
        <v/>
      </c>
      <c r="M58" s="267" t="str">
        <f>IF(Cotations!O58="","",Cotations!O58)</f>
        <v/>
      </c>
      <c r="N58" s="588" t="str">
        <f>IF(NAMES!$B$10=TRUE,Cotations!I58,Cotations!K58)</f>
        <v/>
      </c>
      <c r="O58" s="588" t="str">
        <f>IF(NAMES!$B$10=TRUE,Cotations!J58,Cotations!L58)</f>
        <v/>
      </c>
      <c r="P58" s="780" t="str">
        <f t="shared" si="214"/>
        <v/>
      </c>
      <c r="Q58" s="588" t="str">
        <f>IF(A58=FALSE,"",IF(Crewlist!Y58="","",Crewlist!Y58))</f>
        <v/>
      </c>
      <c r="R58" s="78" t="str">
        <f>IF(Cotations!T58="","",Cotations!T58)</f>
        <v/>
      </c>
      <c r="S58" s="780" t="str">
        <f t="shared" si="215"/>
        <v/>
      </c>
      <c r="T58" s="759" t="str">
        <f>IF(A58=FALSE,"",VLOOKUP($U$15:$U$120,Currency!$A$2:$D$10,4,0)*Crewlist!N58)</f>
        <v/>
      </c>
      <c r="U58" s="1097" t="str">
        <f>IF(A58=FALSE,"",IF(DP58=0,Crewlist!M58&amp;"/"&amp;CP58,Crewlist!M58&amp;"/"&amp;DP58))</f>
        <v/>
      </c>
      <c r="V58" s="759" t="str">
        <f>IF(A58=FALSE,"",VLOOKUP($U$15:$U$120,Currency!$A$2:$D$10,4,0)*Detail!Q58)</f>
        <v/>
      </c>
      <c r="W58" s="1097" t="str">
        <f>IF(A58=FALSE,"",IF(DP58=0,Detail!R58&amp;"/"&amp;CP58,Detail!R58&amp;"/"&amp;DP58))</f>
        <v/>
      </c>
      <c r="X58" s="759" t="str">
        <f>IF(A58=FALSE,"",IF(LISTES!$C$17="Crewlist",Calcul!T58,Calcul!V58))</f>
        <v/>
      </c>
      <c r="Y58" s="618" t="str">
        <f t="shared" si="216"/>
        <v/>
      </c>
      <c r="Z58" s="618" t="str">
        <f>IF(A58=FALSE,"",IF(X58=0,0,IF((Cotations!BA58*12*X58)&lt;50000,50000,(12*X58))))</f>
        <v/>
      </c>
      <c r="AA58" s="618" t="str">
        <f t="shared" si="217"/>
        <v/>
      </c>
      <c r="AB58" s="618" t="str">
        <f>IF(A58=FALSE,"",IF(Crewlist!O58=0,"",Crewlist!O58))</f>
        <v/>
      </c>
      <c r="AC58" s="618" t="str">
        <f>IF(I58="","",VLOOKUP($AB$15:$AB$120,Currency!$A$15:$B$34,2,0))</f>
        <v/>
      </c>
      <c r="AD58" s="618" t="str">
        <f t="shared" si="218"/>
        <v/>
      </c>
      <c r="AE58" s="618" t="str">
        <f t="shared" si="219"/>
        <v/>
      </c>
      <c r="AF58" s="618" t="str">
        <f t="shared" si="220"/>
        <v/>
      </c>
      <c r="AG58" s="618" t="str">
        <f t="shared" si="221"/>
        <v/>
      </c>
      <c r="AH58" s="1097" t="str">
        <f t="shared" si="296"/>
        <v/>
      </c>
      <c r="AI58" s="759" t="str">
        <f t="shared" si="222"/>
        <v/>
      </c>
      <c r="AJ58" s="1120" t="str">
        <f t="shared" si="223"/>
        <v/>
      </c>
      <c r="AK58" s="1120" t="str">
        <f t="shared" si="224"/>
        <v/>
      </c>
      <c r="AL58" s="236" t="str">
        <f t="shared" si="225"/>
        <v/>
      </c>
      <c r="AM58" s="236" t="str">
        <f t="shared" si="226"/>
        <v/>
      </c>
      <c r="AN58" s="1112" t="str">
        <f t="shared" si="227"/>
        <v/>
      </c>
      <c r="AO58" s="236" t="str">
        <f t="shared" si="228"/>
        <v/>
      </c>
      <c r="AP58" s="327" t="str">
        <f>IF(A58=FALSE,"",INDEX(Rates!$Q$1:$Q$278,MATCH(CA58,colchoice,0)))</f>
        <v/>
      </c>
      <c r="AQ58" s="236" t="str">
        <f t="shared" si="229"/>
        <v/>
      </c>
      <c r="AR58" s="236" t="str">
        <f t="shared" si="230"/>
        <v/>
      </c>
      <c r="AS58" s="236" t="str">
        <f t="shared" si="297"/>
        <v/>
      </c>
      <c r="AT58" s="236" t="str">
        <f t="shared" si="298"/>
        <v/>
      </c>
      <c r="AU58" s="236" t="str">
        <f t="shared" si="231"/>
        <v/>
      </c>
      <c r="AV58" s="236" t="str">
        <f t="shared" si="232"/>
        <v/>
      </c>
      <c r="AW58" s="236" t="str">
        <f t="shared" si="233"/>
        <v/>
      </c>
      <c r="AX58" s="236" t="str">
        <f t="shared" si="234"/>
        <v/>
      </c>
      <c r="AY58" s="236" t="str">
        <f t="shared" si="235"/>
        <v/>
      </c>
      <c r="AZ58" s="236" t="str">
        <f t="shared" si="236"/>
        <v/>
      </c>
      <c r="BA58" s="236" t="str">
        <f t="shared" si="237"/>
        <v/>
      </c>
      <c r="BB58" s="467" t="str">
        <f t="shared" si="238"/>
        <v/>
      </c>
      <c r="BC58" s="329" t="str">
        <f t="shared" si="239"/>
        <v/>
      </c>
      <c r="BD58" s="237" t="str">
        <f t="shared" si="240"/>
        <v/>
      </c>
      <c r="BE58" s="237" t="str">
        <f>IF(A58=FALSE,"",IF(ED58&lt;&gt;$BC$7,0,INDEX(EA58:EZ58,1,MATCH(Structure!$J$16,$EA$14:$EZ$14,0))))</f>
        <v/>
      </c>
      <c r="BF58" s="237" t="str">
        <f>IF(A58=FALSE,"",IF(FD58&lt;&gt;$BC$7,0,INDEX(FA58:FZ58,1,MATCH(Structure!$J$16,$FA$14:$FZ$14,0))))</f>
        <v/>
      </c>
      <c r="BG58" s="237" t="str">
        <f>IF(A58=FALSE,"",IF(GD58&lt;&gt;$BC$7,0,INDEX(GA58:GZ58,1,MATCH(Structure!$J$16,$GA$14:$GZ$14,0))))</f>
        <v/>
      </c>
      <c r="BH58" s="237" t="str">
        <f>IF(A58=FALSE,"",IF(HD58&lt;&gt;$BC$7,0,INDEX(HA58:HZ58,1,MATCH(Structure!$J$16,$HA$14:$HZ$14,0))))</f>
        <v/>
      </c>
      <c r="BI58" s="621" t="str">
        <f>IF(A58=FALSE,"",IF(ID58&lt;&gt;$BC$7,0,INDEX(IA58:IZ58,1,MATCH(Structure!$C$12,$IA$14:$IZ$14,0)))+OL58)</f>
        <v/>
      </c>
      <c r="BJ58" s="237" t="str">
        <f>IF(A58=FALSE,"",IF(JD58&lt;&gt;$BC$7,0,INDEX(JA58:JZ58,1,MATCH(Structure!$C$12,$JA$14:$JZ$14,0))))</f>
        <v/>
      </c>
      <c r="BK58" s="621" t="str">
        <f>IF(A58=FALSE,"",IF(KD58&lt;&gt;$BC$7,0,INDEX(KA58:KZ58,1,MATCH(Structure!$C$12,$KA$14:$KZ$14,0)))+PL58)</f>
        <v/>
      </c>
      <c r="BL58" s="237" t="str">
        <f>IF(A58=FALSE,"",IF(LD58&lt;&gt;$BC$7,0,INDEX(LA58:LZ58,1,MATCH(Structure!$C$12,$LA$14:$LZ$14,0))))</f>
        <v/>
      </c>
      <c r="BM58" s="237" t="str">
        <f>IF(A58=FALSE,"",IF(MD58&lt;&gt;$BC$7,0,INDEX(MA58:MZ58,1,MATCH(Structure!$C$12,$MA$14:$MZ$14,0))))</f>
        <v/>
      </c>
      <c r="BN58" s="326" t="str">
        <f>IF(A58=FALSE,"",IF(ND58&lt;&gt;$BC$7,0,INDEX(NA58:OC58,1,MATCH(Structure!$C$12,$NA$14:$OC$14,0))))</f>
        <v/>
      </c>
      <c r="BO58" s="435" t="str">
        <f t="shared" si="241"/>
        <v/>
      </c>
      <c r="BP58" s="237" t="str">
        <f t="shared" si="242"/>
        <v/>
      </c>
      <c r="BQ58" s="237" t="str">
        <f>IF(A58=FALSE,"",IF(ED58&lt;&gt;$BO$7,0,INDEX(EA58:EZ58,1,MATCH(Structure!$C$12,$EA$14:$EZ$14,0))))</f>
        <v/>
      </c>
      <c r="BR58" s="237" t="str">
        <f>IF(A58=FALSE,"",IF(FD58&lt;&gt;$BO$7,0,INDEX(FA58:FZ58,1,MATCH(Structure!$C$12,$FA$14:$FZ$14,0))))</f>
        <v/>
      </c>
      <c r="BS58" s="237" t="str">
        <f>IF(A58=FALSE,"",IF(ID58&lt;&gt;$BO$7,0,INDEX(IA58:IZ58,1,MATCH(Structure!$C$13,$IA$14:$IZ$14,0))))</f>
        <v/>
      </c>
      <c r="BT58" s="237" t="str">
        <f>IF(A58=FALSE,"",IF(JD58&lt;&gt;$BO$7,0,INDEX(JA58:JZ58,1,MATCH(Structure!$C$13,$JA$14:$JZ$14,0))))</f>
        <v/>
      </c>
      <c r="BU58" s="237" t="str">
        <f>IF(A58=FALSE,"",IF(KD58&lt;&gt;$BO$7,0,INDEX(KA58:KZ58,1,MATCH(Structure!$C$13,$KA$14:$KZ$14,0))))</f>
        <v/>
      </c>
      <c r="BV58" s="237" t="str">
        <f>IF(A58=FALSE,"",IF(LD58&lt;&gt;$BO$7,0,INDEX(LA58:LZ58,1,MATCH(Structure!$C$13,$LA$14:$LZ$14,0))))</f>
        <v/>
      </c>
      <c r="BW58" s="237" t="str">
        <f>IF(A58=FALSE,"",IF(MD58&lt;&gt;$BO$7,0,INDEX(MA58:MZ58,1,MATCH(Structure!$C$13,$MA$14:$MZ$14,0))))</f>
        <v/>
      </c>
      <c r="BX58" s="326" t="str">
        <f>IF(A58=FALSE,"",IF(ND58&lt;&gt;$BO$7,0,INDEX(NA58:OC58,1,MATCH(Structure!$C$13,$NA$14:$OC$14,0))))</f>
        <v/>
      </c>
      <c r="BY58" s="412"/>
      <c r="BZ58" s="412"/>
      <c r="CA58" s="1255" t="str">
        <f>IF(A58=FALSE,"",IF(LISTES!$A$17=1,Cotations!AG58,Cotations!AH58))</f>
        <v/>
      </c>
      <c r="CB58" s="1266" t="str">
        <f t="shared" si="243"/>
        <v/>
      </c>
      <c r="CC58" s="1120" t="str">
        <f t="shared" si="244"/>
        <v/>
      </c>
      <c r="CD58" s="1120" t="str">
        <f t="shared" si="245"/>
        <v/>
      </c>
      <c r="CE58" s="1120" t="str">
        <f t="shared" si="246"/>
        <v/>
      </c>
      <c r="CF58" s="1120" t="str">
        <f t="shared" si="247"/>
        <v/>
      </c>
      <c r="CG58" s="1267"/>
      <c r="CH58" s="1267"/>
      <c r="CI58" s="1268" t="str">
        <f t="shared" si="248"/>
        <v/>
      </c>
      <c r="CJ58" s="286" t="str">
        <f t="shared" si="249"/>
        <v/>
      </c>
      <c r="CK58" s="286" t="str">
        <f t="shared" si="250"/>
        <v/>
      </c>
      <c r="CL58" s="1263"/>
      <c r="CM58" s="1263"/>
      <c r="CN58" s="1263"/>
      <c r="CO58" s="1263"/>
      <c r="CP58" s="319" t="str">
        <f t="shared" si="251"/>
        <v/>
      </c>
      <c r="CQ58" s="443" t="str">
        <f>IF(A58=FALSE,"",Cotations!AM58)</f>
        <v/>
      </c>
      <c r="CR58" s="443" t="str">
        <f>IF(A58=FALSE,"",IF(Cotations!AN58="","",Cotations!AN58))</f>
        <v/>
      </c>
      <c r="CS58" s="433" t="str">
        <f>IF(A58=FALSE,"",Cotations!AO58)</f>
        <v/>
      </c>
      <c r="CT58" s="443" t="str">
        <f>IF(A58=FALSE,"",IF(CQ58="N/A",0,IF(INDEX(LISTES!$F$105:$F$109,MATCH(CQ58,LISTES!$C$105:$C$109,0))="FIX",IF(INDEX(LISTES!$E$105:$E$109,MATCH(CQ58,LISTES!$C$105:$C$109,0))=12,CR58/12*L58,CR58/365*M58),CS58*EQ58)))</f>
        <v/>
      </c>
      <c r="CU58" s="434" t="str">
        <f>IF(A58=FALSE,"",(CJ58+CK58)*Cotations!AP58)</f>
        <v/>
      </c>
      <c r="CV58" s="434" t="str">
        <f>IF(A58=FALSE,"",(CJ58+CK58)*Cotations!AQ58)</f>
        <v/>
      </c>
      <c r="DA58" s="1253" t="str">
        <f>IF(A58=FALSE,"",IF(LISTES!$A$17=1,Cotations!AV58,Cotations!AW58))</f>
        <v/>
      </c>
      <c r="DB58" s="1271" t="str">
        <f t="shared" si="252"/>
        <v/>
      </c>
      <c r="DC58" s="1270" t="str">
        <f t="shared" si="253"/>
        <v/>
      </c>
      <c r="DD58" s="1270" t="str">
        <f t="shared" si="254"/>
        <v/>
      </c>
      <c r="DE58" s="1270" t="str">
        <f t="shared" si="255"/>
        <v/>
      </c>
      <c r="DF58" s="1270" t="str">
        <f t="shared" si="256"/>
        <v/>
      </c>
      <c r="DG58" s="1270" t="str">
        <f t="shared" si="257"/>
        <v/>
      </c>
      <c r="DH58" s="1270" t="str">
        <f t="shared" si="258"/>
        <v/>
      </c>
      <c r="DI58" s="1271" t="str">
        <f t="shared" si="259"/>
        <v/>
      </c>
      <c r="DJ58" s="286" t="str">
        <f t="shared" si="260"/>
        <v/>
      </c>
      <c r="DK58" s="286" t="str">
        <f t="shared" si="261"/>
        <v/>
      </c>
      <c r="DL58" s="1264" t="str">
        <f t="shared" si="262"/>
        <v/>
      </c>
      <c r="DM58" s="1264" t="str">
        <f t="shared" si="263"/>
        <v/>
      </c>
      <c r="DN58" s="1264" t="str">
        <f t="shared" si="264"/>
        <v/>
      </c>
      <c r="DO58" s="1264" t="str">
        <f t="shared" si="265"/>
        <v/>
      </c>
      <c r="DP58" s="323" t="str">
        <f t="shared" si="299"/>
        <v/>
      </c>
      <c r="DQ58" s="444" t="str">
        <f>IF(A58=FALSE,"",Cotations!BW58)</f>
        <v/>
      </c>
      <c r="DR58" s="444" t="str">
        <f>IF(A58=FALSE,"",Cotations!BX58)</f>
        <v/>
      </c>
      <c r="DS58" s="433" t="str">
        <f>IF(A58=FALSE,"",Cotations!BY58)</f>
        <v/>
      </c>
      <c r="DT58" s="830" t="str">
        <f>IF(A58=FALSE,"",IF(DQ58="N/A",0,IF(INDEX(LISTES!$F$105:$F$109,MATCH(DQ58,LISTES!$C$105:$C$109,0))="FIX",IF(INDEX(LISTES!$E$105:$E$109,MATCH(DQ58,LISTES!$C$105:$C$109,0))=12,DR58/12*L58,DR58/365*M58),DS58*(DN58+DO58))))</f>
        <v/>
      </c>
      <c r="DU58" s="434" t="str">
        <f>IF(A58=FALSE,"",DJ58*Cotations!BZ58)</f>
        <v/>
      </c>
      <c r="DV58" s="434" t="str">
        <f>IF(A58=FALSE,"",DJ58*Cotations!CA58)</f>
        <v/>
      </c>
      <c r="EA58" s="432" t="str">
        <f>IF(A58=FALSE,"",Cotations!AT58)</f>
        <v/>
      </c>
      <c r="EB58" s="1234" t="str">
        <f>IF(A58=FALSE,"",YEAR(Detail!F58)&amp;Detail!AG58&amp;Detail!AD58&amp;"-"&amp;Detail!$AD$13&amp;Detail!AE58)</f>
        <v/>
      </c>
      <c r="EC58" s="434" t="str">
        <f>IF(A58=FALSE,"",IF(LISTES!$A$17=1,EB58,INDEX(colMOD1,MATCH(Cotations!AH58,colchoice,0))))</f>
        <v/>
      </c>
      <c r="ED58" s="277" t="str">
        <f t="shared" si="300"/>
        <v/>
      </c>
      <c r="EE58" s="277" t="str">
        <f t="shared" si="301"/>
        <v/>
      </c>
      <c r="EF58" s="277"/>
      <c r="EG58" s="277"/>
      <c r="EH58" s="277" t="str">
        <f t="shared" si="302"/>
        <v/>
      </c>
      <c r="EI58" s="1104" t="str">
        <f t="shared" si="303"/>
        <v/>
      </c>
      <c r="EJ58" s="1104" t="str">
        <f t="shared" si="304"/>
        <v/>
      </c>
      <c r="EK58" s="443" t="str">
        <f>IF(A58=FALSE,"",IF(Cotations!AF58="monthly",EH58/12*L58,EH58/365*M58))</f>
        <v/>
      </c>
      <c r="EL58" s="1103" t="str">
        <f>IF(A58=FALSE,"",IF(Cotations!AF58="monthly",EJ58/12*L58,EJ58/365*M58))</f>
        <v/>
      </c>
      <c r="EM58" s="433" t="str">
        <f>IF(A58=FALSE,"",IF(Cotations!AI58="","",Cotations!AI58))</f>
        <v/>
      </c>
      <c r="EN58" s="277" t="str">
        <f t="shared" si="305"/>
        <v/>
      </c>
      <c r="EO58" s="277" t="str">
        <f t="shared" si="306"/>
        <v/>
      </c>
      <c r="EP58" s="1104" t="str">
        <f t="shared" si="307"/>
        <v/>
      </c>
      <c r="EQ58" s="277" t="str">
        <f t="shared" si="308"/>
        <v/>
      </c>
      <c r="ER58" s="759" t="str">
        <f>IF(A58=FALSE,"",((EH58*TAXE)-(EH58*TAXE*EM58)+EI58)+IF(CQ58="N/A",0,IF(INDEX(LISTES!$F$105:$F$109,MATCH(CQ58,LISTES!$C$105:$C$109,0))="FIX",CR58,CS58*EQ58)))</f>
        <v/>
      </c>
      <c r="ET58" s="422"/>
      <c r="EU58" s="422"/>
      <c r="EV58" s="422"/>
      <c r="EW58" s="422"/>
      <c r="EX58" s="422"/>
      <c r="EY58" s="422"/>
      <c r="EZ58" s="422"/>
      <c r="FA58" s="432" t="str">
        <f>IF(A58=FALSE,"",Cotations!AT58)</f>
        <v/>
      </c>
      <c r="FB58" s="1235" t="str">
        <f>IF(A58=FALSE,"",IF(Detail!AL58="","N/A",YEAR(Detail!F58)&amp;Detail!AO58&amp;Detail!AL58&amp;"-"&amp;Detail!$AL$13&amp;Detail!AM58))</f>
        <v/>
      </c>
      <c r="FC58" s="434" t="str">
        <f>IF(A58=FALSE,"",IF(LISTES!$A$17=1,FB58,INDEX(colMOD2,MATCH(Cotations!AH58,colchoice,0))))</f>
        <v/>
      </c>
      <c r="FD58" s="277" t="str">
        <f t="shared" si="309"/>
        <v/>
      </c>
      <c r="FE58" s="443" t="str">
        <f>IF(A58=FALSE,"",IF(Detail!AM58="","",Detail!AM58))</f>
        <v/>
      </c>
      <c r="FF58" s="277"/>
      <c r="FG58" s="277"/>
      <c r="FH58" s="277" t="str">
        <f t="shared" si="310"/>
        <v/>
      </c>
      <c r="FI58" s="1104"/>
      <c r="FJ58" s="1104"/>
      <c r="FK58" s="443" t="str">
        <f>IF(A58=FALSE,"",IF(Cotations!AF58="monthly",FH58/12*L58,FH58/365*M58))</f>
        <v/>
      </c>
      <c r="FL58" s="1103" t="str">
        <f>IF(A58=FALSE,"",IF(Cotations!AF58="monthly",FJ58/12*L58,FJ58/365*M58))</f>
        <v/>
      </c>
      <c r="FM58" s="433" t="str">
        <f>IF(A58=FALSE,"",IF(Cotations!AJ58="","",Cotations!AJ58))</f>
        <v/>
      </c>
      <c r="FN58" s="277" t="str">
        <f t="shared" si="268"/>
        <v/>
      </c>
      <c r="FO58" s="277" t="str">
        <f t="shared" si="269"/>
        <v/>
      </c>
      <c r="FP58" s="1104"/>
      <c r="FQ58" s="277" t="str">
        <f t="shared" si="270"/>
        <v/>
      </c>
      <c r="FR58" s="759" t="str">
        <f>IF(A58=FALSE,"",((FH58*TAXE)-(FH58*TAXE*FM58))+IF(#REF!="N/A",0,IF(INDEX(LISTES!$F$105:$F$109,MATCH(#REF!,LISTES!$C$105:$C$109,0))="FIX",#REF!,#REF!*FQ58)))</f>
        <v/>
      </c>
      <c r="FS58" s="422"/>
      <c r="FT58" s="422"/>
      <c r="FU58" s="422"/>
      <c r="FV58" s="422"/>
      <c r="FW58" s="422"/>
      <c r="FX58" s="422"/>
      <c r="FY58" s="422"/>
      <c r="FZ58" s="422"/>
      <c r="GA58" s="432" t="str">
        <f t="shared" si="311"/>
        <v/>
      </c>
      <c r="GB58" s="1234" t="str">
        <f>IF(A58=FALSE,"",IF(Detail!DF58="","N/A",YEAR(Detail!F58)&amp;Detail!DI58&amp;Detail!DF58&amp;"-"&amp;Detail!$DF$13))</f>
        <v/>
      </c>
      <c r="GC58" s="434" t="str">
        <f>IF(A58=FALSE,"",IF(LISTES!$A$17=1,GB58,INDEX(colMOD3,MATCH(Cotations!AH58,colchoice,0))))</f>
        <v/>
      </c>
      <c r="GD58" s="277" t="str">
        <f t="shared" si="312"/>
        <v/>
      </c>
      <c r="GE58" s="277" t="str">
        <f t="shared" si="313"/>
        <v/>
      </c>
      <c r="GF58" s="277"/>
      <c r="GG58" s="277"/>
      <c r="GH58" s="277" t="str">
        <f t="shared" si="271"/>
        <v/>
      </c>
      <c r="GI58" s="1104" t="str">
        <f t="shared" si="272"/>
        <v/>
      </c>
      <c r="GJ58" s="1104" t="str">
        <f t="shared" si="273"/>
        <v/>
      </c>
      <c r="GK58" s="443" t="str">
        <f>IF(A58=FALSE,"",IF(Cotations!AF58="monthly",GH58/12*L58,GH58/365*M58))</f>
        <v/>
      </c>
      <c r="GL58" s="1103" t="str">
        <f>IF(A58=FALSE,"",IF(Cotations!AF58="monthly",GJ58/12*L58,GJ58/365*M58))</f>
        <v/>
      </c>
      <c r="GM58" s="433" t="str">
        <f>IF(A58=FALSE,"",IF(Cotations!AK58="","",Cotations!AK58))</f>
        <v/>
      </c>
      <c r="GN58" s="277" t="str">
        <f t="shared" si="274"/>
        <v/>
      </c>
      <c r="GO58" s="277" t="str">
        <f t="shared" si="275"/>
        <v/>
      </c>
      <c r="GP58" s="1104" t="str">
        <f t="shared" si="276"/>
        <v/>
      </c>
      <c r="GQ58" s="277" t="str">
        <f t="shared" si="277"/>
        <v/>
      </c>
      <c r="GR58" s="759" t="str">
        <f>IF(A58=FALSE,"",((GH58*TAXE)-(GH58*TAXE*GM58)+GI58)+IF(CQ58="N/A",0,IF(INDEX(LISTES!$F$105:$F$109,MATCH(CQ58,LISTES!$C$105:$C$109,0))="FIX",CR58,CS58*GQ58)))</f>
        <v/>
      </c>
      <c r="GS58" s="412"/>
      <c r="GT58" s="412"/>
      <c r="GU58" s="412"/>
      <c r="GV58" s="412"/>
      <c r="GW58" s="412"/>
      <c r="GX58" s="412"/>
      <c r="GY58" s="412"/>
      <c r="GZ58" s="412"/>
      <c r="HA58" s="432" t="str">
        <f t="shared" si="314"/>
        <v/>
      </c>
      <c r="HB58" s="1234" t="str">
        <f>IF(A58=FALSE,"",IF(Detail!DF58="","N/A",YEAR(Detail!F58)&amp;Detail!DI58&amp;Detail!DF58&amp;"-"&amp;Detail!$DF$13))</f>
        <v/>
      </c>
      <c r="HC58" s="434" t="str">
        <f>IF(A58=FALSE,"",IF(LISTES!$A$17=1,HB58,INDEX(colMOD4,MATCH(Cotations!AH58,colchoice,0))))</f>
        <v/>
      </c>
      <c r="HD58" s="277" t="str">
        <f t="shared" si="278"/>
        <v/>
      </c>
      <c r="HE58" s="277" t="str">
        <f t="shared" si="279"/>
        <v/>
      </c>
      <c r="HF58" s="277"/>
      <c r="HG58" s="277"/>
      <c r="HH58" s="277" t="str">
        <f t="shared" si="280"/>
        <v/>
      </c>
      <c r="HI58" s="1104" t="str">
        <f t="shared" si="281"/>
        <v/>
      </c>
      <c r="HJ58" s="1104" t="str">
        <f t="shared" si="282"/>
        <v/>
      </c>
      <c r="HK58" s="443" t="str">
        <f>IF(A58=FALSE,"",IF(Cotations!AF58="monthly",HH58/12*L58,HH58/365*M58))</f>
        <v/>
      </c>
      <c r="HL58" s="1103" t="str">
        <f>IF(A58=FALSE,"",IF(Cotations!AF58="monthly",HJ58/12*L58,HJ58/365*M58))</f>
        <v/>
      </c>
      <c r="HM58" s="433" t="str">
        <f>IF(A58=FALSE,"",IF(Cotations!AL58="","",Cotations!AL58))</f>
        <v/>
      </c>
      <c r="HN58" s="277" t="str">
        <f t="shared" si="283"/>
        <v/>
      </c>
      <c r="HO58" s="277" t="str">
        <f t="shared" si="284"/>
        <v/>
      </c>
      <c r="HP58" s="1104" t="str">
        <f t="shared" si="285"/>
        <v/>
      </c>
      <c r="HQ58" s="277" t="str">
        <f t="shared" si="286"/>
        <v/>
      </c>
      <c r="HR58" s="759" t="str">
        <f>IF(A58=FALSE,"",((HH58*TAXE)-(HH58*TAXE*HM58)+HI58)+IF(CQ58="N/A",0,IF(INDEX(LISTES!$F$105:$F$109,MATCH(CQ58,LISTES!$C$105:$C$109,0))="FIX",CR58,CS58*HQ58)))</f>
        <v/>
      </c>
      <c r="HS58" s="412"/>
      <c r="HT58" s="412"/>
      <c r="HU58" s="412"/>
      <c r="HV58" s="412"/>
      <c r="HW58" s="412"/>
      <c r="HX58" s="412"/>
      <c r="HY58" s="412"/>
      <c r="HZ58" s="1262"/>
      <c r="IA58" s="432" t="str">
        <f>IF(A58=FALSE,"",Cotations!AT58)</f>
        <v/>
      </c>
      <c r="IB58" s="1253" t="str">
        <f>IF(A58=FALSE,"",IF(Detail!AT58="","N/A",YEAR(Detail!F58)&amp;Detail!AW58&amp;Detail!AT58&amp;"-"&amp;Detail!$AT$13&amp;Detail!AU58))</f>
        <v/>
      </c>
      <c r="IC58" s="431" t="str">
        <f>IF(A58=FALSE,"",IF(LISTES!$A$17=1,IB58,INDEX(colMOD1,MATCH(DA58,colchoice,0))))</f>
        <v/>
      </c>
      <c r="ID58" s="759" t="str">
        <f t="shared" si="358"/>
        <v/>
      </c>
      <c r="IE58" s="292" t="str">
        <f>IF(A58=FALSE,"",IF(LISTES!$A$17=1,Detail!AU58,INDEX(Rates!$M$1:$M$270,MATCH(IC58,colMOD1,0))))</f>
        <v/>
      </c>
      <c r="IF58" s="409" t="str">
        <f t="shared" si="359"/>
        <v/>
      </c>
      <c r="IG58" s="430" t="str">
        <f>IF(A58=FALSE,"",IF(IA58="POEA",Cotations!AY58,IF(IA58="FIXE",Cotations!AZ58,IF(Cotations!BA58*Y58&lt;50000,Z58,Cotations!BA58*Y58))))</f>
        <v/>
      </c>
      <c r="IH58" s="292" t="str">
        <f t="shared" si="360"/>
        <v/>
      </c>
      <c r="II58" s="446" t="str">
        <f>IF(A58=FALSE,"",IF(Cotations!AU58="monthly",IH58/12*L58,IH58/365*M58))</f>
        <v/>
      </c>
      <c r="IJ58" s="429" t="str">
        <f>IF(A58=FALSE,"",IF(Cotations!BB58="","",Cotations!BB58))</f>
        <v/>
      </c>
      <c r="IK58" s="292" t="str">
        <f t="shared" si="361"/>
        <v/>
      </c>
      <c r="IL58" s="292" t="str">
        <f t="shared" si="362"/>
        <v/>
      </c>
      <c r="IM58" s="759" t="str">
        <f t="shared" si="363"/>
        <v/>
      </c>
      <c r="IN58" s="759" t="str">
        <f>IF(A58=FALSE,"",((IH58*TAXE)-(IH58*TAXE*IJ58))+IF(DQ58="N/A",0,IF(INDEX(LISTES!$F$105:$F$109,MATCH(DQ58,LISTES!$C$105:$C$109,0))="FIX",DR58,DS58*IM58)))</f>
        <v/>
      </c>
      <c r="JA58" s="432" t="str">
        <f>IF(A58=FALSE,"",Cotations!AT58)</f>
        <v/>
      </c>
      <c r="JB58" s="1234" t="str">
        <f>IF(A58=FALSE,"",IF(Detail!BB58="","N/A",YEAR(Detail!F58)&amp;Detail!BE58&amp;Detail!BB58&amp;"-"&amp;Detail!$BB$13&amp;Detail!BC58))</f>
        <v/>
      </c>
      <c r="JC58" s="431" t="str">
        <f>IF(A58=FALSE,"",IF(LISTES!$A$17=1,JB58,INDEX(colMOD2,MATCH(DA58,colchoice,0))))</f>
        <v/>
      </c>
      <c r="JD58" s="759" t="str">
        <f t="shared" si="321"/>
        <v/>
      </c>
      <c r="JE58" s="292"/>
      <c r="JF58" s="409" t="str">
        <f t="shared" si="322"/>
        <v/>
      </c>
      <c r="JG58" s="430" t="str">
        <f>IF(A58=FALSE,"",IF(JA58="POEA",Cotations!BC58,IF(JA58="FIXE",Cotations!BD58,IF(Cotations!BE58*Y58&lt;50000,Z58,Cotations!BE58*Y58))))</f>
        <v/>
      </c>
      <c r="JH58" s="292" t="str">
        <f t="shared" si="323"/>
        <v/>
      </c>
      <c r="JI58" s="446" t="str">
        <f>IF(A58=FALSE,"",IF(Cotations!AU58="monthly",JH58/12*L58,JH58/365*M58))</f>
        <v/>
      </c>
      <c r="JJ58" s="429" t="str">
        <f>IF(A58=FALSE,"",IF(Cotations!BF58="","",Cotations!BF58))</f>
        <v/>
      </c>
      <c r="JK58" s="292" t="str">
        <f t="shared" si="324"/>
        <v/>
      </c>
      <c r="JL58" s="292" t="str">
        <f t="shared" si="325"/>
        <v/>
      </c>
      <c r="JM58" s="759" t="str">
        <f t="shared" si="326"/>
        <v/>
      </c>
      <c r="JN58" s="759" t="str">
        <f>IF(A58=FALSE,"",((JH58*TAXE)-(JH58*TAXE*JJ58))+IF(#REF!="N/A",0,IF(INDEX(LISTES!$F$105:$F$109,MATCH(#REF!,LISTES!$C$105:$C$109,0))="FIX",#REF!,#REF!*JM58)))</f>
        <v/>
      </c>
      <c r="KA58" s="432" t="str">
        <f>IF(A58=FALSE,"",Cotations!AT58)</f>
        <v/>
      </c>
      <c r="KB58" s="1234" t="str">
        <f>IF(A58=FALSE,"",IF(Detail!BJ58="","N/A",YEAR(Detail!F58)&amp;Detail!BM58&amp;Detail!BJ58&amp;"-"&amp;Detail!$BJ$13&amp;Detail!BK58))</f>
        <v/>
      </c>
      <c r="KC58" s="431" t="str">
        <f>IF(A58=FALSE,"",IF(LISTES!$A$17=1,KB58,INDEX(colMOD3,MATCH(DA58,colchoice,0))))</f>
        <v/>
      </c>
      <c r="KD58" s="759" t="str">
        <f t="shared" si="327"/>
        <v/>
      </c>
      <c r="KE58" s="292"/>
      <c r="KF58" s="409" t="str">
        <f t="shared" si="328"/>
        <v/>
      </c>
      <c r="KG58" s="430" t="str">
        <f>IF(A58=FALSE,"",IF(KA58="POEA",Cotations!BG58,IF(KA58="FIXE",Cotations!BH58,IF(Cotations!BI58*Y58&lt;50000,Z58,Cotations!BI58*Y58))))</f>
        <v/>
      </c>
      <c r="KH58" s="292" t="str">
        <f t="shared" si="329"/>
        <v/>
      </c>
      <c r="KI58" s="446" t="str">
        <f>IF(A58=FALSE,"",IF(Cotations!AU58="monthly",KH58/12*L58,KH58/365*M58))</f>
        <v/>
      </c>
      <c r="KJ58" s="429" t="str">
        <f>IF(A58=FALSE,"",IF(Cotations!BJ58="","",Cotations!BJ58))</f>
        <v/>
      </c>
      <c r="KK58" s="292" t="str">
        <f t="shared" si="330"/>
        <v/>
      </c>
      <c r="KL58" s="292" t="str">
        <f t="shared" si="331"/>
        <v/>
      </c>
      <c r="KM58" s="759" t="str">
        <f t="shared" si="332"/>
        <v/>
      </c>
      <c r="KN58" s="759" t="str">
        <f>IF(A58=FALSE,"",((KH58*TAXE)-(KH58*TAXE*KJ58))+IF(#REF!="N/A",0,IF(INDEX(LISTES!$F$105:$F$109,MATCH(#REF!,LISTES!$C$105:$C$109,0))="FIX",#REF!,#REF!*KM58)))</f>
        <v/>
      </c>
      <c r="LA58" s="432" t="str">
        <f>IF(A58=FALSE,"",Cotations!AT58)</f>
        <v/>
      </c>
      <c r="LB58" s="1234" t="str">
        <f>IF(A58=FALSE,"",IF(Detail!BR58="","N/A",YEAR(Detail!F58)&amp;Detail!BU58&amp;Detail!BR58&amp;"-"&amp;Detail!$BR$13&amp;Detail!BS58))</f>
        <v/>
      </c>
      <c r="LC58" s="431" t="str">
        <f>IF(A58=FALSE,"",IF(LISTES!$A$17=1,LB58,INDEX(colMOD4,MATCH(DA58,colchoice,0))))</f>
        <v/>
      </c>
      <c r="LD58" s="759" t="str">
        <f t="shared" si="333"/>
        <v/>
      </c>
      <c r="LE58" s="292"/>
      <c r="LF58" s="409" t="str">
        <f t="shared" si="334"/>
        <v/>
      </c>
      <c r="LG58" s="430" t="str">
        <f>IF(A58=FALSE,"",IF(LA58="POEA",Cotations!BK58,IF(LA58="FIXE",Cotations!BL58,IF(Cotations!BM58*Y58&lt;50000,Z58,Cotations!BM58*Y58))))</f>
        <v/>
      </c>
      <c r="LH58" s="292" t="str">
        <f t="shared" si="335"/>
        <v/>
      </c>
      <c r="LI58" s="446" t="str">
        <f>IF(A58=FALSE,"",IF(Cotations!AU58="monthly",LH58/12*L58,LH58/365*M58))</f>
        <v/>
      </c>
      <c r="LJ58" s="429" t="str">
        <f>IF(A58=FALSE,"",IF(Cotations!BN58="","",Cotations!BN58))</f>
        <v/>
      </c>
      <c r="LK58" s="292" t="str">
        <f t="shared" si="336"/>
        <v/>
      </c>
      <c r="LL58" s="292" t="str">
        <f t="shared" si="337"/>
        <v/>
      </c>
      <c r="LM58" s="759" t="str">
        <f t="shared" si="338"/>
        <v/>
      </c>
      <c r="LN58" s="759" t="str">
        <f>IF(A58=FALSE,"",((LH58*TAXE)-(LH58*TAXE*LJ58))+IF(#REF!="N/A",0,IF(INDEX(LISTES!$F$105:$F$109,MATCH(#REF!,LISTES!$C$105:$C$109,0))="FIX",#REF!,#REF!*LM58)))</f>
        <v/>
      </c>
      <c r="MA58" s="432" t="str">
        <f t="shared" si="339"/>
        <v/>
      </c>
      <c r="MB58" s="1234" t="str">
        <f>IF(A58=FALSE,"",IF(Detail!BZ58="","N/A",YEAR(Detail!F58)&amp;Detail!CC58&amp;Detail!BZ58&amp;"-"&amp;Detail!$BZ$13&amp;" (100%/"&amp;Detail!CD58&amp;"/"&amp;Detail!CE58&amp;")"))</f>
        <v/>
      </c>
      <c r="MC58" s="431" t="str">
        <f>IF(A58=FALSE,"",IF(LISTES!$A$17=1,MB58,INDEX(colMOD5,MATCH(DA58,colchoice,0))))</f>
        <v/>
      </c>
      <c r="MD58" s="759" t="str">
        <f t="shared" si="340"/>
        <v/>
      </c>
      <c r="ME58" s="292"/>
      <c r="MF58" s="409" t="str">
        <f t="shared" si="341"/>
        <v/>
      </c>
      <c r="MG58" s="430" t="str">
        <f>IF(A58=FALSE,"",Cotations!BQ58*AA58)</f>
        <v/>
      </c>
      <c r="MH58" s="292" t="str">
        <f t="shared" si="342"/>
        <v/>
      </c>
      <c r="MI58" s="446" t="str">
        <f>IF(A58=FALSE,"",IF(Cotations!AU58="monthly",MH58/12*L58,MH58/365*M58))</f>
        <v/>
      </c>
      <c r="MJ58" s="429" t="str">
        <f>IF(A58=FALSE,"",IF(Cotations!BR58="","",Cotations!BR58))</f>
        <v/>
      </c>
      <c r="MK58" s="292" t="str">
        <f t="shared" si="343"/>
        <v/>
      </c>
      <c r="ML58" s="292" t="str">
        <f t="shared" si="344"/>
        <v/>
      </c>
      <c r="MM58" s="759" t="str">
        <f t="shared" si="345"/>
        <v/>
      </c>
      <c r="MN58" s="759" t="str">
        <f>IF(A58=FALSE,"",((MH58*TAXE)-(MH58*TAXE*MJ58))+IF(#REF!="N/A",0,IF(INDEX(LISTES!$F$105:$F$109,MATCH(#REF!,LISTES!$C$105:$C$109,0))="FIX",#REF!,#REF!*MM58)))</f>
        <v/>
      </c>
      <c r="NA58" s="432" t="str">
        <f t="shared" si="346"/>
        <v/>
      </c>
      <c r="NB58" s="1234" t="str">
        <f>IF(A58=FALSE,"",IF(Detail!CH58="","N/A",YEAR(Detail!F58)&amp;Detail!CK58&amp;Detail!CH58&amp;"-"&amp;Detail!$CH$13&amp;" (100%/"&amp;Detail!CL58&amp;"/"&amp;Detail!CM58&amp;")"))</f>
        <v/>
      </c>
      <c r="NC58" s="431" t="str">
        <f>IF(A58=FALSE,"",IF(LISTES!$A$17=1,NB58,INDEX(colMOD6,MATCH(DA58,colchoice,0))))</f>
        <v/>
      </c>
      <c r="ND58" s="759" t="str">
        <f t="shared" si="347"/>
        <v/>
      </c>
      <c r="NE58" s="292"/>
      <c r="NF58" s="409" t="str">
        <f t="shared" si="348"/>
        <v/>
      </c>
      <c r="NG58" s="430" t="str">
        <f>IF(A58=FALSE,"",Cotations!BU58*AA58)</f>
        <v/>
      </c>
      <c r="NH58" s="292" t="str">
        <f t="shared" si="349"/>
        <v/>
      </c>
      <c r="NI58" s="446" t="str">
        <f>IF(A58=FALSE,"",IF(Cotations!AU58="monthly",NH58/12*L58,NH58/365*M58))</f>
        <v/>
      </c>
      <c r="NJ58" s="429" t="str">
        <f>IF(A58=FALSE,"",IF(Cotations!BV58="","",Cotations!BV58))</f>
        <v/>
      </c>
      <c r="NK58" s="292" t="str">
        <f t="shared" si="350"/>
        <v/>
      </c>
      <c r="NL58" s="292" t="str">
        <f t="shared" si="351"/>
        <v/>
      </c>
      <c r="NM58" s="759" t="str">
        <f t="shared" si="352"/>
        <v/>
      </c>
      <c r="NN58" s="759" t="str">
        <f>IF(A58=FALSE,"",((NH58*TAXE)-(NH58*TAXE*NJ58))+IF(#REF!="N/A",0,IF(INDEX(LISTES!$F$105:$F$109,MATCH(#REF!,LISTES!$C$105:$C$109,0))="FIX",#REF!,#REF!*NM58)))</f>
        <v/>
      </c>
      <c r="NZ58" s="1281" t="str">
        <f>IF(A58=FALSE,"",IF(Detail!CP58="","N/A",YEAR(Detail!F58)&amp;Detail!CS58&amp;Detail!CP58&amp;"-"&amp;Detail!CQ58))</f>
        <v/>
      </c>
      <c r="OA58" s="432" t="str">
        <f>IF(A58=FALSE,"",Cotations!CF58)</f>
        <v/>
      </c>
      <c r="OB58" s="1282" t="str">
        <f>IF(A58=FALSE,"",IF(Detail!CP58="","N/A",YEAR(Detail!F58)&amp;Detail!CS58&amp;Detail!CP58&amp;"-"&amp;Detail!$CP$13&amp;Detail!CQ58))</f>
        <v/>
      </c>
      <c r="OC58" s="1283" t="str">
        <f>IF(A58=FALSE,"",IF(LISTES!$A$17=1,OB58,INDEX(colMOD1,MATCH(Cotations!CE58,colchoice,0))))</f>
        <v/>
      </c>
      <c r="OD58" s="759" t="str">
        <f t="shared" si="353"/>
        <v/>
      </c>
      <c r="OE58" s="292" t="str">
        <f>IF(A58=FALSE,"",Detail!CQ58)</f>
        <v/>
      </c>
      <c r="OF58" s="409" t="str">
        <f t="shared" si="354"/>
        <v/>
      </c>
      <c r="OG58" s="430" t="str">
        <f>IF(A58=FALSE,"",IF(OA58="FIXE",Cotations!CM58,Cotations!CN58*AA58))</f>
        <v/>
      </c>
      <c r="OH58" s="292" t="str">
        <f t="shared" si="288"/>
        <v/>
      </c>
      <c r="OI58" s="446" t="str">
        <f>IF(A58=FALSE,"",IF(Cotations!CF58="monthly",OH58/12*L58,OH58/365*M58))</f>
        <v/>
      </c>
      <c r="OJ58" s="429" t="str">
        <f>IF(A58=FALSE,"",IF(Cotations!CO58="","",Cotations!CO58))</f>
        <v/>
      </c>
      <c r="OK58" s="292" t="str">
        <f t="shared" si="289"/>
        <v/>
      </c>
      <c r="OL58" s="292" t="str">
        <f t="shared" si="290"/>
        <v/>
      </c>
      <c r="OM58" s="759" t="str">
        <f t="shared" si="355"/>
        <v/>
      </c>
      <c r="ON58" s="759" t="str">
        <f>IF(A58=FALSE,"",((OH58*(1+TAXE)-(OH58*(1+TAXE)*OJ58))+IF(#REF!="N/A",0,IF(INDEX(LISTES!$F$105:$F$109,MATCH(#REF!,LISTES!$C$105:$C$109,0))="FIX",#REF!,#REF!*OM58))))</f>
        <v/>
      </c>
      <c r="PA58" s="432" t="str">
        <f>IF(A58=FALSE,"",Cotations!CF58)</f>
        <v/>
      </c>
      <c r="PB58" s="1282" t="str">
        <f>IF(A58=FALSE,"",IF(Detail!CX58="","N/A",YEAR(Detail!F58)&amp;Detail!DA58&amp;Detail!CX58&amp;"-"&amp;Detail!$CX$13&amp;Detail!CY58))</f>
        <v/>
      </c>
      <c r="PC58" s="1283" t="str">
        <f>IF(A58=FALSE,"",IF(LISTES!$A$17=1,PB58,INDEX(colMOD3,MATCH(Cotations!CE58,colchoice,0))))</f>
        <v/>
      </c>
      <c r="PD58" s="759" t="str">
        <f t="shared" si="356"/>
        <v/>
      </c>
      <c r="PE58" s="292" t="str">
        <f>IF(A58=FALSE,"",IF(Detail!CY58="","",Detail!CY58))</f>
        <v/>
      </c>
      <c r="PF58" s="409" t="str">
        <f t="shared" si="291"/>
        <v/>
      </c>
      <c r="PG58" s="430" t="str">
        <f>IF(A58=FALSE,"",IF(PA58="FIXE",Cotations!CP58,Cotations!CQ58*AA58))</f>
        <v/>
      </c>
      <c r="PH58" s="292" t="str">
        <f t="shared" si="292"/>
        <v/>
      </c>
      <c r="PI58" s="446" t="str">
        <f>IF(A58=FALSE,"",IF(Cotations!CG58="monthly",PH58/12*L58,PH58/365*M58))</f>
        <v/>
      </c>
      <c r="PJ58" s="429" t="str">
        <f>IF(A58=FALSE,"",IF(Cotations!DA58="",0,Cotations!DA58))</f>
        <v/>
      </c>
      <c r="PK58" s="292" t="str">
        <f t="shared" si="293"/>
        <v/>
      </c>
      <c r="PL58" s="292" t="str">
        <f t="shared" si="294"/>
        <v/>
      </c>
      <c r="PM58" s="759" t="str">
        <f t="shared" si="357"/>
        <v/>
      </c>
      <c r="PN58" s="759" t="str">
        <f>IF(A58=FALSE,"",((PH58*(1+TAXE)-(PH58*(1+TAXE)*PJ58))+IF(#REF!="N/A",0,IF(INDEX(LISTES!$F$105:$F$109,MATCH(#REF!,LISTES!$C$105:$C$109,0))="FIX",#REF!,#REF!*PM58))))</f>
        <v/>
      </c>
    </row>
    <row r="59" spans="1:430">
      <c r="A59" s="779" t="b">
        <f t="shared" si="295"/>
        <v>0</v>
      </c>
      <c r="B59" s="779" t="b">
        <f>IF(NAMES!$B$9=TRUE,TRUE,FALSE)</f>
        <v>1</v>
      </c>
      <c r="C59" s="779" t="b">
        <f t="shared" si="212"/>
        <v>0</v>
      </c>
      <c r="D59" s="779" t="b">
        <f t="shared" si="213"/>
        <v>0</v>
      </c>
      <c r="E59" s="267" t="b">
        <f>IF(Cotations!C59="","",Cotations!C59)</f>
        <v>0</v>
      </c>
      <c r="F59" s="267" t="str">
        <f>IF(Cotations!AT59="","",Cotations!AT59)</f>
        <v>PROP</v>
      </c>
      <c r="G59" s="267" t="str">
        <f>IF(Cotations!D59="","",Cotations!D59)</f>
        <v>2016-2017!</v>
      </c>
      <c r="H59" s="267" t="str">
        <f>IF(Cotations!E59="","",Cotations!E59)</f>
        <v>SINGLE</v>
      </c>
      <c r="I59" s="267" t="str">
        <f>IF(Cotations!F59="","",Cotations!F59)</f>
        <v/>
      </c>
      <c r="J59" s="267" t="str">
        <f>IF(Cotations!G59="","",Cotations!G59)</f>
        <v/>
      </c>
      <c r="K59" s="267" t="str">
        <f>IF(Cotations!H59="","",Cotations!H59)</f>
        <v/>
      </c>
      <c r="L59" s="267" t="str">
        <f>IF(A59=FALSE,"",IF(Cotations!M59="","",Cotations!M59))</f>
        <v/>
      </c>
      <c r="M59" s="267" t="str">
        <f>IF(Cotations!O59="","",Cotations!O59)</f>
        <v/>
      </c>
      <c r="N59" s="588" t="str">
        <f>IF(NAMES!$B$10=TRUE,Cotations!I59,Cotations!K59)</f>
        <v/>
      </c>
      <c r="O59" s="588" t="str">
        <f>IF(NAMES!$B$10=TRUE,Cotations!J59,Cotations!L59)</f>
        <v/>
      </c>
      <c r="P59" s="780" t="str">
        <f t="shared" si="214"/>
        <v/>
      </c>
      <c r="Q59" s="588" t="str">
        <f>IF(A59=FALSE,"",IF(Crewlist!Y59="","",Crewlist!Y59))</f>
        <v/>
      </c>
      <c r="R59" s="78" t="str">
        <f>IF(Cotations!T59="","",Cotations!T59)</f>
        <v/>
      </c>
      <c r="S59" s="780" t="str">
        <f t="shared" si="215"/>
        <v/>
      </c>
      <c r="T59" s="759" t="str">
        <f>IF(A59=FALSE,"",VLOOKUP($U$15:$U$120,Currency!$A$2:$D$10,4,0)*Crewlist!N59)</f>
        <v/>
      </c>
      <c r="U59" s="1097" t="str">
        <f>IF(A59=FALSE,"",IF(DP59=0,Crewlist!M59&amp;"/"&amp;CP59,Crewlist!M59&amp;"/"&amp;DP59))</f>
        <v/>
      </c>
      <c r="V59" s="759" t="str">
        <f>IF(A59=FALSE,"",VLOOKUP($U$15:$U$120,Currency!$A$2:$D$10,4,0)*Detail!Q59)</f>
        <v/>
      </c>
      <c r="W59" s="1097" t="str">
        <f>IF(A59=FALSE,"",IF(DP59=0,Detail!R59&amp;"/"&amp;CP59,Detail!R59&amp;"/"&amp;DP59))</f>
        <v/>
      </c>
      <c r="X59" s="759" t="str">
        <f>IF(A59=FALSE,"",IF(LISTES!$C$17="Crewlist",Calcul!T59,Calcul!V59))</f>
        <v/>
      </c>
      <c r="Y59" s="618" t="str">
        <f t="shared" si="216"/>
        <v/>
      </c>
      <c r="Z59" s="618" t="str">
        <f>IF(A59=FALSE,"",IF(X59=0,0,IF((Cotations!BA59*12*X59)&lt;50000,50000,(12*X59))))</f>
        <v/>
      </c>
      <c r="AA59" s="618" t="str">
        <f t="shared" si="217"/>
        <v/>
      </c>
      <c r="AB59" s="618" t="str">
        <f>IF(A59=FALSE,"",IF(Crewlist!O59=0,"",Crewlist!O59))</f>
        <v/>
      </c>
      <c r="AC59" s="618" t="str">
        <f>IF(I59="","",VLOOKUP($AB$15:$AB$120,Currency!$A$15:$B$34,2,0))</f>
        <v/>
      </c>
      <c r="AD59" s="618" t="str">
        <f t="shared" si="218"/>
        <v/>
      </c>
      <c r="AE59" s="618" t="str">
        <f t="shared" si="219"/>
        <v/>
      </c>
      <c r="AF59" s="618" t="str">
        <f t="shared" si="220"/>
        <v/>
      </c>
      <c r="AG59" s="618" t="str">
        <f t="shared" si="221"/>
        <v/>
      </c>
      <c r="AH59" s="1097" t="str">
        <f t="shared" si="296"/>
        <v/>
      </c>
      <c r="AI59" s="759" t="str">
        <f t="shared" si="222"/>
        <v/>
      </c>
      <c r="AJ59" s="1120" t="str">
        <f t="shared" si="223"/>
        <v/>
      </c>
      <c r="AK59" s="1120" t="str">
        <f t="shared" si="224"/>
        <v/>
      </c>
      <c r="AL59" s="236" t="str">
        <f t="shared" si="225"/>
        <v/>
      </c>
      <c r="AM59" s="236" t="str">
        <f t="shared" si="226"/>
        <v/>
      </c>
      <c r="AN59" s="1112" t="str">
        <f t="shared" si="227"/>
        <v/>
      </c>
      <c r="AO59" s="236" t="str">
        <f t="shared" si="228"/>
        <v/>
      </c>
      <c r="AP59" s="327" t="str">
        <f>IF(A59=FALSE,"",INDEX(Rates!$Q$1:$Q$278,MATCH(CA59,colchoice,0)))</f>
        <v/>
      </c>
      <c r="AQ59" s="236" t="str">
        <f t="shared" si="229"/>
        <v/>
      </c>
      <c r="AR59" s="236" t="str">
        <f t="shared" si="230"/>
        <v/>
      </c>
      <c r="AS59" s="236" t="str">
        <f t="shared" si="297"/>
        <v/>
      </c>
      <c r="AT59" s="236" t="str">
        <f t="shared" si="298"/>
        <v/>
      </c>
      <c r="AU59" s="236" t="str">
        <f t="shared" si="231"/>
        <v/>
      </c>
      <c r="AV59" s="236" t="str">
        <f t="shared" si="232"/>
        <v/>
      </c>
      <c r="AW59" s="236" t="str">
        <f t="shared" si="233"/>
        <v/>
      </c>
      <c r="AX59" s="236" t="str">
        <f t="shared" si="234"/>
        <v/>
      </c>
      <c r="AY59" s="236" t="str">
        <f t="shared" si="235"/>
        <v/>
      </c>
      <c r="AZ59" s="236" t="str">
        <f t="shared" si="236"/>
        <v/>
      </c>
      <c r="BA59" s="236" t="str">
        <f t="shared" si="237"/>
        <v/>
      </c>
      <c r="BB59" s="467" t="str">
        <f t="shared" si="238"/>
        <v/>
      </c>
      <c r="BC59" s="329" t="str">
        <f t="shared" si="239"/>
        <v/>
      </c>
      <c r="BD59" s="237" t="str">
        <f t="shared" si="240"/>
        <v/>
      </c>
      <c r="BE59" s="237" t="str">
        <f>IF(A59=FALSE,"",IF(ED59&lt;&gt;$BC$7,0,INDEX(EA59:EZ59,1,MATCH(Structure!$J$16,$EA$14:$EZ$14,0))))</f>
        <v/>
      </c>
      <c r="BF59" s="237" t="str">
        <f>IF(A59=FALSE,"",IF(FD59&lt;&gt;$BC$7,0,INDEX(FA59:FZ59,1,MATCH(Structure!$J$16,$FA$14:$FZ$14,0))))</f>
        <v/>
      </c>
      <c r="BG59" s="237" t="str">
        <f>IF(A59=FALSE,"",IF(GD59&lt;&gt;$BC$7,0,INDEX(GA59:GZ59,1,MATCH(Structure!$J$16,$GA$14:$GZ$14,0))))</f>
        <v/>
      </c>
      <c r="BH59" s="237" t="str">
        <f>IF(A59=FALSE,"",IF(HD59&lt;&gt;$BC$7,0,INDEX(HA59:HZ59,1,MATCH(Structure!$J$16,$HA$14:$HZ$14,0))))</f>
        <v/>
      </c>
      <c r="BI59" s="621" t="str">
        <f>IF(A59=FALSE,"",IF(ID59&lt;&gt;$BC$7,0,INDEX(IA59:IZ59,1,MATCH(Structure!$C$12,$IA$14:$IZ$14,0)))+OL59)</f>
        <v/>
      </c>
      <c r="BJ59" s="237" t="str">
        <f>IF(A59=FALSE,"",IF(JD59&lt;&gt;$BC$7,0,INDEX(JA59:JZ59,1,MATCH(Structure!$C$12,$JA$14:$JZ$14,0))))</f>
        <v/>
      </c>
      <c r="BK59" s="621" t="str">
        <f>IF(A59=FALSE,"",IF(KD59&lt;&gt;$BC$7,0,INDEX(KA59:KZ59,1,MATCH(Structure!$C$12,$KA$14:$KZ$14,0)))+PL59)</f>
        <v/>
      </c>
      <c r="BL59" s="237" t="str">
        <f>IF(A59=FALSE,"",IF(LD59&lt;&gt;$BC$7,0,INDEX(LA59:LZ59,1,MATCH(Structure!$C$12,$LA$14:$LZ$14,0))))</f>
        <v/>
      </c>
      <c r="BM59" s="237" t="str">
        <f>IF(A59=FALSE,"",IF(MD59&lt;&gt;$BC$7,0,INDEX(MA59:MZ59,1,MATCH(Structure!$C$12,$MA$14:$MZ$14,0))))</f>
        <v/>
      </c>
      <c r="BN59" s="326" t="str">
        <f>IF(A59=FALSE,"",IF(ND59&lt;&gt;$BC$7,0,INDEX(NA59:OC59,1,MATCH(Structure!$C$12,$NA$14:$OC$14,0))))</f>
        <v/>
      </c>
      <c r="BO59" s="435" t="str">
        <f t="shared" si="241"/>
        <v/>
      </c>
      <c r="BP59" s="237" t="str">
        <f t="shared" si="242"/>
        <v/>
      </c>
      <c r="BQ59" s="237" t="str">
        <f>IF(A59=FALSE,"",IF(ED59&lt;&gt;$BO$7,0,INDEX(EA59:EZ59,1,MATCH(Structure!$C$12,$EA$14:$EZ$14,0))))</f>
        <v/>
      </c>
      <c r="BR59" s="237" t="str">
        <f>IF(A59=FALSE,"",IF(FD59&lt;&gt;$BO$7,0,INDEX(FA59:FZ59,1,MATCH(Structure!$C$12,$FA$14:$FZ$14,0))))</f>
        <v/>
      </c>
      <c r="BS59" s="237" t="str">
        <f>IF(A59=FALSE,"",IF(ID59&lt;&gt;$BO$7,0,INDEX(IA59:IZ59,1,MATCH(Structure!$C$13,$IA$14:$IZ$14,0))))</f>
        <v/>
      </c>
      <c r="BT59" s="237" t="str">
        <f>IF(A59=FALSE,"",IF(JD59&lt;&gt;$BO$7,0,INDEX(JA59:JZ59,1,MATCH(Structure!$C$13,$JA$14:$JZ$14,0))))</f>
        <v/>
      </c>
      <c r="BU59" s="237" t="str">
        <f>IF(A59=FALSE,"",IF(KD59&lt;&gt;$BO$7,0,INDEX(KA59:KZ59,1,MATCH(Structure!$C$13,$KA$14:$KZ$14,0))))</f>
        <v/>
      </c>
      <c r="BV59" s="237" t="str">
        <f>IF(A59=FALSE,"",IF(LD59&lt;&gt;$BO$7,0,INDEX(LA59:LZ59,1,MATCH(Structure!$C$13,$LA$14:$LZ$14,0))))</f>
        <v/>
      </c>
      <c r="BW59" s="237" t="str">
        <f>IF(A59=FALSE,"",IF(MD59&lt;&gt;$BO$7,0,INDEX(MA59:MZ59,1,MATCH(Structure!$C$13,$MA$14:$MZ$14,0))))</f>
        <v/>
      </c>
      <c r="BX59" s="326" t="str">
        <f>IF(A59=FALSE,"",IF(ND59&lt;&gt;$BO$7,0,INDEX(NA59:OC59,1,MATCH(Structure!$C$13,$NA$14:$OC$14,0))))</f>
        <v/>
      </c>
      <c r="BY59" s="412"/>
      <c r="BZ59" s="412"/>
      <c r="CA59" s="1255" t="str">
        <f>IF(A59=FALSE,"",IF(LISTES!$A$17=1,Cotations!AG59,Cotations!AH59))</f>
        <v/>
      </c>
      <c r="CB59" s="1266" t="str">
        <f t="shared" si="243"/>
        <v/>
      </c>
      <c r="CC59" s="1120" t="str">
        <f t="shared" si="244"/>
        <v/>
      </c>
      <c r="CD59" s="1120" t="str">
        <f t="shared" si="245"/>
        <v/>
      </c>
      <c r="CE59" s="1120" t="str">
        <f t="shared" si="246"/>
        <v/>
      </c>
      <c r="CF59" s="1120" t="str">
        <f t="shared" si="247"/>
        <v/>
      </c>
      <c r="CG59" s="1267"/>
      <c r="CH59" s="1267"/>
      <c r="CI59" s="1268" t="str">
        <f t="shared" si="248"/>
        <v/>
      </c>
      <c r="CJ59" s="286" t="str">
        <f t="shared" si="249"/>
        <v/>
      </c>
      <c r="CK59" s="286" t="str">
        <f t="shared" si="250"/>
        <v/>
      </c>
      <c r="CL59" s="1263"/>
      <c r="CM59" s="1263"/>
      <c r="CN59" s="1263"/>
      <c r="CO59" s="1263"/>
      <c r="CP59" s="319" t="str">
        <f t="shared" si="251"/>
        <v/>
      </c>
      <c r="CQ59" s="443" t="str">
        <f>IF(A59=FALSE,"",Cotations!AM59)</f>
        <v/>
      </c>
      <c r="CR59" s="443" t="str">
        <f>IF(A59=FALSE,"",IF(Cotations!AN59="","",Cotations!AN59))</f>
        <v/>
      </c>
      <c r="CS59" s="433" t="str">
        <f>IF(A59=FALSE,"",Cotations!AO59)</f>
        <v/>
      </c>
      <c r="CT59" s="443" t="str">
        <f>IF(A59=FALSE,"",IF(CQ59="N/A",0,IF(INDEX(LISTES!$F$105:$F$109,MATCH(CQ59,LISTES!$C$105:$C$109,0))="FIX",IF(INDEX(LISTES!$E$105:$E$109,MATCH(CQ59,LISTES!$C$105:$C$109,0))=12,CR59/12*L59,CR59/365*M59),CS59*EQ59)))</f>
        <v/>
      </c>
      <c r="CU59" s="434" t="str">
        <f>IF(A59=FALSE,"",(CJ59+CK59)*Cotations!AP59)</f>
        <v/>
      </c>
      <c r="CV59" s="434" t="str">
        <f>IF(A59=FALSE,"",(CJ59+CK59)*Cotations!AQ59)</f>
        <v/>
      </c>
      <c r="DA59" s="1253" t="str">
        <f>IF(A59=FALSE,"",IF(LISTES!$A$17=1,Cotations!AV59,Cotations!AW59))</f>
        <v/>
      </c>
      <c r="DB59" s="1271" t="str">
        <f t="shared" si="252"/>
        <v/>
      </c>
      <c r="DC59" s="1270" t="str">
        <f t="shared" si="253"/>
        <v/>
      </c>
      <c r="DD59" s="1270" t="str">
        <f t="shared" si="254"/>
        <v/>
      </c>
      <c r="DE59" s="1270" t="str">
        <f t="shared" si="255"/>
        <v/>
      </c>
      <c r="DF59" s="1270" t="str">
        <f t="shared" si="256"/>
        <v/>
      </c>
      <c r="DG59" s="1270" t="str">
        <f t="shared" si="257"/>
        <v/>
      </c>
      <c r="DH59" s="1270" t="str">
        <f t="shared" si="258"/>
        <v/>
      </c>
      <c r="DI59" s="1271" t="str">
        <f t="shared" si="259"/>
        <v/>
      </c>
      <c r="DJ59" s="286" t="str">
        <f t="shared" si="260"/>
        <v/>
      </c>
      <c r="DK59" s="286" t="str">
        <f t="shared" si="261"/>
        <v/>
      </c>
      <c r="DL59" s="1264" t="str">
        <f t="shared" si="262"/>
        <v/>
      </c>
      <c r="DM59" s="1264" t="str">
        <f t="shared" si="263"/>
        <v/>
      </c>
      <c r="DN59" s="1264" t="str">
        <f t="shared" si="264"/>
        <v/>
      </c>
      <c r="DO59" s="1264" t="str">
        <f t="shared" si="265"/>
        <v/>
      </c>
      <c r="DP59" s="323" t="str">
        <f t="shared" si="299"/>
        <v/>
      </c>
      <c r="DQ59" s="444" t="str">
        <f>IF(A59=FALSE,"",Cotations!BW59)</f>
        <v/>
      </c>
      <c r="DR59" s="444" t="str">
        <f>IF(A59=FALSE,"",Cotations!BX59)</f>
        <v/>
      </c>
      <c r="DS59" s="433" t="str">
        <f>IF(A59=FALSE,"",Cotations!BY59)</f>
        <v/>
      </c>
      <c r="DT59" s="830" t="str">
        <f>IF(A59=FALSE,"",IF(DQ59="N/A",0,IF(INDEX(LISTES!$F$105:$F$109,MATCH(DQ59,LISTES!$C$105:$C$109,0))="FIX",IF(INDEX(LISTES!$E$105:$E$109,MATCH(DQ59,LISTES!$C$105:$C$109,0))=12,DR59/12*L59,DR59/365*M59),DS59*(DN59+DO59))))</f>
        <v/>
      </c>
      <c r="DU59" s="434" t="str">
        <f>IF(A59=FALSE,"",DJ59*Cotations!BZ59)</f>
        <v/>
      </c>
      <c r="DV59" s="434" t="str">
        <f>IF(A59=FALSE,"",DJ59*Cotations!CA59)</f>
        <v/>
      </c>
      <c r="EA59" s="432" t="str">
        <f>IF(A59=FALSE,"",Cotations!AT59)</f>
        <v/>
      </c>
      <c r="EB59" s="1234" t="str">
        <f>IF(A59=FALSE,"",YEAR(Detail!F59)&amp;Detail!AG59&amp;Detail!AD59&amp;"-"&amp;Detail!$AD$13&amp;Detail!AE59)</f>
        <v/>
      </c>
      <c r="EC59" s="434" t="str">
        <f>IF(A59=FALSE,"",IF(LISTES!$A$17=1,EB59,INDEX(colMOD1,MATCH(Cotations!AH59,colchoice,0))))</f>
        <v/>
      </c>
      <c r="ED59" s="277" t="str">
        <f t="shared" si="300"/>
        <v/>
      </c>
      <c r="EE59" s="277" t="str">
        <f t="shared" si="301"/>
        <v/>
      </c>
      <c r="EF59" s="277"/>
      <c r="EG59" s="277"/>
      <c r="EH59" s="277" t="str">
        <f t="shared" si="302"/>
        <v/>
      </c>
      <c r="EI59" s="1104" t="str">
        <f t="shared" si="303"/>
        <v/>
      </c>
      <c r="EJ59" s="1104" t="str">
        <f t="shared" si="304"/>
        <v/>
      </c>
      <c r="EK59" s="443" t="str">
        <f>IF(A59=FALSE,"",IF(Cotations!AF59="monthly",EH59/12*L59,EH59/365*M59))</f>
        <v/>
      </c>
      <c r="EL59" s="1103" t="str">
        <f>IF(A59=FALSE,"",IF(Cotations!AF59="monthly",EJ59/12*L59,EJ59/365*M59))</f>
        <v/>
      </c>
      <c r="EM59" s="433" t="str">
        <f>IF(A59=FALSE,"",IF(Cotations!AI59="","",Cotations!AI59))</f>
        <v/>
      </c>
      <c r="EN59" s="277" t="str">
        <f t="shared" si="305"/>
        <v/>
      </c>
      <c r="EO59" s="277" t="str">
        <f t="shared" si="306"/>
        <v/>
      </c>
      <c r="EP59" s="1104" t="str">
        <f t="shared" si="307"/>
        <v/>
      </c>
      <c r="EQ59" s="277" t="str">
        <f t="shared" si="308"/>
        <v/>
      </c>
      <c r="ER59" s="759" t="str">
        <f>IF(A59=FALSE,"",((EH59*TAXE)-(EH59*TAXE*EM59)+EI59)+IF(CQ59="N/A",0,IF(INDEX(LISTES!$F$105:$F$109,MATCH(CQ59,LISTES!$C$105:$C$109,0))="FIX",CR59,CS59*EQ59)))</f>
        <v/>
      </c>
      <c r="ET59" s="422"/>
      <c r="EU59" s="422"/>
      <c r="EV59" s="422"/>
      <c r="EW59" s="422"/>
      <c r="EX59" s="422"/>
      <c r="EY59" s="422"/>
      <c r="EZ59" s="422"/>
      <c r="FA59" s="432" t="str">
        <f>IF(A59=FALSE,"",Cotations!AT59)</f>
        <v/>
      </c>
      <c r="FB59" s="1235" t="str">
        <f>IF(A59=FALSE,"",IF(Detail!AL59="","N/A",YEAR(Detail!F59)&amp;Detail!AO59&amp;Detail!AL59&amp;"-"&amp;Detail!$AL$13&amp;Detail!AM59))</f>
        <v/>
      </c>
      <c r="FC59" s="434" t="str">
        <f>IF(A59=FALSE,"",IF(LISTES!$A$17=1,FB59,INDEX(colMOD2,MATCH(Cotations!AH59,colchoice,0))))</f>
        <v/>
      </c>
      <c r="FD59" s="277" t="str">
        <f t="shared" si="309"/>
        <v/>
      </c>
      <c r="FE59" s="443" t="str">
        <f>IF(A59=FALSE,"",IF(Detail!AM59="","",Detail!AM59))</f>
        <v/>
      </c>
      <c r="FF59" s="277"/>
      <c r="FG59" s="277"/>
      <c r="FH59" s="277" t="str">
        <f t="shared" si="310"/>
        <v/>
      </c>
      <c r="FI59" s="1104"/>
      <c r="FJ59" s="1104"/>
      <c r="FK59" s="443" t="str">
        <f>IF(A59=FALSE,"",IF(Cotations!AF59="monthly",FH59/12*L59,FH59/365*M59))</f>
        <v/>
      </c>
      <c r="FL59" s="1103" t="str">
        <f>IF(A59=FALSE,"",IF(Cotations!AF59="monthly",FJ59/12*L59,FJ59/365*M59))</f>
        <v/>
      </c>
      <c r="FM59" s="433" t="str">
        <f>IF(A59=FALSE,"",IF(Cotations!AJ59="","",Cotations!AJ59))</f>
        <v/>
      </c>
      <c r="FN59" s="277" t="str">
        <f t="shared" si="268"/>
        <v/>
      </c>
      <c r="FO59" s="277" t="str">
        <f t="shared" si="269"/>
        <v/>
      </c>
      <c r="FP59" s="1104"/>
      <c r="FQ59" s="277" t="str">
        <f t="shared" si="270"/>
        <v/>
      </c>
      <c r="FR59" s="759" t="str">
        <f>IF(A59=FALSE,"",((FH59*TAXE)-(FH59*TAXE*FM59))+IF(#REF!="N/A",0,IF(INDEX(LISTES!$F$105:$F$109,MATCH(#REF!,LISTES!$C$105:$C$109,0))="FIX",#REF!,#REF!*FQ59)))</f>
        <v/>
      </c>
      <c r="FS59" s="422"/>
      <c r="FT59" s="422"/>
      <c r="FU59" s="422"/>
      <c r="FV59" s="422"/>
      <c r="FW59" s="422"/>
      <c r="FX59" s="422"/>
      <c r="FY59" s="422"/>
      <c r="FZ59" s="422"/>
      <c r="GA59" s="432" t="str">
        <f t="shared" si="311"/>
        <v/>
      </c>
      <c r="GB59" s="1234" t="str">
        <f>IF(A59=FALSE,"",IF(Detail!DF59="","N/A",YEAR(Detail!F59)&amp;Detail!DI59&amp;Detail!DF59&amp;"-"&amp;Detail!$DF$13))</f>
        <v/>
      </c>
      <c r="GC59" s="434" t="str">
        <f>IF(A59=FALSE,"",IF(LISTES!$A$17=1,GB59,INDEX(colMOD3,MATCH(Cotations!AH59,colchoice,0))))</f>
        <v/>
      </c>
      <c r="GD59" s="277" t="str">
        <f t="shared" si="312"/>
        <v/>
      </c>
      <c r="GE59" s="277" t="str">
        <f t="shared" si="313"/>
        <v/>
      </c>
      <c r="GF59" s="277"/>
      <c r="GG59" s="277"/>
      <c r="GH59" s="277" t="str">
        <f t="shared" si="271"/>
        <v/>
      </c>
      <c r="GI59" s="1104" t="str">
        <f t="shared" si="272"/>
        <v/>
      </c>
      <c r="GJ59" s="1104" t="str">
        <f t="shared" si="273"/>
        <v/>
      </c>
      <c r="GK59" s="443" t="str">
        <f>IF(A59=FALSE,"",IF(Cotations!AF59="monthly",GH59/12*L59,GH59/365*M59))</f>
        <v/>
      </c>
      <c r="GL59" s="1103" t="str">
        <f>IF(A59=FALSE,"",IF(Cotations!AF59="monthly",GJ59/12*L59,GJ59/365*M59))</f>
        <v/>
      </c>
      <c r="GM59" s="433" t="str">
        <f>IF(A59=FALSE,"",IF(Cotations!AK59="","",Cotations!AK59))</f>
        <v/>
      </c>
      <c r="GN59" s="277" t="str">
        <f t="shared" si="274"/>
        <v/>
      </c>
      <c r="GO59" s="277" t="str">
        <f t="shared" si="275"/>
        <v/>
      </c>
      <c r="GP59" s="1104" t="str">
        <f t="shared" si="276"/>
        <v/>
      </c>
      <c r="GQ59" s="277" t="str">
        <f t="shared" si="277"/>
        <v/>
      </c>
      <c r="GR59" s="759" t="str">
        <f>IF(A59=FALSE,"",((GH59*TAXE)-(GH59*TAXE*GM59)+GI59)+IF(CQ59="N/A",0,IF(INDEX(LISTES!$F$105:$F$109,MATCH(CQ59,LISTES!$C$105:$C$109,0))="FIX",CR59,CS59*GQ59)))</f>
        <v/>
      </c>
      <c r="GS59" s="412"/>
      <c r="GT59" s="412"/>
      <c r="GU59" s="412"/>
      <c r="GV59" s="412"/>
      <c r="GW59" s="412"/>
      <c r="GX59" s="412"/>
      <c r="GY59" s="412"/>
      <c r="GZ59" s="412"/>
      <c r="HA59" s="432" t="str">
        <f t="shared" si="314"/>
        <v/>
      </c>
      <c r="HB59" s="1234" t="str">
        <f>IF(A59=FALSE,"",IF(Detail!DF59="","N/A",YEAR(Detail!F59)&amp;Detail!DI59&amp;Detail!DF59&amp;"-"&amp;Detail!$DF$13))</f>
        <v/>
      </c>
      <c r="HC59" s="434" t="str">
        <f>IF(A59=FALSE,"",IF(LISTES!$A$17=1,HB59,INDEX(colMOD4,MATCH(Cotations!AH59,colchoice,0))))</f>
        <v/>
      </c>
      <c r="HD59" s="277" t="str">
        <f t="shared" si="278"/>
        <v/>
      </c>
      <c r="HE59" s="277" t="str">
        <f t="shared" si="279"/>
        <v/>
      </c>
      <c r="HF59" s="277"/>
      <c r="HG59" s="277"/>
      <c r="HH59" s="277" t="str">
        <f t="shared" si="280"/>
        <v/>
      </c>
      <c r="HI59" s="1104" t="str">
        <f t="shared" si="281"/>
        <v/>
      </c>
      <c r="HJ59" s="1104" t="str">
        <f t="shared" si="282"/>
        <v/>
      </c>
      <c r="HK59" s="443" t="str">
        <f>IF(A59=FALSE,"",IF(Cotations!AF59="monthly",HH59/12*L59,HH59/365*M59))</f>
        <v/>
      </c>
      <c r="HL59" s="1103" t="str">
        <f>IF(A59=FALSE,"",IF(Cotations!AF59="monthly",HJ59/12*L59,HJ59/365*M59))</f>
        <v/>
      </c>
      <c r="HM59" s="433" t="str">
        <f>IF(A59=FALSE,"",IF(Cotations!AL59="","",Cotations!AL59))</f>
        <v/>
      </c>
      <c r="HN59" s="277" t="str">
        <f t="shared" si="283"/>
        <v/>
      </c>
      <c r="HO59" s="277" t="str">
        <f t="shared" si="284"/>
        <v/>
      </c>
      <c r="HP59" s="1104" t="str">
        <f t="shared" si="285"/>
        <v/>
      </c>
      <c r="HQ59" s="277" t="str">
        <f t="shared" si="286"/>
        <v/>
      </c>
      <c r="HR59" s="759" t="str">
        <f>IF(A59=FALSE,"",((HH59*TAXE)-(HH59*TAXE*HM59)+HI59)+IF(CQ59="N/A",0,IF(INDEX(LISTES!$F$105:$F$109,MATCH(CQ59,LISTES!$C$105:$C$109,0))="FIX",CR59,CS59*HQ59)))</f>
        <v/>
      </c>
      <c r="HS59" s="412"/>
      <c r="HT59" s="412"/>
      <c r="HU59" s="412"/>
      <c r="HV59" s="412"/>
      <c r="HW59" s="412"/>
      <c r="HX59" s="412"/>
      <c r="HY59" s="412"/>
      <c r="HZ59" s="1262"/>
      <c r="IA59" s="432" t="str">
        <f>IF(A59=FALSE,"",Cotations!AT59)</f>
        <v/>
      </c>
      <c r="IB59" s="1253" t="str">
        <f>IF(A59=FALSE,"",IF(Detail!AT59="","N/A",YEAR(Detail!F59)&amp;Detail!AW59&amp;Detail!AT59&amp;"-"&amp;Detail!$AT$13&amp;Detail!AU59))</f>
        <v/>
      </c>
      <c r="IC59" s="431" t="str">
        <f>IF(A59=FALSE,"",IF(LISTES!$A$17=1,IB59,INDEX(colMOD1,MATCH(DA59,colchoice,0))))</f>
        <v/>
      </c>
      <c r="ID59" s="759" t="str">
        <f t="shared" si="358"/>
        <v/>
      </c>
      <c r="IE59" s="292" t="str">
        <f>IF(A59=FALSE,"",IF(LISTES!$A$17=1,Detail!AU59,INDEX(Rates!$M$1:$M$270,MATCH(IC59,colMOD1,0))))</f>
        <v/>
      </c>
      <c r="IF59" s="409" t="str">
        <f t="shared" si="359"/>
        <v/>
      </c>
      <c r="IG59" s="430" t="str">
        <f>IF(A59=FALSE,"",IF(IA59="POEA",Cotations!AY59,IF(IA59="FIXE",Cotations!AZ59,IF(Cotations!BA59*Y59&lt;50000,Z59,Cotations!BA59*Y59))))</f>
        <v/>
      </c>
      <c r="IH59" s="292" t="str">
        <f t="shared" si="360"/>
        <v/>
      </c>
      <c r="II59" s="446" t="str">
        <f>IF(A59=FALSE,"",IF(Cotations!AU59="monthly",IH59/12*L59,IH59/365*M59))</f>
        <v/>
      </c>
      <c r="IJ59" s="429" t="str">
        <f>IF(A59=FALSE,"",IF(Cotations!BB59="","",Cotations!BB59))</f>
        <v/>
      </c>
      <c r="IK59" s="292" t="str">
        <f t="shared" si="361"/>
        <v/>
      </c>
      <c r="IL59" s="292" t="str">
        <f t="shared" si="362"/>
        <v/>
      </c>
      <c r="IM59" s="759" t="str">
        <f t="shared" si="363"/>
        <v/>
      </c>
      <c r="IN59" s="759" t="str">
        <f>IF(A59=FALSE,"",((IH59*TAXE)-(IH59*TAXE*IJ59))+IF(DQ59="N/A",0,IF(INDEX(LISTES!$F$105:$F$109,MATCH(DQ59,LISTES!$C$105:$C$109,0))="FIX",DR59,DS59*IM59)))</f>
        <v/>
      </c>
      <c r="JA59" s="432" t="str">
        <f>IF(A59=FALSE,"",Cotations!AT59)</f>
        <v/>
      </c>
      <c r="JB59" s="1234" t="str">
        <f>IF(A59=FALSE,"",IF(Detail!BB59="","N/A",YEAR(Detail!F59)&amp;Detail!BE59&amp;Detail!BB59&amp;"-"&amp;Detail!$BB$13&amp;Detail!BC59))</f>
        <v/>
      </c>
      <c r="JC59" s="431" t="str">
        <f>IF(A59=FALSE,"",IF(LISTES!$A$17=1,JB59,INDEX(colMOD2,MATCH(DA59,colchoice,0))))</f>
        <v/>
      </c>
      <c r="JD59" s="759" t="str">
        <f t="shared" si="321"/>
        <v/>
      </c>
      <c r="JE59" s="292"/>
      <c r="JF59" s="409" t="str">
        <f t="shared" si="322"/>
        <v/>
      </c>
      <c r="JG59" s="430" t="str">
        <f>IF(A59=FALSE,"",IF(JA59="POEA",Cotations!BC59,IF(JA59="FIXE",Cotations!BD59,IF(Cotations!BE59*Y59&lt;50000,Z59,Cotations!BE59*Y59))))</f>
        <v/>
      </c>
      <c r="JH59" s="292" t="str">
        <f t="shared" si="323"/>
        <v/>
      </c>
      <c r="JI59" s="446" t="str">
        <f>IF(A59=FALSE,"",IF(Cotations!AU59="monthly",JH59/12*L59,JH59/365*M59))</f>
        <v/>
      </c>
      <c r="JJ59" s="429" t="str">
        <f>IF(A59=FALSE,"",IF(Cotations!BF59="","",Cotations!BF59))</f>
        <v/>
      </c>
      <c r="JK59" s="292" t="str">
        <f t="shared" si="324"/>
        <v/>
      </c>
      <c r="JL59" s="292" t="str">
        <f t="shared" si="325"/>
        <v/>
      </c>
      <c r="JM59" s="759" t="str">
        <f t="shared" si="326"/>
        <v/>
      </c>
      <c r="JN59" s="759" t="str">
        <f>IF(A59=FALSE,"",((JH59*TAXE)-(JH59*TAXE*JJ59))+IF(#REF!="N/A",0,IF(INDEX(LISTES!$F$105:$F$109,MATCH(#REF!,LISTES!$C$105:$C$109,0))="FIX",#REF!,#REF!*JM59)))</f>
        <v/>
      </c>
      <c r="KA59" s="432" t="str">
        <f>IF(A59=FALSE,"",Cotations!AT59)</f>
        <v/>
      </c>
      <c r="KB59" s="1234" t="str">
        <f>IF(A59=FALSE,"",IF(Detail!BJ59="","N/A",YEAR(Detail!F59)&amp;Detail!BM59&amp;Detail!BJ59&amp;"-"&amp;Detail!$BJ$13&amp;Detail!BK59))</f>
        <v/>
      </c>
      <c r="KC59" s="431" t="str">
        <f>IF(A59=FALSE,"",IF(LISTES!$A$17=1,KB59,INDEX(colMOD3,MATCH(DA59,colchoice,0))))</f>
        <v/>
      </c>
      <c r="KD59" s="759" t="str">
        <f t="shared" si="327"/>
        <v/>
      </c>
      <c r="KE59" s="292"/>
      <c r="KF59" s="409" t="str">
        <f t="shared" si="328"/>
        <v/>
      </c>
      <c r="KG59" s="430" t="str">
        <f>IF(A59=FALSE,"",IF(KA59="POEA",Cotations!BG59,IF(KA59="FIXE",Cotations!BH59,IF(Cotations!BI59*Y59&lt;50000,Z59,Cotations!BI59*Y59))))</f>
        <v/>
      </c>
      <c r="KH59" s="292" t="str">
        <f t="shared" si="329"/>
        <v/>
      </c>
      <c r="KI59" s="446" t="str">
        <f>IF(A59=FALSE,"",IF(Cotations!AU59="monthly",KH59/12*L59,KH59/365*M59))</f>
        <v/>
      </c>
      <c r="KJ59" s="429" t="str">
        <f>IF(A59=FALSE,"",IF(Cotations!BJ59="","",Cotations!BJ59))</f>
        <v/>
      </c>
      <c r="KK59" s="292" t="str">
        <f t="shared" si="330"/>
        <v/>
      </c>
      <c r="KL59" s="292" t="str">
        <f t="shared" si="331"/>
        <v/>
      </c>
      <c r="KM59" s="759" t="str">
        <f t="shared" si="332"/>
        <v/>
      </c>
      <c r="KN59" s="759" t="str">
        <f>IF(A59=FALSE,"",((KH59*TAXE)-(KH59*TAXE*KJ59))+IF(#REF!="N/A",0,IF(INDEX(LISTES!$F$105:$F$109,MATCH(#REF!,LISTES!$C$105:$C$109,0))="FIX",#REF!,#REF!*KM59)))</f>
        <v/>
      </c>
      <c r="LA59" s="432" t="str">
        <f>IF(A59=FALSE,"",Cotations!AT59)</f>
        <v/>
      </c>
      <c r="LB59" s="1234" t="str">
        <f>IF(A59=FALSE,"",IF(Detail!BR59="","N/A",YEAR(Detail!F59)&amp;Detail!BU59&amp;Detail!BR59&amp;"-"&amp;Detail!$BR$13&amp;Detail!BS59))</f>
        <v/>
      </c>
      <c r="LC59" s="431" t="str">
        <f>IF(A59=FALSE,"",IF(LISTES!$A$17=1,LB59,INDEX(colMOD4,MATCH(DA59,colchoice,0))))</f>
        <v/>
      </c>
      <c r="LD59" s="759" t="str">
        <f t="shared" si="333"/>
        <v/>
      </c>
      <c r="LE59" s="292"/>
      <c r="LF59" s="409" t="str">
        <f t="shared" si="334"/>
        <v/>
      </c>
      <c r="LG59" s="430" t="str">
        <f>IF(A59=FALSE,"",IF(LA59="POEA",Cotations!BK59,IF(LA59="FIXE",Cotations!BL59,IF(Cotations!BM59*Y59&lt;50000,Z59,Cotations!BM59*Y59))))</f>
        <v/>
      </c>
      <c r="LH59" s="292" t="str">
        <f t="shared" si="335"/>
        <v/>
      </c>
      <c r="LI59" s="446" t="str">
        <f>IF(A59=FALSE,"",IF(Cotations!AU59="monthly",LH59/12*L59,LH59/365*M59))</f>
        <v/>
      </c>
      <c r="LJ59" s="429" t="str">
        <f>IF(A59=FALSE,"",IF(Cotations!BN59="","",Cotations!BN59))</f>
        <v/>
      </c>
      <c r="LK59" s="292" t="str">
        <f t="shared" si="336"/>
        <v/>
      </c>
      <c r="LL59" s="292" t="str">
        <f t="shared" si="337"/>
        <v/>
      </c>
      <c r="LM59" s="759" t="str">
        <f t="shared" si="338"/>
        <v/>
      </c>
      <c r="LN59" s="759" t="str">
        <f>IF(A59=FALSE,"",((LH59*TAXE)-(LH59*TAXE*LJ59))+IF(#REF!="N/A",0,IF(INDEX(LISTES!$F$105:$F$109,MATCH(#REF!,LISTES!$C$105:$C$109,0))="FIX",#REF!,#REF!*LM59)))</f>
        <v/>
      </c>
      <c r="MA59" s="432" t="str">
        <f t="shared" si="339"/>
        <v/>
      </c>
      <c r="MB59" s="1234" t="str">
        <f>IF(A59=FALSE,"",IF(Detail!BZ59="","N/A",YEAR(Detail!F59)&amp;Detail!CC59&amp;Detail!BZ59&amp;"-"&amp;Detail!$BZ$13&amp;" (100%/"&amp;Detail!CD59&amp;"/"&amp;Detail!CE59&amp;")"))</f>
        <v/>
      </c>
      <c r="MC59" s="431" t="str">
        <f>IF(A59=FALSE,"",IF(LISTES!$A$17=1,MB59,INDEX(colMOD5,MATCH(DA59,colchoice,0))))</f>
        <v/>
      </c>
      <c r="MD59" s="759" t="str">
        <f t="shared" si="340"/>
        <v/>
      </c>
      <c r="ME59" s="292"/>
      <c r="MF59" s="409" t="str">
        <f t="shared" si="341"/>
        <v/>
      </c>
      <c r="MG59" s="430" t="str">
        <f>IF(A59=FALSE,"",Cotations!BQ59*AA59)</f>
        <v/>
      </c>
      <c r="MH59" s="292" t="str">
        <f t="shared" si="342"/>
        <v/>
      </c>
      <c r="MI59" s="446" t="str">
        <f>IF(A59=FALSE,"",IF(Cotations!AU59="monthly",MH59/12*L59,MH59/365*M59))</f>
        <v/>
      </c>
      <c r="MJ59" s="429" t="str">
        <f>IF(A59=FALSE,"",IF(Cotations!BR59="","",Cotations!BR59))</f>
        <v/>
      </c>
      <c r="MK59" s="292" t="str">
        <f t="shared" si="343"/>
        <v/>
      </c>
      <c r="ML59" s="292" t="str">
        <f t="shared" si="344"/>
        <v/>
      </c>
      <c r="MM59" s="759" t="str">
        <f t="shared" si="345"/>
        <v/>
      </c>
      <c r="MN59" s="759" t="str">
        <f>IF(A59=FALSE,"",((MH59*TAXE)-(MH59*TAXE*MJ59))+IF(#REF!="N/A",0,IF(INDEX(LISTES!$F$105:$F$109,MATCH(#REF!,LISTES!$C$105:$C$109,0))="FIX",#REF!,#REF!*MM59)))</f>
        <v/>
      </c>
      <c r="NA59" s="432" t="str">
        <f t="shared" si="346"/>
        <v/>
      </c>
      <c r="NB59" s="1234" t="str">
        <f>IF(A59=FALSE,"",IF(Detail!CH59="","N/A",YEAR(Detail!F59)&amp;Detail!CK59&amp;Detail!CH59&amp;"-"&amp;Detail!$CH$13&amp;" (100%/"&amp;Detail!CL59&amp;"/"&amp;Detail!CM59&amp;")"))</f>
        <v/>
      </c>
      <c r="NC59" s="431" t="str">
        <f>IF(A59=FALSE,"",IF(LISTES!$A$17=1,NB59,INDEX(colMOD6,MATCH(DA59,colchoice,0))))</f>
        <v/>
      </c>
      <c r="ND59" s="759" t="str">
        <f t="shared" si="347"/>
        <v/>
      </c>
      <c r="NE59" s="292"/>
      <c r="NF59" s="409" t="str">
        <f t="shared" si="348"/>
        <v/>
      </c>
      <c r="NG59" s="430" t="str">
        <f>IF(A59=FALSE,"",Cotations!BU59*AA59)</f>
        <v/>
      </c>
      <c r="NH59" s="292" t="str">
        <f t="shared" si="349"/>
        <v/>
      </c>
      <c r="NI59" s="446" t="str">
        <f>IF(A59=FALSE,"",IF(Cotations!AU59="monthly",NH59/12*L59,NH59/365*M59))</f>
        <v/>
      </c>
      <c r="NJ59" s="429" t="str">
        <f>IF(A59=FALSE,"",IF(Cotations!BV59="","",Cotations!BV59))</f>
        <v/>
      </c>
      <c r="NK59" s="292" t="str">
        <f t="shared" si="350"/>
        <v/>
      </c>
      <c r="NL59" s="292" t="str">
        <f t="shared" si="351"/>
        <v/>
      </c>
      <c r="NM59" s="759" t="str">
        <f t="shared" si="352"/>
        <v/>
      </c>
      <c r="NN59" s="759" t="str">
        <f>IF(A59=FALSE,"",((NH59*TAXE)-(NH59*TAXE*NJ59))+IF(#REF!="N/A",0,IF(INDEX(LISTES!$F$105:$F$109,MATCH(#REF!,LISTES!$C$105:$C$109,0))="FIX",#REF!,#REF!*NM59)))</f>
        <v/>
      </c>
      <c r="NZ59" s="1281" t="str">
        <f>IF(A59=FALSE,"",IF(Detail!CP59="","N/A",YEAR(Detail!F59)&amp;Detail!CS59&amp;Detail!CP59&amp;"-"&amp;Detail!CQ59))</f>
        <v/>
      </c>
      <c r="OA59" s="432" t="str">
        <f>IF(A59=FALSE,"",Cotations!CF59)</f>
        <v/>
      </c>
      <c r="OB59" s="1282" t="str">
        <f>IF(A59=FALSE,"",IF(Detail!CP59="","N/A",YEAR(Detail!F59)&amp;Detail!CS59&amp;Detail!CP59&amp;"-"&amp;Detail!$CP$13&amp;Detail!CQ59))</f>
        <v/>
      </c>
      <c r="OC59" s="1283" t="str">
        <f>IF(A59=FALSE,"",IF(LISTES!$A$17=1,OB59,INDEX(colMOD1,MATCH(Cotations!CE59,colchoice,0))))</f>
        <v/>
      </c>
      <c r="OD59" s="759" t="str">
        <f t="shared" si="353"/>
        <v/>
      </c>
      <c r="OE59" s="292" t="str">
        <f>IF(A59=FALSE,"",Detail!CQ59)</f>
        <v/>
      </c>
      <c r="OF59" s="409" t="str">
        <f t="shared" si="354"/>
        <v/>
      </c>
      <c r="OG59" s="430" t="str">
        <f>IF(A59=FALSE,"",IF(OA59="FIXE",Cotations!CM59,Cotations!CN59*AA59))</f>
        <v/>
      </c>
      <c r="OH59" s="292" t="str">
        <f t="shared" si="288"/>
        <v/>
      </c>
      <c r="OI59" s="446" t="str">
        <f>IF(A59=FALSE,"",IF(Cotations!CF59="monthly",OH59/12*L59,OH59/365*M59))</f>
        <v/>
      </c>
      <c r="OJ59" s="429" t="str">
        <f>IF(A59=FALSE,"",IF(Cotations!CO59="","",Cotations!CO59))</f>
        <v/>
      </c>
      <c r="OK59" s="292" t="str">
        <f t="shared" si="289"/>
        <v/>
      </c>
      <c r="OL59" s="292" t="str">
        <f t="shared" si="290"/>
        <v/>
      </c>
      <c r="OM59" s="759" t="str">
        <f t="shared" si="355"/>
        <v/>
      </c>
      <c r="ON59" s="759" t="str">
        <f>IF(A59=FALSE,"",((OH59*(1+TAXE)-(OH59*(1+TAXE)*OJ59))+IF(#REF!="N/A",0,IF(INDEX(LISTES!$F$105:$F$109,MATCH(#REF!,LISTES!$C$105:$C$109,0))="FIX",#REF!,#REF!*OM59))))</f>
        <v/>
      </c>
      <c r="PA59" s="432" t="str">
        <f>IF(A59=FALSE,"",Cotations!CF59)</f>
        <v/>
      </c>
      <c r="PB59" s="1282" t="str">
        <f>IF(A59=FALSE,"",IF(Detail!CX59="","N/A",YEAR(Detail!F59)&amp;Detail!DA59&amp;Detail!CX59&amp;"-"&amp;Detail!$CX$13&amp;Detail!CY59))</f>
        <v/>
      </c>
      <c r="PC59" s="1283" t="str">
        <f>IF(A59=FALSE,"",IF(LISTES!$A$17=1,PB59,INDEX(colMOD3,MATCH(Cotations!CE59,colchoice,0))))</f>
        <v/>
      </c>
      <c r="PD59" s="759" t="str">
        <f t="shared" si="356"/>
        <v/>
      </c>
      <c r="PE59" s="292" t="str">
        <f>IF(A59=FALSE,"",IF(Detail!CY59="","",Detail!CY59))</f>
        <v/>
      </c>
      <c r="PF59" s="409" t="str">
        <f t="shared" si="291"/>
        <v/>
      </c>
      <c r="PG59" s="430" t="str">
        <f>IF(A59=FALSE,"",IF(PA59="FIXE",Cotations!CP59,Cotations!CQ59*AA59))</f>
        <v/>
      </c>
      <c r="PH59" s="292" t="str">
        <f t="shared" si="292"/>
        <v/>
      </c>
      <c r="PI59" s="446" t="str">
        <f>IF(A59=FALSE,"",IF(Cotations!CG59="monthly",PH59/12*L59,PH59/365*M59))</f>
        <v/>
      </c>
      <c r="PJ59" s="429" t="str">
        <f>IF(A59=FALSE,"",IF(Cotations!DA59="",0,Cotations!DA59))</f>
        <v/>
      </c>
      <c r="PK59" s="292" t="str">
        <f t="shared" si="293"/>
        <v/>
      </c>
      <c r="PL59" s="292" t="str">
        <f t="shared" si="294"/>
        <v/>
      </c>
      <c r="PM59" s="759" t="str">
        <f t="shared" si="357"/>
        <v/>
      </c>
      <c r="PN59" s="759" t="str">
        <f>IF(A59=FALSE,"",((PH59*(1+TAXE)-(PH59*(1+TAXE)*PJ59))+IF(#REF!="N/A",0,IF(INDEX(LISTES!$F$105:$F$109,MATCH(#REF!,LISTES!$C$105:$C$109,0))="FIX",#REF!,#REF!*PM59))))</f>
        <v/>
      </c>
    </row>
    <row r="60" spans="1:430">
      <c r="A60" s="779" t="b">
        <f t="shared" si="295"/>
        <v>0</v>
      </c>
      <c r="B60" s="779" t="b">
        <f>IF(NAMES!$B$9=TRUE,TRUE,FALSE)</f>
        <v>1</v>
      </c>
      <c r="C60" s="779" t="b">
        <f t="shared" si="212"/>
        <v>0</v>
      </c>
      <c r="D60" s="779" t="b">
        <f t="shared" si="213"/>
        <v>0</v>
      </c>
      <c r="E60" s="267" t="b">
        <f>IF(Cotations!C60="","",Cotations!C60)</f>
        <v>0</v>
      </c>
      <c r="F60" s="267" t="str">
        <f>IF(Cotations!AT60="","",Cotations!AT60)</f>
        <v>PROP</v>
      </c>
      <c r="G60" s="267" t="str">
        <f>IF(Cotations!D60="","",Cotations!D60)</f>
        <v>2016-2017!</v>
      </c>
      <c r="H60" s="267" t="str">
        <f>IF(Cotations!E60="","",Cotations!E60)</f>
        <v>SINGLE</v>
      </c>
      <c r="I60" s="267" t="str">
        <f>IF(Cotations!F60="","",Cotations!F60)</f>
        <v/>
      </c>
      <c r="J60" s="267" t="str">
        <f>IF(Cotations!G60="","",Cotations!G60)</f>
        <v/>
      </c>
      <c r="K60" s="267" t="str">
        <f>IF(Cotations!H60="","",Cotations!H60)</f>
        <v/>
      </c>
      <c r="L60" s="267" t="str">
        <f>IF(A60=FALSE,"",IF(Cotations!M60="","",Cotations!M60))</f>
        <v/>
      </c>
      <c r="M60" s="267" t="str">
        <f>IF(Cotations!O60="","",Cotations!O60)</f>
        <v/>
      </c>
      <c r="N60" s="588" t="str">
        <f>IF(NAMES!$B$10=TRUE,Cotations!I60,Cotations!K60)</f>
        <v/>
      </c>
      <c r="O60" s="588" t="str">
        <f>IF(NAMES!$B$10=TRUE,Cotations!J60,Cotations!L60)</f>
        <v/>
      </c>
      <c r="P60" s="780" t="str">
        <f t="shared" si="214"/>
        <v/>
      </c>
      <c r="Q60" s="588" t="str">
        <f>IF(A60=FALSE,"",IF(Crewlist!Y60="","",Crewlist!Y60))</f>
        <v/>
      </c>
      <c r="R60" s="78" t="str">
        <f>IF(Cotations!T60="","",Cotations!T60)</f>
        <v/>
      </c>
      <c r="S60" s="780" t="str">
        <f t="shared" si="215"/>
        <v/>
      </c>
      <c r="T60" s="759" t="str">
        <f>IF(A60=FALSE,"",VLOOKUP($U$15:$U$120,Currency!$A$2:$D$10,4,0)*Crewlist!N60)</f>
        <v/>
      </c>
      <c r="U60" s="1097" t="str">
        <f>IF(A60=FALSE,"",IF(DP60=0,Crewlist!M60&amp;"/"&amp;CP60,Crewlist!M60&amp;"/"&amp;DP60))</f>
        <v/>
      </c>
      <c r="V60" s="759" t="str">
        <f>IF(A60=FALSE,"",VLOOKUP($U$15:$U$120,Currency!$A$2:$D$10,4,0)*Detail!Q60)</f>
        <v/>
      </c>
      <c r="W60" s="1097" t="str">
        <f>IF(A60=FALSE,"",IF(DP60=0,Detail!R60&amp;"/"&amp;CP60,Detail!R60&amp;"/"&amp;DP60))</f>
        <v/>
      </c>
      <c r="X60" s="759" t="str">
        <f>IF(A60=FALSE,"",IF(LISTES!$C$17="Crewlist",Calcul!T60,Calcul!V60))</f>
        <v/>
      </c>
      <c r="Y60" s="618" t="str">
        <f t="shared" si="216"/>
        <v/>
      </c>
      <c r="Z60" s="618" t="str">
        <f>IF(A60=FALSE,"",IF(X60=0,0,IF((Cotations!BA60*12*X60)&lt;50000,50000,(12*X60))))</f>
        <v/>
      </c>
      <c r="AA60" s="618" t="str">
        <f t="shared" si="217"/>
        <v/>
      </c>
      <c r="AB60" s="618" t="str">
        <f>IF(A60=FALSE,"",IF(Crewlist!O60=0,"",Crewlist!O60))</f>
        <v/>
      </c>
      <c r="AC60" s="618" t="str">
        <f>IF(I60="","",VLOOKUP($AB$15:$AB$120,Currency!$A$15:$B$34,2,0))</f>
        <v/>
      </c>
      <c r="AD60" s="618" t="str">
        <f t="shared" si="218"/>
        <v/>
      </c>
      <c r="AE60" s="618" t="str">
        <f t="shared" si="219"/>
        <v/>
      </c>
      <c r="AF60" s="618" t="str">
        <f t="shared" si="220"/>
        <v/>
      </c>
      <c r="AG60" s="618" t="str">
        <f t="shared" si="221"/>
        <v/>
      </c>
      <c r="AH60" s="1097" t="str">
        <f t="shared" si="296"/>
        <v/>
      </c>
      <c r="AI60" s="759" t="str">
        <f t="shared" si="222"/>
        <v/>
      </c>
      <c r="AJ60" s="1120" t="str">
        <f t="shared" si="223"/>
        <v/>
      </c>
      <c r="AK60" s="1120" t="str">
        <f t="shared" si="224"/>
        <v/>
      </c>
      <c r="AL60" s="236" t="str">
        <f t="shared" si="225"/>
        <v/>
      </c>
      <c r="AM60" s="236" t="str">
        <f t="shared" si="226"/>
        <v/>
      </c>
      <c r="AN60" s="1112" t="str">
        <f t="shared" si="227"/>
        <v/>
      </c>
      <c r="AO60" s="236" t="str">
        <f t="shared" si="228"/>
        <v/>
      </c>
      <c r="AP60" s="327" t="str">
        <f>IF(A60=FALSE,"",INDEX(Rates!$Q$1:$Q$278,MATCH(CA60,colchoice,0)))</f>
        <v/>
      </c>
      <c r="AQ60" s="236" t="str">
        <f t="shared" si="229"/>
        <v/>
      </c>
      <c r="AR60" s="236" t="str">
        <f t="shared" si="230"/>
        <v/>
      </c>
      <c r="AS60" s="236" t="str">
        <f t="shared" si="297"/>
        <v/>
      </c>
      <c r="AT60" s="236" t="str">
        <f t="shared" si="298"/>
        <v/>
      </c>
      <c r="AU60" s="236" t="str">
        <f t="shared" si="231"/>
        <v/>
      </c>
      <c r="AV60" s="236" t="str">
        <f t="shared" si="232"/>
        <v/>
      </c>
      <c r="AW60" s="236" t="str">
        <f t="shared" si="233"/>
        <v/>
      </c>
      <c r="AX60" s="236" t="str">
        <f t="shared" si="234"/>
        <v/>
      </c>
      <c r="AY60" s="236" t="str">
        <f t="shared" si="235"/>
        <v/>
      </c>
      <c r="AZ60" s="236" t="str">
        <f t="shared" si="236"/>
        <v/>
      </c>
      <c r="BA60" s="236" t="str">
        <f t="shared" si="237"/>
        <v/>
      </c>
      <c r="BB60" s="467" t="str">
        <f t="shared" si="238"/>
        <v/>
      </c>
      <c r="BC60" s="329" t="str">
        <f t="shared" si="239"/>
        <v/>
      </c>
      <c r="BD60" s="237" t="str">
        <f t="shared" si="240"/>
        <v/>
      </c>
      <c r="BE60" s="237" t="str">
        <f>IF(A60=FALSE,"",IF(ED60&lt;&gt;$BC$7,0,INDEX(EA60:EZ60,1,MATCH(Structure!$J$16,$EA$14:$EZ$14,0))))</f>
        <v/>
      </c>
      <c r="BF60" s="237" t="str">
        <f>IF(A60=FALSE,"",IF(FD60&lt;&gt;$BC$7,0,INDEX(FA60:FZ60,1,MATCH(Structure!$J$16,$FA$14:$FZ$14,0))))</f>
        <v/>
      </c>
      <c r="BG60" s="237" t="str">
        <f>IF(A60=FALSE,"",IF(GD60&lt;&gt;$BC$7,0,INDEX(GA60:GZ60,1,MATCH(Structure!$J$16,$GA$14:$GZ$14,0))))</f>
        <v/>
      </c>
      <c r="BH60" s="237" t="str">
        <f>IF(A60=FALSE,"",IF(HD60&lt;&gt;$BC$7,0,INDEX(HA60:HZ60,1,MATCH(Structure!$J$16,$HA$14:$HZ$14,0))))</f>
        <v/>
      </c>
      <c r="BI60" s="621" t="str">
        <f>IF(A60=FALSE,"",IF(ID60&lt;&gt;$BC$7,0,INDEX(IA60:IZ60,1,MATCH(Structure!$C$12,$IA$14:$IZ$14,0)))+OL60)</f>
        <v/>
      </c>
      <c r="BJ60" s="237" t="str">
        <f>IF(A60=FALSE,"",IF(JD60&lt;&gt;$BC$7,0,INDEX(JA60:JZ60,1,MATCH(Structure!$C$12,$JA$14:$JZ$14,0))))</f>
        <v/>
      </c>
      <c r="BK60" s="621" t="str">
        <f>IF(A60=FALSE,"",IF(KD60&lt;&gt;$BC$7,0,INDEX(KA60:KZ60,1,MATCH(Structure!$C$12,$KA$14:$KZ$14,0)))+PL60)</f>
        <v/>
      </c>
      <c r="BL60" s="237" t="str">
        <f>IF(A60=FALSE,"",IF(LD60&lt;&gt;$BC$7,0,INDEX(LA60:LZ60,1,MATCH(Structure!$C$12,$LA$14:$LZ$14,0))))</f>
        <v/>
      </c>
      <c r="BM60" s="237" t="str">
        <f>IF(A60=FALSE,"",IF(MD60&lt;&gt;$BC$7,0,INDEX(MA60:MZ60,1,MATCH(Structure!$C$12,$MA$14:$MZ$14,0))))</f>
        <v/>
      </c>
      <c r="BN60" s="326" t="str">
        <f>IF(A60=FALSE,"",IF(ND60&lt;&gt;$BC$7,0,INDEX(NA60:OC60,1,MATCH(Structure!$C$12,$NA$14:$OC$14,0))))</f>
        <v/>
      </c>
      <c r="BO60" s="435" t="str">
        <f t="shared" si="241"/>
        <v/>
      </c>
      <c r="BP60" s="237" t="str">
        <f t="shared" si="242"/>
        <v/>
      </c>
      <c r="BQ60" s="237" t="str">
        <f>IF(A60=FALSE,"",IF(ED60&lt;&gt;$BO$7,0,INDEX(EA60:EZ60,1,MATCH(Structure!$C$12,$EA$14:$EZ$14,0))))</f>
        <v/>
      </c>
      <c r="BR60" s="237" t="str">
        <f>IF(A60=FALSE,"",IF(FD60&lt;&gt;$BO$7,0,INDEX(FA60:FZ60,1,MATCH(Structure!$C$12,$FA$14:$FZ$14,0))))</f>
        <v/>
      </c>
      <c r="BS60" s="237" t="str">
        <f>IF(A60=FALSE,"",IF(ID60&lt;&gt;$BO$7,0,INDEX(IA60:IZ60,1,MATCH(Structure!$C$13,$IA$14:$IZ$14,0))))</f>
        <v/>
      </c>
      <c r="BT60" s="237" t="str">
        <f>IF(A60=FALSE,"",IF(JD60&lt;&gt;$BO$7,0,INDEX(JA60:JZ60,1,MATCH(Structure!$C$13,$JA$14:$JZ$14,0))))</f>
        <v/>
      </c>
      <c r="BU60" s="237" t="str">
        <f>IF(A60=FALSE,"",IF(KD60&lt;&gt;$BO$7,0,INDEX(KA60:KZ60,1,MATCH(Structure!$C$13,$KA$14:$KZ$14,0))))</f>
        <v/>
      </c>
      <c r="BV60" s="237" t="str">
        <f>IF(A60=FALSE,"",IF(LD60&lt;&gt;$BO$7,0,INDEX(LA60:LZ60,1,MATCH(Structure!$C$13,$LA$14:$LZ$14,0))))</f>
        <v/>
      </c>
      <c r="BW60" s="237" t="str">
        <f>IF(A60=FALSE,"",IF(MD60&lt;&gt;$BO$7,0,INDEX(MA60:MZ60,1,MATCH(Structure!$C$13,$MA$14:$MZ$14,0))))</f>
        <v/>
      </c>
      <c r="BX60" s="326" t="str">
        <f>IF(A60=FALSE,"",IF(ND60&lt;&gt;$BO$7,0,INDEX(NA60:OC60,1,MATCH(Structure!$C$13,$NA$14:$OC$14,0))))</f>
        <v/>
      </c>
      <c r="BY60" s="412"/>
      <c r="BZ60" s="412"/>
      <c r="CA60" s="1255" t="str">
        <f>IF(A60=FALSE,"",IF(LISTES!$A$17=1,Cotations!AG60,Cotations!AH60))</f>
        <v/>
      </c>
      <c r="CB60" s="1266" t="str">
        <f t="shared" si="243"/>
        <v/>
      </c>
      <c r="CC60" s="1120" t="str">
        <f t="shared" si="244"/>
        <v/>
      </c>
      <c r="CD60" s="1120" t="str">
        <f t="shared" si="245"/>
        <v/>
      </c>
      <c r="CE60" s="1120" t="str">
        <f t="shared" si="246"/>
        <v/>
      </c>
      <c r="CF60" s="1120" t="str">
        <f t="shared" si="247"/>
        <v/>
      </c>
      <c r="CG60" s="1267"/>
      <c r="CH60" s="1267"/>
      <c r="CI60" s="1268" t="str">
        <f t="shared" si="248"/>
        <v/>
      </c>
      <c r="CJ60" s="286" t="str">
        <f t="shared" si="249"/>
        <v/>
      </c>
      <c r="CK60" s="286" t="str">
        <f t="shared" si="250"/>
        <v/>
      </c>
      <c r="CL60" s="1263"/>
      <c r="CM60" s="1263"/>
      <c r="CN60" s="1263"/>
      <c r="CO60" s="1263"/>
      <c r="CP60" s="319" t="str">
        <f t="shared" si="251"/>
        <v/>
      </c>
      <c r="CQ60" s="443" t="str">
        <f>IF(A60=FALSE,"",Cotations!AM60)</f>
        <v/>
      </c>
      <c r="CR60" s="443" t="str">
        <f>IF(A60=FALSE,"",IF(Cotations!AN60="","",Cotations!AN60))</f>
        <v/>
      </c>
      <c r="CS60" s="433" t="str">
        <f>IF(A60=FALSE,"",Cotations!AO60)</f>
        <v/>
      </c>
      <c r="CT60" s="443" t="str">
        <f>IF(A60=FALSE,"",IF(CQ60="N/A",0,IF(INDEX(LISTES!$F$105:$F$109,MATCH(CQ60,LISTES!$C$105:$C$109,0))="FIX",IF(INDEX(LISTES!$E$105:$E$109,MATCH(CQ60,LISTES!$C$105:$C$109,0))=12,CR60/12*L60,CR60/365*M60),CS60*EQ60)))</f>
        <v/>
      </c>
      <c r="CU60" s="434" t="str">
        <f>IF(A60=FALSE,"",(CJ60+CK60)*Cotations!AP60)</f>
        <v/>
      </c>
      <c r="CV60" s="434" t="str">
        <f>IF(A60=FALSE,"",(CJ60+CK60)*Cotations!AQ60)</f>
        <v/>
      </c>
      <c r="DA60" s="1253" t="str">
        <f>IF(A60=FALSE,"",IF(LISTES!$A$17=1,Cotations!AV60,Cotations!AW60))</f>
        <v/>
      </c>
      <c r="DB60" s="1271" t="str">
        <f t="shared" si="252"/>
        <v/>
      </c>
      <c r="DC60" s="1270" t="str">
        <f t="shared" si="253"/>
        <v/>
      </c>
      <c r="DD60" s="1270" t="str">
        <f t="shared" si="254"/>
        <v/>
      </c>
      <c r="DE60" s="1270" t="str">
        <f t="shared" si="255"/>
        <v/>
      </c>
      <c r="DF60" s="1270" t="str">
        <f t="shared" si="256"/>
        <v/>
      </c>
      <c r="DG60" s="1270" t="str">
        <f t="shared" si="257"/>
        <v/>
      </c>
      <c r="DH60" s="1270" t="str">
        <f t="shared" si="258"/>
        <v/>
      </c>
      <c r="DI60" s="1271" t="str">
        <f t="shared" si="259"/>
        <v/>
      </c>
      <c r="DJ60" s="286" t="str">
        <f t="shared" si="260"/>
        <v/>
      </c>
      <c r="DK60" s="286" t="str">
        <f t="shared" si="261"/>
        <v/>
      </c>
      <c r="DL60" s="1264" t="str">
        <f t="shared" si="262"/>
        <v/>
      </c>
      <c r="DM60" s="1264" t="str">
        <f t="shared" si="263"/>
        <v/>
      </c>
      <c r="DN60" s="1264" t="str">
        <f t="shared" si="264"/>
        <v/>
      </c>
      <c r="DO60" s="1264" t="str">
        <f t="shared" si="265"/>
        <v/>
      </c>
      <c r="DP60" s="323" t="str">
        <f t="shared" si="299"/>
        <v/>
      </c>
      <c r="DQ60" s="444" t="str">
        <f>IF(A60=FALSE,"",Cotations!BW60)</f>
        <v/>
      </c>
      <c r="DR60" s="444" t="str">
        <f>IF(A60=FALSE,"",Cotations!BX60)</f>
        <v/>
      </c>
      <c r="DS60" s="433" t="str">
        <f>IF(A60=FALSE,"",Cotations!BY60)</f>
        <v/>
      </c>
      <c r="DT60" s="830" t="str">
        <f>IF(A60=FALSE,"",IF(DQ60="N/A",0,IF(INDEX(LISTES!$F$105:$F$109,MATCH(DQ60,LISTES!$C$105:$C$109,0))="FIX",IF(INDEX(LISTES!$E$105:$E$109,MATCH(DQ60,LISTES!$C$105:$C$109,0))=12,DR60/12*L60,DR60/365*M60),DS60*(DN60+DO60))))</f>
        <v/>
      </c>
      <c r="DU60" s="434" t="str">
        <f>IF(A60=FALSE,"",DJ60*Cotations!BZ60)</f>
        <v/>
      </c>
      <c r="DV60" s="434" t="str">
        <f>IF(A60=FALSE,"",DJ60*Cotations!CA60)</f>
        <v/>
      </c>
      <c r="EA60" s="432" t="str">
        <f>IF(A60=FALSE,"",Cotations!AT60)</f>
        <v/>
      </c>
      <c r="EB60" s="1234" t="str">
        <f>IF(A60=FALSE,"",YEAR(Detail!F60)&amp;Detail!AG60&amp;Detail!AD60&amp;"-"&amp;Detail!$AD$13&amp;Detail!AE60)</f>
        <v/>
      </c>
      <c r="EC60" s="434" t="str">
        <f>IF(A60=FALSE,"",IF(LISTES!$A$17=1,EB60,INDEX(colMOD1,MATCH(Cotations!AH60,colchoice,0))))</f>
        <v/>
      </c>
      <c r="ED60" s="277" t="str">
        <f t="shared" si="300"/>
        <v/>
      </c>
      <c r="EE60" s="277" t="str">
        <f t="shared" si="301"/>
        <v/>
      </c>
      <c r="EF60" s="277"/>
      <c r="EG60" s="277"/>
      <c r="EH60" s="277" t="str">
        <f t="shared" si="302"/>
        <v/>
      </c>
      <c r="EI60" s="1104" t="str">
        <f t="shared" si="303"/>
        <v/>
      </c>
      <c r="EJ60" s="1104" t="str">
        <f t="shared" si="304"/>
        <v/>
      </c>
      <c r="EK60" s="443" t="str">
        <f>IF(A60=FALSE,"",IF(Cotations!AF60="monthly",EH60/12*L60,EH60/365*M60))</f>
        <v/>
      </c>
      <c r="EL60" s="1103" t="str">
        <f>IF(A60=FALSE,"",IF(Cotations!AF60="monthly",EJ60/12*L60,EJ60/365*M60))</f>
        <v/>
      </c>
      <c r="EM60" s="433" t="str">
        <f>IF(A60=FALSE,"",IF(Cotations!AI60="","",Cotations!AI60))</f>
        <v/>
      </c>
      <c r="EN60" s="277" t="str">
        <f t="shared" si="305"/>
        <v/>
      </c>
      <c r="EO60" s="277" t="str">
        <f t="shared" si="306"/>
        <v/>
      </c>
      <c r="EP60" s="1104" t="str">
        <f t="shared" si="307"/>
        <v/>
      </c>
      <c r="EQ60" s="277" t="str">
        <f t="shared" si="308"/>
        <v/>
      </c>
      <c r="ER60" s="759" t="str">
        <f>IF(A60=FALSE,"",((EH60*TAXE)-(EH60*TAXE*EM60)+EI60)+IF(CQ60="N/A",0,IF(INDEX(LISTES!$F$105:$F$109,MATCH(CQ60,LISTES!$C$105:$C$109,0))="FIX",CR60,CS60*EQ60)))</f>
        <v/>
      </c>
      <c r="ET60" s="422"/>
      <c r="EU60" s="422"/>
      <c r="EV60" s="422"/>
      <c r="EW60" s="422"/>
      <c r="EX60" s="422"/>
      <c r="EY60" s="422"/>
      <c r="EZ60" s="422"/>
      <c r="FA60" s="432" t="str">
        <f>IF(A60=FALSE,"",Cotations!AT60)</f>
        <v/>
      </c>
      <c r="FB60" s="1235" t="str">
        <f>IF(A60=FALSE,"",IF(Detail!AL60="","N/A",YEAR(Detail!F60)&amp;Detail!AO60&amp;Detail!AL60&amp;"-"&amp;Detail!$AL$13&amp;Detail!AM60))</f>
        <v/>
      </c>
      <c r="FC60" s="434" t="str">
        <f>IF(A60=FALSE,"",IF(LISTES!$A$17=1,FB60,INDEX(colMOD2,MATCH(Cotations!AH60,colchoice,0))))</f>
        <v/>
      </c>
      <c r="FD60" s="277" t="str">
        <f t="shared" si="309"/>
        <v/>
      </c>
      <c r="FE60" s="443" t="str">
        <f>IF(A60=FALSE,"",IF(Detail!AM60="","",Detail!AM60))</f>
        <v/>
      </c>
      <c r="FF60" s="277"/>
      <c r="FG60" s="277"/>
      <c r="FH60" s="277" t="str">
        <f t="shared" si="310"/>
        <v/>
      </c>
      <c r="FI60" s="1104"/>
      <c r="FJ60" s="1104"/>
      <c r="FK60" s="443" t="str">
        <f>IF(A60=FALSE,"",IF(Cotations!AF60="monthly",FH60/12*L60,FH60/365*M60))</f>
        <v/>
      </c>
      <c r="FL60" s="1103" t="str">
        <f>IF(A60=FALSE,"",IF(Cotations!AF60="monthly",FJ60/12*L60,FJ60/365*M60))</f>
        <v/>
      </c>
      <c r="FM60" s="433" t="str">
        <f>IF(A60=FALSE,"",IF(Cotations!AJ60="","",Cotations!AJ60))</f>
        <v/>
      </c>
      <c r="FN60" s="277" t="str">
        <f t="shared" si="268"/>
        <v/>
      </c>
      <c r="FO60" s="277" t="str">
        <f t="shared" si="269"/>
        <v/>
      </c>
      <c r="FP60" s="1104"/>
      <c r="FQ60" s="277" t="str">
        <f t="shared" si="270"/>
        <v/>
      </c>
      <c r="FR60" s="759" t="str">
        <f>IF(A60=FALSE,"",((FH60*TAXE)-(FH60*TAXE*FM60))+IF(#REF!="N/A",0,IF(INDEX(LISTES!$F$105:$F$109,MATCH(#REF!,LISTES!$C$105:$C$109,0))="FIX",#REF!,#REF!*FQ60)))</f>
        <v/>
      </c>
      <c r="FS60" s="422"/>
      <c r="FT60" s="422"/>
      <c r="FU60" s="422"/>
      <c r="FV60" s="422"/>
      <c r="FW60" s="422"/>
      <c r="FX60" s="422"/>
      <c r="FY60" s="422"/>
      <c r="FZ60" s="422"/>
      <c r="GA60" s="432" t="str">
        <f t="shared" si="311"/>
        <v/>
      </c>
      <c r="GB60" s="1234" t="str">
        <f>IF(A60=FALSE,"",IF(Detail!DF60="","N/A",YEAR(Detail!F60)&amp;Detail!DI60&amp;Detail!DF60&amp;"-"&amp;Detail!$DF$13))</f>
        <v/>
      </c>
      <c r="GC60" s="434" t="str">
        <f>IF(A60=FALSE,"",IF(LISTES!$A$17=1,GB60,INDEX(colMOD3,MATCH(Cotations!AH60,colchoice,0))))</f>
        <v/>
      </c>
      <c r="GD60" s="277" t="str">
        <f t="shared" si="312"/>
        <v/>
      </c>
      <c r="GE60" s="277" t="str">
        <f t="shared" si="313"/>
        <v/>
      </c>
      <c r="GF60" s="277"/>
      <c r="GG60" s="277"/>
      <c r="GH60" s="277" t="str">
        <f t="shared" si="271"/>
        <v/>
      </c>
      <c r="GI60" s="1104" t="str">
        <f t="shared" si="272"/>
        <v/>
      </c>
      <c r="GJ60" s="1104" t="str">
        <f t="shared" si="273"/>
        <v/>
      </c>
      <c r="GK60" s="443" t="str">
        <f>IF(A60=FALSE,"",IF(Cotations!AF60="monthly",GH60/12*L60,GH60/365*M60))</f>
        <v/>
      </c>
      <c r="GL60" s="1103" t="str">
        <f>IF(A60=FALSE,"",IF(Cotations!AF60="monthly",GJ60/12*L60,GJ60/365*M60))</f>
        <v/>
      </c>
      <c r="GM60" s="433" t="str">
        <f>IF(A60=FALSE,"",IF(Cotations!AK60="","",Cotations!AK60))</f>
        <v/>
      </c>
      <c r="GN60" s="277" t="str">
        <f t="shared" si="274"/>
        <v/>
      </c>
      <c r="GO60" s="277" t="str">
        <f t="shared" si="275"/>
        <v/>
      </c>
      <c r="GP60" s="1104" t="str">
        <f t="shared" si="276"/>
        <v/>
      </c>
      <c r="GQ60" s="277" t="str">
        <f t="shared" si="277"/>
        <v/>
      </c>
      <c r="GR60" s="759" t="str">
        <f>IF(A60=FALSE,"",((GH60*TAXE)-(GH60*TAXE*GM60)+GI60)+IF(CQ60="N/A",0,IF(INDEX(LISTES!$F$105:$F$109,MATCH(CQ60,LISTES!$C$105:$C$109,0))="FIX",CR60,CS60*GQ60)))</f>
        <v/>
      </c>
      <c r="GS60" s="412"/>
      <c r="GT60" s="412"/>
      <c r="GU60" s="412"/>
      <c r="GV60" s="412"/>
      <c r="GW60" s="412"/>
      <c r="GX60" s="412"/>
      <c r="GY60" s="412"/>
      <c r="GZ60" s="412"/>
      <c r="HA60" s="432" t="str">
        <f t="shared" si="314"/>
        <v/>
      </c>
      <c r="HB60" s="1234" t="str">
        <f>IF(A60=FALSE,"",IF(Detail!DF60="","N/A",YEAR(Detail!F60)&amp;Detail!DI60&amp;Detail!DF60&amp;"-"&amp;Detail!$DF$13))</f>
        <v/>
      </c>
      <c r="HC60" s="434" t="str">
        <f>IF(A60=FALSE,"",IF(LISTES!$A$17=1,HB60,INDEX(colMOD4,MATCH(Cotations!AH60,colchoice,0))))</f>
        <v/>
      </c>
      <c r="HD60" s="277" t="str">
        <f t="shared" si="278"/>
        <v/>
      </c>
      <c r="HE60" s="277" t="str">
        <f t="shared" si="279"/>
        <v/>
      </c>
      <c r="HF60" s="277"/>
      <c r="HG60" s="277"/>
      <c r="HH60" s="277" t="str">
        <f t="shared" si="280"/>
        <v/>
      </c>
      <c r="HI60" s="1104" t="str">
        <f t="shared" si="281"/>
        <v/>
      </c>
      <c r="HJ60" s="1104" t="str">
        <f t="shared" si="282"/>
        <v/>
      </c>
      <c r="HK60" s="443" t="str">
        <f>IF(A60=FALSE,"",IF(Cotations!AF60="monthly",HH60/12*L60,HH60/365*M60))</f>
        <v/>
      </c>
      <c r="HL60" s="1103" t="str">
        <f>IF(A60=FALSE,"",IF(Cotations!AF60="monthly",HJ60/12*L60,HJ60/365*M60))</f>
        <v/>
      </c>
      <c r="HM60" s="433" t="str">
        <f>IF(A60=FALSE,"",IF(Cotations!AL60="","",Cotations!AL60))</f>
        <v/>
      </c>
      <c r="HN60" s="277" t="str">
        <f t="shared" si="283"/>
        <v/>
      </c>
      <c r="HO60" s="277" t="str">
        <f t="shared" si="284"/>
        <v/>
      </c>
      <c r="HP60" s="1104" t="str">
        <f t="shared" si="285"/>
        <v/>
      </c>
      <c r="HQ60" s="277" t="str">
        <f t="shared" si="286"/>
        <v/>
      </c>
      <c r="HR60" s="759" t="str">
        <f>IF(A60=FALSE,"",((HH60*TAXE)-(HH60*TAXE*HM60)+HI60)+IF(CQ60="N/A",0,IF(INDEX(LISTES!$F$105:$F$109,MATCH(CQ60,LISTES!$C$105:$C$109,0))="FIX",CR60,CS60*HQ60)))</f>
        <v/>
      </c>
      <c r="HS60" s="412"/>
      <c r="HT60" s="412"/>
      <c r="HU60" s="412"/>
      <c r="HV60" s="412"/>
      <c r="HW60" s="412"/>
      <c r="HX60" s="412"/>
      <c r="HY60" s="412"/>
      <c r="HZ60" s="1262"/>
      <c r="IA60" s="432" t="str">
        <f>IF(A60=FALSE,"",Cotations!AT60)</f>
        <v/>
      </c>
      <c r="IB60" s="1253" t="str">
        <f>IF(A60=FALSE,"",IF(Detail!AT60="","N/A",YEAR(Detail!F60)&amp;Detail!AW60&amp;Detail!AT60&amp;"-"&amp;Detail!$AT$13&amp;Detail!AU60))</f>
        <v/>
      </c>
      <c r="IC60" s="431" t="str">
        <f>IF(A60=FALSE,"",IF(LISTES!$A$17=1,IB60,INDEX(colMOD1,MATCH(DA60,colchoice,0))))</f>
        <v/>
      </c>
      <c r="ID60" s="759" t="str">
        <f t="shared" si="358"/>
        <v/>
      </c>
      <c r="IE60" s="292" t="str">
        <f>IF(A60=FALSE,"",IF(LISTES!$A$17=1,Detail!AU60,INDEX(Rates!$M$1:$M$270,MATCH(IC60,colMOD1,0))))</f>
        <v/>
      </c>
      <c r="IF60" s="409" t="str">
        <f t="shared" si="359"/>
        <v/>
      </c>
      <c r="IG60" s="430" t="str">
        <f>IF(A60=FALSE,"",IF(IA60="POEA",Cotations!AY60,IF(IA60="FIXE",Cotations!AZ60,IF(Cotations!BA60*Y60&lt;50000,Z60,Cotations!BA60*Y60))))</f>
        <v/>
      </c>
      <c r="IH60" s="292" t="str">
        <f t="shared" si="360"/>
        <v/>
      </c>
      <c r="II60" s="446" t="str">
        <f>IF(A60=FALSE,"",IF(Cotations!AU60="monthly",IH60/12*L60,IH60/365*M60))</f>
        <v/>
      </c>
      <c r="IJ60" s="429" t="str">
        <f>IF(A60=FALSE,"",IF(Cotations!BB60="","",Cotations!BB60))</f>
        <v/>
      </c>
      <c r="IK60" s="292" t="str">
        <f t="shared" si="361"/>
        <v/>
      </c>
      <c r="IL60" s="292" t="str">
        <f t="shared" si="362"/>
        <v/>
      </c>
      <c r="IM60" s="759" t="str">
        <f t="shared" si="363"/>
        <v/>
      </c>
      <c r="IN60" s="759" t="str">
        <f>IF(A60=FALSE,"",((IH60*TAXE)-(IH60*TAXE*IJ60))+IF(DQ60="N/A",0,IF(INDEX(LISTES!$F$105:$F$109,MATCH(DQ60,LISTES!$C$105:$C$109,0))="FIX",DR60,DS60*IM60)))</f>
        <v/>
      </c>
      <c r="JA60" s="432" t="str">
        <f>IF(A60=FALSE,"",Cotations!AT60)</f>
        <v/>
      </c>
      <c r="JB60" s="1234" t="str">
        <f>IF(A60=FALSE,"",IF(Detail!BB60="","N/A",YEAR(Detail!F60)&amp;Detail!BE60&amp;Detail!BB60&amp;"-"&amp;Detail!$BB$13&amp;Detail!BC60))</f>
        <v/>
      </c>
      <c r="JC60" s="431" t="str">
        <f>IF(A60=FALSE,"",IF(LISTES!$A$17=1,JB60,INDEX(colMOD2,MATCH(DA60,colchoice,0))))</f>
        <v/>
      </c>
      <c r="JD60" s="759" t="str">
        <f t="shared" si="321"/>
        <v/>
      </c>
      <c r="JE60" s="292"/>
      <c r="JF60" s="409" t="str">
        <f t="shared" si="322"/>
        <v/>
      </c>
      <c r="JG60" s="430" t="str">
        <f>IF(A60=FALSE,"",IF(JA60="POEA",Cotations!BC60,IF(JA60="FIXE",Cotations!BD60,IF(Cotations!BE60*Y60&lt;50000,Z60,Cotations!BE60*Y60))))</f>
        <v/>
      </c>
      <c r="JH60" s="292" t="str">
        <f t="shared" si="323"/>
        <v/>
      </c>
      <c r="JI60" s="446" t="str">
        <f>IF(A60=FALSE,"",IF(Cotations!AU60="monthly",JH60/12*L60,JH60/365*M60))</f>
        <v/>
      </c>
      <c r="JJ60" s="429" t="str">
        <f>IF(A60=FALSE,"",IF(Cotations!BF60="","",Cotations!BF60))</f>
        <v/>
      </c>
      <c r="JK60" s="292" t="str">
        <f t="shared" si="324"/>
        <v/>
      </c>
      <c r="JL60" s="292" t="str">
        <f t="shared" si="325"/>
        <v/>
      </c>
      <c r="JM60" s="759" t="str">
        <f t="shared" si="326"/>
        <v/>
      </c>
      <c r="JN60" s="759" t="str">
        <f>IF(A60=FALSE,"",((JH60*TAXE)-(JH60*TAXE*JJ60))+IF(#REF!="N/A",0,IF(INDEX(LISTES!$F$105:$F$109,MATCH(#REF!,LISTES!$C$105:$C$109,0))="FIX",#REF!,#REF!*JM60)))</f>
        <v/>
      </c>
      <c r="KA60" s="432" t="str">
        <f>IF(A60=FALSE,"",Cotations!AT60)</f>
        <v/>
      </c>
      <c r="KB60" s="1234" t="str">
        <f>IF(A60=FALSE,"",IF(Detail!BJ60="","N/A",YEAR(Detail!F60)&amp;Detail!BM60&amp;Detail!BJ60&amp;"-"&amp;Detail!$BJ$13&amp;Detail!BK60))</f>
        <v/>
      </c>
      <c r="KC60" s="431" t="str">
        <f>IF(A60=FALSE,"",IF(LISTES!$A$17=1,KB60,INDEX(colMOD3,MATCH(DA60,colchoice,0))))</f>
        <v/>
      </c>
      <c r="KD60" s="759" t="str">
        <f t="shared" si="327"/>
        <v/>
      </c>
      <c r="KE60" s="292"/>
      <c r="KF60" s="409" t="str">
        <f t="shared" si="328"/>
        <v/>
      </c>
      <c r="KG60" s="430" t="str">
        <f>IF(A60=FALSE,"",IF(KA60="POEA",Cotations!BG60,IF(KA60="FIXE",Cotations!BH60,IF(Cotations!BI60*Y60&lt;50000,Z60,Cotations!BI60*Y60))))</f>
        <v/>
      </c>
      <c r="KH60" s="292" t="str">
        <f t="shared" si="329"/>
        <v/>
      </c>
      <c r="KI60" s="446" t="str">
        <f>IF(A60=FALSE,"",IF(Cotations!AU60="monthly",KH60/12*L60,KH60/365*M60))</f>
        <v/>
      </c>
      <c r="KJ60" s="429" t="str">
        <f>IF(A60=FALSE,"",IF(Cotations!BJ60="","",Cotations!BJ60))</f>
        <v/>
      </c>
      <c r="KK60" s="292" t="str">
        <f t="shared" si="330"/>
        <v/>
      </c>
      <c r="KL60" s="292" t="str">
        <f t="shared" si="331"/>
        <v/>
      </c>
      <c r="KM60" s="759" t="str">
        <f t="shared" si="332"/>
        <v/>
      </c>
      <c r="KN60" s="759" t="str">
        <f>IF(A60=FALSE,"",((KH60*TAXE)-(KH60*TAXE*KJ60))+IF(#REF!="N/A",0,IF(INDEX(LISTES!$F$105:$F$109,MATCH(#REF!,LISTES!$C$105:$C$109,0))="FIX",#REF!,#REF!*KM60)))</f>
        <v/>
      </c>
      <c r="LA60" s="432" t="str">
        <f>IF(A60=FALSE,"",Cotations!AT60)</f>
        <v/>
      </c>
      <c r="LB60" s="1234" t="str">
        <f>IF(A60=FALSE,"",IF(Detail!BR60="","N/A",YEAR(Detail!F60)&amp;Detail!BU60&amp;Detail!BR60&amp;"-"&amp;Detail!$BR$13&amp;Detail!BS60))</f>
        <v/>
      </c>
      <c r="LC60" s="431" t="str">
        <f>IF(A60=FALSE,"",IF(LISTES!$A$17=1,LB60,INDEX(colMOD4,MATCH(DA60,colchoice,0))))</f>
        <v/>
      </c>
      <c r="LD60" s="759" t="str">
        <f t="shared" si="333"/>
        <v/>
      </c>
      <c r="LE60" s="292"/>
      <c r="LF60" s="409" t="str">
        <f t="shared" si="334"/>
        <v/>
      </c>
      <c r="LG60" s="430" t="str">
        <f>IF(A60=FALSE,"",IF(LA60="POEA",Cotations!BK60,IF(LA60="FIXE",Cotations!BL60,IF(Cotations!BM60*Y60&lt;50000,Z60,Cotations!BM60*Y60))))</f>
        <v/>
      </c>
      <c r="LH60" s="292" t="str">
        <f t="shared" si="335"/>
        <v/>
      </c>
      <c r="LI60" s="446" t="str">
        <f>IF(A60=FALSE,"",IF(Cotations!AU60="monthly",LH60/12*L60,LH60/365*M60))</f>
        <v/>
      </c>
      <c r="LJ60" s="429" t="str">
        <f>IF(A60=FALSE,"",IF(Cotations!BN60="","",Cotations!BN60))</f>
        <v/>
      </c>
      <c r="LK60" s="292" t="str">
        <f t="shared" si="336"/>
        <v/>
      </c>
      <c r="LL60" s="292" t="str">
        <f t="shared" si="337"/>
        <v/>
      </c>
      <c r="LM60" s="759" t="str">
        <f t="shared" si="338"/>
        <v/>
      </c>
      <c r="LN60" s="759" t="str">
        <f>IF(A60=FALSE,"",((LH60*TAXE)-(LH60*TAXE*LJ60))+IF(#REF!="N/A",0,IF(INDEX(LISTES!$F$105:$F$109,MATCH(#REF!,LISTES!$C$105:$C$109,0))="FIX",#REF!,#REF!*LM60)))</f>
        <v/>
      </c>
      <c r="MA60" s="432" t="str">
        <f t="shared" si="339"/>
        <v/>
      </c>
      <c r="MB60" s="1234" t="str">
        <f>IF(A60=FALSE,"",IF(Detail!BZ60="","N/A",YEAR(Detail!F60)&amp;Detail!CC60&amp;Detail!BZ60&amp;"-"&amp;Detail!$BZ$13&amp;" (100%/"&amp;Detail!CD60&amp;"/"&amp;Detail!CE60&amp;")"))</f>
        <v/>
      </c>
      <c r="MC60" s="431" t="str">
        <f>IF(A60=FALSE,"",IF(LISTES!$A$17=1,MB60,INDEX(colMOD5,MATCH(DA60,colchoice,0))))</f>
        <v/>
      </c>
      <c r="MD60" s="759" t="str">
        <f t="shared" si="340"/>
        <v/>
      </c>
      <c r="ME60" s="292"/>
      <c r="MF60" s="409" t="str">
        <f t="shared" si="341"/>
        <v/>
      </c>
      <c r="MG60" s="430" t="str">
        <f>IF(A60=FALSE,"",Cotations!BQ60*AA60)</f>
        <v/>
      </c>
      <c r="MH60" s="292" t="str">
        <f t="shared" si="342"/>
        <v/>
      </c>
      <c r="MI60" s="446" t="str">
        <f>IF(A60=FALSE,"",IF(Cotations!AU60="monthly",MH60/12*L60,MH60/365*M60))</f>
        <v/>
      </c>
      <c r="MJ60" s="429" t="str">
        <f>IF(A60=FALSE,"",IF(Cotations!BR60="","",Cotations!BR60))</f>
        <v/>
      </c>
      <c r="MK60" s="292" t="str">
        <f t="shared" si="343"/>
        <v/>
      </c>
      <c r="ML60" s="292" t="str">
        <f t="shared" si="344"/>
        <v/>
      </c>
      <c r="MM60" s="759" t="str">
        <f t="shared" si="345"/>
        <v/>
      </c>
      <c r="MN60" s="759" t="str">
        <f>IF(A60=FALSE,"",((MH60*TAXE)-(MH60*TAXE*MJ60))+IF(#REF!="N/A",0,IF(INDEX(LISTES!$F$105:$F$109,MATCH(#REF!,LISTES!$C$105:$C$109,0))="FIX",#REF!,#REF!*MM60)))</f>
        <v/>
      </c>
      <c r="NA60" s="432" t="str">
        <f t="shared" si="346"/>
        <v/>
      </c>
      <c r="NB60" s="1234" t="str">
        <f>IF(A60=FALSE,"",IF(Detail!CH60="","N/A",YEAR(Detail!F60)&amp;Detail!CK60&amp;Detail!CH60&amp;"-"&amp;Detail!$CH$13&amp;" (100%/"&amp;Detail!CL60&amp;"/"&amp;Detail!CM60&amp;")"))</f>
        <v/>
      </c>
      <c r="NC60" s="431" t="str">
        <f>IF(A60=FALSE,"",IF(LISTES!$A$17=1,NB60,INDEX(colMOD6,MATCH(DA60,colchoice,0))))</f>
        <v/>
      </c>
      <c r="ND60" s="759" t="str">
        <f t="shared" si="347"/>
        <v/>
      </c>
      <c r="NE60" s="292"/>
      <c r="NF60" s="409" t="str">
        <f t="shared" si="348"/>
        <v/>
      </c>
      <c r="NG60" s="430" t="str">
        <f>IF(A60=FALSE,"",Cotations!BU60*AA60)</f>
        <v/>
      </c>
      <c r="NH60" s="292" t="str">
        <f t="shared" si="349"/>
        <v/>
      </c>
      <c r="NI60" s="446" t="str">
        <f>IF(A60=FALSE,"",IF(Cotations!AU60="monthly",NH60/12*L60,NH60/365*M60))</f>
        <v/>
      </c>
      <c r="NJ60" s="429" t="str">
        <f>IF(A60=FALSE,"",IF(Cotations!BV60="","",Cotations!BV60))</f>
        <v/>
      </c>
      <c r="NK60" s="292" t="str">
        <f t="shared" si="350"/>
        <v/>
      </c>
      <c r="NL60" s="292" t="str">
        <f t="shared" si="351"/>
        <v/>
      </c>
      <c r="NM60" s="759" t="str">
        <f t="shared" si="352"/>
        <v/>
      </c>
      <c r="NN60" s="759" t="str">
        <f>IF(A60=FALSE,"",((NH60*TAXE)-(NH60*TAXE*NJ60))+IF(#REF!="N/A",0,IF(INDEX(LISTES!$F$105:$F$109,MATCH(#REF!,LISTES!$C$105:$C$109,0))="FIX",#REF!,#REF!*NM60)))</f>
        <v/>
      </c>
      <c r="NZ60" s="1281" t="str">
        <f>IF(A60=FALSE,"",IF(Detail!CP60="","N/A",YEAR(Detail!F60)&amp;Detail!CS60&amp;Detail!CP60&amp;"-"&amp;Detail!CQ60))</f>
        <v/>
      </c>
      <c r="OA60" s="432" t="str">
        <f>IF(A60=FALSE,"",Cotations!CF60)</f>
        <v/>
      </c>
      <c r="OB60" s="1282" t="str">
        <f>IF(A60=FALSE,"",IF(Detail!CP60="","N/A",YEAR(Detail!F60)&amp;Detail!CS60&amp;Detail!CP60&amp;"-"&amp;Detail!$CP$13&amp;Detail!CQ60))</f>
        <v/>
      </c>
      <c r="OC60" s="1283" t="str">
        <f>IF(A60=FALSE,"",IF(LISTES!$A$17=1,OB60,INDEX(colMOD1,MATCH(Cotations!CE60,colchoice,0))))</f>
        <v/>
      </c>
      <c r="OD60" s="759" t="str">
        <f t="shared" si="353"/>
        <v/>
      </c>
      <c r="OE60" s="292" t="str">
        <f>IF(A60=FALSE,"",Detail!CQ60)</f>
        <v/>
      </c>
      <c r="OF60" s="409" t="str">
        <f t="shared" si="354"/>
        <v/>
      </c>
      <c r="OG60" s="430" t="str">
        <f>IF(A60=FALSE,"",IF(OA60="FIXE",Cotations!CM60,Cotations!CN60*AA60))</f>
        <v/>
      </c>
      <c r="OH60" s="292" t="str">
        <f t="shared" si="288"/>
        <v/>
      </c>
      <c r="OI60" s="446" t="str">
        <f>IF(A60=FALSE,"",IF(Cotations!CF60="monthly",OH60/12*L60,OH60/365*M60))</f>
        <v/>
      </c>
      <c r="OJ60" s="429" t="str">
        <f>IF(A60=FALSE,"",IF(Cotations!CO60="","",Cotations!CO60))</f>
        <v/>
      </c>
      <c r="OK60" s="292" t="str">
        <f t="shared" si="289"/>
        <v/>
      </c>
      <c r="OL60" s="292" t="str">
        <f t="shared" si="290"/>
        <v/>
      </c>
      <c r="OM60" s="759" t="str">
        <f t="shared" si="355"/>
        <v/>
      </c>
      <c r="ON60" s="759" t="str">
        <f>IF(A60=FALSE,"",((OH60*(1+TAXE)-(OH60*(1+TAXE)*OJ60))+IF(#REF!="N/A",0,IF(INDEX(LISTES!$F$105:$F$109,MATCH(#REF!,LISTES!$C$105:$C$109,0))="FIX",#REF!,#REF!*OM60))))</f>
        <v/>
      </c>
      <c r="PA60" s="432" t="str">
        <f>IF(A60=FALSE,"",Cotations!CF60)</f>
        <v/>
      </c>
      <c r="PB60" s="1282" t="str">
        <f>IF(A60=FALSE,"",IF(Detail!CX60="","N/A",YEAR(Detail!F60)&amp;Detail!DA60&amp;Detail!CX60&amp;"-"&amp;Detail!$CX$13&amp;Detail!CY60))</f>
        <v/>
      </c>
      <c r="PC60" s="1283" t="str">
        <f>IF(A60=FALSE,"",IF(LISTES!$A$17=1,PB60,INDEX(colMOD3,MATCH(Cotations!CE60,colchoice,0))))</f>
        <v/>
      </c>
      <c r="PD60" s="759" t="str">
        <f t="shared" si="356"/>
        <v/>
      </c>
      <c r="PE60" s="292" t="str">
        <f>IF(A60=FALSE,"",IF(Detail!CY60="","",Detail!CY60))</f>
        <v/>
      </c>
      <c r="PF60" s="409" t="str">
        <f t="shared" si="291"/>
        <v/>
      </c>
      <c r="PG60" s="430" t="str">
        <f>IF(A60=FALSE,"",IF(PA60="FIXE",Cotations!CP60,Cotations!CQ60*AA60))</f>
        <v/>
      </c>
      <c r="PH60" s="292" t="str">
        <f t="shared" si="292"/>
        <v/>
      </c>
      <c r="PI60" s="446" t="str">
        <f>IF(A60=FALSE,"",IF(Cotations!CG60="monthly",PH60/12*L60,PH60/365*M60))</f>
        <v/>
      </c>
      <c r="PJ60" s="429" t="str">
        <f>IF(A60=FALSE,"",IF(Cotations!DA60="",0,Cotations!DA60))</f>
        <v/>
      </c>
      <c r="PK60" s="292" t="str">
        <f t="shared" si="293"/>
        <v/>
      </c>
      <c r="PL60" s="292" t="str">
        <f t="shared" si="294"/>
        <v/>
      </c>
      <c r="PM60" s="759" t="str">
        <f t="shared" si="357"/>
        <v/>
      </c>
      <c r="PN60" s="759" t="str">
        <f>IF(A60=FALSE,"",((PH60*(1+TAXE)-(PH60*(1+TAXE)*PJ60))+IF(#REF!="N/A",0,IF(INDEX(LISTES!$F$105:$F$109,MATCH(#REF!,LISTES!$C$105:$C$109,0))="FIX",#REF!,#REF!*PM60))))</f>
        <v/>
      </c>
    </row>
    <row r="61" spans="1:430">
      <c r="A61" s="779" t="b">
        <f t="shared" si="295"/>
        <v>0</v>
      </c>
      <c r="B61" s="779" t="b">
        <f>IF(NAMES!$B$9=TRUE,TRUE,FALSE)</f>
        <v>1</v>
      </c>
      <c r="C61" s="779" t="b">
        <f t="shared" si="212"/>
        <v>0</v>
      </c>
      <c r="D61" s="779" t="b">
        <f t="shared" si="213"/>
        <v>0</v>
      </c>
      <c r="E61" s="267" t="b">
        <f>IF(Cotations!C61="","",Cotations!C61)</f>
        <v>0</v>
      </c>
      <c r="F61" s="267" t="str">
        <f>IF(Cotations!AT61="","",Cotations!AT61)</f>
        <v>PROP</v>
      </c>
      <c r="G61" s="267" t="str">
        <f>IF(Cotations!D61="","",Cotations!D61)</f>
        <v>2016-2017!</v>
      </c>
      <c r="H61" s="267" t="str">
        <f>IF(Cotations!E61="","",Cotations!E61)</f>
        <v>SINGLE</v>
      </c>
      <c r="I61" s="267" t="str">
        <f>IF(Cotations!F61="","",Cotations!F61)</f>
        <v/>
      </c>
      <c r="J61" s="267" t="str">
        <f>IF(Cotations!G61="","",Cotations!G61)</f>
        <v/>
      </c>
      <c r="K61" s="267" t="str">
        <f>IF(Cotations!H61="","",Cotations!H61)</f>
        <v/>
      </c>
      <c r="L61" s="267" t="str">
        <f>IF(A61=FALSE,"",IF(Cotations!M61="","",Cotations!M61))</f>
        <v/>
      </c>
      <c r="M61" s="267" t="str">
        <f>IF(Cotations!O61="","",Cotations!O61)</f>
        <v/>
      </c>
      <c r="N61" s="588" t="str">
        <f>IF(NAMES!$B$10=TRUE,Cotations!I61,Cotations!K61)</f>
        <v/>
      </c>
      <c r="O61" s="588" t="str">
        <f>IF(NAMES!$B$10=TRUE,Cotations!J61,Cotations!L61)</f>
        <v/>
      </c>
      <c r="P61" s="780" t="str">
        <f t="shared" si="214"/>
        <v/>
      </c>
      <c r="Q61" s="588" t="str">
        <f>IF(A61=FALSE,"",IF(Crewlist!Y61="","",Crewlist!Y61))</f>
        <v/>
      </c>
      <c r="R61" s="78" t="str">
        <f>IF(Cotations!T61="","",Cotations!T61)</f>
        <v/>
      </c>
      <c r="S61" s="780" t="str">
        <f t="shared" si="215"/>
        <v/>
      </c>
      <c r="T61" s="759" t="str">
        <f>IF(A61=FALSE,"",VLOOKUP($U$15:$U$120,Currency!$A$2:$D$10,4,0)*Crewlist!N61)</f>
        <v/>
      </c>
      <c r="U61" s="1097" t="str">
        <f>IF(A61=FALSE,"",IF(DP61=0,Crewlist!M61&amp;"/"&amp;CP61,Crewlist!M61&amp;"/"&amp;DP61))</f>
        <v/>
      </c>
      <c r="V61" s="759" t="str">
        <f>IF(A61=FALSE,"",VLOOKUP($U$15:$U$120,Currency!$A$2:$D$10,4,0)*Detail!Q61)</f>
        <v/>
      </c>
      <c r="W61" s="1097" t="str">
        <f>IF(A61=FALSE,"",IF(DP61=0,Detail!R61&amp;"/"&amp;CP61,Detail!R61&amp;"/"&amp;DP61))</f>
        <v/>
      </c>
      <c r="X61" s="759" t="str">
        <f>IF(A61=FALSE,"",IF(LISTES!$C$17="Crewlist",Calcul!T61,Calcul!V61))</f>
        <v/>
      </c>
      <c r="Y61" s="618" t="str">
        <f t="shared" si="216"/>
        <v/>
      </c>
      <c r="Z61" s="618" t="str">
        <f>IF(A61=FALSE,"",IF(X61=0,0,IF((Cotations!BA61*12*X61)&lt;50000,50000,(12*X61))))</f>
        <v/>
      </c>
      <c r="AA61" s="618" t="str">
        <f t="shared" si="217"/>
        <v/>
      </c>
      <c r="AB61" s="618" t="str">
        <f>IF(A61=FALSE,"",IF(Crewlist!O61=0,"",Crewlist!O61))</f>
        <v/>
      </c>
      <c r="AC61" s="618" t="str">
        <f>IF(I61="","",VLOOKUP($AB$15:$AB$120,Currency!$A$15:$B$34,2,0))</f>
        <v/>
      </c>
      <c r="AD61" s="618" t="str">
        <f t="shared" si="218"/>
        <v/>
      </c>
      <c r="AE61" s="618" t="str">
        <f t="shared" si="219"/>
        <v/>
      </c>
      <c r="AF61" s="618" t="str">
        <f t="shared" si="220"/>
        <v/>
      </c>
      <c r="AG61" s="618" t="str">
        <f t="shared" si="221"/>
        <v/>
      </c>
      <c r="AH61" s="1097" t="str">
        <f t="shared" si="296"/>
        <v/>
      </c>
      <c r="AI61" s="759" t="str">
        <f t="shared" si="222"/>
        <v/>
      </c>
      <c r="AJ61" s="1120" t="str">
        <f t="shared" si="223"/>
        <v/>
      </c>
      <c r="AK61" s="1120" t="str">
        <f t="shared" si="224"/>
        <v/>
      </c>
      <c r="AL61" s="236" t="str">
        <f t="shared" si="225"/>
        <v/>
      </c>
      <c r="AM61" s="236" t="str">
        <f t="shared" si="226"/>
        <v/>
      </c>
      <c r="AN61" s="1112" t="str">
        <f t="shared" si="227"/>
        <v/>
      </c>
      <c r="AO61" s="236" t="str">
        <f t="shared" si="228"/>
        <v/>
      </c>
      <c r="AP61" s="327" t="str">
        <f>IF(A61=FALSE,"",INDEX(Rates!$Q$1:$Q$278,MATCH(CA61,colchoice,0)))</f>
        <v/>
      </c>
      <c r="AQ61" s="236" t="str">
        <f t="shared" si="229"/>
        <v/>
      </c>
      <c r="AR61" s="236" t="str">
        <f t="shared" si="230"/>
        <v/>
      </c>
      <c r="AS61" s="236" t="str">
        <f t="shared" si="297"/>
        <v/>
      </c>
      <c r="AT61" s="236" t="str">
        <f t="shared" si="298"/>
        <v/>
      </c>
      <c r="AU61" s="236" t="str">
        <f t="shared" si="231"/>
        <v/>
      </c>
      <c r="AV61" s="236" t="str">
        <f t="shared" si="232"/>
        <v/>
      </c>
      <c r="AW61" s="236" t="str">
        <f t="shared" si="233"/>
        <v/>
      </c>
      <c r="AX61" s="236" t="str">
        <f t="shared" si="234"/>
        <v/>
      </c>
      <c r="AY61" s="236" t="str">
        <f t="shared" si="235"/>
        <v/>
      </c>
      <c r="AZ61" s="236" t="str">
        <f t="shared" si="236"/>
        <v/>
      </c>
      <c r="BA61" s="236" t="str">
        <f t="shared" si="237"/>
        <v/>
      </c>
      <c r="BB61" s="467" t="str">
        <f t="shared" si="238"/>
        <v/>
      </c>
      <c r="BC61" s="329" t="str">
        <f t="shared" si="239"/>
        <v/>
      </c>
      <c r="BD61" s="237" t="str">
        <f t="shared" si="240"/>
        <v/>
      </c>
      <c r="BE61" s="237" t="str">
        <f>IF(A61=FALSE,"",IF(ED61&lt;&gt;$BC$7,0,INDEX(EA61:EZ61,1,MATCH(Structure!$J$16,$EA$14:$EZ$14,0))))</f>
        <v/>
      </c>
      <c r="BF61" s="237" t="str">
        <f>IF(A61=FALSE,"",IF(FD61&lt;&gt;$BC$7,0,INDEX(FA61:FZ61,1,MATCH(Structure!$J$16,$FA$14:$FZ$14,0))))</f>
        <v/>
      </c>
      <c r="BG61" s="237" t="str">
        <f>IF(A61=FALSE,"",IF(GD61&lt;&gt;$BC$7,0,INDEX(GA61:GZ61,1,MATCH(Structure!$J$16,$GA$14:$GZ$14,0))))</f>
        <v/>
      </c>
      <c r="BH61" s="237" t="str">
        <f>IF(A61=FALSE,"",IF(HD61&lt;&gt;$BC$7,0,INDEX(HA61:HZ61,1,MATCH(Structure!$J$16,$HA$14:$HZ$14,0))))</f>
        <v/>
      </c>
      <c r="BI61" s="621" t="str">
        <f>IF(A61=FALSE,"",IF(ID61&lt;&gt;$BC$7,0,INDEX(IA61:IZ61,1,MATCH(Structure!$C$12,$IA$14:$IZ$14,0)))+OL61)</f>
        <v/>
      </c>
      <c r="BJ61" s="237" t="str">
        <f>IF(A61=FALSE,"",IF(JD61&lt;&gt;$BC$7,0,INDEX(JA61:JZ61,1,MATCH(Structure!$C$12,$JA$14:$JZ$14,0))))</f>
        <v/>
      </c>
      <c r="BK61" s="621" t="str">
        <f>IF(A61=FALSE,"",IF(KD61&lt;&gt;$BC$7,0,INDEX(KA61:KZ61,1,MATCH(Structure!$C$12,$KA$14:$KZ$14,0)))+PL61)</f>
        <v/>
      </c>
      <c r="BL61" s="237" t="str">
        <f>IF(A61=FALSE,"",IF(LD61&lt;&gt;$BC$7,0,INDEX(LA61:LZ61,1,MATCH(Structure!$C$12,$LA$14:$LZ$14,0))))</f>
        <v/>
      </c>
      <c r="BM61" s="237" t="str">
        <f>IF(A61=FALSE,"",IF(MD61&lt;&gt;$BC$7,0,INDEX(MA61:MZ61,1,MATCH(Structure!$C$12,$MA$14:$MZ$14,0))))</f>
        <v/>
      </c>
      <c r="BN61" s="326" t="str">
        <f>IF(A61=FALSE,"",IF(ND61&lt;&gt;$BC$7,0,INDEX(NA61:OC61,1,MATCH(Structure!$C$12,$NA$14:$OC$14,0))))</f>
        <v/>
      </c>
      <c r="BO61" s="435" t="str">
        <f t="shared" si="241"/>
        <v/>
      </c>
      <c r="BP61" s="237" t="str">
        <f t="shared" si="242"/>
        <v/>
      </c>
      <c r="BQ61" s="237" t="str">
        <f>IF(A61=FALSE,"",IF(ED61&lt;&gt;$BO$7,0,INDEX(EA61:EZ61,1,MATCH(Structure!$C$12,$EA$14:$EZ$14,0))))</f>
        <v/>
      </c>
      <c r="BR61" s="237" t="str">
        <f>IF(A61=FALSE,"",IF(FD61&lt;&gt;$BO$7,0,INDEX(FA61:FZ61,1,MATCH(Structure!$C$12,$FA$14:$FZ$14,0))))</f>
        <v/>
      </c>
      <c r="BS61" s="237" t="str">
        <f>IF(A61=FALSE,"",IF(ID61&lt;&gt;$BO$7,0,INDEX(IA61:IZ61,1,MATCH(Structure!$C$13,$IA$14:$IZ$14,0))))</f>
        <v/>
      </c>
      <c r="BT61" s="237" t="str">
        <f>IF(A61=FALSE,"",IF(JD61&lt;&gt;$BO$7,0,INDEX(JA61:JZ61,1,MATCH(Structure!$C$13,$JA$14:$JZ$14,0))))</f>
        <v/>
      </c>
      <c r="BU61" s="237" t="str">
        <f>IF(A61=FALSE,"",IF(KD61&lt;&gt;$BO$7,0,INDEX(KA61:KZ61,1,MATCH(Structure!$C$13,$KA$14:$KZ$14,0))))</f>
        <v/>
      </c>
      <c r="BV61" s="237" t="str">
        <f>IF(A61=FALSE,"",IF(LD61&lt;&gt;$BO$7,0,INDEX(LA61:LZ61,1,MATCH(Structure!$C$13,$LA$14:$LZ$14,0))))</f>
        <v/>
      </c>
      <c r="BW61" s="237" t="str">
        <f>IF(A61=FALSE,"",IF(MD61&lt;&gt;$BO$7,0,INDEX(MA61:MZ61,1,MATCH(Structure!$C$13,$MA$14:$MZ$14,0))))</f>
        <v/>
      </c>
      <c r="BX61" s="326" t="str">
        <f>IF(A61=FALSE,"",IF(ND61&lt;&gt;$BO$7,0,INDEX(NA61:OC61,1,MATCH(Structure!$C$13,$NA$14:$OC$14,0))))</f>
        <v/>
      </c>
      <c r="BY61" s="412"/>
      <c r="BZ61" s="412"/>
      <c r="CA61" s="1255" t="str">
        <f>IF(A61=FALSE,"",IF(LISTES!$A$17=1,Cotations!AG61,Cotations!AH61))</f>
        <v/>
      </c>
      <c r="CB61" s="1266" t="str">
        <f t="shared" si="243"/>
        <v/>
      </c>
      <c r="CC61" s="1120" t="str">
        <f t="shared" si="244"/>
        <v/>
      </c>
      <c r="CD61" s="1120" t="str">
        <f t="shared" si="245"/>
        <v/>
      </c>
      <c r="CE61" s="1120" t="str">
        <f t="shared" si="246"/>
        <v/>
      </c>
      <c r="CF61" s="1120" t="str">
        <f t="shared" si="247"/>
        <v/>
      </c>
      <c r="CG61" s="1267"/>
      <c r="CH61" s="1267"/>
      <c r="CI61" s="1268" t="str">
        <f t="shared" si="248"/>
        <v/>
      </c>
      <c r="CJ61" s="286" t="str">
        <f t="shared" si="249"/>
        <v/>
      </c>
      <c r="CK61" s="286" t="str">
        <f t="shared" si="250"/>
        <v/>
      </c>
      <c r="CL61" s="1263"/>
      <c r="CM61" s="1263"/>
      <c r="CN61" s="1263"/>
      <c r="CO61" s="1263"/>
      <c r="CP61" s="319" t="str">
        <f t="shared" si="251"/>
        <v/>
      </c>
      <c r="CQ61" s="443" t="str">
        <f>IF(A61=FALSE,"",Cotations!AM61)</f>
        <v/>
      </c>
      <c r="CR61" s="443" t="str">
        <f>IF(A61=FALSE,"",IF(Cotations!AN61="","",Cotations!AN61))</f>
        <v/>
      </c>
      <c r="CS61" s="433" t="str">
        <f>IF(A61=FALSE,"",Cotations!AO61)</f>
        <v/>
      </c>
      <c r="CT61" s="443" t="str">
        <f>IF(A61=FALSE,"",IF(CQ61="N/A",0,IF(INDEX(LISTES!$F$105:$F$109,MATCH(CQ61,LISTES!$C$105:$C$109,0))="FIX",IF(INDEX(LISTES!$E$105:$E$109,MATCH(CQ61,LISTES!$C$105:$C$109,0))=12,CR61/12*L61,CR61/365*M61),CS61*EQ61)))</f>
        <v/>
      </c>
      <c r="CU61" s="434" t="str">
        <f>IF(A61=FALSE,"",(CJ61+CK61)*Cotations!AP61)</f>
        <v/>
      </c>
      <c r="CV61" s="434" t="str">
        <f>IF(A61=FALSE,"",(CJ61+CK61)*Cotations!AQ61)</f>
        <v/>
      </c>
      <c r="DA61" s="1253" t="str">
        <f>IF(A61=FALSE,"",IF(LISTES!$A$17=1,Cotations!AV61,Cotations!AW61))</f>
        <v/>
      </c>
      <c r="DB61" s="1271" t="str">
        <f t="shared" si="252"/>
        <v/>
      </c>
      <c r="DC61" s="1270" t="str">
        <f t="shared" si="253"/>
        <v/>
      </c>
      <c r="DD61" s="1270" t="str">
        <f t="shared" si="254"/>
        <v/>
      </c>
      <c r="DE61" s="1270" t="str">
        <f t="shared" si="255"/>
        <v/>
      </c>
      <c r="DF61" s="1270" t="str">
        <f t="shared" si="256"/>
        <v/>
      </c>
      <c r="DG61" s="1270" t="str">
        <f t="shared" si="257"/>
        <v/>
      </c>
      <c r="DH61" s="1270" t="str">
        <f t="shared" si="258"/>
        <v/>
      </c>
      <c r="DI61" s="1271" t="str">
        <f t="shared" si="259"/>
        <v/>
      </c>
      <c r="DJ61" s="286" t="str">
        <f t="shared" si="260"/>
        <v/>
      </c>
      <c r="DK61" s="286" t="str">
        <f t="shared" si="261"/>
        <v/>
      </c>
      <c r="DL61" s="1264" t="str">
        <f t="shared" si="262"/>
        <v/>
      </c>
      <c r="DM61" s="1264" t="str">
        <f t="shared" si="263"/>
        <v/>
      </c>
      <c r="DN61" s="1264" t="str">
        <f t="shared" si="264"/>
        <v/>
      </c>
      <c r="DO61" s="1264" t="str">
        <f t="shared" si="265"/>
        <v/>
      </c>
      <c r="DP61" s="323" t="str">
        <f t="shared" si="299"/>
        <v/>
      </c>
      <c r="DQ61" s="444" t="str">
        <f>IF(A61=FALSE,"",Cotations!BW61)</f>
        <v/>
      </c>
      <c r="DR61" s="444" t="str">
        <f>IF(A61=FALSE,"",Cotations!BX61)</f>
        <v/>
      </c>
      <c r="DS61" s="433" t="str">
        <f>IF(A61=FALSE,"",Cotations!BY61)</f>
        <v/>
      </c>
      <c r="DT61" s="830" t="str">
        <f>IF(A61=FALSE,"",IF(DQ61="N/A",0,IF(INDEX(LISTES!$F$105:$F$109,MATCH(DQ61,LISTES!$C$105:$C$109,0))="FIX",IF(INDEX(LISTES!$E$105:$E$109,MATCH(DQ61,LISTES!$C$105:$C$109,0))=12,DR61/12*L61,DR61/365*M61),DS61*(DN61+DO61))))</f>
        <v/>
      </c>
      <c r="DU61" s="434" t="str">
        <f>IF(A61=FALSE,"",DJ61*Cotations!BZ61)</f>
        <v/>
      </c>
      <c r="DV61" s="434" t="str">
        <f>IF(A61=FALSE,"",DJ61*Cotations!CA61)</f>
        <v/>
      </c>
      <c r="EA61" s="432" t="str">
        <f>IF(A61=FALSE,"",Cotations!AT61)</f>
        <v/>
      </c>
      <c r="EB61" s="1234" t="str">
        <f>IF(A61=FALSE,"",YEAR(Detail!F61)&amp;Detail!AG61&amp;Detail!AD61&amp;"-"&amp;Detail!$AD$13&amp;Detail!AE61)</f>
        <v/>
      </c>
      <c r="EC61" s="434" t="str">
        <f>IF(A61=FALSE,"",IF(LISTES!$A$17=1,EB61,INDEX(colMOD1,MATCH(Cotations!AH61,colchoice,0))))</f>
        <v/>
      </c>
      <c r="ED61" s="277" t="str">
        <f t="shared" si="300"/>
        <v/>
      </c>
      <c r="EE61" s="277" t="str">
        <f t="shared" si="301"/>
        <v/>
      </c>
      <c r="EF61" s="277"/>
      <c r="EG61" s="277"/>
      <c r="EH61" s="277" t="str">
        <f t="shared" si="302"/>
        <v/>
      </c>
      <c r="EI61" s="1104" t="str">
        <f t="shared" si="303"/>
        <v/>
      </c>
      <c r="EJ61" s="1104" t="str">
        <f t="shared" si="304"/>
        <v/>
      </c>
      <c r="EK61" s="443" t="str">
        <f>IF(A61=FALSE,"",IF(Cotations!AF61="monthly",EH61/12*L61,EH61/365*M61))</f>
        <v/>
      </c>
      <c r="EL61" s="1103" t="str">
        <f>IF(A61=FALSE,"",IF(Cotations!AF61="monthly",EJ61/12*L61,EJ61/365*M61))</f>
        <v/>
      </c>
      <c r="EM61" s="433" t="str">
        <f>IF(A61=FALSE,"",IF(Cotations!AI61="","",Cotations!AI61))</f>
        <v/>
      </c>
      <c r="EN61" s="277" t="str">
        <f t="shared" si="305"/>
        <v/>
      </c>
      <c r="EO61" s="277" t="str">
        <f t="shared" si="306"/>
        <v/>
      </c>
      <c r="EP61" s="1104" t="str">
        <f t="shared" si="307"/>
        <v/>
      </c>
      <c r="EQ61" s="277" t="str">
        <f t="shared" si="308"/>
        <v/>
      </c>
      <c r="ER61" s="759" t="str">
        <f>IF(A61=FALSE,"",((EH61*TAXE)-(EH61*TAXE*EM61)+EI61)+IF(CQ61="N/A",0,IF(INDEX(LISTES!$F$105:$F$109,MATCH(CQ61,LISTES!$C$105:$C$109,0))="FIX",CR61,CS61*EQ61)))</f>
        <v/>
      </c>
      <c r="ET61" s="422"/>
      <c r="EU61" s="422"/>
      <c r="EV61" s="422"/>
      <c r="EW61" s="422"/>
      <c r="EX61" s="422"/>
      <c r="EY61" s="422"/>
      <c r="EZ61" s="422"/>
      <c r="FA61" s="432" t="str">
        <f>IF(A61=FALSE,"",Cotations!AT61)</f>
        <v/>
      </c>
      <c r="FB61" s="1235" t="str">
        <f>IF(A61=FALSE,"",IF(Detail!AL61="","N/A",YEAR(Detail!F61)&amp;Detail!AO61&amp;Detail!AL61&amp;"-"&amp;Detail!$AL$13&amp;Detail!AM61))</f>
        <v/>
      </c>
      <c r="FC61" s="434" t="str">
        <f>IF(A61=FALSE,"",IF(LISTES!$A$17=1,FB61,INDEX(colMOD2,MATCH(Cotations!AH61,colchoice,0))))</f>
        <v/>
      </c>
      <c r="FD61" s="277" t="str">
        <f t="shared" si="309"/>
        <v/>
      </c>
      <c r="FE61" s="443" t="str">
        <f>IF(A61=FALSE,"",IF(Detail!AM61="","",Detail!AM61))</f>
        <v/>
      </c>
      <c r="FF61" s="277"/>
      <c r="FG61" s="277"/>
      <c r="FH61" s="277" t="str">
        <f t="shared" si="310"/>
        <v/>
      </c>
      <c r="FI61" s="1104"/>
      <c r="FJ61" s="1104"/>
      <c r="FK61" s="443" t="str">
        <f>IF(A61=FALSE,"",IF(Cotations!AF61="monthly",FH61/12*L61,FH61/365*M61))</f>
        <v/>
      </c>
      <c r="FL61" s="1103" t="str">
        <f>IF(A61=FALSE,"",IF(Cotations!AF61="monthly",FJ61/12*L61,FJ61/365*M61))</f>
        <v/>
      </c>
      <c r="FM61" s="433" t="str">
        <f>IF(A61=FALSE,"",IF(Cotations!AJ61="","",Cotations!AJ61))</f>
        <v/>
      </c>
      <c r="FN61" s="277" t="str">
        <f t="shared" si="268"/>
        <v/>
      </c>
      <c r="FO61" s="277" t="str">
        <f t="shared" si="269"/>
        <v/>
      </c>
      <c r="FP61" s="1104"/>
      <c r="FQ61" s="277" t="str">
        <f t="shared" si="270"/>
        <v/>
      </c>
      <c r="FR61" s="759" t="str">
        <f>IF(A61=FALSE,"",((FH61*TAXE)-(FH61*TAXE*FM61))+IF(#REF!="N/A",0,IF(INDEX(LISTES!$F$105:$F$109,MATCH(#REF!,LISTES!$C$105:$C$109,0))="FIX",#REF!,#REF!*FQ61)))</f>
        <v/>
      </c>
      <c r="FS61" s="422"/>
      <c r="FT61" s="422"/>
      <c r="FU61" s="422"/>
      <c r="FV61" s="422"/>
      <c r="FW61" s="422"/>
      <c r="FX61" s="422"/>
      <c r="FY61" s="422"/>
      <c r="FZ61" s="422"/>
      <c r="GA61" s="432" t="str">
        <f t="shared" si="311"/>
        <v/>
      </c>
      <c r="GB61" s="1234" t="str">
        <f>IF(A61=FALSE,"",IF(Detail!DF61="","N/A",YEAR(Detail!F61)&amp;Detail!DI61&amp;Detail!DF61&amp;"-"&amp;Detail!$DF$13))</f>
        <v/>
      </c>
      <c r="GC61" s="434" t="str">
        <f>IF(A61=FALSE,"",IF(LISTES!$A$17=1,GB61,INDEX(colMOD3,MATCH(Cotations!AH61,colchoice,0))))</f>
        <v/>
      </c>
      <c r="GD61" s="277" t="str">
        <f t="shared" si="312"/>
        <v/>
      </c>
      <c r="GE61" s="277" t="str">
        <f t="shared" si="313"/>
        <v/>
      </c>
      <c r="GF61" s="277"/>
      <c r="GG61" s="277"/>
      <c r="GH61" s="277" t="str">
        <f t="shared" si="271"/>
        <v/>
      </c>
      <c r="GI61" s="1104" t="str">
        <f t="shared" si="272"/>
        <v/>
      </c>
      <c r="GJ61" s="1104" t="str">
        <f t="shared" si="273"/>
        <v/>
      </c>
      <c r="GK61" s="443" t="str">
        <f>IF(A61=FALSE,"",IF(Cotations!AF61="monthly",GH61/12*L61,GH61/365*M61))</f>
        <v/>
      </c>
      <c r="GL61" s="1103" t="str">
        <f>IF(A61=FALSE,"",IF(Cotations!AF61="monthly",GJ61/12*L61,GJ61/365*M61))</f>
        <v/>
      </c>
      <c r="GM61" s="433" t="str">
        <f>IF(A61=FALSE,"",IF(Cotations!AK61="","",Cotations!AK61))</f>
        <v/>
      </c>
      <c r="GN61" s="277" t="str">
        <f t="shared" si="274"/>
        <v/>
      </c>
      <c r="GO61" s="277" t="str">
        <f t="shared" si="275"/>
        <v/>
      </c>
      <c r="GP61" s="1104" t="str">
        <f t="shared" si="276"/>
        <v/>
      </c>
      <c r="GQ61" s="277" t="str">
        <f t="shared" si="277"/>
        <v/>
      </c>
      <c r="GR61" s="759" t="str">
        <f>IF(A61=FALSE,"",((GH61*TAXE)-(GH61*TAXE*GM61)+GI61)+IF(CQ61="N/A",0,IF(INDEX(LISTES!$F$105:$F$109,MATCH(CQ61,LISTES!$C$105:$C$109,0))="FIX",CR61,CS61*GQ61)))</f>
        <v/>
      </c>
      <c r="GS61" s="412"/>
      <c r="GT61" s="412"/>
      <c r="GU61" s="412"/>
      <c r="GV61" s="412"/>
      <c r="GW61" s="412"/>
      <c r="GX61" s="412"/>
      <c r="GY61" s="412"/>
      <c r="GZ61" s="412"/>
      <c r="HA61" s="432" t="str">
        <f t="shared" si="314"/>
        <v/>
      </c>
      <c r="HB61" s="1234" t="str">
        <f>IF(A61=FALSE,"",IF(Detail!DF61="","N/A",YEAR(Detail!F61)&amp;Detail!DI61&amp;Detail!DF61&amp;"-"&amp;Detail!$DF$13))</f>
        <v/>
      </c>
      <c r="HC61" s="434" t="str">
        <f>IF(A61=FALSE,"",IF(LISTES!$A$17=1,HB61,INDEX(colMOD4,MATCH(Cotations!AH61,colchoice,0))))</f>
        <v/>
      </c>
      <c r="HD61" s="277" t="str">
        <f t="shared" si="278"/>
        <v/>
      </c>
      <c r="HE61" s="277" t="str">
        <f t="shared" si="279"/>
        <v/>
      </c>
      <c r="HF61" s="277"/>
      <c r="HG61" s="277"/>
      <c r="HH61" s="277" t="str">
        <f t="shared" si="280"/>
        <v/>
      </c>
      <c r="HI61" s="1104" t="str">
        <f t="shared" si="281"/>
        <v/>
      </c>
      <c r="HJ61" s="1104" t="str">
        <f t="shared" si="282"/>
        <v/>
      </c>
      <c r="HK61" s="443" t="str">
        <f>IF(A61=FALSE,"",IF(Cotations!AF61="monthly",HH61/12*L61,HH61/365*M61))</f>
        <v/>
      </c>
      <c r="HL61" s="1103" t="str">
        <f>IF(A61=FALSE,"",IF(Cotations!AF61="monthly",HJ61/12*L61,HJ61/365*M61))</f>
        <v/>
      </c>
      <c r="HM61" s="433" t="str">
        <f>IF(A61=FALSE,"",IF(Cotations!AL61="","",Cotations!AL61))</f>
        <v/>
      </c>
      <c r="HN61" s="277" t="str">
        <f t="shared" si="283"/>
        <v/>
      </c>
      <c r="HO61" s="277" t="str">
        <f t="shared" si="284"/>
        <v/>
      </c>
      <c r="HP61" s="1104" t="str">
        <f t="shared" si="285"/>
        <v/>
      </c>
      <c r="HQ61" s="277" t="str">
        <f t="shared" si="286"/>
        <v/>
      </c>
      <c r="HR61" s="759" t="str">
        <f>IF(A61=FALSE,"",((HH61*TAXE)-(HH61*TAXE*HM61)+HI61)+IF(CQ61="N/A",0,IF(INDEX(LISTES!$F$105:$F$109,MATCH(CQ61,LISTES!$C$105:$C$109,0))="FIX",CR61,CS61*HQ61)))</f>
        <v/>
      </c>
      <c r="HS61" s="412"/>
      <c r="HT61" s="412"/>
      <c r="HU61" s="412"/>
      <c r="HV61" s="412"/>
      <c r="HW61" s="412"/>
      <c r="HX61" s="412"/>
      <c r="HY61" s="412"/>
      <c r="HZ61" s="1262"/>
      <c r="IA61" s="432" t="str">
        <f>IF(A61=FALSE,"",Cotations!AT61)</f>
        <v/>
      </c>
      <c r="IB61" s="1253" t="str">
        <f>IF(A61=FALSE,"",IF(Detail!AT61="","N/A",YEAR(Detail!F61)&amp;Detail!AW61&amp;Detail!AT61&amp;"-"&amp;Detail!$AT$13&amp;Detail!AU61))</f>
        <v/>
      </c>
      <c r="IC61" s="431" t="str">
        <f>IF(A61=FALSE,"",IF(LISTES!$A$17=1,IB61,INDEX(colMOD1,MATCH(DA61,colchoice,0))))</f>
        <v/>
      </c>
      <c r="ID61" s="759" t="str">
        <f t="shared" si="358"/>
        <v/>
      </c>
      <c r="IE61" s="292" t="str">
        <f>IF(A61=FALSE,"",IF(LISTES!$A$17=1,Detail!AU61,INDEX(Rates!$M$1:$M$270,MATCH(IC61,colMOD1,0))))</f>
        <v/>
      </c>
      <c r="IF61" s="409" t="str">
        <f t="shared" si="359"/>
        <v/>
      </c>
      <c r="IG61" s="430" t="str">
        <f>IF(A61=FALSE,"",IF(IA61="POEA",Cotations!AY61,IF(IA61="FIXE",Cotations!AZ61,IF(Cotations!BA61*Y61&lt;50000,Z61,Cotations!BA61*Y61))))</f>
        <v/>
      </c>
      <c r="IH61" s="292" t="str">
        <f t="shared" si="360"/>
        <v/>
      </c>
      <c r="II61" s="446" t="str">
        <f>IF(A61=FALSE,"",IF(Cotations!AU61="monthly",IH61/12*L61,IH61/365*M61))</f>
        <v/>
      </c>
      <c r="IJ61" s="429" t="str">
        <f>IF(A61=FALSE,"",IF(Cotations!BB61="","",Cotations!BB61))</f>
        <v/>
      </c>
      <c r="IK61" s="292" t="str">
        <f t="shared" si="361"/>
        <v/>
      </c>
      <c r="IL61" s="292" t="str">
        <f t="shared" si="362"/>
        <v/>
      </c>
      <c r="IM61" s="759" t="str">
        <f t="shared" si="363"/>
        <v/>
      </c>
      <c r="IN61" s="759" t="str">
        <f>IF(A61=FALSE,"",((IH61*TAXE)-(IH61*TAXE*IJ61))+IF(DQ61="N/A",0,IF(INDEX(LISTES!$F$105:$F$109,MATCH(DQ61,LISTES!$C$105:$C$109,0))="FIX",DR61,DS61*IM61)))</f>
        <v/>
      </c>
      <c r="JA61" s="432" t="str">
        <f>IF(A61=FALSE,"",Cotations!AT61)</f>
        <v/>
      </c>
      <c r="JB61" s="1234" t="str">
        <f>IF(A61=FALSE,"",IF(Detail!BB61="","N/A",YEAR(Detail!F61)&amp;Detail!BE61&amp;Detail!BB61&amp;"-"&amp;Detail!$BB$13&amp;Detail!BC61))</f>
        <v/>
      </c>
      <c r="JC61" s="431" t="str">
        <f>IF(A61=FALSE,"",IF(LISTES!$A$17=1,JB61,INDEX(colMOD2,MATCH(DA61,colchoice,0))))</f>
        <v/>
      </c>
      <c r="JD61" s="759" t="str">
        <f t="shared" si="321"/>
        <v/>
      </c>
      <c r="JE61" s="292"/>
      <c r="JF61" s="409" t="str">
        <f t="shared" si="322"/>
        <v/>
      </c>
      <c r="JG61" s="430" t="str">
        <f>IF(A61=FALSE,"",IF(JA61="POEA",Cotations!BC61,IF(JA61="FIXE",Cotations!BD61,IF(Cotations!BE61*Y61&lt;50000,Z61,Cotations!BE61*Y61))))</f>
        <v/>
      </c>
      <c r="JH61" s="292" t="str">
        <f t="shared" si="323"/>
        <v/>
      </c>
      <c r="JI61" s="446" t="str">
        <f>IF(A61=FALSE,"",IF(Cotations!AU61="monthly",JH61/12*L61,JH61/365*M61))</f>
        <v/>
      </c>
      <c r="JJ61" s="429" t="str">
        <f>IF(A61=FALSE,"",IF(Cotations!BF61="","",Cotations!BF61))</f>
        <v/>
      </c>
      <c r="JK61" s="292" t="str">
        <f t="shared" si="324"/>
        <v/>
      </c>
      <c r="JL61" s="292" t="str">
        <f t="shared" si="325"/>
        <v/>
      </c>
      <c r="JM61" s="759" t="str">
        <f t="shared" si="326"/>
        <v/>
      </c>
      <c r="JN61" s="759" t="str">
        <f>IF(A61=FALSE,"",((JH61*TAXE)-(JH61*TAXE*JJ61))+IF(#REF!="N/A",0,IF(INDEX(LISTES!$F$105:$F$109,MATCH(#REF!,LISTES!$C$105:$C$109,0))="FIX",#REF!,#REF!*JM61)))</f>
        <v/>
      </c>
      <c r="KA61" s="432" t="str">
        <f>IF(A61=FALSE,"",Cotations!AT61)</f>
        <v/>
      </c>
      <c r="KB61" s="1234" t="str">
        <f>IF(A61=FALSE,"",IF(Detail!BJ61="","N/A",YEAR(Detail!F61)&amp;Detail!BM61&amp;Detail!BJ61&amp;"-"&amp;Detail!$BJ$13&amp;Detail!BK61))</f>
        <v/>
      </c>
      <c r="KC61" s="431" t="str">
        <f>IF(A61=FALSE,"",IF(LISTES!$A$17=1,KB61,INDEX(colMOD3,MATCH(DA61,colchoice,0))))</f>
        <v/>
      </c>
      <c r="KD61" s="759" t="str">
        <f t="shared" si="327"/>
        <v/>
      </c>
      <c r="KE61" s="292"/>
      <c r="KF61" s="409" t="str">
        <f t="shared" si="328"/>
        <v/>
      </c>
      <c r="KG61" s="430" t="str">
        <f>IF(A61=FALSE,"",IF(KA61="POEA",Cotations!BG61,IF(KA61="FIXE",Cotations!BH61,IF(Cotations!BI61*Y61&lt;50000,Z61,Cotations!BI61*Y61))))</f>
        <v/>
      </c>
      <c r="KH61" s="292" t="str">
        <f t="shared" si="329"/>
        <v/>
      </c>
      <c r="KI61" s="446" t="str">
        <f>IF(A61=FALSE,"",IF(Cotations!AU61="monthly",KH61/12*L61,KH61/365*M61))</f>
        <v/>
      </c>
      <c r="KJ61" s="429" t="str">
        <f>IF(A61=FALSE,"",IF(Cotations!BJ61="","",Cotations!BJ61))</f>
        <v/>
      </c>
      <c r="KK61" s="292" t="str">
        <f t="shared" si="330"/>
        <v/>
      </c>
      <c r="KL61" s="292" t="str">
        <f t="shared" si="331"/>
        <v/>
      </c>
      <c r="KM61" s="759" t="str">
        <f t="shared" si="332"/>
        <v/>
      </c>
      <c r="KN61" s="759" t="str">
        <f>IF(A61=FALSE,"",((KH61*TAXE)-(KH61*TAXE*KJ61))+IF(#REF!="N/A",0,IF(INDEX(LISTES!$F$105:$F$109,MATCH(#REF!,LISTES!$C$105:$C$109,0))="FIX",#REF!,#REF!*KM61)))</f>
        <v/>
      </c>
      <c r="LA61" s="432" t="str">
        <f>IF(A61=FALSE,"",Cotations!AT61)</f>
        <v/>
      </c>
      <c r="LB61" s="1234" t="str">
        <f>IF(A61=FALSE,"",IF(Detail!BR61="","N/A",YEAR(Detail!F61)&amp;Detail!BU61&amp;Detail!BR61&amp;"-"&amp;Detail!$BR$13&amp;Detail!BS61))</f>
        <v/>
      </c>
      <c r="LC61" s="431" t="str">
        <f>IF(A61=FALSE,"",IF(LISTES!$A$17=1,LB61,INDEX(colMOD4,MATCH(DA61,colchoice,0))))</f>
        <v/>
      </c>
      <c r="LD61" s="759" t="str">
        <f t="shared" si="333"/>
        <v/>
      </c>
      <c r="LE61" s="292"/>
      <c r="LF61" s="409" t="str">
        <f t="shared" si="334"/>
        <v/>
      </c>
      <c r="LG61" s="430" t="str">
        <f>IF(A61=FALSE,"",IF(LA61="POEA",Cotations!BK61,IF(LA61="FIXE",Cotations!BL61,IF(Cotations!BM61*Y61&lt;50000,Z61,Cotations!BM61*Y61))))</f>
        <v/>
      </c>
      <c r="LH61" s="292" t="str">
        <f t="shared" si="335"/>
        <v/>
      </c>
      <c r="LI61" s="446" t="str">
        <f>IF(A61=FALSE,"",IF(Cotations!AU61="monthly",LH61/12*L61,LH61/365*M61))</f>
        <v/>
      </c>
      <c r="LJ61" s="429" t="str">
        <f>IF(A61=FALSE,"",IF(Cotations!BN61="","",Cotations!BN61))</f>
        <v/>
      </c>
      <c r="LK61" s="292" t="str">
        <f t="shared" si="336"/>
        <v/>
      </c>
      <c r="LL61" s="292" t="str">
        <f t="shared" si="337"/>
        <v/>
      </c>
      <c r="LM61" s="759" t="str">
        <f t="shared" si="338"/>
        <v/>
      </c>
      <c r="LN61" s="759" t="str">
        <f>IF(A61=FALSE,"",((LH61*TAXE)-(LH61*TAXE*LJ61))+IF(#REF!="N/A",0,IF(INDEX(LISTES!$F$105:$F$109,MATCH(#REF!,LISTES!$C$105:$C$109,0))="FIX",#REF!,#REF!*LM61)))</f>
        <v/>
      </c>
      <c r="MA61" s="432" t="str">
        <f t="shared" si="339"/>
        <v/>
      </c>
      <c r="MB61" s="1234" t="str">
        <f>IF(A61=FALSE,"",IF(Detail!BZ61="","N/A",YEAR(Detail!F61)&amp;Detail!CC61&amp;Detail!BZ61&amp;"-"&amp;Detail!$BZ$13&amp;" (100%/"&amp;Detail!CD61&amp;"/"&amp;Detail!CE61&amp;")"))</f>
        <v/>
      </c>
      <c r="MC61" s="431" t="str">
        <f>IF(A61=FALSE,"",IF(LISTES!$A$17=1,MB61,INDEX(colMOD5,MATCH(DA61,colchoice,0))))</f>
        <v/>
      </c>
      <c r="MD61" s="759" t="str">
        <f t="shared" si="340"/>
        <v/>
      </c>
      <c r="ME61" s="292"/>
      <c r="MF61" s="409" t="str">
        <f t="shared" si="341"/>
        <v/>
      </c>
      <c r="MG61" s="430" t="str">
        <f>IF(A61=FALSE,"",Cotations!BQ61*AA61)</f>
        <v/>
      </c>
      <c r="MH61" s="292" t="str">
        <f t="shared" si="342"/>
        <v/>
      </c>
      <c r="MI61" s="446" t="str">
        <f>IF(A61=FALSE,"",IF(Cotations!AU61="monthly",MH61/12*L61,MH61/365*M61))</f>
        <v/>
      </c>
      <c r="MJ61" s="429" t="str">
        <f>IF(A61=FALSE,"",IF(Cotations!BR61="","",Cotations!BR61))</f>
        <v/>
      </c>
      <c r="MK61" s="292" t="str">
        <f t="shared" si="343"/>
        <v/>
      </c>
      <c r="ML61" s="292" t="str">
        <f t="shared" si="344"/>
        <v/>
      </c>
      <c r="MM61" s="759" t="str">
        <f t="shared" si="345"/>
        <v/>
      </c>
      <c r="MN61" s="759" t="str">
        <f>IF(A61=FALSE,"",((MH61*TAXE)-(MH61*TAXE*MJ61))+IF(#REF!="N/A",0,IF(INDEX(LISTES!$F$105:$F$109,MATCH(#REF!,LISTES!$C$105:$C$109,0))="FIX",#REF!,#REF!*MM61)))</f>
        <v/>
      </c>
      <c r="NA61" s="432" t="str">
        <f t="shared" si="346"/>
        <v/>
      </c>
      <c r="NB61" s="1234" t="str">
        <f>IF(A61=FALSE,"",IF(Detail!CH61="","N/A",YEAR(Detail!F61)&amp;Detail!CK61&amp;Detail!CH61&amp;"-"&amp;Detail!$CH$13&amp;" (100%/"&amp;Detail!CL61&amp;"/"&amp;Detail!CM61&amp;")"))</f>
        <v/>
      </c>
      <c r="NC61" s="431" t="str">
        <f>IF(A61=FALSE,"",IF(LISTES!$A$17=1,NB61,INDEX(colMOD6,MATCH(DA61,colchoice,0))))</f>
        <v/>
      </c>
      <c r="ND61" s="759" t="str">
        <f t="shared" si="347"/>
        <v/>
      </c>
      <c r="NE61" s="292"/>
      <c r="NF61" s="409" t="str">
        <f t="shared" si="348"/>
        <v/>
      </c>
      <c r="NG61" s="430" t="str">
        <f>IF(A61=FALSE,"",Cotations!BU61*AA61)</f>
        <v/>
      </c>
      <c r="NH61" s="292" t="str">
        <f t="shared" si="349"/>
        <v/>
      </c>
      <c r="NI61" s="446" t="str">
        <f>IF(A61=FALSE,"",IF(Cotations!AU61="monthly",NH61/12*L61,NH61/365*M61))</f>
        <v/>
      </c>
      <c r="NJ61" s="429" t="str">
        <f>IF(A61=FALSE,"",IF(Cotations!BV61="","",Cotations!BV61))</f>
        <v/>
      </c>
      <c r="NK61" s="292" t="str">
        <f t="shared" si="350"/>
        <v/>
      </c>
      <c r="NL61" s="292" t="str">
        <f t="shared" si="351"/>
        <v/>
      </c>
      <c r="NM61" s="759" t="str">
        <f t="shared" si="352"/>
        <v/>
      </c>
      <c r="NN61" s="759" t="str">
        <f>IF(A61=FALSE,"",((NH61*TAXE)-(NH61*TAXE*NJ61))+IF(#REF!="N/A",0,IF(INDEX(LISTES!$F$105:$F$109,MATCH(#REF!,LISTES!$C$105:$C$109,0))="FIX",#REF!,#REF!*NM61)))</f>
        <v/>
      </c>
      <c r="NZ61" s="1281" t="str">
        <f>IF(A61=FALSE,"",IF(Detail!CP61="","N/A",YEAR(Detail!F61)&amp;Detail!CS61&amp;Detail!CP61&amp;"-"&amp;Detail!CQ61))</f>
        <v/>
      </c>
      <c r="OA61" s="432" t="str">
        <f>IF(A61=FALSE,"",Cotations!CF61)</f>
        <v/>
      </c>
      <c r="OB61" s="1282" t="str">
        <f>IF(A61=FALSE,"",IF(Detail!CP61="","N/A",YEAR(Detail!F61)&amp;Detail!CS61&amp;Detail!CP61&amp;"-"&amp;Detail!$CP$13&amp;Detail!CQ61))</f>
        <v/>
      </c>
      <c r="OC61" s="1283" t="str">
        <f>IF(A61=FALSE,"",IF(LISTES!$A$17=1,OB61,INDEX(colMOD1,MATCH(Cotations!CE61,colchoice,0))))</f>
        <v/>
      </c>
      <c r="OD61" s="759" t="str">
        <f t="shared" si="353"/>
        <v/>
      </c>
      <c r="OE61" s="292" t="str">
        <f>IF(A61=FALSE,"",Detail!CQ61)</f>
        <v/>
      </c>
      <c r="OF61" s="409" t="str">
        <f t="shared" si="354"/>
        <v/>
      </c>
      <c r="OG61" s="430" t="str">
        <f>IF(A61=FALSE,"",IF(OA61="FIXE",Cotations!CM61,Cotations!CN61*AA61))</f>
        <v/>
      </c>
      <c r="OH61" s="292" t="str">
        <f t="shared" si="288"/>
        <v/>
      </c>
      <c r="OI61" s="446" t="str">
        <f>IF(A61=FALSE,"",IF(Cotations!CF61="monthly",OH61/12*L61,OH61/365*M61))</f>
        <v/>
      </c>
      <c r="OJ61" s="429" t="str">
        <f>IF(A61=FALSE,"",IF(Cotations!CO61="","",Cotations!CO61))</f>
        <v/>
      </c>
      <c r="OK61" s="292" t="str">
        <f t="shared" si="289"/>
        <v/>
      </c>
      <c r="OL61" s="292" t="str">
        <f t="shared" si="290"/>
        <v/>
      </c>
      <c r="OM61" s="759" t="str">
        <f t="shared" si="355"/>
        <v/>
      </c>
      <c r="ON61" s="759" t="str">
        <f>IF(A61=FALSE,"",((OH61*(1+TAXE)-(OH61*(1+TAXE)*OJ61))+IF(#REF!="N/A",0,IF(INDEX(LISTES!$F$105:$F$109,MATCH(#REF!,LISTES!$C$105:$C$109,0))="FIX",#REF!,#REF!*OM61))))</f>
        <v/>
      </c>
      <c r="PA61" s="432" t="str">
        <f>IF(A61=FALSE,"",Cotations!CF61)</f>
        <v/>
      </c>
      <c r="PB61" s="1282" t="str">
        <f>IF(A61=FALSE,"",IF(Detail!CX61="","N/A",YEAR(Detail!F61)&amp;Detail!DA61&amp;Detail!CX61&amp;"-"&amp;Detail!$CX$13&amp;Detail!CY61))</f>
        <v/>
      </c>
      <c r="PC61" s="1283" t="str">
        <f>IF(A61=FALSE,"",IF(LISTES!$A$17=1,PB61,INDEX(colMOD3,MATCH(Cotations!CE61,colchoice,0))))</f>
        <v/>
      </c>
      <c r="PD61" s="759" t="str">
        <f t="shared" si="356"/>
        <v/>
      </c>
      <c r="PE61" s="292" t="str">
        <f>IF(A61=FALSE,"",IF(Detail!CY61="","",Detail!CY61))</f>
        <v/>
      </c>
      <c r="PF61" s="409" t="str">
        <f t="shared" si="291"/>
        <v/>
      </c>
      <c r="PG61" s="430" t="str">
        <f>IF(A61=FALSE,"",IF(PA61="FIXE",Cotations!CP61,Cotations!CQ61*AA61))</f>
        <v/>
      </c>
      <c r="PH61" s="292" t="str">
        <f t="shared" si="292"/>
        <v/>
      </c>
      <c r="PI61" s="446" t="str">
        <f>IF(A61=FALSE,"",IF(Cotations!CG61="monthly",PH61/12*L61,PH61/365*M61))</f>
        <v/>
      </c>
      <c r="PJ61" s="429" t="str">
        <f>IF(A61=FALSE,"",IF(Cotations!DA61="",0,Cotations!DA61))</f>
        <v/>
      </c>
      <c r="PK61" s="292" t="str">
        <f t="shared" si="293"/>
        <v/>
      </c>
      <c r="PL61" s="292" t="str">
        <f t="shared" si="294"/>
        <v/>
      </c>
      <c r="PM61" s="759" t="str">
        <f t="shared" si="357"/>
        <v/>
      </c>
      <c r="PN61" s="759" t="str">
        <f>IF(A61=FALSE,"",((PH61*(1+TAXE)-(PH61*(1+TAXE)*PJ61))+IF(#REF!="N/A",0,IF(INDEX(LISTES!$F$105:$F$109,MATCH(#REF!,LISTES!$C$105:$C$109,0))="FIX",#REF!,#REF!*PM61))))</f>
        <v/>
      </c>
    </row>
    <row r="62" spans="1:430">
      <c r="A62" s="779" t="b">
        <f t="shared" si="295"/>
        <v>0</v>
      </c>
      <c r="B62" s="779" t="b">
        <f>IF(NAMES!$B$9=TRUE,TRUE,FALSE)</f>
        <v>1</v>
      </c>
      <c r="C62" s="779" t="b">
        <f t="shared" si="212"/>
        <v>0</v>
      </c>
      <c r="D62" s="779" t="b">
        <f t="shared" si="213"/>
        <v>0</v>
      </c>
      <c r="E62" s="267" t="b">
        <f>IF(Cotations!C62="","",Cotations!C62)</f>
        <v>0</v>
      </c>
      <c r="F62" s="267" t="str">
        <f>IF(Cotations!AT62="","",Cotations!AT62)</f>
        <v>PROP</v>
      </c>
      <c r="G62" s="267" t="str">
        <f>IF(Cotations!D62="","",Cotations!D62)</f>
        <v>2016-2017!</v>
      </c>
      <c r="H62" s="267" t="str">
        <f>IF(Cotations!E62="","",Cotations!E62)</f>
        <v>SINGLE</v>
      </c>
      <c r="I62" s="267" t="str">
        <f>IF(Cotations!F62="","",Cotations!F62)</f>
        <v/>
      </c>
      <c r="J62" s="267" t="str">
        <f>IF(Cotations!G62="","",Cotations!G62)</f>
        <v/>
      </c>
      <c r="K62" s="267" t="str">
        <f>IF(Cotations!H62="","",Cotations!H62)</f>
        <v/>
      </c>
      <c r="L62" s="267" t="str">
        <f>IF(A62=FALSE,"",IF(Cotations!M62="","",Cotations!M62))</f>
        <v/>
      </c>
      <c r="M62" s="267" t="str">
        <f>IF(Cotations!O62="","",Cotations!O62)</f>
        <v/>
      </c>
      <c r="N62" s="588" t="str">
        <f>IF(NAMES!$B$10=TRUE,Cotations!I62,Cotations!K62)</f>
        <v/>
      </c>
      <c r="O62" s="588" t="str">
        <f>IF(NAMES!$B$10=TRUE,Cotations!J62,Cotations!L62)</f>
        <v/>
      </c>
      <c r="P62" s="780" t="str">
        <f t="shared" si="214"/>
        <v/>
      </c>
      <c r="Q62" s="588" t="str">
        <f>IF(A62=FALSE,"",IF(Crewlist!Y62="","",Crewlist!Y62))</f>
        <v/>
      </c>
      <c r="R62" s="78" t="str">
        <f>IF(Cotations!T62="","",Cotations!T62)</f>
        <v/>
      </c>
      <c r="S62" s="780" t="str">
        <f t="shared" si="215"/>
        <v/>
      </c>
      <c r="T62" s="759" t="str">
        <f>IF(A62=FALSE,"",VLOOKUP($U$15:$U$120,Currency!$A$2:$D$10,4,0)*Crewlist!N62)</f>
        <v/>
      </c>
      <c r="U62" s="1097" t="str">
        <f>IF(A62=FALSE,"",IF(DP62=0,Crewlist!M62&amp;"/"&amp;CP62,Crewlist!M62&amp;"/"&amp;DP62))</f>
        <v/>
      </c>
      <c r="V62" s="759" t="str">
        <f>IF(A62=FALSE,"",VLOOKUP($U$15:$U$120,Currency!$A$2:$D$10,4,0)*Detail!Q62)</f>
        <v/>
      </c>
      <c r="W62" s="1097" t="str">
        <f>IF(A62=FALSE,"",IF(DP62=0,Detail!R62&amp;"/"&amp;CP62,Detail!R62&amp;"/"&amp;DP62))</f>
        <v/>
      </c>
      <c r="X62" s="759" t="str">
        <f>IF(A62=FALSE,"",IF(LISTES!$C$17="Crewlist",Calcul!T62,Calcul!V62))</f>
        <v/>
      </c>
      <c r="Y62" s="618" t="str">
        <f t="shared" si="216"/>
        <v/>
      </c>
      <c r="Z62" s="618" t="str">
        <f>IF(A62=FALSE,"",IF(X62=0,0,IF((Cotations!BA62*12*X62)&lt;50000,50000,(12*X62))))</f>
        <v/>
      </c>
      <c r="AA62" s="618" t="str">
        <f t="shared" si="217"/>
        <v/>
      </c>
      <c r="AB62" s="618" t="str">
        <f>IF(A62=FALSE,"",IF(Crewlist!O62=0,"",Crewlist!O62))</f>
        <v/>
      </c>
      <c r="AC62" s="618" t="str">
        <f>IF(I62="","",VLOOKUP($AB$15:$AB$120,Currency!$A$15:$B$34,2,0))</f>
        <v/>
      </c>
      <c r="AD62" s="618" t="str">
        <f t="shared" si="218"/>
        <v/>
      </c>
      <c r="AE62" s="618" t="str">
        <f t="shared" si="219"/>
        <v/>
      </c>
      <c r="AF62" s="618" t="str">
        <f t="shared" si="220"/>
        <v/>
      </c>
      <c r="AG62" s="618" t="str">
        <f t="shared" si="221"/>
        <v/>
      </c>
      <c r="AH62" s="1097" t="str">
        <f t="shared" si="296"/>
        <v/>
      </c>
      <c r="AI62" s="759" t="str">
        <f t="shared" si="222"/>
        <v/>
      </c>
      <c r="AJ62" s="1120" t="str">
        <f t="shared" si="223"/>
        <v/>
      </c>
      <c r="AK62" s="1120" t="str">
        <f t="shared" si="224"/>
        <v/>
      </c>
      <c r="AL62" s="236" t="str">
        <f t="shared" si="225"/>
        <v/>
      </c>
      <c r="AM62" s="236" t="str">
        <f t="shared" si="226"/>
        <v/>
      </c>
      <c r="AN62" s="1112" t="str">
        <f t="shared" si="227"/>
        <v/>
      </c>
      <c r="AO62" s="236" t="str">
        <f t="shared" si="228"/>
        <v/>
      </c>
      <c r="AP62" s="327" t="str">
        <f>IF(A62=FALSE,"",INDEX(Rates!$Q$1:$Q$278,MATCH(CA62,colchoice,0)))</f>
        <v/>
      </c>
      <c r="AQ62" s="236" t="str">
        <f t="shared" si="229"/>
        <v/>
      </c>
      <c r="AR62" s="236" t="str">
        <f t="shared" si="230"/>
        <v/>
      </c>
      <c r="AS62" s="236" t="str">
        <f t="shared" si="297"/>
        <v/>
      </c>
      <c r="AT62" s="236" t="str">
        <f t="shared" si="298"/>
        <v/>
      </c>
      <c r="AU62" s="236" t="str">
        <f t="shared" si="231"/>
        <v/>
      </c>
      <c r="AV62" s="236" t="str">
        <f t="shared" si="232"/>
        <v/>
      </c>
      <c r="AW62" s="236" t="str">
        <f t="shared" si="233"/>
        <v/>
      </c>
      <c r="AX62" s="236" t="str">
        <f t="shared" si="234"/>
        <v/>
      </c>
      <c r="AY62" s="236" t="str">
        <f t="shared" si="235"/>
        <v/>
      </c>
      <c r="AZ62" s="236" t="str">
        <f t="shared" si="236"/>
        <v/>
      </c>
      <c r="BA62" s="236" t="str">
        <f t="shared" si="237"/>
        <v/>
      </c>
      <c r="BB62" s="467" t="str">
        <f t="shared" si="238"/>
        <v/>
      </c>
      <c r="BC62" s="329" t="str">
        <f t="shared" si="239"/>
        <v/>
      </c>
      <c r="BD62" s="237" t="str">
        <f t="shared" si="240"/>
        <v/>
      </c>
      <c r="BE62" s="237" t="str">
        <f>IF(A62=FALSE,"",IF(ED62&lt;&gt;$BC$7,0,INDEX(EA62:EZ62,1,MATCH(Structure!$J$16,$EA$14:$EZ$14,0))))</f>
        <v/>
      </c>
      <c r="BF62" s="237" t="str">
        <f>IF(A62=FALSE,"",IF(FD62&lt;&gt;$BC$7,0,INDEX(FA62:FZ62,1,MATCH(Structure!$J$16,$FA$14:$FZ$14,0))))</f>
        <v/>
      </c>
      <c r="BG62" s="237" t="str">
        <f>IF(A62=FALSE,"",IF(GD62&lt;&gt;$BC$7,0,INDEX(GA62:GZ62,1,MATCH(Structure!$J$16,$GA$14:$GZ$14,0))))</f>
        <v/>
      </c>
      <c r="BH62" s="237" t="str">
        <f>IF(A62=FALSE,"",IF(HD62&lt;&gt;$BC$7,0,INDEX(HA62:HZ62,1,MATCH(Structure!$J$16,$HA$14:$HZ$14,0))))</f>
        <v/>
      </c>
      <c r="BI62" s="621" t="str">
        <f>IF(A62=FALSE,"",IF(ID62&lt;&gt;$BC$7,0,INDEX(IA62:IZ62,1,MATCH(Structure!$C$12,$IA$14:$IZ$14,0)))+OL62)</f>
        <v/>
      </c>
      <c r="BJ62" s="237" t="str">
        <f>IF(A62=FALSE,"",IF(JD62&lt;&gt;$BC$7,0,INDEX(JA62:JZ62,1,MATCH(Structure!$C$12,$JA$14:$JZ$14,0))))</f>
        <v/>
      </c>
      <c r="BK62" s="621" t="str">
        <f>IF(A62=FALSE,"",IF(KD62&lt;&gt;$BC$7,0,INDEX(KA62:KZ62,1,MATCH(Structure!$C$12,$KA$14:$KZ$14,0)))+PL62)</f>
        <v/>
      </c>
      <c r="BL62" s="237" t="str">
        <f>IF(A62=FALSE,"",IF(LD62&lt;&gt;$BC$7,0,INDEX(LA62:LZ62,1,MATCH(Structure!$C$12,$LA$14:$LZ$14,0))))</f>
        <v/>
      </c>
      <c r="BM62" s="237" t="str">
        <f>IF(A62=FALSE,"",IF(MD62&lt;&gt;$BC$7,0,INDEX(MA62:MZ62,1,MATCH(Structure!$C$12,$MA$14:$MZ$14,0))))</f>
        <v/>
      </c>
      <c r="BN62" s="326" t="str">
        <f>IF(A62=FALSE,"",IF(ND62&lt;&gt;$BC$7,0,INDEX(NA62:OC62,1,MATCH(Structure!$C$12,$NA$14:$OC$14,0))))</f>
        <v/>
      </c>
      <c r="BO62" s="435" t="str">
        <f t="shared" si="241"/>
        <v/>
      </c>
      <c r="BP62" s="237" t="str">
        <f t="shared" si="242"/>
        <v/>
      </c>
      <c r="BQ62" s="237" t="str">
        <f>IF(A62=FALSE,"",IF(ED62&lt;&gt;$BO$7,0,INDEX(EA62:EZ62,1,MATCH(Structure!$C$12,$EA$14:$EZ$14,0))))</f>
        <v/>
      </c>
      <c r="BR62" s="237" t="str">
        <f>IF(A62=FALSE,"",IF(FD62&lt;&gt;$BO$7,0,INDEX(FA62:FZ62,1,MATCH(Structure!$C$12,$FA$14:$FZ$14,0))))</f>
        <v/>
      </c>
      <c r="BS62" s="237" t="str">
        <f>IF(A62=FALSE,"",IF(ID62&lt;&gt;$BO$7,0,INDEX(IA62:IZ62,1,MATCH(Structure!$C$13,$IA$14:$IZ$14,0))))</f>
        <v/>
      </c>
      <c r="BT62" s="237" t="str">
        <f>IF(A62=FALSE,"",IF(JD62&lt;&gt;$BO$7,0,INDEX(JA62:JZ62,1,MATCH(Structure!$C$13,$JA$14:$JZ$14,0))))</f>
        <v/>
      </c>
      <c r="BU62" s="237" t="str">
        <f>IF(A62=FALSE,"",IF(KD62&lt;&gt;$BO$7,0,INDEX(KA62:KZ62,1,MATCH(Structure!$C$13,$KA$14:$KZ$14,0))))</f>
        <v/>
      </c>
      <c r="BV62" s="237" t="str">
        <f>IF(A62=FALSE,"",IF(LD62&lt;&gt;$BO$7,0,INDEX(LA62:LZ62,1,MATCH(Structure!$C$13,$LA$14:$LZ$14,0))))</f>
        <v/>
      </c>
      <c r="BW62" s="237" t="str">
        <f>IF(A62=FALSE,"",IF(MD62&lt;&gt;$BO$7,0,INDEX(MA62:MZ62,1,MATCH(Structure!$C$13,$MA$14:$MZ$14,0))))</f>
        <v/>
      </c>
      <c r="BX62" s="326" t="str">
        <f>IF(A62=FALSE,"",IF(ND62&lt;&gt;$BO$7,0,INDEX(NA62:OC62,1,MATCH(Structure!$C$13,$NA$14:$OC$14,0))))</f>
        <v/>
      </c>
      <c r="BY62" s="412"/>
      <c r="BZ62" s="412"/>
      <c r="CA62" s="1255" t="str">
        <f>IF(A62=FALSE,"",IF(LISTES!$A$17=1,Cotations!AG62,Cotations!AH62))</f>
        <v/>
      </c>
      <c r="CB62" s="1266" t="str">
        <f t="shared" si="243"/>
        <v/>
      </c>
      <c r="CC62" s="1120" t="str">
        <f t="shared" si="244"/>
        <v/>
      </c>
      <c r="CD62" s="1120" t="str">
        <f t="shared" si="245"/>
        <v/>
      </c>
      <c r="CE62" s="1120" t="str">
        <f t="shared" si="246"/>
        <v/>
      </c>
      <c r="CF62" s="1120" t="str">
        <f t="shared" si="247"/>
        <v/>
      </c>
      <c r="CG62" s="1267"/>
      <c r="CH62" s="1267"/>
      <c r="CI62" s="1268" t="str">
        <f t="shared" si="248"/>
        <v/>
      </c>
      <c r="CJ62" s="286" t="str">
        <f t="shared" si="249"/>
        <v/>
      </c>
      <c r="CK62" s="286" t="str">
        <f t="shared" si="250"/>
        <v/>
      </c>
      <c r="CL62" s="1263"/>
      <c r="CM62" s="1263"/>
      <c r="CN62" s="1263"/>
      <c r="CO62" s="1263"/>
      <c r="CP62" s="319" t="str">
        <f t="shared" si="251"/>
        <v/>
      </c>
      <c r="CQ62" s="443" t="str">
        <f>IF(A62=FALSE,"",Cotations!AM62)</f>
        <v/>
      </c>
      <c r="CR62" s="443" t="str">
        <f>IF(A62=FALSE,"",IF(Cotations!AN62="","",Cotations!AN62))</f>
        <v/>
      </c>
      <c r="CS62" s="433" t="str">
        <f>IF(A62=FALSE,"",Cotations!AO62)</f>
        <v/>
      </c>
      <c r="CT62" s="443" t="str">
        <f>IF(A62=FALSE,"",IF(CQ62="N/A",0,IF(INDEX(LISTES!$F$105:$F$109,MATCH(CQ62,LISTES!$C$105:$C$109,0))="FIX",IF(INDEX(LISTES!$E$105:$E$109,MATCH(CQ62,LISTES!$C$105:$C$109,0))=12,CR62/12*L62,CR62/365*M62),CS62*EQ62)))</f>
        <v/>
      </c>
      <c r="CU62" s="434" t="str">
        <f>IF(A62=FALSE,"",(CJ62+CK62)*Cotations!AP62)</f>
        <v/>
      </c>
      <c r="CV62" s="434" t="str">
        <f>IF(A62=FALSE,"",(CJ62+CK62)*Cotations!AQ62)</f>
        <v/>
      </c>
      <c r="DA62" s="1253" t="str">
        <f>IF(A62=FALSE,"",IF(LISTES!$A$17=1,Cotations!AV62,Cotations!AW62))</f>
        <v/>
      </c>
      <c r="DB62" s="1271" t="str">
        <f t="shared" si="252"/>
        <v/>
      </c>
      <c r="DC62" s="1270" t="str">
        <f t="shared" si="253"/>
        <v/>
      </c>
      <c r="DD62" s="1270" t="str">
        <f t="shared" si="254"/>
        <v/>
      </c>
      <c r="DE62" s="1270" t="str">
        <f t="shared" si="255"/>
        <v/>
      </c>
      <c r="DF62" s="1270" t="str">
        <f t="shared" si="256"/>
        <v/>
      </c>
      <c r="DG62" s="1270" t="str">
        <f t="shared" si="257"/>
        <v/>
      </c>
      <c r="DH62" s="1270" t="str">
        <f t="shared" si="258"/>
        <v/>
      </c>
      <c r="DI62" s="1271" t="str">
        <f t="shared" si="259"/>
        <v/>
      </c>
      <c r="DJ62" s="286" t="str">
        <f t="shared" si="260"/>
        <v/>
      </c>
      <c r="DK62" s="286" t="str">
        <f t="shared" si="261"/>
        <v/>
      </c>
      <c r="DL62" s="1264" t="str">
        <f t="shared" si="262"/>
        <v/>
      </c>
      <c r="DM62" s="1264" t="str">
        <f t="shared" si="263"/>
        <v/>
      </c>
      <c r="DN62" s="1264" t="str">
        <f t="shared" si="264"/>
        <v/>
      </c>
      <c r="DO62" s="1264" t="str">
        <f t="shared" si="265"/>
        <v/>
      </c>
      <c r="DP62" s="323" t="str">
        <f t="shared" si="299"/>
        <v/>
      </c>
      <c r="DQ62" s="444" t="str">
        <f>IF(A62=FALSE,"",Cotations!BW62)</f>
        <v/>
      </c>
      <c r="DR62" s="444" t="str">
        <f>IF(A62=FALSE,"",Cotations!BX62)</f>
        <v/>
      </c>
      <c r="DS62" s="433" t="str">
        <f>IF(A62=FALSE,"",Cotations!BY62)</f>
        <v/>
      </c>
      <c r="DT62" s="830" t="str">
        <f>IF(A62=FALSE,"",IF(DQ62="N/A",0,IF(INDEX(LISTES!$F$105:$F$109,MATCH(DQ62,LISTES!$C$105:$C$109,0))="FIX",IF(INDEX(LISTES!$E$105:$E$109,MATCH(DQ62,LISTES!$C$105:$C$109,0))=12,DR62/12*L62,DR62/365*M62),DS62*(DN62+DO62))))</f>
        <v/>
      </c>
      <c r="DU62" s="434" t="str">
        <f>IF(A62=FALSE,"",DJ62*Cotations!BZ62)</f>
        <v/>
      </c>
      <c r="DV62" s="434" t="str">
        <f>IF(A62=FALSE,"",DJ62*Cotations!CA62)</f>
        <v/>
      </c>
      <c r="EA62" s="432" t="str">
        <f>IF(A62=FALSE,"",Cotations!AT62)</f>
        <v/>
      </c>
      <c r="EB62" s="1234" t="str">
        <f>IF(A62=FALSE,"",YEAR(Detail!F62)&amp;Detail!AG62&amp;Detail!AD62&amp;"-"&amp;Detail!$AD$13&amp;Detail!AE62)</f>
        <v/>
      </c>
      <c r="EC62" s="434" t="str">
        <f>IF(A62=FALSE,"",IF(LISTES!$A$17=1,EB62,INDEX(colMOD1,MATCH(Cotations!AH62,colchoice,0))))</f>
        <v/>
      </c>
      <c r="ED62" s="277" t="str">
        <f t="shared" si="300"/>
        <v/>
      </c>
      <c r="EE62" s="277" t="str">
        <f t="shared" si="301"/>
        <v/>
      </c>
      <c r="EF62" s="277"/>
      <c r="EG62" s="277"/>
      <c r="EH62" s="277" t="str">
        <f t="shared" si="302"/>
        <v/>
      </c>
      <c r="EI62" s="1104" t="str">
        <f t="shared" si="303"/>
        <v/>
      </c>
      <c r="EJ62" s="1104" t="str">
        <f t="shared" si="304"/>
        <v/>
      </c>
      <c r="EK62" s="443" t="str">
        <f>IF(A62=FALSE,"",IF(Cotations!AF62="monthly",EH62/12*L62,EH62/365*M62))</f>
        <v/>
      </c>
      <c r="EL62" s="1103" t="str">
        <f>IF(A62=FALSE,"",IF(Cotations!AF62="monthly",EJ62/12*L62,EJ62/365*M62))</f>
        <v/>
      </c>
      <c r="EM62" s="433" t="str">
        <f>IF(A62=FALSE,"",IF(Cotations!AI62="","",Cotations!AI62))</f>
        <v/>
      </c>
      <c r="EN62" s="277" t="str">
        <f t="shared" si="305"/>
        <v/>
      </c>
      <c r="EO62" s="277" t="str">
        <f t="shared" si="306"/>
        <v/>
      </c>
      <c r="EP62" s="1104" t="str">
        <f t="shared" si="307"/>
        <v/>
      </c>
      <c r="EQ62" s="277" t="str">
        <f t="shared" si="308"/>
        <v/>
      </c>
      <c r="ER62" s="759" t="str">
        <f>IF(A62=FALSE,"",((EH62*TAXE)-(EH62*TAXE*EM62)+EI62)+IF(CQ62="N/A",0,IF(INDEX(LISTES!$F$105:$F$109,MATCH(CQ62,LISTES!$C$105:$C$109,0))="FIX",CR62,CS62*EQ62)))</f>
        <v/>
      </c>
      <c r="ET62" s="422"/>
      <c r="EU62" s="422"/>
      <c r="EV62" s="422"/>
      <c r="EW62" s="422"/>
      <c r="EX62" s="422"/>
      <c r="EY62" s="422"/>
      <c r="EZ62" s="422"/>
      <c r="FA62" s="432" t="str">
        <f>IF(A62=FALSE,"",Cotations!AT62)</f>
        <v/>
      </c>
      <c r="FB62" s="1235" t="str">
        <f>IF(A62=FALSE,"",IF(Detail!AL62="","N/A",YEAR(Detail!F62)&amp;Detail!AO62&amp;Detail!AL62&amp;"-"&amp;Detail!$AL$13&amp;Detail!AM62))</f>
        <v/>
      </c>
      <c r="FC62" s="434" t="str">
        <f>IF(A62=FALSE,"",IF(LISTES!$A$17=1,FB62,INDEX(colMOD2,MATCH(Cotations!AH62,colchoice,0))))</f>
        <v/>
      </c>
      <c r="FD62" s="277" t="str">
        <f t="shared" si="309"/>
        <v/>
      </c>
      <c r="FE62" s="443" t="str">
        <f>IF(A62=FALSE,"",IF(Detail!AM62="","",Detail!AM62))</f>
        <v/>
      </c>
      <c r="FF62" s="277"/>
      <c r="FG62" s="277"/>
      <c r="FH62" s="277" t="str">
        <f t="shared" si="310"/>
        <v/>
      </c>
      <c r="FI62" s="1104"/>
      <c r="FJ62" s="1104"/>
      <c r="FK62" s="443" t="str">
        <f>IF(A62=FALSE,"",IF(Cotations!AF62="monthly",FH62/12*L62,FH62/365*M62))</f>
        <v/>
      </c>
      <c r="FL62" s="1103" t="str">
        <f>IF(A62=FALSE,"",IF(Cotations!AF62="monthly",FJ62/12*L62,FJ62/365*M62))</f>
        <v/>
      </c>
      <c r="FM62" s="433" t="str">
        <f>IF(A62=FALSE,"",IF(Cotations!AJ62="","",Cotations!AJ62))</f>
        <v/>
      </c>
      <c r="FN62" s="277" t="str">
        <f t="shared" si="268"/>
        <v/>
      </c>
      <c r="FO62" s="277" t="str">
        <f t="shared" si="269"/>
        <v/>
      </c>
      <c r="FP62" s="1104"/>
      <c r="FQ62" s="277" t="str">
        <f t="shared" si="270"/>
        <v/>
      </c>
      <c r="FR62" s="759" t="str">
        <f>IF(A62=FALSE,"",((FH62*TAXE)-(FH62*TAXE*FM62))+IF(#REF!="N/A",0,IF(INDEX(LISTES!$F$105:$F$109,MATCH(#REF!,LISTES!$C$105:$C$109,0))="FIX",#REF!,#REF!*FQ62)))</f>
        <v/>
      </c>
      <c r="FS62" s="422"/>
      <c r="FT62" s="422"/>
      <c r="FU62" s="422"/>
      <c r="FV62" s="422"/>
      <c r="FW62" s="422"/>
      <c r="FX62" s="422"/>
      <c r="FY62" s="422"/>
      <c r="FZ62" s="422"/>
      <c r="GA62" s="432" t="str">
        <f t="shared" si="311"/>
        <v/>
      </c>
      <c r="GB62" s="1234" t="str">
        <f>IF(A62=FALSE,"",IF(Detail!DF62="","N/A",YEAR(Detail!F62)&amp;Detail!DI62&amp;Detail!DF62&amp;"-"&amp;Detail!$DF$13))</f>
        <v/>
      </c>
      <c r="GC62" s="434" t="str">
        <f>IF(A62=FALSE,"",IF(LISTES!$A$17=1,GB62,INDEX(colMOD3,MATCH(Cotations!AH62,colchoice,0))))</f>
        <v/>
      </c>
      <c r="GD62" s="277" t="str">
        <f t="shared" si="312"/>
        <v/>
      </c>
      <c r="GE62" s="277" t="str">
        <f t="shared" si="313"/>
        <v/>
      </c>
      <c r="GF62" s="277"/>
      <c r="GG62" s="277"/>
      <c r="GH62" s="277" t="str">
        <f t="shared" si="271"/>
        <v/>
      </c>
      <c r="GI62" s="1104" t="str">
        <f t="shared" si="272"/>
        <v/>
      </c>
      <c r="GJ62" s="1104" t="str">
        <f t="shared" si="273"/>
        <v/>
      </c>
      <c r="GK62" s="443" t="str">
        <f>IF(A62=FALSE,"",IF(Cotations!AF62="monthly",GH62/12*L62,GH62/365*M62))</f>
        <v/>
      </c>
      <c r="GL62" s="1103" t="str">
        <f>IF(A62=FALSE,"",IF(Cotations!AF62="monthly",GJ62/12*L62,GJ62/365*M62))</f>
        <v/>
      </c>
      <c r="GM62" s="433" t="str">
        <f>IF(A62=FALSE,"",IF(Cotations!AK62="","",Cotations!AK62))</f>
        <v/>
      </c>
      <c r="GN62" s="277" t="str">
        <f t="shared" si="274"/>
        <v/>
      </c>
      <c r="GO62" s="277" t="str">
        <f t="shared" si="275"/>
        <v/>
      </c>
      <c r="GP62" s="1104" t="str">
        <f t="shared" si="276"/>
        <v/>
      </c>
      <c r="GQ62" s="277" t="str">
        <f t="shared" si="277"/>
        <v/>
      </c>
      <c r="GR62" s="759" t="str">
        <f>IF(A62=FALSE,"",((GH62*TAXE)-(GH62*TAXE*GM62)+GI62)+IF(CQ62="N/A",0,IF(INDEX(LISTES!$F$105:$F$109,MATCH(CQ62,LISTES!$C$105:$C$109,0))="FIX",CR62,CS62*GQ62)))</f>
        <v/>
      </c>
      <c r="GS62" s="412"/>
      <c r="GT62" s="412"/>
      <c r="GU62" s="412"/>
      <c r="GV62" s="412"/>
      <c r="GW62" s="412"/>
      <c r="GX62" s="412"/>
      <c r="GY62" s="412"/>
      <c r="GZ62" s="412"/>
      <c r="HA62" s="432" t="str">
        <f t="shared" si="314"/>
        <v/>
      </c>
      <c r="HB62" s="1234" t="str">
        <f>IF(A62=FALSE,"",IF(Detail!DF62="","N/A",YEAR(Detail!F62)&amp;Detail!DI62&amp;Detail!DF62&amp;"-"&amp;Detail!$DF$13))</f>
        <v/>
      </c>
      <c r="HC62" s="434" t="str">
        <f>IF(A62=FALSE,"",IF(LISTES!$A$17=1,HB62,INDEX(colMOD4,MATCH(Cotations!AH62,colchoice,0))))</f>
        <v/>
      </c>
      <c r="HD62" s="277" t="str">
        <f t="shared" si="278"/>
        <v/>
      </c>
      <c r="HE62" s="277" t="str">
        <f t="shared" si="279"/>
        <v/>
      </c>
      <c r="HF62" s="277"/>
      <c r="HG62" s="277"/>
      <c r="HH62" s="277" t="str">
        <f t="shared" si="280"/>
        <v/>
      </c>
      <c r="HI62" s="1104" t="str">
        <f t="shared" si="281"/>
        <v/>
      </c>
      <c r="HJ62" s="1104" t="str">
        <f t="shared" si="282"/>
        <v/>
      </c>
      <c r="HK62" s="443" t="str">
        <f>IF(A62=FALSE,"",IF(Cotations!AF62="monthly",HH62/12*L62,HH62/365*M62))</f>
        <v/>
      </c>
      <c r="HL62" s="1103" t="str">
        <f>IF(A62=FALSE,"",IF(Cotations!AF62="monthly",HJ62/12*L62,HJ62/365*M62))</f>
        <v/>
      </c>
      <c r="HM62" s="433" t="str">
        <f>IF(A62=FALSE,"",IF(Cotations!AL62="","",Cotations!AL62))</f>
        <v/>
      </c>
      <c r="HN62" s="277" t="str">
        <f t="shared" si="283"/>
        <v/>
      </c>
      <c r="HO62" s="277" t="str">
        <f t="shared" si="284"/>
        <v/>
      </c>
      <c r="HP62" s="1104" t="str">
        <f t="shared" si="285"/>
        <v/>
      </c>
      <c r="HQ62" s="277" t="str">
        <f t="shared" si="286"/>
        <v/>
      </c>
      <c r="HR62" s="759" t="str">
        <f>IF(A62=FALSE,"",((HH62*TAXE)-(HH62*TAXE*HM62)+HI62)+IF(CQ62="N/A",0,IF(INDEX(LISTES!$F$105:$F$109,MATCH(CQ62,LISTES!$C$105:$C$109,0))="FIX",CR62,CS62*HQ62)))</f>
        <v/>
      </c>
      <c r="HS62" s="412"/>
      <c r="HT62" s="412"/>
      <c r="HU62" s="412"/>
      <c r="HV62" s="412"/>
      <c r="HW62" s="412"/>
      <c r="HX62" s="412"/>
      <c r="HY62" s="412"/>
      <c r="HZ62" s="1262"/>
      <c r="IA62" s="432" t="str">
        <f>IF(A62=FALSE,"",Cotations!AT62)</f>
        <v/>
      </c>
      <c r="IB62" s="1253" t="str">
        <f>IF(A62=FALSE,"",IF(Detail!AT62="","N/A",YEAR(Detail!F62)&amp;Detail!AW62&amp;Detail!AT62&amp;"-"&amp;Detail!$AT$13&amp;Detail!AU62))</f>
        <v/>
      </c>
      <c r="IC62" s="431" t="str">
        <f>IF(A62=FALSE,"",IF(LISTES!$A$17=1,IB62,INDEX(colMOD1,MATCH(DA62,colchoice,0))))</f>
        <v/>
      </c>
      <c r="ID62" s="759" t="str">
        <f t="shared" si="358"/>
        <v/>
      </c>
      <c r="IE62" s="292" t="str">
        <f>IF(A62=FALSE,"",IF(LISTES!$A$17=1,Detail!AU62,INDEX(Rates!$M$1:$M$270,MATCH(IC62,colMOD1,0))))</f>
        <v/>
      </c>
      <c r="IF62" s="409" t="str">
        <f t="shared" si="359"/>
        <v/>
      </c>
      <c r="IG62" s="430" t="str">
        <f>IF(A62=FALSE,"",IF(IA62="POEA",Cotations!AY62,IF(IA62="FIXE",Cotations!AZ62,IF(Cotations!BA62*Y62&lt;50000,Z62,Cotations!BA62*Y62))))</f>
        <v/>
      </c>
      <c r="IH62" s="292" t="str">
        <f t="shared" si="360"/>
        <v/>
      </c>
      <c r="II62" s="446" t="str">
        <f>IF(A62=FALSE,"",IF(Cotations!AU62="monthly",IH62/12*L62,IH62/365*M62))</f>
        <v/>
      </c>
      <c r="IJ62" s="429" t="str">
        <f>IF(A62=FALSE,"",IF(Cotations!BB62="","",Cotations!BB62))</f>
        <v/>
      </c>
      <c r="IK62" s="292" t="str">
        <f t="shared" si="361"/>
        <v/>
      </c>
      <c r="IL62" s="292" t="str">
        <f t="shared" si="362"/>
        <v/>
      </c>
      <c r="IM62" s="759" t="str">
        <f t="shared" si="363"/>
        <v/>
      </c>
      <c r="IN62" s="759" t="str">
        <f>IF(A62=FALSE,"",((IH62*TAXE)-(IH62*TAXE*IJ62))+IF(DQ62="N/A",0,IF(INDEX(LISTES!$F$105:$F$109,MATCH(DQ62,LISTES!$C$105:$C$109,0))="FIX",DR62,DS62*IM62)))</f>
        <v/>
      </c>
      <c r="JA62" s="432" t="str">
        <f>IF(A62=FALSE,"",Cotations!AT62)</f>
        <v/>
      </c>
      <c r="JB62" s="1234" t="str">
        <f>IF(A62=FALSE,"",IF(Detail!BB62="","N/A",YEAR(Detail!F62)&amp;Detail!BE62&amp;Detail!BB62&amp;"-"&amp;Detail!$BB$13&amp;Detail!BC62))</f>
        <v/>
      </c>
      <c r="JC62" s="431" t="str">
        <f>IF(A62=FALSE,"",IF(LISTES!$A$17=1,JB62,INDEX(colMOD2,MATCH(DA62,colchoice,0))))</f>
        <v/>
      </c>
      <c r="JD62" s="759" t="str">
        <f t="shared" si="321"/>
        <v/>
      </c>
      <c r="JE62" s="292"/>
      <c r="JF62" s="409" t="str">
        <f t="shared" si="322"/>
        <v/>
      </c>
      <c r="JG62" s="430" t="str">
        <f>IF(A62=FALSE,"",IF(JA62="POEA",Cotations!BC62,IF(JA62="FIXE",Cotations!BD62,IF(Cotations!BE62*Y62&lt;50000,Z62,Cotations!BE62*Y62))))</f>
        <v/>
      </c>
      <c r="JH62" s="292" t="str">
        <f t="shared" si="323"/>
        <v/>
      </c>
      <c r="JI62" s="446" t="str">
        <f>IF(A62=FALSE,"",IF(Cotations!AU62="monthly",JH62/12*L62,JH62/365*M62))</f>
        <v/>
      </c>
      <c r="JJ62" s="429" t="str">
        <f>IF(A62=FALSE,"",IF(Cotations!BF62="","",Cotations!BF62))</f>
        <v/>
      </c>
      <c r="JK62" s="292" t="str">
        <f t="shared" si="324"/>
        <v/>
      </c>
      <c r="JL62" s="292" t="str">
        <f t="shared" si="325"/>
        <v/>
      </c>
      <c r="JM62" s="759" t="str">
        <f t="shared" si="326"/>
        <v/>
      </c>
      <c r="JN62" s="759" t="str">
        <f>IF(A62=FALSE,"",((JH62*TAXE)-(JH62*TAXE*JJ62))+IF(#REF!="N/A",0,IF(INDEX(LISTES!$F$105:$F$109,MATCH(#REF!,LISTES!$C$105:$C$109,0))="FIX",#REF!,#REF!*JM62)))</f>
        <v/>
      </c>
      <c r="KA62" s="432" t="str">
        <f>IF(A62=FALSE,"",Cotations!AT62)</f>
        <v/>
      </c>
      <c r="KB62" s="1234" t="str">
        <f>IF(A62=FALSE,"",IF(Detail!BJ62="","N/A",YEAR(Detail!F62)&amp;Detail!BM62&amp;Detail!BJ62&amp;"-"&amp;Detail!$BJ$13&amp;Detail!BK62))</f>
        <v/>
      </c>
      <c r="KC62" s="431" t="str">
        <f>IF(A62=FALSE,"",IF(LISTES!$A$17=1,KB62,INDEX(colMOD3,MATCH(DA62,colchoice,0))))</f>
        <v/>
      </c>
      <c r="KD62" s="759" t="str">
        <f t="shared" si="327"/>
        <v/>
      </c>
      <c r="KE62" s="292"/>
      <c r="KF62" s="409" t="str">
        <f t="shared" si="328"/>
        <v/>
      </c>
      <c r="KG62" s="430" t="str">
        <f>IF(A62=FALSE,"",IF(KA62="POEA",Cotations!BG62,IF(KA62="FIXE",Cotations!BH62,IF(Cotations!BI62*Y62&lt;50000,Z62,Cotations!BI62*Y62))))</f>
        <v/>
      </c>
      <c r="KH62" s="292" t="str">
        <f t="shared" si="329"/>
        <v/>
      </c>
      <c r="KI62" s="446" t="str">
        <f>IF(A62=FALSE,"",IF(Cotations!AU62="monthly",KH62/12*L62,KH62/365*M62))</f>
        <v/>
      </c>
      <c r="KJ62" s="429" t="str">
        <f>IF(A62=FALSE,"",IF(Cotations!BJ62="","",Cotations!BJ62))</f>
        <v/>
      </c>
      <c r="KK62" s="292" t="str">
        <f t="shared" si="330"/>
        <v/>
      </c>
      <c r="KL62" s="292" t="str">
        <f t="shared" si="331"/>
        <v/>
      </c>
      <c r="KM62" s="759" t="str">
        <f t="shared" si="332"/>
        <v/>
      </c>
      <c r="KN62" s="759" t="str">
        <f>IF(A62=FALSE,"",((KH62*TAXE)-(KH62*TAXE*KJ62))+IF(#REF!="N/A",0,IF(INDEX(LISTES!$F$105:$F$109,MATCH(#REF!,LISTES!$C$105:$C$109,0))="FIX",#REF!,#REF!*KM62)))</f>
        <v/>
      </c>
      <c r="LA62" s="432" t="str">
        <f>IF(A62=FALSE,"",Cotations!AT62)</f>
        <v/>
      </c>
      <c r="LB62" s="1234" t="str">
        <f>IF(A62=FALSE,"",IF(Detail!BR62="","N/A",YEAR(Detail!F62)&amp;Detail!BU62&amp;Detail!BR62&amp;"-"&amp;Detail!$BR$13&amp;Detail!BS62))</f>
        <v/>
      </c>
      <c r="LC62" s="431" t="str">
        <f>IF(A62=FALSE,"",IF(LISTES!$A$17=1,LB62,INDEX(colMOD4,MATCH(DA62,colchoice,0))))</f>
        <v/>
      </c>
      <c r="LD62" s="759" t="str">
        <f t="shared" si="333"/>
        <v/>
      </c>
      <c r="LE62" s="292"/>
      <c r="LF62" s="409" t="str">
        <f t="shared" si="334"/>
        <v/>
      </c>
      <c r="LG62" s="430" t="str">
        <f>IF(A62=FALSE,"",IF(LA62="POEA",Cotations!BK62,IF(LA62="FIXE",Cotations!BL62,IF(Cotations!BM62*Y62&lt;50000,Z62,Cotations!BM62*Y62))))</f>
        <v/>
      </c>
      <c r="LH62" s="292" t="str">
        <f t="shared" si="335"/>
        <v/>
      </c>
      <c r="LI62" s="446" t="str">
        <f>IF(A62=FALSE,"",IF(Cotations!AU62="monthly",LH62/12*L62,LH62/365*M62))</f>
        <v/>
      </c>
      <c r="LJ62" s="429" t="str">
        <f>IF(A62=FALSE,"",IF(Cotations!BN62="","",Cotations!BN62))</f>
        <v/>
      </c>
      <c r="LK62" s="292" t="str">
        <f t="shared" si="336"/>
        <v/>
      </c>
      <c r="LL62" s="292" t="str">
        <f t="shared" si="337"/>
        <v/>
      </c>
      <c r="LM62" s="759" t="str">
        <f t="shared" si="338"/>
        <v/>
      </c>
      <c r="LN62" s="759" t="str">
        <f>IF(A62=FALSE,"",((LH62*TAXE)-(LH62*TAXE*LJ62))+IF(#REF!="N/A",0,IF(INDEX(LISTES!$F$105:$F$109,MATCH(#REF!,LISTES!$C$105:$C$109,0))="FIX",#REF!,#REF!*LM62)))</f>
        <v/>
      </c>
      <c r="MA62" s="432" t="str">
        <f t="shared" si="339"/>
        <v/>
      </c>
      <c r="MB62" s="1234" t="str">
        <f>IF(A62=FALSE,"",IF(Detail!BZ62="","N/A",YEAR(Detail!F62)&amp;Detail!CC62&amp;Detail!BZ62&amp;"-"&amp;Detail!$BZ$13&amp;" (100%/"&amp;Detail!CD62&amp;"/"&amp;Detail!CE62&amp;")"))</f>
        <v/>
      </c>
      <c r="MC62" s="431" t="str">
        <f>IF(A62=FALSE,"",IF(LISTES!$A$17=1,MB62,INDEX(colMOD5,MATCH(DA62,colchoice,0))))</f>
        <v/>
      </c>
      <c r="MD62" s="759" t="str">
        <f t="shared" si="340"/>
        <v/>
      </c>
      <c r="ME62" s="292"/>
      <c r="MF62" s="409" t="str">
        <f t="shared" si="341"/>
        <v/>
      </c>
      <c r="MG62" s="430" t="str">
        <f>IF(A62=FALSE,"",Cotations!BQ62*AA62)</f>
        <v/>
      </c>
      <c r="MH62" s="292" t="str">
        <f t="shared" si="342"/>
        <v/>
      </c>
      <c r="MI62" s="446" t="str">
        <f>IF(A62=FALSE,"",IF(Cotations!AU62="monthly",MH62/12*L62,MH62/365*M62))</f>
        <v/>
      </c>
      <c r="MJ62" s="429" t="str">
        <f>IF(A62=FALSE,"",IF(Cotations!BR62="","",Cotations!BR62))</f>
        <v/>
      </c>
      <c r="MK62" s="292" t="str">
        <f t="shared" si="343"/>
        <v/>
      </c>
      <c r="ML62" s="292" t="str">
        <f t="shared" si="344"/>
        <v/>
      </c>
      <c r="MM62" s="759" t="str">
        <f t="shared" si="345"/>
        <v/>
      </c>
      <c r="MN62" s="759" t="str">
        <f>IF(A62=FALSE,"",((MH62*TAXE)-(MH62*TAXE*MJ62))+IF(#REF!="N/A",0,IF(INDEX(LISTES!$F$105:$F$109,MATCH(#REF!,LISTES!$C$105:$C$109,0))="FIX",#REF!,#REF!*MM62)))</f>
        <v/>
      </c>
      <c r="NA62" s="432" t="str">
        <f t="shared" si="346"/>
        <v/>
      </c>
      <c r="NB62" s="1234" t="str">
        <f>IF(A62=FALSE,"",IF(Detail!CH62="","N/A",YEAR(Detail!F62)&amp;Detail!CK62&amp;Detail!CH62&amp;"-"&amp;Detail!$CH$13&amp;" (100%/"&amp;Detail!CL62&amp;"/"&amp;Detail!CM62&amp;")"))</f>
        <v/>
      </c>
      <c r="NC62" s="431" t="str">
        <f>IF(A62=FALSE,"",IF(LISTES!$A$17=1,NB62,INDEX(colMOD6,MATCH(DA62,colchoice,0))))</f>
        <v/>
      </c>
      <c r="ND62" s="759" t="str">
        <f t="shared" si="347"/>
        <v/>
      </c>
      <c r="NE62" s="292"/>
      <c r="NF62" s="409" t="str">
        <f t="shared" si="348"/>
        <v/>
      </c>
      <c r="NG62" s="430" t="str">
        <f>IF(A62=FALSE,"",Cotations!BU62*AA62)</f>
        <v/>
      </c>
      <c r="NH62" s="292" t="str">
        <f t="shared" si="349"/>
        <v/>
      </c>
      <c r="NI62" s="446" t="str">
        <f>IF(A62=FALSE,"",IF(Cotations!AU62="monthly",NH62/12*L62,NH62/365*M62))</f>
        <v/>
      </c>
      <c r="NJ62" s="429" t="str">
        <f>IF(A62=FALSE,"",IF(Cotations!BV62="","",Cotations!BV62))</f>
        <v/>
      </c>
      <c r="NK62" s="292" t="str">
        <f t="shared" si="350"/>
        <v/>
      </c>
      <c r="NL62" s="292" t="str">
        <f t="shared" si="351"/>
        <v/>
      </c>
      <c r="NM62" s="759" t="str">
        <f t="shared" si="352"/>
        <v/>
      </c>
      <c r="NN62" s="759" t="str">
        <f>IF(A62=FALSE,"",((NH62*TAXE)-(NH62*TAXE*NJ62))+IF(#REF!="N/A",0,IF(INDEX(LISTES!$F$105:$F$109,MATCH(#REF!,LISTES!$C$105:$C$109,0))="FIX",#REF!,#REF!*NM62)))</f>
        <v/>
      </c>
      <c r="NZ62" s="1281" t="str">
        <f>IF(A62=FALSE,"",IF(Detail!CP62="","N/A",YEAR(Detail!F62)&amp;Detail!CS62&amp;Detail!CP62&amp;"-"&amp;Detail!CQ62))</f>
        <v/>
      </c>
      <c r="OA62" s="432" t="str">
        <f>IF(A62=FALSE,"",Cotations!CF62)</f>
        <v/>
      </c>
      <c r="OB62" s="1282" t="str">
        <f>IF(A62=FALSE,"",IF(Detail!CP62="","N/A",YEAR(Detail!F62)&amp;Detail!CS62&amp;Detail!CP62&amp;"-"&amp;Detail!$CP$13&amp;Detail!CQ62))</f>
        <v/>
      </c>
      <c r="OC62" s="1283" t="str">
        <f>IF(A62=FALSE,"",IF(LISTES!$A$17=1,OB62,INDEX(colMOD1,MATCH(Cotations!CE62,colchoice,0))))</f>
        <v/>
      </c>
      <c r="OD62" s="759" t="str">
        <f t="shared" si="353"/>
        <v/>
      </c>
      <c r="OE62" s="292" t="str">
        <f>IF(A62=FALSE,"",Detail!CQ62)</f>
        <v/>
      </c>
      <c r="OF62" s="409" t="str">
        <f t="shared" si="354"/>
        <v/>
      </c>
      <c r="OG62" s="430" t="str">
        <f>IF(A62=FALSE,"",IF(OA62="FIXE",Cotations!CM62,Cotations!CN62*AA62))</f>
        <v/>
      </c>
      <c r="OH62" s="292" t="str">
        <f t="shared" si="288"/>
        <v/>
      </c>
      <c r="OI62" s="446" t="str">
        <f>IF(A62=FALSE,"",IF(Cotations!CF62="monthly",OH62/12*L62,OH62/365*M62))</f>
        <v/>
      </c>
      <c r="OJ62" s="429" t="str">
        <f>IF(A62=FALSE,"",IF(Cotations!CO62="","",Cotations!CO62))</f>
        <v/>
      </c>
      <c r="OK62" s="292" t="str">
        <f t="shared" si="289"/>
        <v/>
      </c>
      <c r="OL62" s="292" t="str">
        <f t="shared" si="290"/>
        <v/>
      </c>
      <c r="OM62" s="759" t="str">
        <f t="shared" si="355"/>
        <v/>
      </c>
      <c r="ON62" s="759" t="str">
        <f>IF(A62=FALSE,"",((OH62*(1+TAXE)-(OH62*(1+TAXE)*OJ62))+IF(#REF!="N/A",0,IF(INDEX(LISTES!$F$105:$F$109,MATCH(#REF!,LISTES!$C$105:$C$109,0))="FIX",#REF!,#REF!*OM62))))</f>
        <v/>
      </c>
      <c r="PA62" s="432" t="str">
        <f>IF(A62=FALSE,"",Cotations!CF62)</f>
        <v/>
      </c>
      <c r="PB62" s="1282" t="str">
        <f>IF(A62=FALSE,"",IF(Detail!CX62="","N/A",YEAR(Detail!F62)&amp;Detail!DA62&amp;Detail!CX62&amp;"-"&amp;Detail!$CX$13&amp;Detail!CY62))</f>
        <v/>
      </c>
      <c r="PC62" s="1283" t="str">
        <f>IF(A62=FALSE,"",IF(LISTES!$A$17=1,PB62,INDEX(colMOD3,MATCH(Cotations!CE62,colchoice,0))))</f>
        <v/>
      </c>
      <c r="PD62" s="759" t="str">
        <f t="shared" si="356"/>
        <v/>
      </c>
      <c r="PE62" s="292" t="str">
        <f>IF(A62=FALSE,"",IF(Detail!CY62="","",Detail!CY62))</f>
        <v/>
      </c>
      <c r="PF62" s="409" t="str">
        <f t="shared" si="291"/>
        <v/>
      </c>
      <c r="PG62" s="430" t="str">
        <f>IF(A62=FALSE,"",IF(PA62="FIXE",Cotations!CP62,Cotations!CQ62*AA62))</f>
        <v/>
      </c>
      <c r="PH62" s="292" t="str">
        <f t="shared" si="292"/>
        <v/>
      </c>
      <c r="PI62" s="446" t="str">
        <f>IF(A62=FALSE,"",IF(Cotations!CG62="monthly",PH62/12*L62,PH62/365*M62))</f>
        <v/>
      </c>
      <c r="PJ62" s="429" t="str">
        <f>IF(A62=FALSE,"",IF(Cotations!DA62="",0,Cotations!DA62))</f>
        <v/>
      </c>
      <c r="PK62" s="292" t="str">
        <f t="shared" si="293"/>
        <v/>
      </c>
      <c r="PL62" s="292" t="str">
        <f t="shared" si="294"/>
        <v/>
      </c>
      <c r="PM62" s="759" t="str">
        <f t="shared" si="357"/>
        <v/>
      </c>
      <c r="PN62" s="759" t="str">
        <f>IF(A62=FALSE,"",((PH62*(1+TAXE)-(PH62*(1+TAXE)*PJ62))+IF(#REF!="N/A",0,IF(INDEX(LISTES!$F$105:$F$109,MATCH(#REF!,LISTES!$C$105:$C$109,0))="FIX",#REF!,#REF!*PM62))))</f>
        <v/>
      </c>
    </row>
    <row r="63" spans="1:430">
      <c r="A63" s="779" t="b">
        <f t="shared" si="295"/>
        <v>0</v>
      </c>
      <c r="B63" s="779" t="b">
        <f>IF(NAMES!$B$9=TRUE,TRUE,FALSE)</f>
        <v>1</v>
      </c>
      <c r="C63" s="779" t="b">
        <f t="shared" si="212"/>
        <v>0</v>
      </c>
      <c r="D63" s="779" t="b">
        <f t="shared" si="213"/>
        <v>0</v>
      </c>
      <c r="E63" s="267" t="b">
        <f>IF(Cotations!C63="","",Cotations!C63)</f>
        <v>0</v>
      </c>
      <c r="F63" s="267" t="str">
        <f>IF(Cotations!AT63="","",Cotations!AT63)</f>
        <v>PROP</v>
      </c>
      <c r="G63" s="267" t="str">
        <f>IF(Cotations!D63="","",Cotations!D63)</f>
        <v>2016-2017!</v>
      </c>
      <c r="H63" s="267" t="str">
        <f>IF(Cotations!E63="","",Cotations!E63)</f>
        <v>SINGLE</v>
      </c>
      <c r="I63" s="267" t="str">
        <f>IF(Cotations!F63="","",Cotations!F63)</f>
        <v/>
      </c>
      <c r="J63" s="267" t="str">
        <f>IF(Cotations!G63="","",Cotations!G63)</f>
        <v/>
      </c>
      <c r="K63" s="267" t="str">
        <f>IF(Cotations!H63="","",Cotations!H63)</f>
        <v/>
      </c>
      <c r="L63" s="267" t="str">
        <f>IF(A63=FALSE,"",IF(Cotations!M63="","",Cotations!M63))</f>
        <v/>
      </c>
      <c r="M63" s="267" t="str">
        <f>IF(Cotations!O63="","",Cotations!O63)</f>
        <v/>
      </c>
      <c r="N63" s="588" t="str">
        <f>IF(NAMES!$B$10=TRUE,Cotations!I63,Cotations!K63)</f>
        <v/>
      </c>
      <c r="O63" s="588" t="str">
        <f>IF(NAMES!$B$10=TRUE,Cotations!J63,Cotations!L63)</f>
        <v/>
      </c>
      <c r="P63" s="780" t="str">
        <f t="shared" si="214"/>
        <v/>
      </c>
      <c r="Q63" s="588" t="str">
        <f>IF(A63=FALSE,"",IF(Crewlist!Y63="","",Crewlist!Y63))</f>
        <v/>
      </c>
      <c r="R63" s="78" t="str">
        <f>IF(Cotations!T63="","",Cotations!T63)</f>
        <v/>
      </c>
      <c r="S63" s="780" t="str">
        <f t="shared" si="215"/>
        <v/>
      </c>
      <c r="T63" s="759" t="str">
        <f>IF(A63=FALSE,"",VLOOKUP($U$15:$U$120,Currency!$A$2:$D$10,4,0)*Crewlist!N63)</f>
        <v/>
      </c>
      <c r="U63" s="1097" t="str">
        <f>IF(A63=FALSE,"",IF(DP63=0,Crewlist!M63&amp;"/"&amp;CP63,Crewlist!M63&amp;"/"&amp;DP63))</f>
        <v/>
      </c>
      <c r="V63" s="759" t="str">
        <f>IF(A63=FALSE,"",VLOOKUP($U$15:$U$120,Currency!$A$2:$D$10,4,0)*Detail!Q63)</f>
        <v/>
      </c>
      <c r="W63" s="1097" t="str">
        <f>IF(A63=FALSE,"",IF(DP63=0,Detail!R63&amp;"/"&amp;CP63,Detail!R63&amp;"/"&amp;DP63))</f>
        <v/>
      </c>
      <c r="X63" s="759" t="str">
        <f>IF(A63=FALSE,"",IF(LISTES!$C$17="Crewlist",Calcul!T63,Calcul!V63))</f>
        <v/>
      </c>
      <c r="Y63" s="618" t="str">
        <f t="shared" si="216"/>
        <v/>
      </c>
      <c r="Z63" s="618" t="str">
        <f>IF(A63=FALSE,"",IF(X63=0,0,IF((Cotations!BA63*12*X63)&lt;50000,50000,(12*X63))))</f>
        <v/>
      </c>
      <c r="AA63" s="618" t="str">
        <f t="shared" si="217"/>
        <v/>
      </c>
      <c r="AB63" s="618" t="str">
        <f>IF(A63=FALSE,"",IF(Crewlist!O63=0,"",Crewlist!O63))</f>
        <v/>
      </c>
      <c r="AC63" s="618" t="str">
        <f>IF(I63="","",VLOOKUP($AB$15:$AB$120,Currency!$A$15:$B$34,2,0))</f>
        <v/>
      </c>
      <c r="AD63" s="618" t="str">
        <f t="shared" si="218"/>
        <v/>
      </c>
      <c r="AE63" s="618" t="str">
        <f t="shared" si="219"/>
        <v/>
      </c>
      <c r="AF63" s="618" t="str">
        <f t="shared" si="220"/>
        <v/>
      </c>
      <c r="AG63" s="618" t="str">
        <f t="shared" si="221"/>
        <v/>
      </c>
      <c r="AH63" s="1097" t="str">
        <f t="shared" si="296"/>
        <v/>
      </c>
      <c r="AI63" s="759" t="str">
        <f t="shared" si="222"/>
        <v/>
      </c>
      <c r="AJ63" s="1120" t="str">
        <f t="shared" si="223"/>
        <v/>
      </c>
      <c r="AK63" s="1120" t="str">
        <f t="shared" si="224"/>
        <v/>
      </c>
      <c r="AL63" s="236" t="str">
        <f t="shared" si="225"/>
        <v/>
      </c>
      <c r="AM63" s="236" t="str">
        <f t="shared" si="226"/>
        <v/>
      </c>
      <c r="AN63" s="1112" t="str">
        <f t="shared" si="227"/>
        <v/>
      </c>
      <c r="AO63" s="236" t="str">
        <f t="shared" si="228"/>
        <v/>
      </c>
      <c r="AP63" s="327" t="str">
        <f>IF(A63=FALSE,"",INDEX(Rates!$Q$1:$Q$278,MATCH(CA63,colchoice,0)))</f>
        <v/>
      </c>
      <c r="AQ63" s="236" t="str">
        <f t="shared" si="229"/>
        <v/>
      </c>
      <c r="AR63" s="236" t="str">
        <f t="shared" si="230"/>
        <v/>
      </c>
      <c r="AS63" s="236" t="str">
        <f t="shared" si="297"/>
        <v/>
      </c>
      <c r="AT63" s="236" t="str">
        <f t="shared" si="298"/>
        <v/>
      </c>
      <c r="AU63" s="236" t="str">
        <f t="shared" si="231"/>
        <v/>
      </c>
      <c r="AV63" s="236" t="str">
        <f t="shared" si="232"/>
        <v/>
      </c>
      <c r="AW63" s="236" t="str">
        <f t="shared" si="233"/>
        <v/>
      </c>
      <c r="AX63" s="236" t="str">
        <f t="shared" si="234"/>
        <v/>
      </c>
      <c r="AY63" s="236" t="str">
        <f t="shared" si="235"/>
        <v/>
      </c>
      <c r="AZ63" s="236" t="str">
        <f t="shared" si="236"/>
        <v/>
      </c>
      <c r="BA63" s="236" t="str">
        <f t="shared" si="237"/>
        <v/>
      </c>
      <c r="BB63" s="467" t="str">
        <f t="shared" si="238"/>
        <v/>
      </c>
      <c r="BC63" s="329" t="str">
        <f t="shared" si="239"/>
        <v/>
      </c>
      <c r="BD63" s="237" t="str">
        <f t="shared" si="240"/>
        <v/>
      </c>
      <c r="BE63" s="237" t="str">
        <f>IF(A63=FALSE,"",IF(ED63&lt;&gt;$BC$7,0,INDEX(EA63:EZ63,1,MATCH(Structure!$J$16,$EA$14:$EZ$14,0))))</f>
        <v/>
      </c>
      <c r="BF63" s="237" t="str">
        <f>IF(A63=FALSE,"",IF(FD63&lt;&gt;$BC$7,0,INDEX(FA63:FZ63,1,MATCH(Structure!$J$16,$FA$14:$FZ$14,0))))</f>
        <v/>
      </c>
      <c r="BG63" s="237" t="str">
        <f>IF(A63=FALSE,"",IF(GD63&lt;&gt;$BC$7,0,INDEX(GA63:GZ63,1,MATCH(Structure!$J$16,$GA$14:$GZ$14,0))))</f>
        <v/>
      </c>
      <c r="BH63" s="237" t="str">
        <f>IF(A63=FALSE,"",IF(HD63&lt;&gt;$BC$7,0,INDEX(HA63:HZ63,1,MATCH(Structure!$J$16,$HA$14:$HZ$14,0))))</f>
        <v/>
      </c>
      <c r="BI63" s="621" t="str">
        <f>IF(A63=FALSE,"",IF(ID63&lt;&gt;$BC$7,0,INDEX(IA63:IZ63,1,MATCH(Structure!$C$12,$IA$14:$IZ$14,0)))+OL63)</f>
        <v/>
      </c>
      <c r="BJ63" s="237" t="str">
        <f>IF(A63=FALSE,"",IF(JD63&lt;&gt;$BC$7,0,INDEX(JA63:JZ63,1,MATCH(Structure!$C$12,$JA$14:$JZ$14,0))))</f>
        <v/>
      </c>
      <c r="BK63" s="621" t="str">
        <f>IF(A63=FALSE,"",IF(KD63&lt;&gt;$BC$7,0,INDEX(KA63:KZ63,1,MATCH(Structure!$C$12,$KA$14:$KZ$14,0)))+PL63)</f>
        <v/>
      </c>
      <c r="BL63" s="237" t="str">
        <f>IF(A63=FALSE,"",IF(LD63&lt;&gt;$BC$7,0,INDEX(LA63:LZ63,1,MATCH(Structure!$C$12,$LA$14:$LZ$14,0))))</f>
        <v/>
      </c>
      <c r="BM63" s="237" t="str">
        <f>IF(A63=FALSE,"",IF(MD63&lt;&gt;$BC$7,0,INDEX(MA63:MZ63,1,MATCH(Structure!$C$12,$MA$14:$MZ$14,0))))</f>
        <v/>
      </c>
      <c r="BN63" s="326" t="str">
        <f>IF(A63=FALSE,"",IF(ND63&lt;&gt;$BC$7,0,INDEX(NA63:OC63,1,MATCH(Structure!$C$12,$NA$14:$OC$14,0))))</f>
        <v/>
      </c>
      <c r="BO63" s="435" t="str">
        <f t="shared" si="241"/>
        <v/>
      </c>
      <c r="BP63" s="237" t="str">
        <f t="shared" si="242"/>
        <v/>
      </c>
      <c r="BQ63" s="237" t="str">
        <f>IF(A63=FALSE,"",IF(ED63&lt;&gt;$BO$7,0,INDEX(EA63:EZ63,1,MATCH(Structure!$C$12,$EA$14:$EZ$14,0))))</f>
        <v/>
      </c>
      <c r="BR63" s="237" t="str">
        <f>IF(A63=FALSE,"",IF(FD63&lt;&gt;$BO$7,0,INDEX(FA63:FZ63,1,MATCH(Structure!$C$12,$FA$14:$FZ$14,0))))</f>
        <v/>
      </c>
      <c r="BS63" s="237" t="str">
        <f>IF(A63=FALSE,"",IF(ID63&lt;&gt;$BO$7,0,INDEX(IA63:IZ63,1,MATCH(Structure!$C$13,$IA$14:$IZ$14,0))))</f>
        <v/>
      </c>
      <c r="BT63" s="237" t="str">
        <f>IF(A63=FALSE,"",IF(JD63&lt;&gt;$BO$7,0,INDEX(JA63:JZ63,1,MATCH(Structure!$C$13,$JA$14:$JZ$14,0))))</f>
        <v/>
      </c>
      <c r="BU63" s="237" t="str">
        <f>IF(A63=FALSE,"",IF(KD63&lt;&gt;$BO$7,0,INDEX(KA63:KZ63,1,MATCH(Structure!$C$13,$KA$14:$KZ$14,0))))</f>
        <v/>
      </c>
      <c r="BV63" s="237" t="str">
        <f>IF(A63=FALSE,"",IF(LD63&lt;&gt;$BO$7,0,INDEX(LA63:LZ63,1,MATCH(Structure!$C$13,$LA$14:$LZ$14,0))))</f>
        <v/>
      </c>
      <c r="BW63" s="237" t="str">
        <f>IF(A63=FALSE,"",IF(MD63&lt;&gt;$BO$7,0,INDEX(MA63:MZ63,1,MATCH(Structure!$C$13,$MA$14:$MZ$14,0))))</f>
        <v/>
      </c>
      <c r="BX63" s="326" t="str">
        <f>IF(A63=FALSE,"",IF(ND63&lt;&gt;$BO$7,0,INDEX(NA63:OC63,1,MATCH(Structure!$C$13,$NA$14:$OC$14,0))))</f>
        <v/>
      </c>
      <c r="BY63" s="412"/>
      <c r="BZ63" s="412"/>
      <c r="CA63" s="1255" t="str">
        <f>IF(A63=FALSE,"",IF(LISTES!$A$17=1,Cotations!AG63,Cotations!AH63))</f>
        <v/>
      </c>
      <c r="CB63" s="1266" t="str">
        <f t="shared" si="243"/>
        <v/>
      </c>
      <c r="CC63" s="1120" t="str">
        <f t="shared" si="244"/>
        <v/>
      </c>
      <c r="CD63" s="1120" t="str">
        <f t="shared" si="245"/>
        <v/>
      </c>
      <c r="CE63" s="1120" t="str">
        <f t="shared" si="246"/>
        <v/>
      </c>
      <c r="CF63" s="1120" t="str">
        <f t="shared" si="247"/>
        <v/>
      </c>
      <c r="CG63" s="1267"/>
      <c r="CH63" s="1267"/>
      <c r="CI63" s="1268" t="str">
        <f t="shared" si="248"/>
        <v/>
      </c>
      <c r="CJ63" s="286" t="str">
        <f t="shared" si="249"/>
        <v/>
      </c>
      <c r="CK63" s="286" t="str">
        <f t="shared" si="250"/>
        <v/>
      </c>
      <c r="CL63" s="1263"/>
      <c r="CM63" s="1263"/>
      <c r="CN63" s="1263"/>
      <c r="CO63" s="1263"/>
      <c r="CP63" s="319" t="str">
        <f t="shared" si="251"/>
        <v/>
      </c>
      <c r="CQ63" s="443" t="str">
        <f>IF(A63=FALSE,"",Cotations!AM63)</f>
        <v/>
      </c>
      <c r="CR63" s="443" t="str">
        <f>IF(A63=FALSE,"",IF(Cotations!AN63="","",Cotations!AN63))</f>
        <v/>
      </c>
      <c r="CS63" s="433" t="str">
        <f>IF(A63=FALSE,"",Cotations!AO63)</f>
        <v/>
      </c>
      <c r="CT63" s="443" t="str">
        <f>IF(A63=FALSE,"",IF(CQ63="N/A",0,IF(INDEX(LISTES!$F$105:$F$109,MATCH(CQ63,LISTES!$C$105:$C$109,0))="FIX",IF(INDEX(LISTES!$E$105:$E$109,MATCH(CQ63,LISTES!$C$105:$C$109,0))=12,CR63/12*L63,CR63/365*M63),CS63*EQ63)))</f>
        <v/>
      </c>
      <c r="CU63" s="434" t="str">
        <f>IF(A63=FALSE,"",(CJ63+CK63)*Cotations!AP63)</f>
        <v/>
      </c>
      <c r="CV63" s="434" t="str">
        <f>IF(A63=FALSE,"",(CJ63+CK63)*Cotations!AQ63)</f>
        <v/>
      </c>
      <c r="DA63" s="1253" t="str">
        <f>IF(A63=FALSE,"",IF(LISTES!$A$17=1,Cotations!AV63,Cotations!AW63))</f>
        <v/>
      </c>
      <c r="DB63" s="1271" t="str">
        <f t="shared" si="252"/>
        <v/>
      </c>
      <c r="DC63" s="1270" t="str">
        <f t="shared" si="253"/>
        <v/>
      </c>
      <c r="DD63" s="1270" t="str">
        <f t="shared" si="254"/>
        <v/>
      </c>
      <c r="DE63" s="1270" t="str">
        <f t="shared" si="255"/>
        <v/>
      </c>
      <c r="DF63" s="1270" t="str">
        <f t="shared" si="256"/>
        <v/>
      </c>
      <c r="DG63" s="1270" t="str">
        <f t="shared" si="257"/>
        <v/>
      </c>
      <c r="DH63" s="1270" t="str">
        <f t="shared" si="258"/>
        <v/>
      </c>
      <c r="DI63" s="1271" t="str">
        <f t="shared" si="259"/>
        <v/>
      </c>
      <c r="DJ63" s="286" t="str">
        <f t="shared" si="260"/>
        <v/>
      </c>
      <c r="DK63" s="286" t="str">
        <f t="shared" si="261"/>
        <v/>
      </c>
      <c r="DL63" s="1264" t="str">
        <f t="shared" si="262"/>
        <v/>
      </c>
      <c r="DM63" s="1264" t="str">
        <f t="shared" si="263"/>
        <v/>
      </c>
      <c r="DN63" s="1264" t="str">
        <f t="shared" si="264"/>
        <v/>
      </c>
      <c r="DO63" s="1264" t="str">
        <f t="shared" si="265"/>
        <v/>
      </c>
      <c r="DP63" s="323" t="str">
        <f t="shared" si="299"/>
        <v/>
      </c>
      <c r="DQ63" s="444" t="str">
        <f>IF(A63=FALSE,"",Cotations!BW63)</f>
        <v/>
      </c>
      <c r="DR63" s="444" t="str">
        <f>IF(A63=FALSE,"",Cotations!BX63)</f>
        <v/>
      </c>
      <c r="DS63" s="433" t="str">
        <f>IF(A63=FALSE,"",Cotations!BY63)</f>
        <v/>
      </c>
      <c r="DT63" s="830" t="str">
        <f>IF(A63=FALSE,"",IF(DQ63="N/A",0,IF(INDEX(LISTES!$F$105:$F$109,MATCH(DQ63,LISTES!$C$105:$C$109,0))="FIX",IF(INDEX(LISTES!$E$105:$E$109,MATCH(DQ63,LISTES!$C$105:$C$109,0))=12,DR63/12*L63,DR63/365*M63),DS63*(DN63+DO63))))</f>
        <v/>
      </c>
      <c r="DU63" s="434" t="str">
        <f>IF(A63=FALSE,"",DJ63*Cotations!BZ63)</f>
        <v/>
      </c>
      <c r="DV63" s="434" t="str">
        <f>IF(A63=FALSE,"",DJ63*Cotations!CA63)</f>
        <v/>
      </c>
      <c r="EA63" s="432" t="str">
        <f>IF(A63=FALSE,"",Cotations!AT63)</f>
        <v/>
      </c>
      <c r="EB63" s="1234" t="str">
        <f>IF(A63=FALSE,"",YEAR(Detail!F63)&amp;Detail!AG63&amp;Detail!AD63&amp;"-"&amp;Detail!$AD$13&amp;Detail!AE63)</f>
        <v/>
      </c>
      <c r="EC63" s="434" t="str">
        <f>IF(A63=FALSE,"",IF(LISTES!$A$17=1,EB63,INDEX(colMOD1,MATCH(Cotations!AH63,colchoice,0))))</f>
        <v/>
      </c>
      <c r="ED63" s="277" t="str">
        <f t="shared" si="300"/>
        <v/>
      </c>
      <c r="EE63" s="277" t="str">
        <f t="shared" si="301"/>
        <v/>
      </c>
      <c r="EF63" s="277"/>
      <c r="EG63" s="277"/>
      <c r="EH63" s="277" t="str">
        <f t="shared" si="302"/>
        <v/>
      </c>
      <c r="EI63" s="1104" t="str">
        <f t="shared" si="303"/>
        <v/>
      </c>
      <c r="EJ63" s="1104" t="str">
        <f t="shared" si="304"/>
        <v/>
      </c>
      <c r="EK63" s="443" t="str">
        <f>IF(A63=FALSE,"",IF(Cotations!AF63="monthly",EH63/12*L63,EH63/365*M63))</f>
        <v/>
      </c>
      <c r="EL63" s="1103" t="str">
        <f>IF(A63=FALSE,"",IF(Cotations!AF63="monthly",EJ63/12*L63,EJ63/365*M63))</f>
        <v/>
      </c>
      <c r="EM63" s="433" t="str">
        <f>IF(A63=FALSE,"",IF(Cotations!AI63="","",Cotations!AI63))</f>
        <v/>
      </c>
      <c r="EN63" s="277" t="str">
        <f t="shared" si="305"/>
        <v/>
      </c>
      <c r="EO63" s="277" t="str">
        <f t="shared" si="306"/>
        <v/>
      </c>
      <c r="EP63" s="1104" t="str">
        <f t="shared" si="307"/>
        <v/>
      </c>
      <c r="EQ63" s="277" t="str">
        <f t="shared" si="308"/>
        <v/>
      </c>
      <c r="ER63" s="759" t="str">
        <f>IF(A63=FALSE,"",((EH63*TAXE)-(EH63*TAXE*EM63)+EI63)+IF(CQ63="N/A",0,IF(INDEX(LISTES!$F$105:$F$109,MATCH(CQ63,LISTES!$C$105:$C$109,0))="FIX",CR63,CS63*EQ63)))</f>
        <v/>
      </c>
      <c r="ET63" s="422"/>
      <c r="EU63" s="422"/>
      <c r="EV63" s="422"/>
      <c r="EW63" s="422"/>
      <c r="EX63" s="422"/>
      <c r="EY63" s="422"/>
      <c r="EZ63" s="422"/>
      <c r="FA63" s="432" t="str">
        <f>IF(A63=FALSE,"",Cotations!AT63)</f>
        <v/>
      </c>
      <c r="FB63" s="1235" t="str">
        <f>IF(A63=FALSE,"",IF(Detail!AL63="","N/A",YEAR(Detail!F63)&amp;Detail!AO63&amp;Detail!AL63&amp;"-"&amp;Detail!$AL$13&amp;Detail!AM63))</f>
        <v/>
      </c>
      <c r="FC63" s="434" t="str">
        <f>IF(A63=FALSE,"",IF(LISTES!$A$17=1,FB63,INDEX(colMOD2,MATCH(Cotations!AH63,colchoice,0))))</f>
        <v/>
      </c>
      <c r="FD63" s="277" t="str">
        <f t="shared" si="309"/>
        <v/>
      </c>
      <c r="FE63" s="443" t="str">
        <f>IF(A63=FALSE,"",IF(Detail!AM63="","",Detail!AM63))</f>
        <v/>
      </c>
      <c r="FF63" s="277"/>
      <c r="FG63" s="277"/>
      <c r="FH63" s="277" t="str">
        <f t="shared" si="310"/>
        <v/>
      </c>
      <c r="FI63" s="1104"/>
      <c r="FJ63" s="1104"/>
      <c r="FK63" s="443" t="str">
        <f>IF(A63=FALSE,"",IF(Cotations!AF63="monthly",FH63/12*L63,FH63/365*M63))</f>
        <v/>
      </c>
      <c r="FL63" s="1103" t="str">
        <f>IF(A63=FALSE,"",IF(Cotations!AF63="monthly",FJ63/12*L63,FJ63/365*M63))</f>
        <v/>
      </c>
      <c r="FM63" s="433" t="str">
        <f>IF(A63=FALSE,"",IF(Cotations!AJ63="","",Cotations!AJ63))</f>
        <v/>
      </c>
      <c r="FN63" s="277" t="str">
        <f t="shared" si="268"/>
        <v/>
      </c>
      <c r="FO63" s="277" t="str">
        <f t="shared" si="269"/>
        <v/>
      </c>
      <c r="FP63" s="1104"/>
      <c r="FQ63" s="277" t="str">
        <f t="shared" si="270"/>
        <v/>
      </c>
      <c r="FR63" s="759" t="str">
        <f>IF(A63=FALSE,"",((FH63*TAXE)-(FH63*TAXE*FM63))+IF(#REF!="N/A",0,IF(INDEX(LISTES!$F$105:$F$109,MATCH(#REF!,LISTES!$C$105:$C$109,0))="FIX",#REF!,#REF!*FQ63)))</f>
        <v/>
      </c>
      <c r="FS63" s="422"/>
      <c r="FT63" s="422"/>
      <c r="FU63" s="422"/>
      <c r="FV63" s="422"/>
      <c r="FW63" s="422"/>
      <c r="FX63" s="422"/>
      <c r="FY63" s="422"/>
      <c r="FZ63" s="422"/>
      <c r="GA63" s="432" t="str">
        <f t="shared" si="311"/>
        <v/>
      </c>
      <c r="GB63" s="1234" t="str">
        <f>IF(A63=FALSE,"",IF(Detail!DF63="","N/A",YEAR(Detail!F63)&amp;Detail!DI63&amp;Detail!DF63&amp;"-"&amp;Detail!$DF$13))</f>
        <v/>
      </c>
      <c r="GC63" s="434" t="str">
        <f>IF(A63=FALSE,"",IF(LISTES!$A$17=1,GB63,INDEX(colMOD3,MATCH(Cotations!AH63,colchoice,0))))</f>
        <v/>
      </c>
      <c r="GD63" s="277" t="str">
        <f t="shared" si="312"/>
        <v/>
      </c>
      <c r="GE63" s="277" t="str">
        <f t="shared" si="313"/>
        <v/>
      </c>
      <c r="GF63" s="277"/>
      <c r="GG63" s="277"/>
      <c r="GH63" s="277" t="str">
        <f t="shared" si="271"/>
        <v/>
      </c>
      <c r="GI63" s="1104" t="str">
        <f t="shared" si="272"/>
        <v/>
      </c>
      <c r="GJ63" s="1104" t="str">
        <f t="shared" si="273"/>
        <v/>
      </c>
      <c r="GK63" s="443" t="str">
        <f>IF(A63=FALSE,"",IF(Cotations!AF63="monthly",GH63/12*L63,GH63/365*M63))</f>
        <v/>
      </c>
      <c r="GL63" s="1103" t="str">
        <f>IF(A63=FALSE,"",IF(Cotations!AF63="monthly",GJ63/12*L63,GJ63/365*M63))</f>
        <v/>
      </c>
      <c r="GM63" s="433" t="str">
        <f>IF(A63=FALSE,"",IF(Cotations!AK63="","",Cotations!AK63))</f>
        <v/>
      </c>
      <c r="GN63" s="277" t="str">
        <f t="shared" si="274"/>
        <v/>
      </c>
      <c r="GO63" s="277" t="str">
        <f t="shared" si="275"/>
        <v/>
      </c>
      <c r="GP63" s="1104" t="str">
        <f t="shared" si="276"/>
        <v/>
      </c>
      <c r="GQ63" s="277" t="str">
        <f t="shared" si="277"/>
        <v/>
      </c>
      <c r="GR63" s="759" t="str">
        <f>IF(A63=FALSE,"",((GH63*TAXE)-(GH63*TAXE*GM63)+GI63)+IF(CQ63="N/A",0,IF(INDEX(LISTES!$F$105:$F$109,MATCH(CQ63,LISTES!$C$105:$C$109,0))="FIX",CR63,CS63*GQ63)))</f>
        <v/>
      </c>
      <c r="GS63" s="412"/>
      <c r="GT63" s="412"/>
      <c r="GU63" s="412"/>
      <c r="GV63" s="412"/>
      <c r="GW63" s="412"/>
      <c r="GX63" s="412"/>
      <c r="GY63" s="412"/>
      <c r="GZ63" s="412"/>
      <c r="HA63" s="432" t="str">
        <f t="shared" si="314"/>
        <v/>
      </c>
      <c r="HB63" s="1234" t="str">
        <f>IF(A63=FALSE,"",IF(Detail!DF63="","N/A",YEAR(Detail!F63)&amp;Detail!DI63&amp;Detail!DF63&amp;"-"&amp;Detail!$DF$13))</f>
        <v/>
      </c>
      <c r="HC63" s="434" t="str">
        <f>IF(A63=FALSE,"",IF(LISTES!$A$17=1,HB63,INDEX(colMOD4,MATCH(Cotations!AH63,colchoice,0))))</f>
        <v/>
      </c>
      <c r="HD63" s="277" t="str">
        <f t="shared" si="278"/>
        <v/>
      </c>
      <c r="HE63" s="277" t="str">
        <f t="shared" si="279"/>
        <v/>
      </c>
      <c r="HF63" s="277"/>
      <c r="HG63" s="277"/>
      <c r="HH63" s="277" t="str">
        <f t="shared" si="280"/>
        <v/>
      </c>
      <c r="HI63" s="1104" t="str">
        <f t="shared" si="281"/>
        <v/>
      </c>
      <c r="HJ63" s="1104" t="str">
        <f t="shared" si="282"/>
        <v/>
      </c>
      <c r="HK63" s="443" t="str">
        <f>IF(A63=FALSE,"",IF(Cotations!AF63="monthly",HH63/12*L63,HH63/365*M63))</f>
        <v/>
      </c>
      <c r="HL63" s="1103" t="str">
        <f>IF(A63=FALSE,"",IF(Cotations!AF63="monthly",HJ63/12*L63,HJ63/365*M63))</f>
        <v/>
      </c>
      <c r="HM63" s="433" t="str">
        <f>IF(A63=FALSE,"",IF(Cotations!AL63="","",Cotations!AL63))</f>
        <v/>
      </c>
      <c r="HN63" s="277" t="str">
        <f t="shared" si="283"/>
        <v/>
      </c>
      <c r="HO63" s="277" t="str">
        <f t="shared" si="284"/>
        <v/>
      </c>
      <c r="HP63" s="1104" t="str">
        <f t="shared" si="285"/>
        <v/>
      </c>
      <c r="HQ63" s="277" t="str">
        <f t="shared" si="286"/>
        <v/>
      </c>
      <c r="HR63" s="759" t="str">
        <f>IF(A63=FALSE,"",((HH63*TAXE)-(HH63*TAXE*HM63)+HI63)+IF(CQ63="N/A",0,IF(INDEX(LISTES!$F$105:$F$109,MATCH(CQ63,LISTES!$C$105:$C$109,0))="FIX",CR63,CS63*HQ63)))</f>
        <v/>
      </c>
      <c r="HS63" s="412"/>
      <c r="HT63" s="412"/>
      <c r="HU63" s="412"/>
      <c r="HV63" s="412"/>
      <c r="HW63" s="412"/>
      <c r="HX63" s="412"/>
      <c r="HY63" s="412"/>
      <c r="HZ63" s="1262"/>
      <c r="IA63" s="432" t="str">
        <f>IF(A63=FALSE,"",Cotations!AT63)</f>
        <v/>
      </c>
      <c r="IB63" s="1253" t="str">
        <f>IF(A63=FALSE,"",IF(Detail!AT63="","N/A",YEAR(Detail!F63)&amp;Detail!AW63&amp;Detail!AT63&amp;"-"&amp;Detail!$AT$13&amp;Detail!AU63))</f>
        <v/>
      </c>
      <c r="IC63" s="431" t="str">
        <f>IF(A63=FALSE,"",IF(LISTES!$A$17=1,IB63,INDEX(colMOD1,MATCH(DA63,colchoice,0))))</f>
        <v/>
      </c>
      <c r="ID63" s="759" t="str">
        <f t="shared" si="358"/>
        <v/>
      </c>
      <c r="IE63" s="292" t="str">
        <f>IF(A63=FALSE,"",IF(LISTES!$A$17=1,Detail!AU63,INDEX(Rates!$M$1:$M$270,MATCH(IC63,colMOD1,0))))</f>
        <v/>
      </c>
      <c r="IF63" s="409" t="str">
        <f t="shared" si="359"/>
        <v/>
      </c>
      <c r="IG63" s="430" t="str">
        <f>IF(A63=FALSE,"",IF(IA63="POEA",Cotations!AY63,IF(IA63="FIXE",Cotations!AZ63,IF(Cotations!BA63*Y63&lt;50000,Z63,Cotations!BA63*Y63))))</f>
        <v/>
      </c>
      <c r="IH63" s="292" t="str">
        <f t="shared" si="360"/>
        <v/>
      </c>
      <c r="II63" s="446" t="str">
        <f>IF(A63=FALSE,"",IF(Cotations!AU63="monthly",IH63/12*L63,IH63/365*M63))</f>
        <v/>
      </c>
      <c r="IJ63" s="429" t="str">
        <f>IF(A63=FALSE,"",IF(Cotations!BB63="","",Cotations!BB63))</f>
        <v/>
      </c>
      <c r="IK63" s="292" t="str">
        <f t="shared" si="361"/>
        <v/>
      </c>
      <c r="IL63" s="292" t="str">
        <f t="shared" si="362"/>
        <v/>
      </c>
      <c r="IM63" s="759" t="str">
        <f t="shared" si="363"/>
        <v/>
      </c>
      <c r="IN63" s="759" t="str">
        <f>IF(A63=FALSE,"",((IH63*TAXE)-(IH63*TAXE*IJ63))+IF(DQ63="N/A",0,IF(INDEX(LISTES!$F$105:$F$109,MATCH(DQ63,LISTES!$C$105:$C$109,0))="FIX",DR63,DS63*IM63)))</f>
        <v/>
      </c>
      <c r="JA63" s="432" t="str">
        <f>IF(A63=FALSE,"",Cotations!AT63)</f>
        <v/>
      </c>
      <c r="JB63" s="1234" t="str">
        <f>IF(A63=FALSE,"",IF(Detail!BB63="","N/A",YEAR(Detail!F63)&amp;Detail!BE63&amp;Detail!BB63&amp;"-"&amp;Detail!$BB$13&amp;Detail!BC63))</f>
        <v/>
      </c>
      <c r="JC63" s="431" t="str">
        <f>IF(A63=FALSE,"",IF(LISTES!$A$17=1,JB63,INDEX(colMOD2,MATCH(DA63,colchoice,0))))</f>
        <v/>
      </c>
      <c r="JD63" s="759" t="str">
        <f t="shared" si="321"/>
        <v/>
      </c>
      <c r="JE63" s="292"/>
      <c r="JF63" s="409" t="str">
        <f t="shared" si="322"/>
        <v/>
      </c>
      <c r="JG63" s="430" t="str">
        <f>IF(A63=FALSE,"",IF(JA63="POEA",Cotations!BC63,IF(JA63="FIXE",Cotations!BD63,IF(Cotations!BE63*Y63&lt;50000,Z63,Cotations!BE63*Y63))))</f>
        <v/>
      </c>
      <c r="JH63" s="292" t="str">
        <f t="shared" si="323"/>
        <v/>
      </c>
      <c r="JI63" s="446" t="str">
        <f>IF(A63=FALSE,"",IF(Cotations!AU63="monthly",JH63/12*L63,JH63/365*M63))</f>
        <v/>
      </c>
      <c r="JJ63" s="429" t="str">
        <f>IF(A63=FALSE,"",IF(Cotations!BF63="","",Cotations!BF63))</f>
        <v/>
      </c>
      <c r="JK63" s="292" t="str">
        <f t="shared" si="324"/>
        <v/>
      </c>
      <c r="JL63" s="292" t="str">
        <f t="shared" si="325"/>
        <v/>
      </c>
      <c r="JM63" s="759" t="str">
        <f t="shared" si="326"/>
        <v/>
      </c>
      <c r="JN63" s="759" t="str">
        <f>IF(A63=FALSE,"",((JH63*TAXE)-(JH63*TAXE*JJ63))+IF(#REF!="N/A",0,IF(INDEX(LISTES!$F$105:$F$109,MATCH(#REF!,LISTES!$C$105:$C$109,0))="FIX",#REF!,#REF!*JM63)))</f>
        <v/>
      </c>
      <c r="KA63" s="432" t="str">
        <f>IF(A63=FALSE,"",Cotations!AT63)</f>
        <v/>
      </c>
      <c r="KB63" s="1234" t="str">
        <f>IF(A63=FALSE,"",IF(Detail!BJ63="","N/A",YEAR(Detail!F63)&amp;Detail!BM63&amp;Detail!BJ63&amp;"-"&amp;Detail!$BJ$13&amp;Detail!BK63))</f>
        <v/>
      </c>
      <c r="KC63" s="431" t="str">
        <f>IF(A63=FALSE,"",IF(LISTES!$A$17=1,KB63,INDEX(colMOD3,MATCH(DA63,colchoice,0))))</f>
        <v/>
      </c>
      <c r="KD63" s="759" t="str">
        <f t="shared" si="327"/>
        <v/>
      </c>
      <c r="KE63" s="292"/>
      <c r="KF63" s="409" t="str">
        <f t="shared" si="328"/>
        <v/>
      </c>
      <c r="KG63" s="430" t="str">
        <f>IF(A63=FALSE,"",IF(KA63="POEA",Cotations!BG63,IF(KA63="FIXE",Cotations!BH63,IF(Cotations!BI63*Y63&lt;50000,Z63,Cotations!BI63*Y63))))</f>
        <v/>
      </c>
      <c r="KH63" s="292" t="str">
        <f t="shared" si="329"/>
        <v/>
      </c>
      <c r="KI63" s="446" t="str">
        <f>IF(A63=FALSE,"",IF(Cotations!AU63="monthly",KH63/12*L63,KH63/365*M63))</f>
        <v/>
      </c>
      <c r="KJ63" s="429" t="str">
        <f>IF(A63=FALSE,"",IF(Cotations!BJ63="","",Cotations!BJ63))</f>
        <v/>
      </c>
      <c r="KK63" s="292" t="str">
        <f t="shared" si="330"/>
        <v/>
      </c>
      <c r="KL63" s="292" t="str">
        <f t="shared" si="331"/>
        <v/>
      </c>
      <c r="KM63" s="759" t="str">
        <f t="shared" si="332"/>
        <v/>
      </c>
      <c r="KN63" s="759" t="str">
        <f>IF(A63=FALSE,"",((KH63*TAXE)-(KH63*TAXE*KJ63))+IF(#REF!="N/A",0,IF(INDEX(LISTES!$F$105:$F$109,MATCH(#REF!,LISTES!$C$105:$C$109,0))="FIX",#REF!,#REF!*KM63)))</f>
        <v/>
      </c>
      <c r="LA63" s="432" t="str">
        <f>IF(A63=FALSE,"",Cotations!AT63)</f>
        <v/>
      </c>
      <c r="LB63" s="1234" t="str">
        <f>IF(A63=FALSE,"",IF(Detail!BR63="","N/A",YEAR(Detail!F63)&amp;Detail!BU63&amp;Detail!BR63&amp;"-"&amp;Detail!$BR$13&amp;Detail!BS63))</f>
        <v/>
      </c>
      <c r="LC63" s="431" t="str">
        <f>IF(A63=FALSE,"",IF(LISTES!$A$17=1,LB63,INDEX(colMOD4,MATCH(DA63,colchoice,0))))</f>
        <v/>
      </c>
      <c r="LD63" s="759" t="str">
        <f t="shared" si="333"/>
        <v/>
      </c>
      <c r="LE63" s="292"/>
      <c r="LF63" s="409" t="str">
        <f t="shared" si="334"/>
        <v/>
      </c>
      <c r="LG63" s="430" t="str">
        <f>IF(A63=FALSE,"",IF(LA63="POEA",Cotations!BK63,IF(LA63="FIXE",Cotations!BL63,IF(Cotations!BM63*Y63&lt;50000,Z63,Cotations!BM63*Y63))))</f>
        <v/>
      </c>
      <c r="LH63" s="292" t="str">
        <f t="shared" si="335"/>
        <v/>
      </c>
      <c r="LI63" s="446" t="str">
        <f>IF(A63=FALSE,"",IF(Cotations!AU63="monthly",LH63/12*L63,LH63/365*M63))</f>
        <v/>
      </c>
      <c r="LJ63" s="429" t="str">
        <f>IF(A63=FALSE,"",IF(Cotations!BN63="","",Cotations!BN63))</f>
        <v/>
      </c>
      <c r="LK63" s="292" t="str">
        <f t="shared" si="336"/>
        <v/>
      </c>
      <c r="LL63" s="292" t="str">
        <f t="shared" si="337"/>
        <v/>
      </c>
      <c r="LM63" s="759" t="str">
        <f t="shared" si="338"/>
        <v/>
      </c>
      <c r="LN63" s="759" t="str">
        <f>IF(A63=FALSE,"",((LH63*TAXE)-(LH63*TAXE*LJ63))+IF(#REF!="N/A",0,IF(INDEX(LISTES!$F$105:$F$109,MATCH(#REF!,LISTES!$C$105:$C$109,0))="FIX",#REF!,#REF!*LM63)))</f>
        <v/>
      </c>
      <c r="MA63" s="432" t="str">
        <f t="shared" si="339"/>
        <v/>
      </c>
      <c r="MB63" s="1234" t="str">
        <f>IF(A63=FALSE,"",IF(Detail!BZ63="","N/A",YEAR(Detail!F63)&amp;Detail!CC63&amp;Detail!BZ63&amp;"-"&amp;Detail!$BZ$13&amp;" (100%/"&amp;Detail!CD63&amp;"/"&amp;Detail!CE63&amp;")"))</f>
        <v/>
      </c>
      <c r="MC63" s="431" t="str">
        <f>IF(A63=FALSE,"",IF(LISTES!$A$17=1,MB63,INDEX(colMOD5,MATCH(DA63,colchoice,0))))</f>
        <v/>
      </c>
      <c r="MD63" s="759" t="str">
        <f t="shared" si="340"/>
        <v/>
      </c>
      <c r="ME63" s="292"/>
      <c r="MF63" s="409" t="str">
        <f t="shared" si="341"/>
        <v/>
      </c>
      <c r="MG63" s="430" t="str">
        <f>IF(A63=FALSE,"",Cotations!BQ63*AA63)</f>
        <v/>
      </c>
      <c r="MH63" s="292" t="str">
        <f t="shared" si="342"/>
        <v/>
      </c>
      <c r="MI63" s="446" t="str">
        <f>IF(A63=FALSE,"",IF(Cotations!AU63="monthly",MH63/12*L63,MH63/365*M63))</f>
        <v/>
      </c>
      <c r="MJ63" s="429" t="str">
        <f>IF(A63=FALSE,"",IF(Cotations!BR63="","",Cotations!BR63))</f>
        <v/>
      </c>
      <c r="MK63" s="292" t="str">
        <f t="shared" si="343"/>
        <v/>
      </c>
      <c r="ML63" s="292" t="str">
        <f t="shared" si="344"/>
        <v/>
      </c>
      <c r="MM63" s="759" t="str">
        <f t="shared" si="345"/>
        <v/>
      </c>
      <c r="MN63" s="759" t="str">
        <f>IF(A63=FALSE,"",((MH63*TAXE)-(MH63*TAXE*MJ63))+IF(#REF!="N/A",0,IF(INDEX(LISTES!$F$105:$F$109,MATCH(#REF!,LISTES!$C$105:$C$109,0))="FIX",#REF!,#REF!*MM63)))</f>
        <v/>
      </c>
      <c r="NA63" s="432" t="str">
        <f t="shared" si="346"/>
        <v/>
      </c>
      <c r="NB63" s="1234" t="str">
        <f>IF(A63=FALSE,"",IF(Detail!CH63="","N/A",YEAR(Detail!F63)&amp;Detail!CK63&amp;Detail!CH63&amp;"-"&amp;Detail!$CH$13&amp;" (100%/"&amp;Detail!CL63&amp;"/"&amp;Detail!CM63&amp;")"))</f>
        <v/>
      </c>
      <c r="NC63" s="431" t="str">
        <f>IF(A63=FALSE,"",IF(LISTES!$A$17=1,NB63,INDEX(colMOD6,MATCH(DA63,colchoice,0))))</f>
        <v/>
      </c>
      <c r="ND63" s="759" t="str">
        <f t="shared" si="347"/>
        <v/>
      </c>
      <c r="NE63" s="292"/>
      <c r="NF63" s="409" t="str">
        <f t="shared" si="348"/>
        <v/>
      </c>
      <c r="NG63" s="430" t="str">
        <f>IF(A63=FALSE,"",Cotations!BU63*AA63)</f>
        <v/>
      </c>
      <c r="NH63" s="292" t="str">
        <f t="shared" si="349"/>
        <v/>
      </c>
      <c r="NI63" s="446" t="str">
        <f>IF(A63=FALSE,"",IF(Cotations!AU63="monthly",NH63/12*L63,NH63/365*M63))</f>
        <v/>
      </c>
      <c r="NJ63" s="429" t="str">
        <f>IF(A63=FALSE,"",IF(Cotations!BV63="","",Cotations!BV63))</f>
        <v/>
      </c>
      <c r="NK63" s="292" t="str">
        <f t="shared" si="350"/>
        <v/>
      </c>
      <c r="NL63" s="292" t="str">
        <f t="shared" si="351"/>
        <v/>
      </c>
      <c r="NM63" s="759" t="str">
        <f t="shared" si="352"/>
        <v/>
      </c>
      <c r="NN63" s="759" t="str">
        <f>IF(A63=FALSE,"",((NH63*TAXE)-(NH63*TAXE*NJ63))+IF(#REF!="N/A",0,IF(INDEX(LISTES!$F$105:$F$109,MATCH(#REF!,LISTES!$C$105:$C$109,0))="FIX",#REF!,#REF!*NM63)))</f>
        <v/>
      </c>
      <c r="NZ63" s="1281" t="str">
        <f>IF(A63=FALSE,"",IF(Detail!CP63="","N/A",YEAR(Detail!F63)&amp;Detail!CS63&amp;Detail!CP63&amp;"-"&amp;Detail!CQ63))</f>
        <v/>
      </c>
      <c r="OA63" s="432" t="str">
        <f>IF(A63=FALSE,"",Cotations!CF63)</f>
        <v/>
      </c>
      <c r="OB63" s="1282" t="str">
        <f>IF(A63=FALSE,"",IF(Detail!CP63="","N/A",YEAR(Detail!F63)&amp;Detail!CS63&amp;Detail!CP63&amp;"-"&amp;Detail!$CP$13&amp;Detail!CQ63))</f>
        <v/>
      </c>
      <c r="OC63" s="1283" t="str">
        <f>IF(A63=FALSE,"",IF(LISTES!$A$17=1,OB63,INDEX(colMOD1,MATCH(Cotations!CE63,colchoice,0))))</f>
        <v/>
      </c>
      <c r="OD63" s="759" t="str">
        <f t="shared" si="353"/>
        <v/>
      </c>
      <c r="OE63" s="292" t="str">
        <f>IF(A63=FALSE,"",Detail!CQ63)</f>
        <v/>
      </c>
      <c r="OF63" s="409" t="str">
        <f t="shared" si="354"/>
        <v/>
      </c>
      <c r="OG63" s="430" t="str">
        <f>IF(A63=FALSE,"",IF(OA63="FIXE",Cotations!CM63,Cotations!CN63*AA63))</f>
        <v/>
      </c>
      <c r="OH63" s="292" t="str">
        <f t="shared" si="288"/>
        <v/>
      </c>
      <c r="OI63" s="446" t="str">
        <f>IF(A63=FALSE,"",IF(Cotations!CF63="monthly",OH63/12*L63,OH63/365*M63))</f>
        <v/>
      </c>
      <c r="OJ63" s="429" t="str">
        <f>IF(A63=FALSE,"",IF(Cotations!CO63="","",Cotations!CO63))</f>
        <v/>
      </c>
      <c r="OK63" s="292" t="str">
        <f t="shared" si="289"/>
        <v/>
      </c>
      <c r="OL63" s="292" t="str">
        <f t="shared" si="290"/>
        <v/>
      </c>
      <c r="OM63" s="759" t="str">
        <f t="shared" si="355"/>
        <v/>
      </c>
      <c r="ON63" s="759" t="str">
        <f>IF(A63=FALSE,"",((OH63*(1+TAXE)-(OH63*(1+TAXE)*OJ63))+IF(#REF!="N/A",0,IF(INDEX(LISTES!$F$105:$F$109,MATCH(#REF!,LISTES!$C$105:$C$109,0))="FIX",#REF!,#REF!*OM63))))</f>
        <v/>
      </c>
      <c r="PA63" s="432" t="str">
        <f>IF(A63=FALSE,"",Cotations!CF63)</f>
        <v/>
      </c>
      <c r="PB63" s="1282" t="str">
        <f>IF(A63=FALSE,"",IF(Detail!CX63="","N/A",YEAR(Detail!F63)&amp;Detail!DA63&amp;Detail!CX63&amp;"-"&amp;Detail!$CX$13&amp;Detail!CY63))</f>
        <v/>
      </c>
      <c r="PC63" s="1283" t="str">
        <f>IF(A63=FALSE,"",IF(LISTES!$A$17=1,PB63,INDEX(colMOD3,MATCH(Cotations!CE63,colchoice,0))))</f>
        <v/>
      </c>
      <c r="PD63" s="759" t="str">
        <f t="shared" si="356"/>
        <v/>
      </c>
      <c r="PE63" s="292" t="str">
        <f>IF(A63=FALSE,"",IF(Detail!CY63="","",Detail!CY63))</f>
        <v/>
      </c>
      <c r="PF63" s="409" t="str">
        <f t="shared" si="291"/>
        <v/>
      </c>
      <c r="PG63" s="430" t="str">
        <f>IF(A63=FALSE,"",IF(PA63="FIXE",Cotations!CP63,Cotations!CQ63*AA63))</f>
        <v/>
      </c>
      <c r="PH63" s="292" t="str">
        <f t="shared" si="292"/>
        <v/>
      </c>
      <c r="PI63" s="446" t="str">
        <f>IF(A63=FALSE,"",IF(Cotations!CG63="monthly",PH63/12*L63,PH63/365*M63))</f>
        <v/>
      </c>
      <c r="PJ63" s="429" t="str">
        <f>IF(A63=FALSE,"",IF(Cotations!DA63="",0,Cotations!DA63))</f>
        <v/>
      </c>
      <c r="PK63" s="292" t="str">
        <f t="shared" si="293"/>
        <v/>
      </c>
      <c r="PL63" s="292" t="str">
        <f t="shared" si="294"/>
        <v/>
      </c>
      <c r="PM63" s="759" t="str">
        <f t="shared" si="357"/>
        <v/>
      </c>
      <c r="PN63" s="759" t="str">
        <f>IF(A63=FALSE,"",((PH63*(1+TAXE)-(PH63*(1+TAXE)*PJ63))+IF(#REF!="N/A",0,IF(INDEX(LISTES!$F$105:$F$109,MATCH(#REF!,LISTES!$C$105:$C$109,0))="FIX",#REF!,#REF!*PM63))))</f>
        <v/>
      </c>
    </row>
    <row r="64" spans="1:430">
      <c r="A64" s="779" t="b">
        <f t="shared" si="295"/>
        <v>0</v>
      </c>
      <c r="B64" s="779" t="b">
        <f>IF(NAMES!$B$9=TRUE,TRUE,FALSE)</f>
        <v>1</v>
      </c>
      <c r="C64" s="779" t="b">
        <f t="shared" si="212"/>
        <v>0</v>
      </c>
      <c r="D64" s="779" t="b">
        <f t="shared" si="213"/>
        <v>0</v>
      </c>
      <c r="E64" s="267" t="b">
        <f>IF(Cotations!C64="","",Cotations!C64)</f>
        <v>0</v>
      </c>
      <c r="F64" s="267" t="str">
        <f>IF(Cotations!AT64="","",Cotations!AT64)</f>
        <v>PROP</v>
      </c>
      <c r="G64" s="267" t="str">
        <f>IF(Cotations!D64="","",Cotations!D64)</f>
        <v>2016-2017!</v>
      </c>
      <c r="H64" s="267" t="str">
        <f>IF(Cotations!E64="","",Cotations!E64)</f>
        <v>SINGLE</v>
      </c>
      <c r="I64" s="267" t="str">
        <f>IF(Cotations!F64="","",Cotations!F64)</f>
        <v/>
      </c>
      <c r="J64" s="267" t="str">
        <f>IF(Cotations!G64="","",Cotations!G64)</f>
        <v/>
      </c>
      <c r="K64" s="267" t="str">
        <f>IF(Cotations!H64="","",Cotations!H64)</f>
        <v/>
      </c>
      <c r="L64" s="267" t="str">
        <f>IF(A64=FALSE,"",IF(Cotations!M64="","",Cotations!M64))</f>
        <v/>
      </c>
      <c r="M64" s="267" t="str">
        <f>IF(Cotations!O64="","",Cotations!O64)</f>
        <v/>
      </c>
      <c r="N64" s="588" t="str">
        <f>IF(NAMES!$B$10=TRUE,Cotations!I64,Cotations!K64)</f>
        <v/>
      </c>
      <c r="O64" s="588" t="str">
        <f>IF(NAMES!$B$10=TRUE,Cotations!J64,Cotations!L64)</f>
        <v/>
      </c>
      <c r="P64" s="780" t="str">
        <f t="shared" si="214"/>
        <v/>
      </c>
      <c r="Q64" s="588" t="str">
        <f>IF(A64=FALSE,"",IF(Crewlist!Y64="","",Crewlist!Y64))</f>
        <v/>
      </c>
      <c r="R64" s="78" t="str">
        <f>IF(Cotations!T64="","",Cotations!T64)</f>
        <v/>
      </c>
      <c r="S64" s="780" t="str">
        <f t="shared" si="215"/>
        <v/>
      </c>
      <c r="T64" s="759" t="str">
        <f>IF(A64=FALSE,"",VLOOKUP($U$15:$U$120,Currency!$A$2:$D$10,4,0)*Crewlist!N64)</f>
        <v/>
      </c>
      <c r="U64" s="1097" t="str">
        <f>IF(A64=FALSE,"",IF(DP64=0,Crewlist!M64&amp;"/"&amp;CP64,Crewlist!M64&amp;"/"&amp;DP64))</f>
        <v/>
      </c>
      <c r="V64" s="759" t="str">
        <f>IF(A64=FALSE,"",VLOOKUP($U$15:$U$120,Currency!$A$2:$D$10,4,0)*Detail!Q64)</f>
        <v/>
      </c>
      <c r="W64" s="1097" t="str">
        <f>IF(A64=FALSE,"",IF(DP64=0,Detail!R64&amp;"/"&amp;CP64,Detail!R64&amp;"/"&amp;DP64))</f>
        <v/>
      </c>
      <c r="X64" s="759" t="str">
        <f>IF(A64=FALSE,"",IF(LISTES!$C$17="Crewlist",Calcul!T64,Calcul!V64))</f>
        <v/>
      </c>
      <c r="Y64" s="618" t="str">
        <f t="shared" si="216"/>
        <v/>
      </c>
      <c r="Z64" s="618" t="str">
        <f>IF(A64=FALSE,"",IF(X64=0,0,IF((Cotations!BA64*12*X64)&lt;50000,50000,(12*X64))))</f>
        <v/>
      </c>
      <c r="AA64" s="618" t="str">
        <f t="shared" si="217"/>
        <v/>
      </c>
      <c r="AB64" s="618" t="str">
        <f>IF(A64=FALSE,"",IF(Crewlist!O64=0,"",Crewlist!O64))</f>
        <v/>
      </c>
      <c r="AC64" s="618" t="str">
        <f>IF(I64="","",VLOOKUP($AB$15:$AB$120,Currency!$A$15:$B$34,2,0))</f>
        <v/>
      </c>
      <c r="AD64" s="618" t="str">
        <f t="shared" si="218"/>
        <v/>
      </c>
      <c r="AE64" s="618" t="str">
        <f t="shared" si="219"/>
        <v/>
      </c>
      <c r="AF64" s="618" t="str">
        <f t="shared" si="220"/>
        <v/>
      </c>
      <c r="AG64" s="618" t="str">
        <f t="shared" si="221"/>
        <v/>
      </c>
      <c r="AH64" s="1097" t="str">
        <f t="shared" si="296"/>
        <v/>
      </c>
      <c r="AI64" s="759" t="str">
        <f t="shared" si="222"/>
        <v/>
      </c>
      <c r="AJ64" s="1120" t="str">
        <f t="shared" si="223"/>
        <v/>
      </c>
      <c r="AK64" s="1120" t="str">
        <f t="shared" si="224"/>
        <v/>
      </c>
      <c r="AL64" s="236" t="str">
        <f t="shared" si="225"/>
        <v/>
      </c>
      <c r="AM64" s="236" t="str">
        <f t="shared" si="226"/>
        <v/>
      </c>
      <c r="AN64" s="1112" t="str">
        <f t="shared" si="227"/>
        <v/>
      </c>
      <c r="AO64" s="236" t="str">
        <f t="shared" si="228"/>
        <v/>
      </c>
      <c r="AP64" s="327" t="str">
        <f>IF(A64=FALSE,"",INDEX(Rates!$Q$1:$Q$278,MATCH(CA64,colchoice,0)))</f>
        <v/>
      </c>
      <c r="AQ64" s="236" t="str">
        <f t="shared" si="229"/>
        <v/>
      </c>
      <c r="AR64" s="236" t="str">
        <f t="shared" si="230"/>
        <v/>
      </c>
      <c r="AS64" s="236" t="str">
        <f t="shared" si="297"/>
        <v/>
      </c>
      <c r="AT64" s="236" t="str">
        <f t="shared" si="298"/>
        <v/>
      </c>
      <c r="AU64" s="236" t="str">
        <f t="shared" si="231"/>
        <v/>
      </c>
      <c r="AV64" s="236" t="str">
        <f t="shared" si="232"/>
        <v/>
      </c>
      <c r="AW64" s="236" t="str">
        <f t="shared" si="233"/>
        <v/>
      </c>
      <c r="AX64" s="236" t="str">
        <f t="shared" si="234"/>
        <v/>
      </c>
      <c r="AY64" s="236" t="str">
        <f t="shared" si="235"/>
        <v/>
      </c>
      <c r="AZ64" s="236" t="str">
        <f t="shared" si="236"/>
        <v/>
      </c>
      <c r="BA64" s="236" t="str">
        <f t="shared" si="237"/>
        <v/>
      </c>
      <c r="BB64" s="467" t="str">
        <f t="shared" si="238"/>
        <v/>
      </c>
      <c r="BC64" s="329" t="str">
        <f t="shared" si="239"/>
        <v/>
      </c>
      <c r="BD64" s="237" t="str">
        <f t="shared" si="240"/>
        <v/>
      </c>
      <c r="BE64" s="237" t="str">
        <f>IF(A64=FALSE,"",IF(ED64&lt;&gt;$BC$7,0,INDEX(EA64:EZ64,1,MATCH(Structure!$J$16,$EA$14:$EZ$14,0))))</f>
        <v/>
      </c>
      <c r="BF64" s="237" t="str">
        <f>IF(A64=FALSE,"",IF(FD64&lt;&gt;$BC$7,0,INDEX(FA64:FZ64,1,MATCH(Structure!$J$16,$FA$14:$FZ$14,0))))</f>
        <v/>
      </c>
      <c r="BG64" s="237" t="str">
        <f>IF(A64=FALSE,"",IF(GD64&lt;&gt;$BC$7,0,INDEX(GA64:GZ64,1,MATCH(Structure!$J$16,$GA$14:$GZ$14,0))))</f>
        <v/>
      </c>
      <c r="BH64" s="237" t="str">
        <f>IF(A64=FALSE,"",IF(HD64&lt;&gt;$BC$7,0,INDEX(HA64:HZ64,1,MATCH(Structure!$J$16,$HA$14:$HZ$14,0))))</f>
        <v/>
      </c>
      <c r="BI64" s="621" t="str">
        <f>IF(A64=FALSE,"",IF(ID64&lt;&gt;$BC$7,0,INDEX(IA64:IZ64,1,MATCH(Structure!$C$12,$IA$14:$IZ$14,0)))+OL64)</f>
        <v/>
      </c>
      <c r="BJ64" s="237" t="str">
        <f>IF(A64=FALSE,"",IF(JD64&lt;&gt;$BC$7,0,INDEX(JA64:JZ64,1,MATCH(Structure!$C$12,$JA$14:$JZ$14,0))))</f>
        <v/>
      </c>
      <c r="BK64" s="621" t="str">
        <f>IF(A64=FALSE,"",IF(KD64&lt;&gt;$BC$7,0,INDEX(KA64:KZ64,1,MATCH(Structure!$C$12,$KA$14:$KZ$14,0)))+PL64)</f>
        <v/>
      </c>
      <c r="BL64" s="237" t="str">
        <f>IF(A64=FALSE,"",IF(LD64&lt;&gt;$BC$7,0,INDEX(LA64:LZ64,1,MATCH(Structure!$C$12,$LA$14:$LZ$14,0))))</f>
        <v/>
      </c>
      <c r="BM64" s="237" t="str">
        <f>IF(A64=FALSE,"",IF(MD64&lt;&gt;$BC$7,0,INDEX(MA64:MZ64,1,MATCH(Structure!$C$12,$MA$14:$MZ$14,0))))</f>
        <v/>
      </c>
      <c r="BN64" s="326" t="str">
        <f>IF(A64=FALSE,"",IF(ND64&lt;&gt;$BC$7,0,INDEX(NA64:OC64,1,MATCH(Structure!$C$12,$NA$14:$OC$14,0))))</f>
        <v/>
      </c>
      <c r="BO64" s="435" t="str">
        <f t="shared" si="241"/>
        <v/>
      </c>
      <c r="BP64" s="237" t="str">
        <f t="shared" si="242"/>
        <v/>
      </c>
      <c r="BQ64" s="237" t="str">
        <f>IF(A64=FALSE,"",IF(ED64&lt;&gt;$BO$7,0,INDEX(EA64:EZ64,1,MATCH(Structure!$C$12,$EA$14:$EZ$14,0))))</f>
        <v/>
      </c>
      <c r="BR64" s="237" t="str">
        <f>IF(A64=FALSE,"",IF(FD64&lt;&gt;$BO$7,0,INDEX(FA64:FZ64,1,MATCH(Structure!$C$12,$FA$14:$FZ$14,0))))</f>
        <v/>
      </c>
      <c r="BS64" s="237" t="str">
        <f>IF(A64=FALSE,"",IF(ID64&lt;&gt;$BO$7,0,INDEX(IA64:IZ64,1,MATCH(Structure!$C$13,$IA$14:$IZ$14,0))))</f>
        <v/>
      </c>
      <c r="BT64" s="237" t="str">
        <f>IF(A64=FALSE,"",IF(JD64&lt;&gt;$BO$7,0,INDEX(JA64:JZ64,1,MATCH(Structure!$C$13,$JA$14:$JZ$14,0))))</f>
        <v/>
      </c>
      <c r="BU64" s="237" t="str">
        <f>IF(A64=FALSE,"",IF(KD64&lt;&gt;$BO$7,0,INDEX(KA64:KZ64,1,MATCH(Structure!$C$13,$KA$14:$KZ$14,0))))</f>
        <v/>
      </c>
      <c r="BV64" s="237" t="str">
        <f>IF(A64=FALSE,"",IF(LD64&lt;&gt;$BO$7,0,INDEX(LA64:LZ64,1,MATCH(Structure!$C$13,$LA$14:$LZ$14,0))))</f>
        <v/>
      </c>
      <c r="BW64" s="237" t="str">
        <f>IF(A64=FALSE,"",IF(MD64&lt;&gt;$BO$7,0,INDEX(MA64:MZ64,1,MATCH(Structure!$C$13,$MA$14:$MZ$14,0))))</f>
        <v/>
      </c>
      <c r="BX64" s="326" t="str">
        <f>IF(A64=FALSE,"",IF(ND64&lt;&gt;$BO$7,0,INDEX(NA64:OC64,1,MATCH(Structure!$C$13,$NA$14:$OC$14,0))))</f>
        <v/>
      </c>
      <c r="BY64" s="412"/>
      <c r="BZ64" s="412"/>
      <c r="CA64" s="1255" t="str">
        <f>IF(A64=FALSE,"",IF(LISTES!$A$17=1,Cotations!AG64,Cotations!AH64))</f>
        <v/>
      </c>
      <c r="CB64" s="1266" t="str">
        <f t="shared" si="243"/>
        <v/>
      </c>
      <c r="CC64" s="1120" t="str">
        <f t="shared" si="244"/>
        <v/>
      </c>
      <c r="CD64" s="1120" t="str">
        <f t="shared" si="245"/>
        <v/>
      </c>
      <c r="CE64" s="1120" t="str">
        <f t="shared" si="246"/>
        <v/>
      </c>
      <c r="CF64" s="1120" t="str">
        <f t="shared" si="247"/>
        <v/>
      </c>
      <c r="CG64" s="1267"/>
      <c r="CH64" s="1267"/>
      <c r="CI64" s="1268" t="str">
        <f t="shared" si="248"/>
        <v/>
      </c>
      <c r="CJ64" s="286" t="str">
        <f t="shared" si="249"/>
        <v/>
      </c>
      <c r="CK64" s="286" t="str">
        <f t="shared" si="250"/>
        <v/>
      </c>
      <c r="CL64" s="1263"/>
      <c r="CM64" s="1263"/>
      <c r="CN64" s="1263"/>
      <c r="CO64" s="1263"/>
      <c r="CP64" s="319" t="str">
        <f t="shared" si="251"/>
        <v/>
      </c>
      <c r="CQ64" s="443" t="str">
        <f>IF(A64=FALSE,"",Cotations!AM64)</f>
        <v/>
      </c>
      <c r="CR64" s="443" t="str">
        <f>IF(A64=FALSE,"",IF(Cotations!AN64="","",Cotations!AN64))</f>
        <v/>
      </c>
      <c r="CS64" s="433" t="str">
        <f>IF(A64=FALSE,"",Cotations!AO64)</f>
        <v/>
      </c>
      <c r="CT64" s="443" t="str">
        <f>IF(A64=FALSE,"",IF(CQ64="N/A",0,IF(INDEX(LISTES!$F$105:$F$109,MATCH(CQ64,LISTES!$C$105:$C$109,0))="FIX",IF(INDEX(LISTES!$E$105:$E$109,MATCH(CQ64,LISTES!$C$105:$C$109,0))=12,CR64/12*L64,CR64/365*M64),CS64*EQ64)))</f>
        <v/>
      </c>
      <c r="CU64" s="434" t="str">
        <f>IF(A64=FALSE,"",(CJ64+CK64)*Cotations!AP64)</f>
        <v/>
      </c>
      <c r="CV64" s="434" t="str">
        <f>IF(A64=FALSE,"",(CJ64+CK64)*Cotations!AQ64)</f>
        <v/>
      </c>
      <c r="DA64" s="1253" t="str">
        <f>IF(A64=FALSE,"",IF(LISTES!$A$17=1,Cotations!AV64,Cotations!AW64))</f>
        <v/>
      </c>
      <c r="DB64" s="1271" t="str">
        <f t="shared" si="252"/>
        <v/>
      </c>
      <c r="DC64" s="1270" t="str">
        <f t="shared" si="253"/>
        <v/>
      </c>
      <c r="DD64" s="1270" t="str">
        <f t="shared" si="254"/>
        <v/>
      </c>
      <c r="DE64" s="1270" t="str">
        <f t="shared" si="255"/>
        <v/>
      </c>
      <c r="DF64" s="1270" t="str">
        <f t="shared" si="256"/>
        <v/>
      </c>
      <c r="DG64" s="1270" t="str">
        <f t="shared" si="257"/>
        <v/>
      </c>
      <c r="DH64" s="1270" t="str">
        <f t="shared" si="258"/>
        <v/>
      </c>
      <c r="DI64" s="1271" t="str">
        <f t="shared" si="259"/>
        <v/>
      </c>
      <c r="DJ64" s="286" t="str">
        <f t="shared" si="260"/>
        <v/>
      </c>
      <c r="DK64" s="286" t="str">
        <f t="shared" si="261"/>
        <v/>
      </c>
      <c r="DL64" s="1264" t="str">
        <f t="shared" si="262"/>
        <v/>
      </c>
      <c r="DM64" s="1264" t="str">
        <f t="shared" si="263"/>
        <v/>
      </c>
      <c r="DN64" s="1264" t="str">
        <f t="shared" si="264"/>
        <v/>
      </c>
      <c r="DO64" s="1264" t="str">
        <f t="shared" si="265"/>
        <v/>
      </c>
      <c r="DP64" s="323" t="str">
        <f t="shared" si="299"/>
        <v/>
      </c>
      <c r="DQ64" s="444" t="str">
        <f>IF(A64=FALSE,"",Cotations!BW64)</f>
        <v/>
      </c>
      <c r="DR64" s="444" t="str">
        <f>IF(A64=FALSE,"",Cotations!BX64)</f>
        <v/>
      </c>
      <c r="DS64" s="433" t="str">
        <f>IF(A64=FALSE,"",Cotations!BY64)</f>
        <v/>
      </c>
      <c r="DT64" s="830" t="str">
        <f>IF(A64=FALSE,"",IF(DQ64="N/A",0,IF(INDEX(LISTES!$F$105:$F$109,MATCH(DQ64,LISTES!$C$105:$C$109,0))="FIX",IF(INDEX(LISTES!$E$105:$E$109,MATCH(DQ64,LISTES!$C$105:$C$109,0))=12,DR64/12*L64,DR64/365*M64),DS64*(DN64+DO64))))</f>
        <v/>
      </c>
      <c r="DU64" s="434" t="str">
        <f>IF(A64=FALSE,"",DJ64*Cotations!BZ64)</f>
        <v/>
      </c>
      <c r="DV64" s="434" t="str">
        <f>IF(A64=FALSE,"",DJ64*Cotations!CA64)</f>
        <v/>
      </c>
      <c r="EA64" s="432" t="str">
        <f>IF(A64=FALSE,"",Cotations!AT64)</f>
        <v/>
      </c>
      <c r="EB64" s="1234" t="str">
        <f>IF(A64=FALSE,"",YEAR(Detail!F64)&amp;Detail!AG64&amp;Detail!AD64&amp;"-"&amp;Detail!$AD$13&amp;Detail!AE64)</f>
        <v/>
      </c>
      <c r="EC64" s="434" t="str">
        <f>IF(A64=FALSE,"",IF(LISTES!$A$17=1,EB64,INDEX(colMOD1,MATCH(Cotations!AH64,colchoice,0))))</f>
        <v/>
      </c>
      <c r="ED64" s="277" t="str">
        <f t="shared" si="300"/>
        <v/>
      </c>
      <c r="EE64" s="277" t="str">
        <f t="shared" si="301"/>
        <v/>
      </c>
      <c r="EF64" s="277"/>
      <c r="EG64" s="277"/>
      <c r="EH64" s="277" t="str">
        <f t="shared" si="302"/>
        <v/>
      </c>
      <c r="EI64" s="1104" t="str">
        <f t="shared" si="303"/>
        <v/>
      </c>
      <c r="EJ64" s="1104" t="str">
        <f t="shared" si="304"/>
        <v/>
      </c>
      <c r="EK64" s="443" t="str">
        <f>IF(A64=FALSE,"",IF(Cotations!AF64="monthly",EH64/12*L64,EH64/365*M64))</f>
        <v/>
      </c>
      <c r="EL64" s="1103" t="str">
        <f>IF(A64=FALSE,"",IF(Cotations!AF64="monthly",EJ64/12*L64,EJ64/365*M64))</f>
        <v/>
      </c>
      <c r="EM64" s="433" t="str">
        <f>IF(A64=FALSE,"",IF(Cotations!AI64="","",Cotations!AI64))</f>
        <v/>
      </c>
      <c r="EN64" s="277" t="str">
        <f t="shared" si="305"/>
        <v/>
      </c>
      <c r="EO64" s="277" t="str">
        <f t="shared" si="306"/>
        <v/>
      </c>
      <c r="EP64" s="1104" t="str">
        <f t="shared" si="307"/>
        <v/>
      </c>
      <c r="EQ64" s="277" t="str">
        <f t="shared" si="308"/>
        <v/>
      </c>
      <c r="ER64" s="759" t="str">
        <f>IF(A64=FALSE,"",((EH64*TAXE)-(EH64*TAXE*EM64)+EI64)+IF(CQ64="N/A",0,IF(INDEX(LISTES!$F$105:$F$109,MATCH(CQ64,LISTES!$C$105:$C$109,0))="FIX",CR64,CS64*EQ64)))</f>
        <v/>
      </c>
      <c r="ET64" s="422"/>
      <c r="EU64" s="422"/>
      <c r="EV64" s="422"/>
      <c r="EW64" s="422"/>
      <c r="EX64" s="422"/>
      <c r="EY64" s="422"/>
      <c r="EZ64" s="422"/>
      <c r="FA64" s="432" t="str">
        <f>IF(A64=FALSE,"",Cotations!AT64)</f>
        <v/>
      </c>
      <c r="FB64" s="1235" t="str">
        <f>IF(A64=FALSE,"",IF(Detail!AL64="","N/A",YEAR(Detail!F64)&amp;Detail!AO64&amp;Detail!AL64&amp;"-"&amp;Detail!$AL$13&amp;Detail!AM64))</f>
        <v/>
      </c>
      <c r="FC64" s="434" t="str">
        <f>IF(A64=FALSE,"",IF(LISTES!$A$17=1,FB64,INDEX(colMOD2,MATCH(Cotations!AH64,colchoice,0))))</f>
        <v/>
      </c>
      <c r="FD64" s="277" t="str">
        <f t="shared" si="309"/>
        <v/>
      </c>
      <c r="FE64" s="443" t="str">
        <f>IF(A64=FALSE,"",IF(Detail!AM64="","",Detail!AM64))</f>
        <v/>
      </c>
      <c r="FF64" s="277"/>
      <c r="FG64" s="277"/>
      <c r="FH64" s="277" t="str">
        <f t="shared" si="310"/>
        <v/>
      </c>
      <c r="FI64" s="1104"/>
      <c r="FJ64" s="1104"/>
      <c r="FK64" s="443" t="str">
        <f>IF(A64=FALSE,"",IF(Cotations!AF64="monthly",FH64/12*L64,FH64/365*M64))</f>
        <v/>
      </c>
      <c r="FL64" s="1103" t="str">
        <f>IF(A64=FALSE,"",IF(Cotations!AF64="monthly",FJ64/12*L64,FJ64/365*M64))</f>
        <v/>
      </c>
      <c r="FM64" s="433" t="str">
        <f>IF(A64=FALSE,"",IF(Cotations!AJ64="","",Cotations!AJ64))</f>
        <v/>
      </c>
      <c r="FN64" s="277" t="str">
        <f t="shared" si="268"/>
        <v/>
      </c>
      <c r="FO64" s="277" t="str">
        <f t="shared" si="269"/>
        <v/>
      </c>
      <c r="FP64" s="1104"/>
      <c r="FQ64" s="277" t="str">
        <f t="shared" si="270"/>
        <v/>
      </c>
      <c r="FR64" s="759" t="str">
        <f>IF(A64=FALSE,"",((FH64*TAXE)-(FH64*TAXE*FM64))+IF(#REF!="N/A",0,IF(INDEX(LISTES!$F$105:$F$109,MATCH(#REF!,LISTES!$C$105:$C$109,0))="FIX",#REF!,#REF!*FQ64)))</f>
        <v/>
      </c>
      <c r="FS64" s="422"/>
      <c r="FT64" s="422"/>
      <c r="FU64" s="422"/>
      <c r="FV64" s="422"/>
      <c r="FW64" s="422"/>
      <c r="FX64" s="422"/>
      <c r="FY64" s="422"/>
      <c r="FZ64" s="422"/>
      <c r="GA64" s="432" t="str">
        <f t="shared" si="311"/>
        <v/>
      </c>
      <c r="GB64" s="1234" t="str">
        <f>IF(A64=FALSE,"",IF(Detail!DF64="","N/A",YEAR(Detail!F64)&amp;Detail!DI64&amp;Detail!DF64&amp;"-"&amp;Detail!$DF$13))</f>
        <v/>
      </c>
      <c r="GC64" s="434" t="str">
        <f>IF(A64=FALSE,"",IF(LISTES!$A$17=1,GB64,INDEX(colMOD3,MATCH(Cotations!AH64,colchoice,0))))</f>
        <v/>
      </c>
      <c r="GD64" s="277" t="str">
        <f t="shared" si="312"/>
        <v/>
      </c>
      <c r="GE64" s="277" t="str">
        <f t="shared" si="313"/>
        <v/>
      </c>
      <c r="GF64" s="277"/>
      <c r="GG64" s="277"/>
      <c r="GH64" s="277" t="str">
        <f t="shared" si="271"/>
        <v/>
      </c>
      <c r="GI64" s="1104" t="str">
        <f t="shared" si="272"/>
        <v/>
      </c>
      <c r="GJ64" s="1104" t="str">
        <f t="shared" si="273"/>
        <v/>
      </c>
      <c r="GK64" s="443" t="str">
        <f>IF(A64=FALSE,"",IF(Cotations!AF64="monthly",GH64/12*L64,GH64/365*M64))</f>
        <v/>
      </c>
      <c r="GL64" s="1103" t="str">
        <f>IF(A64=FALSE,"",IF(Cotations!AF64="monthly",GJ64/12*L64,GJ64/365*M64))</f>
        <v/>
      </c>
      <c r="GM64" s="433" t="str">
        <f>IF(A64=FALSE,"",IF(Cotations!AK64="","",Cotations!AK64))</f>
        <v/>
      </c>
      <c r="GN64" s="277" t="str">
        <f t="shared" si="274"/>
        <v/>
      </c>
      <c r="GO64" s="277" t="str">
        <f t="shared" si="275"/>
        <v/>
      </c>
      <c r="GP64" s="1104" t="str">
        <f t="shared" si="276"/>
        <v/>
      </c>
      <c r="GQ64" s="277" t="str">
        <f t="shared" si="277"/>
        <v/>
      </c>
      <c r="GR64" s="759" t="str">
        <f>IF(A64=FALSE,"",((GH64*TAXE)-(GH64*TAXE*GM64)+GI64)+IF(CQ64="N/A",0,IF(INDEX(LISTES!$F$105:$F$109,MATCH(CQ64,LISTES!$C$105:$C$109,0))="FIX",CR64,CS64*GQ64)))</f>
        <v/>
      </c>
      <c r="GS64" s="412"/>
      <c r="GT64" s="412"/>
      <c r="GU64" s="412"/>
      <c r="GV64" s="412"/>
      <c r="GW64" s="412"/>
      <c r="GX64" s="412"/>
      <c r="GY64" s="412"/>
      <c r="GZ64" s="412"/>
      <c r="HA64" s="432" t="str">
        <f t="shared" si="314"/>
        <v/>
      </c>
      <c r="HB64" s="1234" t="str">
        <f>IF(A64=FALSE,"",IF(Detail!DF64="","N/A",YEAR(Detail!F64)&amp;Detail!DI64&amp;Detail!DF64&amp;"-"&amp;Detail!$DF$13))</f>
        <v/>
      </c>
      <c r="HC64" s="434" t="str">
        <f>IF(A64=FALSE,"",IF(LISTES!$A$17=1,HB64,INDEX(colMOD4,MATCH(Cotations!AH64,colchoice,0))))</f>
        <v/>
      </c>
      <c r="HD64" s="277" t="str">
        <f t="shared" si="278"/>
        <v/>
      </c>
      <c r="HE64" s="277" t="str">
        <f t="shared" si="279"/>
        <v/>
      </c>
      <c r="HF64" s="277"/>
      <c r="HG64" s="277"/>
      <c r="HH64" s="277" t="str">
        <f t="shared" si="280"/>
        <v/>
      </c>
      <c r="HI64" s="1104" t="str">
        <f t="shared" si="281"/>
        <v/>
      </c>
      <c r="HJ64" s="1104" t="str">
        <f t="shared" si="282"/>
        <v/>
      </c>
      <c r="HK64" s="443" t="str">
        <f>IF(A64=FALSE,"",IF(Cotations!AF64="monthly",HH64/12*L64,HH64/365*M64))</f>
        <v/>
      </c>
      <c r="HL64" s="1103" t="str">
        <f>IF(A64=FALSE,"",IF(Cotations!AF64="monthly",HJ64/12*L64,HJ64/365*M64))</f>
        <v/>
      </c>
      <c r="HM64" s="433" t="str">
        <f>IF(A64=FALSE,"",IF(Cotations!AL64="","",Cotations!AL64))</f>
        <v/>
      </c>
      <c r="HN64" s="277" t="str">
        <f t="shared" si="283"/>
        <v/>
      </c>
      <c r="HO64" s="277" t="str">
        <f t="shared" si="284"/>
        <v/>
      </c>
      <c r="HP64" s="1104" t="str">
        <f t="shared" si="285"/>
        <v/>
      </c>
      <c r="HQ64" s="277" t="str">
        <f t="shared" si="286"/>
        <v/>
      </c>
      <c r="HR64" s="759" t="str">
        <f>IF(A64=FALSE,"",((HH64*TAXE)-(HH64*TAXE*HM64)+HI64)+IF(CQ64="N/A",0,IF(INDEX(LISTES!$F$105:$F$109,MATCH(CQ64,LISTES!$C$105:$C$109,0))="FIX",CR64,CS64*HQ64)))</f>
        <v/>
      </c>
      <c r="HS64" s="412"/>
      <c r="HT64" s="412"/>
      <c r="HU64" s="412"/>
      <c r="HV64" s="412"/>
      <c r="HW64" s="412"/>
      <c r="HX64" s="412"/>
      <c r="HY64" s="412"/>
      <c r="HZ64" s="1262"/>
      <c r="IA64" s="432" t="str">
        <f>IF(A64=FALSE,"",Cotations!AT64)</f>
        <v/>
      </c>
      <c r="IB64" s="1253" t="str">
        <f>IF(A64=FALSE,"",IF(Detail!AT64="","N/A",YEAR(Detail!F64)&amp;Detail!AW64&amp;Detail!AT64&amp;"-"&amp;Detail!$AT$13&amp;Detail!AU64))</f>
        <v/>
      </c>
      <c r="IC64" s="431" t="str">
        <f>IF(A64=FALSE,"",IF(LISTES!$A$17=1,IB64,INDEX(colMOD1,MATCH(DA64,colchoice,0))))</f>
        <v/>
      </c>
      <c r="ID64" s="759" t="str">
        <f t="shared" si="358"/>
        <v/>
      </c>
      <c r="IE64" s="292" t="str">
        <f>IF(A64=FALSE,"",IF(LISTES!$A$17=1,Detail!AU64,INDEX(Rates!$M$1:$M$270,MATCH(IC64,colMOD1,0))))</f>
        <v/>
      </c>
      <c r="IF64" s="409" t="str">
        <f t="shared" si="359"/>
        <v/>
      </c>
      <c r="IG64" s="430" t="str">
        <f>IF(A64=FALSE,"",IF(IA64="POEA",Cotations!AY64,IF(IA64="FIXE",Cotations!AZ64,IF(Cotations!BA64*Y64&lt;50000,Z64,Cotations!BA64*Y64))))</f>
        <v/>
      </c>
      <c r="IH64" s="292" t="str">
        <f t="shared" si="360"/>
        <v/>
      </c>
      <c r="II64" s="446" t="str">
        <f>IF(A64=FALSE,"",IF(Cotations!AU64="monthly",IH64/12*L64,IH64/365*M64))</f>
        <v/>
      </c>
      <c r="IJ64" s="429" t="str">
        <f>IF(A64=FALSE,"",IF(Cotations!BB64="","",Cotations!BB64))</f>
        <v/>
      </c>
      <c r="IK64" s="292" t="str">
        <f t="shared" si="361"/>
        <v/>
      </c>
      <c r="IL64" s="292" t="str">
        <f t="shared" si="362"/>
        <v/>
      </c>
      <c r="IM64" s="759" t="str">
        <f t="shared" si="363"/>
        <v/>
      </c>
      <c r="IN64" s="759" t="str">
        <f>IF(A64=FALSE,"",((IH64*TAXE)-(IH64*TAXE*IJ64))+IF(DQ64="N/A",0,IF(INDEX(LISTES!$F$105:$F$109,MATCH(DQ64,LISTES!$C$105:$C$109,0))="FIX",DR64,DS64*IM64)))</f>
        <v/>
      </c>
      <c r="JA64" s="432" t="str">
        <f>IF(A64=FALSE,"",Cotations!AT64)</f>
        <v/>
      </c>
      <c r="JB64" s="1234" t="str">
        <f>IF(A64=FALSE,"",IF(Detail!BB64="","N/A",YEAR(Detail!F64)&amp;Detail!BE64&amp;Detail!BB64&amp;"-"&amp;Detail!$BB$13&amp;Detail!BC64))</f>
        <v/>
      </c>
      <c r="JC64" s="431" t="str">
        <f>IF(A64=FALSE,"",IF(LISTES!$A$17=1,JB64,INDEX(colMOD2,MATCH(DA64,colchoice,0))))</f>
        <v/>
      </c>
      <c r="JD64" s="759" t="str">
        <f t="shared" si="321"/>
        <v/>
      </c>
      <c r="JE64" s="292"/>
      <c r="JF64" s="409" t="str">
        <f t="shared" si="322"/>
        <v/>
      </c>
      <c r="JG64" s="430" t="str">
        <f>IF(A64=FALSE,"",IF(JA64="POEA",Cotations!BC64,IF(JA64="FIXE",Cotations!BD64,IF(Cotations!BE64*Y64&lt;50000,Z64,Cotations!BE64*Y64))))</f>
        <v/>
      </c>
      <c r="JH64" s="292" t="str">
        <f t="shared" si="323"/>
        <v/>
      </c>
      <c r="JI64" s="446" t="str">
        <f>IF(A64=FALSE,"",IF(Cotations!AU64="monthly",JH64/12*L64,JH64/365*M64))</f>
        <v/>
      </c>
      <c r="JJ64" s="429" t="str">
        <f>IF(A64=FALSE,"",IF(Cotations!BF64="","",Cotations!BF64))</f>
        <v/>
      </c>
      <c r="JK64" s="292" t="str">
        <f t="shared" si="324"/>
        <v/>
      </c>
      <c r="JL64" s="292" t="str">
        <f t="shared" si="325"/>
        <v/>
      </c>
      <c r="JM64" s="759" t="str">
        <f t="shared" si="326"/>
        <v/>
      </c>
      <c r="JN64" s="759" t="str">
        <f>IF(A64=FALSE,"",((JH64*TAXE)-(JH64*TAXE*JJ64))+IF(#REF!="N/A",0,IF(INDEX(LISTES!$F$105:$F$109,MATCH(#REF!,LISTES!$C$105:$C$109,0))="FIX",#REF!,#REF!*JM64)))</f>
        <v/>
      </c>
      <c r="KA64" s="432" t="str">
        <f>IF(A64=FALSE,"",Cotations!AT64)</f>
        <v/>
      </c>
      <c r="KB64" s="1234" t="str">
        <f>IF(A64=FALSE,"",IF(Detail!BJ64="","N/A",YEAR(Detail!F64)&amp;Detail!BM64&amp;Detail!BJ64&amp;"-"&amp;Detail!$BJ$13&amp;Detail!BK64))</f>
        <v/>
      </c>
      <c r="KC64" s="431" t="str">
        <f>IF(A64=FALSE,"",IF(LISTES!$A$17=1,KB64,INDEX(colMOD3,MATCH(DA64,colchoice,0))))</f>
        <v/>
      </c>
      <c r="KD64" s="759" t="str">
        <f t="shared" si="327"/>
        <v/>
      </c>
      <c r="KE64" s="292"/>
      <c r="KF64" s="409" t="str">
        <f t="shared" si="328"/>
        <v/>
      </c>
      <c r="KG64" s="430" t="str">
        <f>IF(A64=FALSE,"",IF(KA64="POEA",Cotations!BG64,IF(KA64="FIXE",Cotations!BH64,IF(Cotations!BI64*Y64&lt;50000,Z64,Cotations!BI64*Y64))))</f>
        <v/>
      </c>
      <c r="KH64" s="292" t="str">
        <f t="shared" si="329"/>
        <v/>
      </c>
      <c r="KI64" s="446" t="str">
        <f>IF(A64=FALSE,"",IF(Cotations!AU64="monthly",KH64/12*L64,KH64/365*M64))</f>
        <v/>
      </c>
      <c r="KJ64" s="429" t="str">
        <f>IF(A64=FALSE,"",IF(Cotations!BJ64="","",Cotations!BJ64))</f>
        <v/>
      </c>
      <c r="KK64" s="292" t="str">
        <f t="shared" si="330"/>
        <v/>
      </c>
      <c r="KL64" s="292" t="str">
        <f t="shared" si="331"/>
        <v/>
      </c>
      <c r="KM64" s="759" t="str">
        <f t="shared" si="332"/>
        <v/>
      </c>
      <c r="KN64" s="759" t="str">
        <f>IF(A64=FALSE,"",((KH64*TAXE)-(KH64*TAXE*KJ64))+IF(#REF!="N/A",0,IF(INDEX(LISTES!$F$105:$F$109,MATCH(#REF!,LISTES!$C$105:$C$109,0))="FIX",#REF!,#REF!*KM64)))</f>
        <v/>
      </c>
      <c r="LA64" s="432" t="str">
        <f>IF(A64=FALSE,"",Cotations!AT64)</f>
        <v/>
      </c>
      <c r="LB64" s="1234" t="str">
        <f>IF(A64=FALSE,"",IF(Detail!BR64="","N/A",YEAR(Detail!F64)&amp;Detail!BU64&amp;Detail!BR64&amp;"-"&amp;Detail!$BR$13&amp;Detail!BS64))</f>
        <v/>
      </c>
      <c r="LC64" s="431" t="str">
        <f>IF(A64=FALSE,"",IF(LISTES!$A$17=1,LB64,INDEX(colMOD4,MATCH(DA64,colchoice,0))))</f>
        <v/>
      </c>
      <c r="LD64" s="759" t="str">
        <f t="shared" si="333"/>
        <v/>
      </c>
      <c r="LE64" s="292"/>
      <c r="LF64" s="409" t="str">
        <f t="shared" si="334"/>
        <v/>
      </c>
      <c r="LG64" s="430" t="str">
        <f>IF(A64=FALSE,"",IF(LA64="POEA",Cotations!BK64,IF(LA64="FIXE",Cotations!BL64,IF(Cotations!BM64*Y64&lt;50000,Z64,Cotations!BM64*Y64))))</f>
        <v/>
      </c>
      <c r="LH64" s="292" t="str">
        <f t="shared" si="335"/>
        <v/>
      </c>
      <c r="LI64" s="446" t="str">
        <f>IF(A64=FALSE,"",IF(Cotations!AU64="monthly",LH64/12*L64,LH64/365*M64))</f>
        <v/>
      </c>
      <c r="LJ64" s="429" t="str">
        <f>IF(A64=FALSE,"",IF(Cotations!BN64="","",Cotations!BN64))</f>
        <v/>
      </c>
      <c r="LK64" s="292" t="str">
        <f t="shared" si="336"/>
        <v/>
      </c>
      <c r="LL64" s="292" t="str">
        <f t="shared" si="337"/>
        <v/>
      </c>
      <c r="LM64" s="759" t="str">
        <f t="shared" si="338"/>
        <v/>
      </c>
      <c r="LN64" s="759" t="str">
        <f>IF(A64=FALSE,"",((LH64*TAXE)-(LH64*TAXE*LJ64))+IF(#REF!="N/A",0,IF(INDEX(LISTES!$F$105:$F$109,MATCH(#REF!,LISTES!$C$105:$C$109,0))="FIX",#REF!,#REF!*LM64)))</f>
        <v/>
      </c>
      <c r="MA64" s="432" t="str">
        <f t="shared" si="339"/>
        <v/>
      </c>
      <c r="MB64" s="1234" t="str">
        <f>IF(A64=FALSE,"",IF(Detail!BZ64="","N/A",YEAR(Detail!F64)&amp;Detail!CC64&amp;Detail!BZ64&amp;"-"&amp;Detail!$BZ$13&amp;" (100%/"&amp;Detail!CD64&amp;"/"&amp;Detail!CE64&amp;")"))</f>
        <v/>
      </c>
      <c r="MC64" s="431" t="str">
        <f>IF(A64=FALSE,"",IF(LISTES!$A$17=1,MB64,INDEX(colMOD5,MATCH(DA64,colchoice,0))))</f>
        <v/>
      </c>
      <c r="MD64" s="759" t="str">
        <f t="shared" si="340"/>
        <v/>
      </c>
      <c r="ME64" s="292"/>
      <c r="MF64" s="409" t="str">
        <f t="shared" si="341"/>
        <v/>
      </c>
      <c r="MG64" s="430" t="str">
        <f>IF(A64=FALSE,"",Cotations!BQ64*AA64)</f>
        <v/>
      </c>
      <c r="MH64" s="292" t="str">
        <f t="shared" si="342"/>
        <v/>
      </c>
      <c r="MI64" s="446" t="str">
        <f>IF(A64=FALSE,"",IF(Cotations!AU64="monthly",MH64/12*L64,MH64/365*M64))</f>
        <v/>
      </c>
      <c r="MJ64" s="429" t="str">
        <f>IF(A64=FALSE,"",IF(Cotations!BR64="","",Cotations!BR64))</f>
        <v/>
      </c>
      <c r="MK64" s="292" t="str">
        <f t="shared" si="343"/>
        <v/>
      </c>
      <c r="ML64" s="292" t="str">
        <f t="shared" si="344"/>
        <v/>
      </c>
      <c r="MM64" s="759" t="str">
        <f t="shared" si="345"/>
        <v/>
      </c>
      <c r="MN64" s="759" t="str">
        <f>IF(A64=FALSE,"",((MH64*TAXE)-(MH64*TAXE*MJ64))+IF(#REF!="N/A",0,IF(INDEX(LISTES!$F$105:$F$109,MATCH(#REF!,LISTES!$C$105:$C$109,0))="FIX",#REF!,#REF!*MM64)))</f>
        <v/>
      </c>
      <c r="NA64" s="432" t="str">
        <f t="shared" si="346"/>
        <v/>
      </c>
      <c r="NB64" s="1234" t="str">
        <f>IF(A64=FALSE,"",IF(Detail!CH64="","N/A",YEAR(Detail!F64)&amp;Detail!CK64&amp;Detail!CH64&amp;"-"&amp;Detail!$CH$13&amp;" (100%/"&amp;Detail!CL64&amp;"/"&amp;Detail!CM64&amp;")"))</f>
        <v/>
      </c>
      <c r="NC64" s="431" t="str">
        <f>IF(A64=FALSE,"",IF(LISTES!$A$17=1,NB64,INDEX(colMOD6,MATCH(DA64,colchoice,0))))</f>
        <v/>
      </c>
      <c r="ND64" s="759" t="str">
        <f t="shared" si="347"/>
        <v/>
      </c>
      <c r="NE64" s="292"/>
      <c r="NF64" s="409" t="str">
        <f t="shared" si="348"/>
        <v/>
      </c>
      <c r="NG64" s="430" t="str">
        <f>IF(A64=FALSE,"",Cotations!BU64*AA64)</f>
        <v/>
      </c>
      <c r="NH64" s="292" t="str">
        <f t="shared" si="349"/>
        <v/>
      </c>
      <c r="NI64" s="446" t="str">
        <f>IF(A64=FALSE,"",IF(Cotations!AU64="monthly",NH64/12*L64,NH64/365*M64))</f>
        <v/>
      </c>
      <c r="NJ64" s="429" t="str">
        <f>IF(A64=FALSE,"",IF(Cotations!BV64="","",Cotations!BV64))</f>
        <v/>
      </c>
      <c r="NK64" s="292" t="str">
        <f t="shared" si="350"/>
        <v/>
      </c>
      <c r="NL64" s="292" t="str">
        <f t="shared" si="351"/>
        <v/>
      </c>
      <c r="NM64" s="759" t="str">
        <f t="shared" si="352"/>
        <v/>
      </c>
      <c r="NN64" s="759" t="str">
        <f>IF(A64=FALSE,"",((NH64*TAXE)-(NH64*TAXE*NJ64))+IF(#REF!="N/A",0,IF(INDEX(LISTES!$F$105:$F$109,MATCH(#REF!,LISTES!$C$105:$C$109,0))="FIX",#REF!,#REF!*NM64)))</f>
        <v/>
      </c>
      <c r="NZ64" s="1281" t="str">
        <f>IF(A64=FALSE,"",IF(Detail!CP64="","N/A",YEAR(Detail!F64)&amp;Detail!CS64&amp;Detail!CP64&amp;"-"&amp;Detail!CQ64))</f>
        <v/>
      </c>
      <c r="OA64" s="432" t="str">
        <f>IF(A64=FALSE,"",Cotations!CF64)</f>
        <v/>
      </c>
      <c r="OB64" s="1282" t="str">
        <f>IF(A64=FALSE,"",IF(Detail!CP64="","N/A",YEAR(Detail!F64)&amp;Detail!CS64&amp;Detail!CP64&amp;"-"&amp;Detail!$CP$13&amp;Detail!CQ64))</f>
        <v/>
      </c>
      <c r="OC64" s="1283" t="str">
        <f>IF(A64=FALSE,"",IF(LISTES!$A$17=1,OB64,INDEX(colMOD1,MATCH(Cotations!CE64,colchoice,0))))</f>
        <v/>
      </c>
      <c r="OD64" s="759" t="str">
        <f t="shared" si="353"/>
        <v/>
      </c>
      <c r="OE64" s="292" t="str">
        <f>IF(A64=FALSE,"",Detail!CQ64)</f>
        <v/>
      </c>
      <c r="OF64" s="409" t="str">
        <f t="shared" si="354"/>
        <v/>
      </c>
      <c r="OG64" s="430" t="str">
        <f>IF(A64=FALSE,"",IF(OA64="FIXE",Cotations!CM64,Cotations!CN64*AA64))</f>
        <v/>
      </c>
      <c r="OH64" s="292" t="str">
        <f t="shared" si="288"/>
        <v/>
      </c>
      <c r="OI64" s="446" t="str">
        <f>IF(A64=FALSE,"",IF(Cotations!CF64="monthly",OH64/12*L64,OH64/365*M64))</f>
        <v/>
      </c>
      <c r="OJ64" s="429" t="str">
        <f>IF(A64=FALSE,"",IF(Cotations!CO64="","",Cotations!CO64))</f>
        <v/>
      </c>
      <c r="OK64" s="292" t="str">
        <f t="shared" si="289"/>
        <v/>
      </c>
      <c r="OL64" s="292" t="str">
        <f t="shared" si="290"/>
        <v/>
      </c>
      <c r="OM64" s="759" t="str">
        <f t="shared" si="355"/>
        <v/>
      </c>
      <c r="ON64" s="759" t="str">
        <f>IF(A64=FALSE,"",((OH64*(1+TAXE)-(OH64*(1+TAXE)*OJ64))+IF(#REF!="N/A",0,IF(INDEX(LISTES!$F$105:$F$109,MATCH(#REF!,LISTES!$C$105:$C$109,0))="FIX",#REF!,#REF!*OM64))))</f>
        <v/>
      </c>
      <c r="PA64" s="432" t="str">
        <f>IF(A64=FALSE,"",Cotations!CF64)</f>
        <v/>
      </c>
      <c r="PB64" s="1282" t="str">
        <f>IF(A64=FALSE,"",IF(Detail!CX64="","N/A",YEAR(Detail!F64)&amp;Detail!DA64&amp;Detail!CX64&amp;"-"&amp;Detail!$CX$13&amp;Detail!CY64))</f>
        <v/>
      </c>
      <c r="PC64" s="1283" t="str">
        <f>IF(A64=FALSE,"",IF(LISTES!$A$17=1,PB64,INDEX(colMOD3,MATCH(Cotations!CE64,colchoice,0))))</f>
        <v/>
      </c>
      <c r="PD64" s="759" t="str">
        <f t="shared" si="356"/>
        <v/>
      </c>
      <c r="PE64" s="292" t="str">
        <f>IF(A64=FALSE,"",IF(Detail!CY64="","",Detail!CY64))</f>
        <v/>
      </c>
      <c r="PF64" s="409" t="str">
        <f t="shared" si="291"/>
        <v/>
      </c>
      <c r="PG64" s="430" t="str">
        <f>IF(A64=FALSE,"",IF(PA64="FIXE",Cotations!CP64,Cotations!CQ64*AA64))</f>
        <v/>
      </c>
      <c r="PH64" s="292" t="str">
        <f t="shared" si="292"/>
        <v/>
      </c>
      <c r="PI64" s="446" t="str">
        <f>IF(A64=FALSE,"",IF(Cotations!CG64="monthly",PH64/12*L64,PH64/365*M64))</f>
        <v/>
      </c>
      <c r="PJ64" s="429" t="str">
        <f>IF(A64=FALSE,"",IF(Cotations!DA64="",0,Cotations!DA64))</f>
        <v/>
      </c>
      <c r="PK64" s="292" t="str">
        <f t="shared" si="293"/>
        <v/>
      </c>
      <c r="PL64" s="292" t="str">
        <f t="shared" si="294"/>
        <v/>
      </c>
      <c r="PM64" s="759" t="str">
        <f t="shared" si="357"/>
        <v/>
      </c>
      <c r="PN64" s="759" t="str">
        <f>IF(A64=FALSE,"",((PH64*(1+TAXE)-(PH64*(1+TAXE)*PJ64))+IF(#REF!="N/A",0,IF(INDEX(LISTES!$F$105:$F$109,MATCH(#REF!,LISTES!$C$105:$C$109,0))="FIX",#REF!,#REF!*PM64))))</f>
        <v/>
      </c>
    </row>
    <row r="65" spans="1:430">
      <c r="A65" s="779" t="b">
        <f t="shared" si="295"/>
        <v>0</v>
      </c>
      <c r="B65" s="779" t="b">
        <f>IF(NAMES!$B$9=TRUE,TRUE,FALSE)</f>
        <v>1</v>
      </c>
      <c r="C65" s="779" t="b">
        <f t="shared" si="212"/>
        <v>0</v>
      </c>
      <c r="D65" s="779" t="b">
        <f t="shared" si="213"/>
        <v>0</v>
      </c>
      <c r="E65" s="267" t="b">
        <f>IF(Cotations!C65="","",Cotations!C65)</f>
        <v>0</v>
      </c>
      <c r="F65" s="267" t="str">
        <f>IF(Cotations!AT65="","",Cotations!AT65)</f>
        <v>PROP</v>
      </c>
      <c r="G65" s="267" t="str">
        <f>IF(Cotations!D65="","",Cotations!D65)</f>
        <v>2016-2017!</v>
      </c>
      <c r="H65" s="267" t="str">
        <f>IF(Cotations!E65="","",Cotations!E65)</f>
        <v>SINGLE</v>
      </c>
      <c r="I65" s="267" t="str">
        <f>IF(Cotations!F65="","",Cotations!F65)</f>
        <v/>
      </c>
      <c r="J65" s="267" t="str">
        <f>IF(Cotations!G65="","",Cotations!G65)</f>
        <v/>
      </c>
      <c r="K65" s="267" t="str">
        <f>IF(Cotations!H65="","",Cotations!H65)</f>
        <v/>
      </c>
      <c r="L65" s="267" t="str">
        <f>IF(A65=FALSE,"",IF(Cotations!M65="","",Cotations!M65))</f>
        <v/>
      </c>
      <c r="M65" s="267" t="str">
        <f>IF(Cotations!O65="","",Cotations!O65)</f>
        <v/>
      </c>
      <c r="N65" s="588" t="str">
        <f>IF(NAMES!$B$10=TRUE,Cotations!I65,Cotations!K65)</f>
        <v/>
      </c>
      <c r="O65" s="588" t="str">
        <f>IF(NAMES!$B$10=TRUE,Cotations!J65,Cotations!L65)</f>
        <v/>
      </c>
      <c r="P65" s="780" t="str">
        <f t="shared" si="214"/>
        <v/>
      </c>
      <c r="Q65" s="588" t="str">
        <f>IF(A65=FALSE,"",IF(Crewlist!Y65="","",Crewlist!Y65))</f>
        <v/>
      </c>
      <c r="R65" s="78" t="str">
        <f>IF(Cotations!T65="","",Cotations!T65)</f>
        <v/>
      </c>
      <c r="S65" s="780" t="str">
        <f t="shared" si="215"/>
        <v/>
      </c>
      <c r="T65" s="759" t="str">
        <f>IF(A65=FALSE,"",VLOOKUP($U$15:$U$120,Currency!$A$2:$D$10,4,0)*Crewlist!N65)</f>
        <v/>
      </c>
      <c r="U65" s="1097" t="str">
        <f>IF(A65=FALSE,"",IF(DP65=0,Crewlist!M65&amp;"/"&amp;CP65,Crewlist!M65&amp;"/"&amp;DP65))</f>
        <v/>
      </c>
      <c r="V65" s="759" t="str">
        <f>IF(A65=FALSE,"",VLOOKUP($U$15:$U$120,Currency!$A$2:$D$10,4,0)*Detail!Q65)</f>
        <v/>
      </c>
      <c r="W65" s="1097" t="str">
        <f>IF(A65=FALSE,"",IF(DP65=0,Detail!R65&amp;"/"&amp;CP65,Detail!R65&amp;"/"&amp;DP65))</f>
        <v/>
      </c>
      <c r="X65" s="759" t="str">
        <f>IF(A65=FALSE,"",IF(LISTES!$C$17="Crewlist",Calcul!T65,Calcul!V65))</f>
        <v/>
      </c>
      <c r="Y65" s="618" t="str">
        <f t="shared" si="216"/>
        <v/>
      </c>
      <c r="Z65" s="618" t="str">
        <f>IF(A65=FALSE,"",IF(X65=0,0,IF((Cotations!BA65*12*X65)&lt;50000,50000,(12*X65))))</f>
        <v/>
      </c>
      <c r="AA65" s="618" t="str">
        <f t="shared" si="217"/>
        <v/>
      </c>
      <c r="AB65" s="618" t="str">
        <f>IF(A65=FALSE,"",IF(Crewlist!O65=0,"",Crewlist!O65))</f>
        <v/>
      </c>
      <c r="AC65" s="618" t="str">
        <f>IF(I65="","",VLOOKUP($AB$15:$AB$120,Currency!$A$15:$B$34,2,0))</f>
        <v/>
      </c>
      <c r="AD65" s="618" t="str">
        <f t="shared" si="218"/>
        <v/>
      </c>
      <c r="AE65" s="618" t="str">
        <f t="shared" si="219"/>
        <v/>
      </c>
      <c r="AF65" s="618" t="str">
        <f t="shared" si="220"/>
        <v/>
      </c>
      <c r="AG65" s="618" t="str">
        <f t="shared" si="221"/>
        <v/>
      </c>
      <c r="AH65" s="1097" t="str">
        <f t="shared" si="296"/>
        <v/>
      </c>
      <c r="AI65" s="759" t="str">
        <f t="shared" si="222"/>
        <v/>
      </c>
      <c r="AJ65" s="1120" t="str">
        <f t="shared" si="223"/>
        <v/>
      </c>
      <c r="AK65" s="1120" t="str">
        <f t="shared" si="224"/>
        <v/>
      </c>
      <c r="AL65" s="236" t="str">
        <f t="shared" si="225"/>
        <v/>
      </c>
      <c r="AM65" s="236" t="str">
        <f t="shared" si="226"/>
        <v/>
      </c>
      <c r="AN65" s="1112" t="str">
        <f t="shared" si="227"/>
        <v/>
      </c>
      <c r="AO65" s="236" t="str">
        <f t="shared" si="228"/>
        <v/>
      </c>
      <c r="AP65" s="327" t="str">
        <f>IF(A65=FALSE,"",INDEX(Rates!$Q$1:$Q$278,MATCH(CA65,colchoice,0)))</f>
        <v/>
      </c>
      <c r="AQ65" s="236" t="str">
        <f t="shared" si="229"/>
        <v/>
      </c>
      <c r="AR65" s="236" t="str">
        <f t="shared" si="230"/>
        <v/>
      </c>
      <c r="AS65" s="236" t="str">
        <f t="shared" si="297"/>
        <v/>
      </c>
      <c r="AT65" s="236" t="str">
        <f t="shared" si="298"/>
        <v/>
      </c>
      <c r="AU65" s="236" t="str">
        <f t="shared" si="231"/>
        <v/>
      </c>
      <c r="AV65" s="236" t="str">
        <f t="shared" si="232"/>
        <v/>
      </c>
      <c r="AW65" s="236" t="str">
        <f t="shared" si="233"/>
        <v/>
      </c>
      <c r="AX65" s="236" t="str">
        <f t="shared" si="234"/>
        <v/>
      </c>
      <c r="AY65" s="236" t="str">
        <f t="shared" si="235"/>
        <v/>
      </c>
      <c r="AZ65" s="236" t="str">
        <f t="shared" si="236"/>
        <v/>
      </c>
      <c r="BA65" s="236" t="str">
        <f t="shared" si="237"/>
        <v/>
      </c>
      <c r="BB65" s="467" t="str">
        <f t="shared" si="238"/>
        <v/>
      </c>
      <c r="BC65" s="329" t="str">
        <f t="shared" si="239"/>
        <v/>
      </c>
      <c r="BD65" s="237" t="str">
        <f t="shared" si="240"/>
        <v/>
      </c>
      <c r="BE65" s="237" t="str">
        <f>IF(A65=FALSE,"",IF(ED65&lt;&gt;$BC$7,0,INDEX(EA65:EZ65,1,MATCH(Structure!$J$16,$EA$14:$EZ$14,0))))</f>
        <v/>
      </c>
      <c r="BF65" s="237" t="str">
        <f>IF(A65=FALSE,"",IF(FD65&lt;&gt;$BC$7,0,INDEX(FA65:FZ65,1,MATCH(Structure!$J$16,$FA$14:$FZ$14,0))))</f>
        <v/>
      </c>
      <c r="BG65" s="237" t="str">
        <f>IF(A65=FALSE,"",IF(GD65&lt;&gt;$BC$7,0,INDEX(GA65:GZ65,1,MATCH(Structure!$J$16,$GA$14:$GZ$14,0))))</f>
        <v/>
      </c>
      <c r="BH65" s="237" t="str">
        <f>IF(A65=FALSE,"",IF(HD65&lt;&gt;$BC$7,0,INDEX(HA65:HZ65,1,MATCH(Structure!$J$16,$HA$14:$HZ$14,0))))</f>
        <v/>
      </c>
      <c r="BI65" s="621" t="str">
        <f>IF(A65=FALSE,"",IF(ID65&lt;&gt;$BC$7,0,INDEX(IA65:IZ65,1,MATCH(Structure!$C$12,$IA$14:$IZ$14,0)))+OL65)</f>
        <v/>
      </c>
      <c r="BJ65" s="237" t="str">
        <f>IF(A65=FALSE,"",IF(JD65&lt;&gt;$BC$7,0,INDEX(JA65:JZ65,1,MATCH(Structure!$C$12,$JA$14:$JZ$14,0))))</f>
        <v/>
      </c>
      <c r="BK65" s="621" t="str">
        <f>IF(A65=FALSE,"",IF(KD65&lt;&gt;$BC$7,0,INDEX(KA65:KZ65,1,MATCH(Structure!$C$12,$KA$14:$KZ$14,0)))+PL65)</f>
        <v/>
      </c>
      <c r="BL65" s="237" t="str">
        <f>IF(A65=FALSE,"",IF(LD65&lt;&gt;$BC$7,0,INDEX(LA65:LZ65,1,MATCH(Structure!$C$12,$LA$14:$LZ$14,0))))</f>
        <v/>
      </c>
      <c r="BM65" s="237" t="str">
        <f>IF(A65=FALSE,"",IF(MD65&lt;&gt;$BC$7,0,INDEX(MA65:MZ65,1,MATCH(Structure!$C$12,$MA$14:$MZ$14,0))))</f>
        <v/>
      </c>
      <c r="BN65" s="326" t="str">
        <f>IF(A65=FALSE,"",IF(ND65&lt;&gt;$BC$7,0,INDEX(NA65:OC65,1,MATCH(Structure!$C$12,$NA$14:$OC$14,0))))</f>
        <v/>
      </c>
      <c r="BO65" s="435" t="str">
        <f t="shared" si="241"/>
        <v/>
      </c>
      <c r="BP65" s="237" t="str">
        <f t="shared" si="242"/>
        <v/>
      </c>
      <c r="BQ65" s="237" t="str">
        <f>IF(A65=FALSE,"",IF(ED65&lt;&gt;$BO$7,0,INDEX(EA65:EZ65,1,MATCH(Structure!$C$12,$EA$14:$EZ$14,0))))</f>
        <v/>
      </c>
      <c r="BR65" s="237" t="str">
        <f>IF(A65=FALSE,"",IF(FD65&lt;&gt;$BO$7,0,INDEX(FA65:FZ65,1,MATCH(Structure!$C$12,$FA$14:$FZ$14,0))))</f>
        <v/>
      </c>
      <c r="BS65" s="237" t="str">
        <f>IF(A65=FALSE,"",IF(ID65&lt;&gt;$BO$7,0,INDEX(IA65:IZ65,1,MATCH(Structure!$C$13,$IA$14:$IZ$14,0))))</f>
        <v/>
      </c>
      <c r="BT65" s="237" t="str">
        <f>IF(A65=FALSE,"",IF(JD65&lt;&gt;$BO$7,0,INDEX(JA65:JZ65,1,MATCH(Structure!$C$13,$JA$14:$JZ$14,0))))</f>
        <v/>
      </c>
      <c r="BU65" s="237" t="str">
        <f>IF(A65=FALSE,"",IF(KD65&lt;&gt;$BO$7,0,INDEX(KA65:KZ65,1,MATCH(Structure!$C$13,$KA$14:$KZ$14,0))))</f>
        <v/>
      </c>
      <c r="BV65" s="237" t="str">
        <f>IF(A65=FALSE,"",IF(LD65&lt;&gt;$BO$7,0,INDEX(LA65:LZ65,1,MATCH(Structure!$C$13,$LA$14:$LZ$14,0))))</f>
        <v/>
      </c>
      <c r="BW65" s="237" t="str">
        <f>IF(A65=FALSE,"",IF(MD65&lt;&gt;$BO$7,0,INDEX(MA65:MZ65,1,MATCH(Structure!$C$13,$MA$14:$MZ$14,0))))</f>
        <v/>
      </c>
      <c r="BX65" s="326" t="str">
        <f>IF(A65=FALSE,"",IF(ND65&lt;&gt;$BO$7,0,INDEX(NA65:OC65,1,MATCH(Structure!$C$13,$NA$14:$OC$14,0))))</f>
        <v/>
      </c>
      <c r="BY65" s="412"/>
      <c r="BZ65" s="412"/>
      <c r="CA65" s="1255" t="str">
        <f>IF(A65=FALSE,"",IF(LISTES!$A$17=1,Cotations!AG65,Cotations!AH65))</f>
        <v/>
      </c>
      <c r="CB65" s="1266" t="str">
        <f t="shared" si="243"/>
        <v/>
      </c>
      <c r="CC65" s="1120" t="str">
        <f t="shared" si="244"/>
        <v/>
      </c>
      <c r="CD65" s="1120" t="str">
        <f t="shared" si="245"/>
        <v/>
      </c>
      <c r="CE65" s="1120" t="str">
        <f t="shared" si="246"/>
        <v/>
      </c>
      <c r="CF65" s="1120" t="str">
        <f t="shared" si="247"/>
        <v/>
      </c>
      <c r="CG65" s="1267"/>
      <c r="CH65" s="1267"/>
      <c r="CI65" s="1268" t="str">
        <f t="shared" si="248"/>
        <v/>
      </c>
      <c r="CJ65" s="286" t="str">
        <f t="shared" si="249"/>
        <v/>
      </c>
      <c r="CK65" s="286" t="str">
        <f t="shared" si="250"/>
        <v/>
      </c>
      <c r="CL65" s="1263"/>
      <c r="CM65" s="1263"/>
      <c r="CN65" s="1263"/>
      <c r="CO65" s="1263"/>
      <c r="CP65" s="319" t="str">
        <f t="shared" si="251"/>
        <v/>
      </c>
      <c r="CQ65" s="443" t="str">
        <f>IF(A65=FALSE,"",Cotations!AM65)</f>
        <v/>
      </c>
      <c r="CR65" s="443" t="str">
        <f>IF(A65=FALSE,"",IF(Cotations!AN65="","",Cotations!AN65))</f>
        <v/>
      </c>
      <c r="CS65" s="433" t="str">
        <f>IF(A65=FALSE,"",Cotations!AO65)</f>
        <v/>
      </c>
      <c r="CT65" s="443" t="str">
        <f>IF(A65=FALSE,"",IF(CQ65="N/A",0,IF(INDEX(LISTES!$F$105:$F$109,MATCH(CQ65,LISTES!$C$105:$C$109,0))="FIX",IF(INDEX(LISTES!$E$105:$E$109,MATCH(CQ65,LISTES!$C$105:$C$109,0))=12,CR65/12*L65,CR65/365*M65),CS65*EQ65)))</f>
        <v/>
      </c>
      <c r="CU65" s="434" t="str">
        <f>IF(A65=FALSE,"",(CJ65+CK65)*Cotations!AP65)</f>
        <v/>
      </c>
      <c r="CV65" s="434" t="str">
        <f>IF(A65=FALSE,"",(CJ65+CK65)*Cotations!AQ65)</f>
        <v/>
      </c>
      <c r="DA65" s="1253" t="str">
        <f>IF(A65=FALSE,"",IF(LISTES!$A$17=1,Cotations!AV65,Cotations!AW65))</f>
        <v/>
      </c>
      <c r="DB65" s="1271" t="str">
        <f t="shared" si="252"/>
        <v/>
      </c>
      <c r="DC65" s="1270" t="str">
        <f t="shared" si="253"/>
        <v/>
      </c>
      <c r="DD65" s="1270" t="str">
        <f t="shared" si="254"/>
        <v/>
      </c>
      <c r="DE65" s="1270" t="str">
        <f t="shared" si="255"/>
        <v/>
      </c>
      <c r="DF65" s="1270" t="str">
        <f t="shared" si="256"/>
        <v/>
      </c>
      <c r="DG65" s="1270" t="str">
        <f t="shared" si="257"/>
        <v/>
      </c>
      <c r="DH65" s="1270" t="str">
        <f t="shared" si="258"/>
        <v/>
      </c>
      <c r="DI65" s="1271" t="str">
        <f t="shared" si="259"/>
        <v/>
      </c>
      <c r="DJ65" s="286" t="str">
        <f t="shared" si="260"/>
        <v/>
      </c>
      <c r="DK65" s="286" t="str">
        <f t="shared" si="261"/>
        <v/>
      </c>
      <c r="DL65" s="1264" t="str">
        <f t="shared" si="262"/>
        <v/>
      </c>
      <c r="DM65" s="1264" t="str">
        <f t="shared" si="263"/>
        <v/>
      </c>
      <c r="DN65" s="1264" t="str">
        <f t="shared" si="264"/>
        <v/>
      </c>
      <c r="DO65" s="1264" t="str">
        <f t="shared" si="265"/>
        <v/>
      </c>
      <c r="DP65" s="323" t="str">
        <f t="shared" si="299"/>
        <v/>
      </c>
      <c r="DQ65" s="444" t="str">
        <f>IF(A65=FALSE,"",Cotations!BW65)</f>
        <v/>
      </c>
      <c r="DR65" s="444" t="str">
        <f>IF(A65=FALSE,"",Cotations!BX65)</f>
        <v/>
      </c>
      <c r="DS65" s="433" t="str">
        <f>IF(A65=FALSE,"",Cotations!BY65)</f>
        <v/>
      </c>
      <c r="DT65" s="830" t="str">
        <f>IF(A65=FALSE,"",IF(DQ65="N/A",0,IF(INDEX(LISTES!$F$105:$F$109,MATCH(DQ65,LISTES!$C$105:$C$109,0))="FIX",IF(INDEX(LISTES!$E$105:$E$109,MATCH(DQ65,LISTES!$C$105:$C$109,0))=12,DR65/12*L65,DR65/365*M65),DS65*(DN65+DO65))))</f>
        <v/>
      </c>
      <c r="DU65" s="434" t="str">
        <f>IF(A65=FALSE,"",DJ65*Cotations!BZ65)</f>
        <v/>
      </c>
      <c r="DV65" s="434" t="str">
        <f>IF(A65=FALSE,"",DJ65*Cotations!CA65)</f>
        <v/>
      </c>
      <c r="EA65" s="432" t="str">
        <f>IF(A65=FALSE,"",Cotations!AT65)</f>
        <v/>
      </c>
      <c r="EB65" s="1234" t="str">
        <f>IF(A65=FALSE,"",YEAR(Detail!F65)&amp;Detail!AG65&amp;Detail!AD65&amp;"-"&amp;Detail!$AD$13&amp;Detail!AE65)</f>
        <v/>
      </c>
      <c r="EC65" s="434" t="str">
        <f>IF(A65=FALSE,"",IF(LISTES!$A$17=1,EB65,INDEX(colMOD1,MATCH(Cotations!AH65,colchoice,0))))</f>
        <v/>
      </c>
      <c r="ED65" s="277" t="str">
        <f t="shared" si="300"/>
        <v/>
      </c>
      <c r="EE65" s="277" t="str">
        <f t="shared" si="301"/>
        <v/>
      </c>
      <c r="EF65" s="277"/>
      <c r="EG65" s="277"/>
      <c r="EH65" s="277" t="str">
        <f t="shared" si="302"/>
        <v/>
      </c>
      <c r="EI65" s="1104" t="str">
        <f t="shared" si="303"/>
        <v/>
      </c>
      <c r="EJ65" s="1104" t="str">
        <f t="shared" si="304"/>
        <v/>
      </c>
      <c r="EK65" s="443" t="str">
        <f>IF(A65=FALSE,"",IF(Cotations!AF65="monthly",EH65/12*L65,EH65/365*M65))</f>
        <v/>
      </c>
      <c r="EL65" s="1103" t="str">
        <f>IF(A65=FALSE,"",IF(Cotations!AF65="monthly",EJ65/12*L65,EJ65/365*M65))</f>
        <v/>
      </c>
      <c r="EM65" s="433" t="str">
        <f>IF(A65=FALSE,"",IF(Cotations!AI65="","",Cotations!AI65))</f>
        <v/>
      </c>
      <c r="EN65" s="277" t="str">
        <f t="shared" si="305"/>
        <v/>
      </c>
      <c r="EO65" s="277" t="str">
        <f t="shared" si="306"/>
        <v/>
      </c>
      <c r="EP65" s="1104" t="str">
        <f t="shared" si="307"/>
        <v/>
      </c>
      <c r="EQ65" s="277" t="str">
        <f t="shared" si="308"/>
        <v/>
      </c>
      <c r="ER65" s="759" t="str">
        <f>IF(A65=FALSE,"",((EH65*TAXE)-(EH65*TAXE*EM65)+EI65)+IF(CQ65="N/A",0,IF(INDEX(LISTES!$F$105:$F$109,MATCH(CQ65,LISTES!$C$105:$C$109,0))="FIX",CR65,CS65*EQ65)))</f>
        <v/>
      </c>
      <c r="ET65" s="422"/>
      <c r="EU65" s="422"/>
      <c r="EV65" s="422"/>
      <c r="EW65" s="422"/>
      <c r="EX65" s="422"/>
      <c r="EY65" s="422"/>
      <c r="EZ65" s="422"/>
      <c r="FA65" s="432" t="str">
        <f>IF(A65=FALSE,"",Cotations!AT65)</f>
        <v/>
      </c>
      <c r="FB65" s="1235" t="str">
        <f>IF(A65=FALSE,"",IF(Detail!AL65="","N/A",YEAR(Detail!F65)&amp;Detail!AO65&amp;Detail!AL65&amp;"-"&amp;Detail!$AL$13&amp;Detail!AM65))</f>
        <v/>
      </c>
      <c r="FC65" s="434" t="str">
        <f>IF(A65=FALSE,"",IF(LISTES!$A$17=1,FB65,INDEX(colMOD2,MATCH(Cotations!AH65,colchoice,0))))</f>
        <v/>
      </c>
      <c r="FD65" s="277" t="str">
        <f t="shared" si="309"/>
        <v/>
      </c>
      <c r="FE65" s="443" t="str">
        <f>IF(A65=FALSE,"",IF(Detail!AM65="","",Detail!AM65))</f>
        <v/>
      </c>
      <c r="FF65" s="277"/>
      <c r="FG65" s="277"/>
      <c r="FH65" s="277" t="str">
        <f t="shared" si="310"/>
        <v/>
      </c>
      <c r="FI65" s="1104"/>
      <c r="FJ65" s="1104"/>
      <c r="FK65" s="443" t="str">
        <f>IF(A65=FALSE,"",IF(Cotations!AF65="monthly",FH65/12*L65,FH65/365*M65))</f>
        <v/>
      </c>
      <c r="FL65" s="1103" t="str">
        <f>IF(A65=FALSE,"",IF(Cotations!AF65="monthly",FJ65/12*L65,FJ65/365*M65))</f>
        <v/>
      </c>
      <c r="FM65" s="433" t="str">
        <f>IF(A65=FALSE,"",IF(Cotations!AJ65="","",Cotations!AJ65))</f>
        <v/>
      </c>
      <c r="FN65" s="277" t="str">
        <f t="shared" si="268"/>
        <v/>
      </c>
      <c r="FO65" s="277" t="str">
        <f t="shared" si="269"/>
        <v/>
      </c>
      <c r="FP65" s="1104"/>
      <c r="FQ65" s="277" t="str">
        <f t="shared" si="270"/>
        <v/>
      </c>
      <c r="FR65" s="759" t="str">
        <f>IF(A65=FALSE,"",((FH65*TAXE)-(FH65*TAXE*FM65))+IF(#REF!="N/A",0,IF(INDEX(LISTES!$F$105:$F$109,MATCH(#REF!,LISTES!$C$105:$C$109,0))="FIX",#REF!,#REF!*FQ65)))</f>
        <v/>
      </c>
      <c r="FS65" s="422"/>
      <c r="FT65" s="422"/>
      <c r="FU65" s="422"/>
      <c r="FV65" s="422"/>
      <c r="FW65" s="422"/>
      <c r="FX65" s="422"/>
      <c r="FY65" s="422"/>
      <c r="FZ65" s="422"/>
      <c r="GA65" s="432" t="str">
        <f t="shared" si="311"/>
        <v/>
      </c>
      <c r="GB65" s="1234" t="str">
        <f>IF(A65=FALSE,"",IF(Detail!DF65="","N/A",YEAR(Detail!F65)&amp;Detail!DI65&amp;Detail!DF65&amp;"-"&amp;Detail!$DF$13))</f>
        <v/>
      </c>
      <c r="GC65" s="434" t="str">
        <f>IF(A65=FALSE,"",IF(LISTES!$A$17=1,GB65,INDEX(colMOD3,MATCH(Cotations!AH65,colchoice,0))))</f>
        <v/>
      </c>
      <c r="GD65" s="277" t="str">
        <f t="shared" si="312"/>
        <v/>
      </c>
      <c r="GE65" s="277" t="str">
        <f t="shared" si="313"/>
        <v/>
      </c>
      <c r="GF65" s="277"/>
      <c r="GG65" s="277"/>
      <c r="GH65" s="277" t="str">
        <f t="shared" si="271"/>
        <v/>
      </c>
      <c r="GI65" s="1104" t="str">
        <f t="shared" si="272"/>
        <v/>
      </c>
      <c r="GJ65" s="1104" t="str">
        <f t="shared" si="273"/>
        <v/>
      </c>
      <c r="GK65" s="443" t="str">
        <f>IF(A65=FALSE,"",IF(Cotations!AF65="monthly",GH65/12*L65,GH65/365*M65))</f>
        <v/>
      </c>
      <c r="GL65" s="1103" t="str">
        <f>IF(A65=FALSE,"",IF(Cotations!AF65="monthly",GJ65/12*L65,GJ65/365*M65))</f>
        <v/>
      </c>
      <c r="GM65" s="433" t="str">
        <f>IF(A65=FALSE,"",IF(Cotations!AK65="","",Cotations!AK65))</f>
        <v/>
      </c>
      <c r="GN65" s="277" t="str">
        <f t="shared" si="274"/>
        <v/>
      </c>
      <c r="GO65" s="277" t="str">
        <f t="shared" si="275"/>
        <v/>
      </c>
      <c r="GP65" s="1104" t="str">
        <f t="shared" si="276"/>
        <v/>
      </c>
      <c r="GQ65" s="277" t="str">
        <f t="shared" si="277"/>
        <v/>
      </c>
      <c r="GR65" s="759" t="str">
        <f>IF(A65=FALSE,"",((GH65*TAXE)-(GH65*TAXE*GM65)+GI65)+IF(CQ65="N/A",0,IF(INDEX(LISTES!$F$105:$F$109,MATCH(CQ65,LISTES!$C$105:$C$109,0))="FIX",CR65,CS65*GQ65)))</f>
        <v/>
      </c>
      <c r="GS65" s="412"/>
      <c r="GT65" s="412"/>
      <c r="GU65" s="412"/>
      <c r="GV65" s="412"/>
      <c r="GW65" s="412"/>
      <c r="GX65" s="412"/>
      <c r="GY65" s="412"/>
      <c r="GZ65" s="412"/>
      <c r="HA65" s="432" t="str">
        <f t="shared" si="314"/>
        <v/>
      </c>
      <c r="HB65" s="1234" t="str">
        <f>IF(A65=FALSE,"",IF(Detail!DF65="","N/A",YEAR(Detail!F65)&amp;Detail!DI65&amp;Detail!DF65&amp;"-"&amp;Detail!$DF$13))</f>
        <v/>
      </c>
      <c r="HC65" s="434" t="str">
        <f>IF(A65=FALSE,"",IF(LISTES!$A$17=1,HB65,INDEX(colMOD4,MATCH(Cotations!AH65,colchoice,0))))</f>
        <v/>
      </c>
      <c r="HD65" s="277" t="str">
        <f t="shared" si="278"/>
        <v/>
      </c>
      <c r="HE65" s="277" t="str">
        <f t="shared" si="279"/>
        <v/>
      </c>
      <c r="HF65" s="277"/>
      <c r="HG65" s="277"/>
      <c r="HH65" s="277" t="str">
        <f t="shared" si="280"/>
        <v/>
      </c>
      <c r="HI65" s="1104" t="str">
        <f t="shared" si="281"/>
        <v/>
      </c>
      <c r="HJ65" s="1104" t="str">
        <f t="shared" si="282"/>
        <v/>
      </c>
      <c r="HK65" s="443" t="str">
        <f>IF(A65=FALSE,"",IF(Cotations!AF65="monthly",HH65/12*L65,HH65/365*M65))</f>
        <v/>
      </c>
      <c r="HL65" s="1103" t="str">
        <f>IF(A65=FALSE,"",IF(Cotations!AF65="monthly",HJ65/12*L65,HJ65/365*M65))</f>
        <v/>
      </c>
      <c r="HM65" s="433" t="str">
        <f>IF(A65=FALSE,"",IF(Cotations!AL65="","",Cotations!AL65))</f>
        <v/>
      </c>
      <c r="HN65" s="277" t="str">
        <f t="shared" si="283"/>
        <v/>
      </c>
      <c r="HO65" s="277" t="str">
        <f t="shared" si="284"/>
        <v/>
      </c>
      <c r="HP65" s="1104" t="str">
        <f t="shared" si="285"/>
        <v/>
      </c>
      <c r="HQ65" s="277" t="str">
        <f t="shared" si="286"/>
        <v/>
      </c>
      <c r="HR65" s="759" t="str">
        <f>IF(A65=FALSE,"",((HH65*TAXE)-(HH65*TAXE*HM65)+HI65)+IF(CQ65="N/A",0,IF(INDEX(LISTES!$F$105:$F$109,MATCH(CQ65,LISTES!$C$105:$C$109,0))="FIX",CR65,CS65*HQ65)))</f>
        <v/>
      </c>
      <c r="HS65" s="412"/>
      <c r="HT65" s="412"/>
      <c r="HU65" s="412"/>
      <c r="HV65" s="412"/>
      <c r="HW65" s="412"/>
      <c r="HX65" s="412"/>
      <c r="HY65" s="412"/>
      <c r="HZ65" s="1262"/>
      <c r="IA65" s="432" t="str">
        <f>IF(A65=FALSE,"",Cotations!AT65)</f>
        <v/>
      </c>
      <c r="IB65" s="1253" t="str">
        <f>IF(A65=FALSE,"",IF(Detail!AT65="","N/A",YEAR(Detail!F65)&amp;Detail!AW65&amp;Detail!AT65&amp;"-"&amp;Detail!$AT$13&amp;Detail!AU65))</f>
        <v/>
      </c>
      <c r="IC65" s="431" t="str">
        <f>IF(A65=FALSE,"",IF(LISTES!$A$17=1,IB65,INDEX(colMOD1,MATCH(DA65,colchoice,0))))</f>
        <v/>
      </c>
      <c r="ID65" s="759" t="str">
        <f t="shared" si="358"/>
        <v/>
      </c>
      <c r="IE65" s="292" t="str">
        <f>IF(A65=FALSE,"",IF(LISTES!$A$17=1,Detail!AU65,INDEX(Rates!$M$1:$M$270,MATCH(IC65,colMOD1,0))))</f>
        <v/>
      </c>
      <c r="IF65" s="409" t="str">
        <f t="shared" si="359"/>
        <v/>
      </c>
      <c r="IG65" s="430" t="str">
        <f>IF(A65=FALSE,"",IF(IA65="POEA",Cotations!AY65,IF(IA65="FIXE",Cotations!AZ65,IF(Cotations!BA65*Y65&lt;50000,Z65,Cotations!BA65*Y65))))</f>
        <v/>
      </c>
      <c r="IH65" s="292" t="str">
        <f t="shared" si="360"/>
        <v/>
      </c>
      <c r="II65" s="446" t="str">
        <f>IF(A65=FALSE,"",IF(Cotations!AU65="monthly",IH65/12*L65,IH65/365*M65))</f>
        <v/>
      </c>
      <c r="IJ65" s="429" t="str">
        <f>IF(A65=FALSE,"",IF(Cotations!BB65="","",Cotations!BB65))</f>
        <v/>
      </c>
      <c r="IK65" s="292" t="str">
        <f t="shared" si="361"/>
        <v/>
      </c>
      <c r="IL65" s="292" t="str">
        <f t="shared" si="362"/>
        <v/>
      </c>
      <c r="IM65" s="759" t="str">
        <f t="shared" si="363"/>
        <v/>
      </c>
      <c r="IN65" s="759" t="str">
        <f>IF(A65=FALSE,"",((IH65*TAXE)-(IH65*TAXE*IJ65))+IF(DQ65="N/A",0,IF(INDEX(LISTES!$F$105:$F$109,MATCH(DQ65,LISTES!$C$105:$C$109,0))="FIX",DR65,DS65*IM65)))</f>
        <v/>
      </c>
      <c r="JA65" s="432" t="str">
        <f>IF(A65=FALSE,"",Cotations!AT65)</f>
        <v/>
      </c>
      <c r="JB65" s="1234" t="str">
        <f>IF(A65=FALSE,"",IF(Detail!BB65="","N/A",YEAR(Detail!F65)&amp;Detail!BE65&amp;Detail!BB65&amp;"-"&amp;Detail!$BB$13&amp;Detail!BC65))</f>
        <v/>
      </c>
      <c r="JC65" s="431" t="str">
        <f>IF(A65=FALSE,"",IF(LISTES!$A$17=1,JB65,INDEX(colMOD2,MATCH(DA65,colchoice,0))))</f>
        <v/>
      </c>
      <c r="JD65" s="759" t="str">
        <f t="shared" si="321"/>
        <v/>
      </c>
      <c r="JE65" s="292"/>
      <c r="JF65" s="409" t="str">
        <f t="shared" si="322"/>
        <v/>
      </c>
      <c r="JG65" s="430" t="str">
        <f>IF(A65=FALSE,"",IF(JA65="POEA",Cotations!BC65,IF(JA65="FIXE",Cotations!BD65,IF(Cotations!BE65*Y65&lt;50000,Z65,Cotations!BE65*Y65))))</f>
        <v/>
      </c>
      <c r="JH65" s="292" t="str">
        <f t="shared" si="323"/>
        <v/>
      </c>
      <c r="JI65" s="446" t="str">
        <f>IF(A65=FALSE,"",IF(Cotations!AU65="monthly",JH65/12*L65,JH65/365*M65))</f>
        <v/>
      </c>
      <c r="JJ65" s="429" t="str">
        <f>IF(A65=FALSE,"",IF(Cotations!BF65="","",Cotations!BF65))</f>
        <v/>
      </c>
      <c r="JK65" s="292" t="str">
        <f t="shared" si="324"/>
        <v/>
      </c>
      <c r="JL65" s="292" t="str">
        <f t="shared" si="325"/>
        <v/>
      </c>
      <c r="JM65" s="759" t="str">
        <f t="shared" si="326"/>
        <v/>
      </c>
      <c r="JN65" s="759" t="str">
        <f>IF(A65=FALSE,"",((JH65*TAXE)-(JH65*TAXE*JJ65))+IF(#REF!="N/A",0,IF(INDEX(LISTES!$F$105:$F$109,MATCH(#REF!,LISTES!$C$105:$C$109,0))="FIX",#REF!,#REF!*JM65)))</f>
        <v/>
      </c>
      <c r="KA65" s="432" t="str">
        <f>IF(A65=FALSE,"",Cotations!AT65)</f>
        <v/>
      </c>
      <c r="KB65" s="1234" t="str">
        <f>IF(A65=FALSE,"",IF(Detail!BJ65="","N/A",YEAR(Detail!F65)&amp;Detail!BM65&amp;Detail!BJ65&amp;"-"&amp;Detail!$BJ$13&amp;Detail!BK65))</f>
        <v/>
      </c>
      <c r="KC65" s="431" t="str">
        <f>IF(A65=FALSE,"",IF(LISTES!$A$17=1,KB65,INDEX(colMOD3,MATCH(DA65,colchoice,0))))</f>
        <v/>
      </c>
      <c r="KD65" s="759" t="str">
        <f t="shared" si="327"/>
        <v/>
      </c>
      <c r="KE65" s="292"/>
      <c r="KF65" s="409" t="str">
        <f t="shared" si="328"/>
        <v/>
      </c>
      <c r="KG65" s="430" t="str">
        <f>IF(A65=FALSE,"",IF(KA65="POEA",Cotations!BG65,IF(KA65="FIXE",Cotations!BH65,IF(Cotations!BI65*Y65&lt;50000,Z65,Cotations!BI65*Y65))))</f>
        <v/>
      </c>
      <c r="KH65" s="292" t="str">
        <f t="shared" si="329"/>
        <v/>
      </c>
      <c r="KI65" s="446" t="str">
        <f>IF(A65=FALSE,"",IF(Cotations!AU65="monthly",KH65/12*L65,KH65/365*M65))</f>
        <v/>
      </c>
      <c r="KJ65" s="429" t="str">
        <f>IF(A65=FALSE,"",IF(Cotations!BJ65="","",Cotations!BJ65))</f>
        <v/>
      </c>
      <c r="KK65" s="292" t="str">
        <f t="shared" si="330"/>
        <v/>
      </c>
      <c r="KL65" s="292" t="str">
        <f t="shared" si="331"/>
        <v/>
      </c>
      <c r="KM65" s="759" t="str">
        <f t="shared" si="332"/>
        <v/>
      </c>
      <c r="KN65" s="759" t="str">
        <f>IF(A65=FALSE,"",((KH65*TAXE)-(KH65*TAXE*KJ65))+IF(#REF!="N/A",0,IF(INDEX(LISTES!$F$105:$F$109,MATCH(#REF!,LISTES!$C$105:$C$109,0))="FIX",#REF!,#REF!*KM65)))</f>
        <v/>
      </c>
      <c r="LA65" s="432" t="str">
        <f>IF(A65=FALSE,"",Cotations!AT65)</f>
        <v/>
      </c>
      <c r="LB65" s="1234" t="str">
        <f>IF(A65=FALSE,"",IF(Detail!BR65="","N/A",YEAR(Detail!F65)&amp;Detail!BU65&amp;Detail!BR65&amp;"-"&amp;Detail!$BR$13&amp;Detail!BS65))</f>
        <v/>
      </c>
      <c r="LC65" s="431" t="str">
        <f>IF(A65=FALSE,"",IF(LISTES!$A$17=1,LB65,INDEX(colMOD4,MATCH(DA65,colchoice,0))))</f>
        <v/>
      </c>
      <c r="LD65" s="759" t="str">
        <f t="shared" si="333"/>
        <v/>
      </c>
      <c r="LE65" s="292"/>
      <c r="LF65" s="409" t="str">
        <f t="shared" si="334"/>
        <v/>
      </c>
      <c r="LG65" s="430" t="str">
        <f>IF(A65=FALSE,"",IF(LA65="POEA",Cotations!BK65,IF(LA65="FIXE",Cotations!BL65,IF(Cotations!BM65*Y65&lt;50000,Z65,Cotations!BM65*Y65))))</f>
        <v/>
      </c>
      <c r="LH65" s="292" t="str">
        <f t="shared" si="335"/>
        <v/>
      </c>
      <c r="LI65" s="446" t="str">
        <f>IF(A65=FALSE,"",IF(Cotations!AU65="monthly",LH65/12*L65,LH65/365*M65))</f>
        <v/>
      </c>
      <c r="LJ65" s="429" t="str">
        <f>IF(A65=FALSE,"",IF(Cotations!BN65="","",Cotations!BN65))</f>
        <v/>
      </c>
      <c r="LK65" s="292" t="str">
        <f t="shared" si="336"/>
        <v/>
      </c>
      <c r="LL65" s="292" t="str">
        <f t="shared" si="337"/>
        <v/>
      </c>
      <c r="LM65" s="759" t="str">
        <f t="shared" si="338"/>
        <v/>
      </c>
      <c r="LN65" s="759" t="str">
        <f>IF(A65=FALSE,"",((LH65*TAXE)-(LH65*TAXE*LJ65))+IF(#REF!="N/A",0,IF(INDEX(LISTES!$F$105:$F$109,MATCH(#REF!,LISTES!$C$105:$C$109,0))="FIX",#REF!,#REF!*LM65)))</f>
        <v/>
      </c>
      <c r="MA65" s="432" t="str">
        <f t="shared" si="339"/>
        <v/>
      </c>
      <c r="MB65" s="1234" t="str">
        <f>IF(A65=FALSE,"",IF(Detail!BZ65="","N/A",YEAR(Detail!F65)&amp;Detail!CC65&amp;Detail!BZ65&amp;"-"&amp;Detail!$BZ$13&amp;" (100%/"&amp;Detail!CD65&amp;"/"&amp;Detail!CE65&amp;")"))</f>
        <v/>
      </c>
      <c r="MC65" s="431" t="str">
        <f>IF(A65=FALSE,"",IF(LISTES!$A$17=1,MB65,INDEX(colMOD5,MATCH(DA65,colchoice,0))))</f>
        <v/>
      </c>
      <c r="MD65" s="759" t="str">
        <f t="shared" si="340"/>
        <v/>
      </c>
      <c r="ME65" s="292"/>
      <c r="MF65" s="409" t="str">
        <f t="shared" si="341"/>
        <v/>
      </c>
      <c r="MG65" s="430" t="str">
        <f>IF(A65=FALSE,"",Cotations!BQ65*AA65)</f>
        <v/>
      </c>
      <c r="MH65" s="292" t="str">
        <f t="shared" si="342"/>
        <v/>
      </c>
      <c r="MI65" s="446" t="str">
        <f>IF(A65=FALSE,"",IF(Cotations!AU65="monthly",MH65/12*L65,MH65/365*M65))</f>
        <v/>
      </c>
      <c r="MJ65" s="429" t="str">
        <f>IF(A65=FALSE,"",IF(Cotations!BR65="","",Cotations!BR65))</f>
        <v/>
      </c>
      <c r="MK65" s="292" t="str">
        <f t="shared" si="343"/>
        <v/>
      </c>
      <c r="ML65" s="292" t="str">
        <f t="shared" si="344"/>
        <v/>
      </c>
      <c r="MM65" s="759" t="str">
        <f t="shared" si="345"/>
        <v/>
      </c>
      <c r="MN65" s="759" t="str">
        <f>IF(A65=FALSE,"",((MH65*TAXE)-(MH65*TAXE*MJ65))+IF(#REF!="N/A",0,IF(INDEX(LISTES!$F$105:$F$109,MATCH(#REF!,LISTES!$C$105:$C$109,0))="FIX",#REF!,#REF!*MM65)))</f>
        <v/>
      </c>
      <c r="NA65" s="432" t="str">
        <f t="shared" si="346"/>
        <v/>
      </c>
      <c r="NB65" s="1234" t="str">
        <f>IF(A65=FALSE,"",IF(Detail!CH65="","N/A",YEAR(Detail!F65)&amp;Detail!CK65&amp;Detail!CH65&amp;"-"&amp;Detail!$CH$13&amp;" (100%/"&amp;Detail!CL65&amp;"/"&amp;Detail!CM65&amp;")"))</f>
        <v/>
      </c>
      <c r="NC65" s="431" t="str">
        <f>IF(A65=FALSE,"",IF(LISTES!$A$17=1,NB65,INDEX(colMOD6,MATCH(DA65,colchoice,0))))</f>
        <v/>
      </c>
      <c r="ND65" s="759" t="str">
        <f t="shared" si="347"/>
        <v/>
      </c>
      <c r="NE65" s="292"/>
      <c r="NF65" s="409" t="str">
        <f t="shared" si="348"/>
        <v/>
      </c>
      <c r="NG65" s="430" t="str">
        <f>IF(A65=FALSE,"",Cotations!BU65*AA65)</f>
        <v/>
      </c>
      <c r="NH65" s="292" t="str">
        <f t="shared" si="349"/>
        <v/>
      </c>
      <c r="NI65" s="446" t="str">
        <f>IF(A65=FALSE,"",IF(Cotations!AU65="monthly",NH65/12*L65,NH65/365*M65))</f>
        <v/>
      </c>
      <c r="NJ65" s="429" t="str">
        <f>IF(A65=FALSE,"",IF(Cotations!BV65="","",Cotations!BV65))</f>
        <v/>
      </c>
      <c r="NK65" s="292" t="str">
        <f t="shared" si="350"/>
        <v/>
      </c>
      <c r="NL65" s="292" t="str">
        <f t="shared" si="351"/>
        <v/>
      </c>
      <c r="NM65" s="759" t="str">
        <f t="shared" si="352"/>
        <v/>
      </c>
      <c r="NN65" s="759" t="str">
        <f>IF(A65=FALSE,"",((NH65*TAXE)-(NH65*TAXE*NJ65))+IF(#REF!="N/A",0,IF(INDEX(LISTES!$F$105:$F$109,MATCH(#REF!,LISTES!$C$105:$C$109,0))="FIX",#REF!,#REF!*NM65)))</f>
        <v/>
      </c>
      <c r="NZ65" s="1281" t="str">
        <f>IF(A65=FALSE,"",IF(Detail!CP65="","N/A",YEAR(Detail!F65)&amp;Detail!CS65&amp;Detail!CP65&amp;"-"&amp;Detail!CQ65))</f>
        <v/>
      </c>
      <c r="OA65" s="432" t="str">
        <f>IF(A65=FALSE,"",Cotations!CF65)</f>
        <v/>
      </c>
      <c r="OB65" s="1282" t="str">
        <f>IF(A65=FALSE,"",IF(Detail!CP65="","N/A",YEAR(Detail!F65)&amp;Detail!CS65&amp;Detail!CP65&amp;"-"&amp;Detail!$CP$13&amp;Detail!CQ65))</f>
        <v/>
      </c>
      <c r="OC65" s="1283" t="str">
        <f>IF(A65=FALSE,"",IF(LISTES!$A$17=1,OB65,INDEX(colMOD1,MATCH(Cotations!CE65,colchoice,0))))</f>
        <v/>
      </c>
      <c r="OD65" s="759" t="str">
        <f t="shared" si="353"/>
        <v/>
      </c>
      <c r="OE65" s="292" t="str">
        <f>IF(A65=FALSE,"",Detail!CQ65)</f>
        <v/>
      </c>
      <c r="OF65" s="409" t="str">
        <f t="shared" si="354"/>
        <v/>
      </c>
      <c r="OG65" s="430" t="str">
        <f>IF(A65=FALSE,"",IF(OA65="FIXE",Cotations!CM65,Cotations!CN65*AA65))</f>
        <v/>
      </c>
      <c r="OH65" s="292" t="str">
        <f t="shared" si="288"/>
        <v/>
      </c>
      <c r="OI65" s="446" t="str">
        <f>IF(A65=FALSE,"",IF(Cotations!CF65="monthly",OH65/12*L65,OH65/365*M65))</f>
        <v/>
      </c>
      <c r="OJ65" s="429" t="str">
        <f>IF(A65=FALSE,"",IF(Cotations!CO65="","",Cotations!CO65))</f>
        <v/>
      </c>
      <c r="OK65" s="292" t="str">
        <f t="shared" si="289"/>
        <v/>
      </c>
      <c r="OL65" s="292" t="str">
        <f t="shared" si="290"/>
        <v/>
      </c>
      <c r="OM65" s="759" t="str">
        <f t="shared" si="355"/>
        <v/>
      </c>
      <c r="ON65" s="759" t="str">
        <f>IF(A65=FALSE,"",((OH65*(1+TAXE)-(OH65*(1+TAXE)*OJ65))+IF(#REF!="N/A",0,IF(INDEX(LISTES!$F$105:$F$109,MATCH(#REF!,LISTES!$C$105:$C$109,0))="FIX",#REF!,#REF!*OM65))))</f>
        <v/>
      </c>
      <c r="PA65" s="432" t="str">
        <f>IF(A65=FALSE,"",Cotations!CF65)</f>
        <v/>
      </c>
      <c r="PB65" s="1282" t="str">
        <f>IF(A65=FALSE,"",IF(Detail!CX65="","N/A",YEAR(Detail!F65)&amp;Detail!DA65&amp;Detail!CX65&amp;"-"&amp;Detail!$CX$13&amp;Detail!CY65))</f>
        <v/>
      </c>
      <c r="PC65" s="1283" t="str">
        <f>IF(A65=FALSE,"",IF(LISTES!$A$17=1,PB65,INDEX(colMOD3,MATCH(Cotations!CE65,colchoice,0))))</f>
        <v/>
      </c>
      <c r="PD65" s="759" t="str">
        <f t="shared" si="356"/>
        <v/>
      </c>
      <c r="PE65" s="292" t="str">
        <f>IF(A65=FALSE,"",IF(Detail!CY65="","",Detail!CY65))</f>
        <v/>
      </c>
      <c r="PF65" s="409" t="str">
        <f t="shared" si="291"/>
        <v/>
      </c>
      <c r="PG65" s="430" t="str">
        <f>IF(A65=FALSE,"",IF(PA65="FIXE",Cotations!CP65,Cotations!CQ65*AA65))</f>
        <v/>
      </c>
      <c r="PH65" s="292" t="str">
        <f t="shared" si="292"/>
        <v/>
      </c>
      <c r="PI65" s="446" t="str">
        <f>IF(A65=FALSE,"",IF(Cotations!CG65="monthly",PH65/12*L65,PH65/365*M65))</f>
        <v/>
      </c>
      <c r="PJ65" s="429" t="str">
        <f>IF(A65=FALSE,"",IF(Cotations!DA65="",0,Cotations!DA65))</f>
        <v/>
      </c>
      <c r="PK65" s="292" t="str">
        <f t="shared" si="293"/>
        <v/>
      </c>
      <c r="PL65" s="292" t="str">
        <f t="shared" si="294"/>
        <v/>
      </c>
      <c r="PM65" s="759" t="str">
        <f t="shared" si="357"/>
        <v/>
      </c>
      <c r="PN65" s="759" t="str">
        <f>IF(A65=FALSE,"",((PH65*(1+TAXE)-(PH65*(1+TAXE)*PJ65))+IF(#REF!="N/A",0,IF(INDEX(LISTES!$F$105:$F$109,MATCH(#REF!,LISTES!$C$105:$C$109,0))="FIX",#REF!,#REF!*PM65))))</f>
        <v/>
      </c>
    </row>
    <row r="66" spans="1:430">
      <c r="A66" s="779" t="b">
        <f t="shared" si="295"/>
        <v>0</v>
      </c>
      <c r="B66" s="779" t="b">
        <f>IF(NAMES!$B$9=TRUE,TRUE,FALSE)</f>
        <v>1</v>
      </c>
      <c r="C66" s="779" t="b">
        <f t="shared" si="212"/>
        <v>0</v>
      </c>
      <c r="D66" s="779" t="b">
        <f t="shared" si="213"/>
        <v>0</v>
      </c>
      <c r="E66" s="267" t="b">
        <f>IF(Cotations!C66="","",Cotations!C66)</f>
        <v>0</v>
      </c>
      <c r="F66" s="267" t="str">
        <f>IF(Cotations!AT66="","",Cotations!AT66)</f>
        <v>PROP</v>
      </c>
      <c r="G66" s="267" t="str">
        <f>IF(Cotations!D66="","",Cotations!D66)</f>
        <v>2016-2017!</v>
      </c>
      <c r="H66" s="267" t="str">
        <f>IF(Cotations!E66="","",Cotations!E66)</f>
        <v>SINGLE</v>
      </c>
      <c r="I66" s="267" t="str">
        <f>IF(Cotations!F66="","",Cotations!F66)</f>
        <v/>
      </c>
      <c r="J66" s="267" t="str">
        <f>IF(Cotations!G66="","",Cotations!G66)</f>
        <v/>
      </c>
      <c r="K66" s="267" t="str">
        <f>IF(Cotations!H66="","",Cotations!H66)</f>
        <v/>
      </c>
      <c r="L66" s="267" t="str">
        <f>IF(A66=FALSE,"",IF(Cotations!M66="","",Cotations!M66))</f>
        <v/>
      </c>
      <c r="M66" s="267" t="str">
        <f>IF(Cotations!O66="","",Cotations!O66)</f>
        <v/>
      </c>
      <c r="N66" s="588" t="str">
        <f>IF(NAMES!$B$10=TRUE,Cotations!I66,Cotations!K66)</f>
        <v/>
      </c>
      <c r="O66" s="588" t="str">
        <f>IF(NAMES!$B$10=TRUE,Cotations!J66,Cotations!L66)</f>
        <v/>
      </c>
      <c r="P66" s="780" t="str">
        <f t="shared" si="214"/>
        <v/>
      </c>
      <c r="Q66" s="588" t="str">
        <f>IF(A66=FALSE,"",IF(Crewlist!Y66="","",Crewlist!Y66))</f>
        <v/>
      </c>
      <c r="R66" s="78" t="str">
        <f>IF(Cotations!T66="","",Cotations!T66)</f>
        <v/>
      </c>
      <c r="S66" s="780" t="str">
        <f t="shared" si="215"/>
        <v/>
      </c>
      <c r="T66" s="759" t="str">
        <f>IF(A66=FALSE,"",VLOOKUP($U$15:$U$120,Currency!$A$2:$D$10,4,0)*Crewlist!N66)</f>
        <v/>
      </c>
      <c r="U66" s="1097" t="str">
        <f>IF(A66=FALSE,"",IF(DP66=0,Crewlist!M66&amp;"/"&amp;CP66,Crewlist!M66&amp;"/"&amp;DP66))</f>
        <v/>
      </c>
      <c r="V66" s="759" t="str">
        <f>IF(A66=FALSE,"",VLOOKUP($U$15:$U$120,Currency!$A$2:$D$10,4,0)*Detail!Q66)</f>
        <v/>
      </c>
      <c r="W66" s="1097" t="str">
        <f>IF(A66=FALSE,"",IF(DP66=0,Detail!R66&amp;"/"&amp;CP66,Detail!R66&amp;"/"&amp;DP66))</f>
        <v/>
      </c>
      <c r="X66" s="759" t="str">
        <f>IF(A66=FALSE,"",IF(LISTES!$C$17="Crewlist",Calcul!T66,Calcul!V66))</f>
        <v/>
      </c>
      <c r="Y66" s="618" t="str">
        <f t="shared" si="216"/>
        <v/>
      </c>
      <c r="Z66" s="618" t="str">
        <f>IF(A66=FALSE,"",IF(X66=0,0,IF((Cotations!BA66*12*X66)&lt;50000,50000,(12*X66))))</f>
        <v/>
      </c>
      <c r="AA66" s="618" t="str">
        <f t="shared" si="217"/>
        <v/>
      </c>
      <c r="AB66" s="618" t="str">
        <f>IF(A66=FALSE,"",IF(Crewlist!O66=0,"",Crewlist!O66))</f>
        <v/>
      </c>
      <c r="AC66" s="618" t="str">
        <f>IF(I66="","",VLOOKUP($AB$15:$AB$120,Currency!$A$15:$B$34,2,0))</f>
        <v/>
      </c>
      <c r="AD66" s="618" t="str">
        <f t="shared" si="218"/>
        <v/>
      </c>
      <c r="AE66" s="618" t="str">
        <f t="shared" si="219"/>
        <v/>
      </c>
      <c r="AF66" s="618" t="str">
        <f t="shared" si="220"/>
        <v/>
      </c>
      <c r="AG66" s="618" t="str">
        <f t="shared" si="221"/>
        <v/>
      </c>
      <c r="AH66" s="1097" t="str">
        <f t="shared" si="296"/>
        <v/>
      </c>
      <c r="AI66" s="759" t="str">
        <f t="shared" si="222"/>
        <v/>
      </c>
      <c r="AJ66" s="1120" t="str">
        <f t="shared" si="223"/>
        <v/>
      </c>
      <c r="AK66" s="1120" t="str">
        <f t="shared" si="224"/>
        <v/>
      </c>
      <c r="AL66" s="236" t="str">
        <f t="shared" si="225"/>
        <v/>
      </c>
      <c r="AM66" s="236" t="str">
        <f t="shared" si="226"/>
        <v/>
      </c>
      <c r="AN66" s="1112" t="str">
        <f t="shared" si="227"/>
        <v/>
      </c>
      <c r="AO66" s="236" t="str">
        <f t="shared" si="228"/>
        <v/>
      </c>
      <c r="AP66" s="327" t="str">
        <f>IF(A66=FALSE,"",INDEX(Rates!$Q$1:$Q$278,MATCH(CA66,colchoice,0)))</f>
        <v/>
      </c>
      <c r="AQ66" s="236" t="str">
        <f t="shared" si="229"/>
        <v/>
      </c>
      <c r="AR66" s="236" t="str">
        <f t="shared" si="230"/>
        <v/>
      </c>
      <c r="AS66" s="236" t="str">
        <f t="shared" si="297"/>
        <v/>
      </c>
      <c r="AT66" s="236" t="str">
        <f t="shared" si="298"/>
        <v/>
      </c>
      <c r="AU66" s="236" t="str">
        <f t="shared" si="231"/>
        <v/>
      </c>
      <c r="AV66" s="236" t="str">
        <f t="shared" si="232"/>
        <v/>
      </c>
      <c r="AW66" s="236" t="str">
        <f t="shared" si="233"/>
        <v/>
      </c>
      <c r="AX66" s="236" t="str">
        <f t="shared" si="234"/>
        <v/>
      </c>
      <c r="AY66" s="236" t="str">
        <f t="shared" si="235"/>
        <v/>
      </c>
      <c r="AZ66" s="236" t="str">
        <f t="shared" si="236"/>
        <v/>
      </c>
      <c r="BA66" s="236" t="str">
        <f t="shared" si="237"/>
        <v/>
      </c>
      <c r="BB66" s="467" t="str">
        <f t="shared" si="238"/>
        <v/>
      </c>
      <c r="BC66" s="329" t="str">
        <f t="shared" si="239"/>
        <v/>
      </c>
      <c r="BD66" s="237" t="str">
        <f t="shared" si="240"/>
        <v/>
      </c>
      <c r="BE66" s="237" t="str">
        <f>IF(A66=FALSE,"",IF(ED66&lt;&gt;$BC$7,0,INDEX(EA66:EZ66,1,MATCH(Structure!$J$16,$EA$14:$EZ$14,0))))</f>
        <v/>
      </c>
      <c r="BF66" s="237" t="str">
        <f>IF(A66=FALSE,"",IF(FD66&lt;&gt;$BC$7,0,INDEX(FA66:FZ66,1,MATCH(Structure!$J$16,$FA$14:$FZ$14,0))))</f>
        <v/>
      </c>
      <c r="BG66" s="237" t="str">
        <f>IF(A66=FALSE,"",IF(GD66&lt;&gt;$BC$7,0,INDEX(GA66:GZ66,1,MATCH(Structure!$J$16,$GA$14:$GZ$14,0))))</f>
        <v/>
      </c>
      <c r="BH66" s="237" t="str">
        <f>IF(A66=FALSE,"",IF(HD66&lt;&gt;$BC$7,0,INDEX(HA66:HZ66,1,MATCH(Structure!$J$16,$HA$14:$HZ$14,0))))</f>
        <v/>
      </c>
      <c r="BI66" s="621" t="str">
        <f>IF(A66=FALSE,"",IF(ID66&lt;&gt;$BC$7,0,INDEX(IA66:IZ66,1,MATCH(Structure!$C$12,$IA$14:$IZ$14,0)))+OL66)</f>
        <v/>
      </c>
      <c r="BJ66" s="237" t="str">
        <f>IF(A66=FALSE,"",IF(JD66&lt;&gt;$BC$7,0,INDEX(JA66:JZ66,1,MATCH(Structure!$C$12,$JA$14:$JZ$14,0))))</f>
        <v/>
      </c>
      <c r="BK66" s="621" t="str">
        <f>IF(A66=FALSE,"",IF(KD66&lt;&gt;$BC$7,0,INDEX(KA66:KZ66,1,MATCH(Structure!$C$12,$KA$14:$KZ$14,0)))+PL66)</f>
        <v/>
      </c>
      <c r="BL66" s="237" t="str">
        <f>IF(A66=FALSE,"",IF(LD66&lt;&gt;$BC$7,0,INDEX(LA66:LZ66,1,MATCH(Structure!$C$12,$LA$14:$LZ$14,0))))</f>
        <v/>
      </c>
      <c r="BM66" s="237" t="str">
        <f>IF(A66=FALSE,"",IF(MD66&lt;&gt;$BC$7,0,INDEX(MA66:MZ66,1,MATCH(Structure!$C$12,$MA$14:$MZ$14,0))))</f>
        <v/>
      </c>
      <c r="BN66" s="326" t="str">
        <f>IF(A66=FALSE,"",IF(ND66&lt;&gt;$BC$7,0,INDEX(NA66:OC66,1,MATCH(Structure!$C$12,$NA$14:$OC$14,0))))</f>
        <v/>
      </c>
      <c r="BO66" s="435" t="str">
        <f t="shared" si="241"/>
        <v/>
      </c>
      <c r="BP66" s="237" t="str">
        <f t="shared" si="242"/>
        <v/>
      </c>
      <c r="BQ66" s="237" t="str">
        <f>IF(A66=FALSE,"",IF(ED66&lt;&gt;$BO$7,0,INDEX(EA66:EZ66,1,MATCH(Structure!$C$12,$EA$14:$EZ$14,0))))</f>
        <v/>
      </c>
      <c r="BR66" s="237" t="str">
        <f>IF(A66=FALSE,"",IF(FD66&lt;&gt;$BO$7,0,INDEX(FA66:FZ66,1,MATCH(Structure!$C$12,$FA$14:$FZ$14,0))))</f>
        <v/>
      </c>
      <c r="BS66" s="237" t="str">
        <f>IF(A66=FALSE,"",IF(ID66&lt;&gt;$BO$7,0,INDEX(IA66:IZ66,1,MATCH(Structure!$C$13,$IA$14:$IZ$14,0))))</f>
        <v/>
      </c>
      <c r="BT66" s="237" t="str">
        <f>IF(A66=FALSE,"",IF(JD66&lt;&gt;$BO$7,0,INDEX(JA66:JZ66,1,MATCH(Structure!$C$13,$JA$14:$JZ$14,0))))</f>
        <v/>
      </c>
      <c r="BU66" s="237" t="str">
        <f>IF(A66=FALSE,"",IF(KD66&lt;&gt;$BO$7,0,INDEX(KA66:KZ66,1,MATCH(Structure!$C$13,$KA$14:$KZ$14,0))))</f>
        <v/>
      </c>
      <c r="BV66" s="237" t="str">
        <f>IF(A66=FALSE,"",IF(LD66&lt;&gt;$BO$7,0,INDEX(LA66:LZ66,1,MATCH(Structure!$C$13,$LA$14:$LZ$14,0))))</f>
        <v/>
      </c>
      <c r="BW66" s="237" t="str">
        <f>IF(A66=FALSE,"",IF(MD66&lt;&gt;$BO$7,0,INDEX(MA66:MZ66,1,MATCH(Structure!$C$13,$MA$14:$MZ$14,0))))</f>
        <v/>
      </c>
      <c r="BX66" s="326" t="str">
        <f>IF(A66=FALSE,"",IF(ND66&lt;&gt;$BO$7,0,INDEX(NA66:OC66,1,MATCH(Structure!$C$13,$NA$14:$OC$14,0))))</f>
        <v/>
      </c>
      <c r="BY66" s="412"/>
      <c r="BZ66" s="412"/>
      <c r="CA66" s="1255" t="str">
        <f>IF(A66=FALSE,"",IF(LISTES!$A$17=1,Cotations!AG66,Cotations!AH66))</f>
        <v/>
      </c>
      <c r="CB66" s="1266" t="str">
        <f t="shared" si="243"/>
        <v/>
      </c>
      <c r="CC66" s="1120" t="str">
        <f t="shared" si="244"/>
        <v/>
      </c>
      <c r="CD66" s="1120" t="str">
        <f t="shared" si="245"/>
        <v/>
      </c>
      <c r="CE66" s="1120" t="str">
        <f t="shared" si="246"/>
        <v/>
      </c>
      <c r="CF66" s="1120" t="str">
        <f t="shared" si="247"/>
        <v/>
      </c>
      <c r="CG66" s="1267"/>
      <c r="CH66" s="1267"/>
      <c r="CI66" s="1268" t="str">
        <f t="shared" si="248"/>
        <v/>
      </c>
      <c r="CJ66" s="286" t="str">
        <f t="shared" si="249"/>
        <v/>
      </c>
      <c r="CK66" s="286" t="str">
        <f t="shared" si="250"/>
        <v/>
      </c>
      <c r="CL66" s="1263"/>
      <c r="CM66" s="1263"/>
      <c r="CN66" s="1263"/>
      <c r="CO66" s="1263"/>
      <c r="CP66" s="319" t="str">
        <f t="shared" si="251"/>
        <v/>
      </c>
      <c r="CQ66" s="443" t="str">
        <f>IF(A66=FALSE,"",Cotations!AM66)</f>
        <v/>
      </c>
      <c r="CR66" s="443" t="str">
        <f>IF(A66=FALSE,"",IF(Cotations!AN66="","",Cotations!AN66))</f>
        <v/>
      </c>
      <c r="CS66" s="433" t="str">
        <f>IF(A66=FALSE,"",Cotations!AO66)</f>
        <v/>
      </c>
      <c r="CT66" s="443" t="str">
        <f>IF(A66=FALSE,"",IF(CQ66="N/A",0,IF(INDEX(LISTES!$F$105:$F$109,MATCH(CQ66,LISTES!$C$105:$C$109,0))="FIX",IF(INDEX(LISTES!$E$105:$E$109,MATCH(CQ66,LISTES!$C$105:$C$109,0))=12,CR66/12*L66,CR66/365*M66),CS66*EQ66)))</f>
        <v/>
      </c>
      <c r="CU66" s="434" t="str">
        <f>IF(A66=FALSE,"",(CJ66+CK66)*Cotations!AP66)</f>
        <v/>
      </c>
      <c r="CV66" s="434" t="str">
        <f>IF(A66=FALSE,"",(CJ66+CK66)*Cotations!AQ66)</f>
        <v/>
      </c>
      <c r="DA66" s="1253" t="str">
        <f>IF(A66=FALSE,"",IF(LISTES!$A$17=1,Cotations!AV66,Cotations!AW66))</f>
        <v/>
      </c>
      <c r="DB66" s="1271" t="str">
        <f t="shared" si="252"/>
        <v/>
      </c>
      <c r="DC66" s="1270" t="str">
        <f t="shared" si="253"/>
        <v/>
      </c>
      <c r="DD66" s="1270" t="str">
        <f t="shared" si="254"/>
        <v/>
      </c>
      <c r="DE66" s="1270" t="str">
        <f t="shared" si="255"/>
        <v/>
      </c>
      <c r="DF66" s="1270" t="str">
        <f t="shared" si="256"/>
        <v/>
      </c>
      <c r="DG66" s="1270" t="str">
        <f t="shared" si="257"/>
        <v/>
      </c>
      <c r="DH66" s="1270" t="str">
        <f t="shared" si="258"/>
        <v/>
      </c>
      <c r="DI66" s="1271" t="str">
        <f t="shared" si="259"/>
        <v/>
      </c>
      <c r="DJ66" s="286" t="str">
        <f t="shared" si="260"/>
        <v/>
      </c>
      <c r="DK66" s="286" t="str">
        <f t="shared" si="261"/>
        <v/>
      </c>
      <c r="DL66" s="1264" t="str">
        <f t="shared" si="262"/>
        <v/>
      </c>
      <c r="DM66" s="1264" t="str">
        <f t="shared" si="263"/>
        <v/>
      </c>
      <c r="DN66" s="1264" t="str">
        <f t="shared" si="264"/>
        <v/>
      </c>
      <c r="DO66" s="1264" t="str">
        <f t="shared" si="265"/>
        <v/>
      </c>
      <c r="DP66" s="323" t="str">
        <f t="shared" si="299"/>
        <v/>
      </c>
      <c r="DQ66" s="444" t="str">
        <f>IF(A66=FALSE,"",Cotations!BW66)</f>
        <v/>
      </c>
      <c r="DR66" s="444" t="str">
        <f>IF(A66=FALSE,"",Cotations!BX66)</f>
        <v/>
      </c>
      <c r="DS66" s="433" t="str">
        <f>IF(A66=FALSE,"",Cotations!BY66)</f>
        <v/>
      </c>
      <c r="DT66" s="830" t="str">
        <f>IF(A66=FALSE,"",IF(DQ66="N/A",0,IF(INDEX(LISTES!$F$105:$F$109,MATCH(DQ66,LISTES!$C$105:$C$109,0))="FIX",IF(INDEX(LISTES!$E$105:$E$109,MATCH(DQ66,LISTES!$C$105:$C$109,0))=12,DR66/12*L66,DR66/365*M66),DS66*(DN66+DO66))))</f>
        <v/>
      </c>
      <c r="DU66" s="434" t="str">
        <f>IF(A66=FALSE,"",DJ66*Cotations!BZ66)</f>
        <v/>
      </c>
      <c r="DV66" s="434" t="str">
        <f>IF(A66=FALSE,"",DJ66*Cotations!CA66)</f>
        <v/>
      </c>
      <c r="EA66" s="432" t="str">
        <f>IF(A66=FALSE,"",Cotations!AT66)</f>
        <v/>
      </c>
      <c r="EB66" s="1234" t="str">
        <f>IF(A66=FALSE,"",YEAR(Detail!F66)&amp;Detail!AG66&amp;Detail!AD66&amp;"-"&amp;Detail!$AD$13&amp;Detail!AE66)</f>
        <v/>
      </c>
      <c r="EC66" s="434" t="str">
        <f>IF(A66=FALSE,"",IF(LISTES!$A$17=1,EB66,INDEX(colMOD1,MATCH(Cotations!AH66,colchoice,0))))</f>
        <v/>
      </c>
      <c r="ED66" s="277" t="str">
        <f t="shared" si="300"/>
        <v/>
      </c>
      <c r="EE66" s="277" t="str">
        <f t="shared" si="301"/>
        <v/>
      </c>
      <c r="EF66" s="277"/>
      <c r="EG66" s="277"/>
      <c r="EH66" s="277" t="str">
        <f t="shared" si="302"/>
        <v/>
      </c>
      <c r="EI66" s="1104" t="str">
        <f t="shared" si="303"/>
        <v/>
      </c>
      <c r="EJ66" s="1104" t="str">
        <f t="shared" si="304"/>
        <v/>
      </c>
      <c r="EK66" s="443" t="str">
        <f>IF(A66=FALSE,"",IF(Cotations!AF66="monthly",EH66/12*L66,EH66/365*M66))</f>
        <v/>
      </c>
      <c r="EL66" s="1103" t="str">
        <f>IF(A66=FALSE,"",IF(Cotations!AF66="monthly",EJ66/12*L66,EJ66/365*M66))</f>
        <v/>
      </c>
      <c r="EM66" s="433" t="str">
        <f>IF(A66=FALSE,"",IF(Cotations!AI66="","",Cotations!AI66))</f>
        <v/>
      </c>
      <c r="EN66" s="277" t="str">
        <f t="shared" si="305"/>
        <v/>
      </c>
      <c r="EO66" s="277" t="str">
        <f t="shared" si="306"/>
        <v/>
      </c>
      <c r="EP66" s="1104" t="str">
        <f t="shared" si="307"/>
        <v/>
      </c>
      <c r="EQ66" s="277" t="str">
        <f t="shared" si="308"/>
        <v/>
      </c>
      <c r="ER66" s="759" t="str">
        <f>IF(A66=FALSE,"",((EH66*TAXE)-(EH66*TAXE*EM66)+EI66)+IF(CQ66="N/A",0,IF(INDEX(LISTES!$F$105:$F$109,MATCH(CQ66,LISTES!$C$105:$C$109,0))="FIX",CR66,CS66*EQ66)))</f>
        <v/>
      </c>
      <c r="ET66" s="422"/>
      <c r="EU66" s="422"/>
      <c r="EV66" s="422"/>
      <c r="EW66" s="422"/>
      <c r="EX66" s="422"/>
      <c r="EY66" s="422"/>
      <c r="EZ66" s="422"/>
      <c r="FA66" s="432" t="str">
        <f>IF(A66=FALSE,"",Cotations!AT66)</f>
        <v/>
      </c>
      <c r="FB66" s="1235" t="str">
        <f>IF(A66=FALSE,"",IF(Detail!AL66="","N/A",YEAR(Detail!F66)&amp;Detail!AO66&amp;Detail!AL66&amp;"-"&amp;Detail!$AL$13&amp;Detail!AM66))</f>
        <v/>
      </c>
      <c r="FC66" s="434" t="str">
        <f>IF(A66=FALSE,"",IF(LISTES!$A$17=1,FB66,INDEX(colMOD2,MATCH(Cotations!AH66,colchoice,0))))</f>
        <v/>
      </c>
      <c r="FD66" s="277" t="str">
        <f t="shared" si="309"/>
        <v/>
      </c>
      <c r="FE66" s="443" t="str">
        <f>IF(A66=FALSE,"",IF(Detail!AM66="","",Detail!AM66))</f>
        <v/>
      </c>
      <c r="FF66" s="277"/>
      <c r="FG66" s="277"/>
      <c r="FH66" s="277" t="str">
        <f t="shared" si="310"/>
        <v/>
      </c>
      <c r="FI66" s="1104"/>
      <c r="FJ66" s="1104"/>
      <c r="FK66" s="443" t="str">
        <f>IF(A66=FALSE,"",IF(Cotations!AF66="monthly",FH66/12*L66,FH66/365*M66))</f>
        <v/>
      </c>
      <c r="FL66" s="1103" t="str">
        <f>IF(A66=FALSE,"",IF(Cotations!AF66="monthly",FJ66/12*L66,FJ66/365*M66))</f>
        <v/>
      </c>
      <c r="FM66" s="433" t="str">
        <f>IF(A66=FALSE,"",IF(Cotations!AJ66="","",Cotations!AJ66))</f>
        <v/>
      </c>
      <c r="FN66" s="277" t="str">
        <f t="shared" si="268"/>
        <v/>
      </c>
      <c r="FO66" s="277" t="str">
        <f t="shared" si="269"/>
        <v/>
      </c>
      <c r="FP66" s="1104"/>
      <c r="FQ66" s="277" t="str">
        <f t="shared" si="270"/>
        <v/>
      </c>
      <c r="FR66" s="759" t="str">
        <f>IF(A66=FALSE,"",((FH66*TAXE)-(FH66*TAXE*FM66))+IF(#REF!="N/A",0,IF(INDEX(LISTES!$F$105:$F$109,MATCH(#REF!,LISTES!$C$105:$C$109,0))="FIX",#REF!,#REF!*FQ66)))</f>
        <v/>
      </c>
      <c r="FS66" s="422"/>
      <c r="FT66" s="422"/>
      <c r="FU66" s="422"/>
      <c r="FV66" s="422"/>
      <c r="FW66" s="422"/>
      <c r="FX66" s="422"/>
      <c r="FY66" s="422"/>
      <c r="FZ66" s="422"/>
      <c r="GA66" s="432" t="str">
        <f t="shared" si="311"/>
        <v/>
      </c>
      <c r="GB66" s="1234" t="str">
        <f>IF(A66=FALSE,"",IF(Detail!DF66="","N/A",YEAR(Detail!F66)&amp;Detail!DI66&amp;Detail!DF66&amp;"-"&amp;Detail!$DF$13))</f>
        <v/>
      </c>
      <c r="GC66" s="434" t="str">
        <f>IF(A66=FALSE,"",IF(LISTES!$A$17=1,GB66,INDEX(colMOD3,MATCH(Cotations!AH66,colchoice,0))))</f>
        <v/>
      </c>
      <c r="GD66" s="277" t="str">
        <f t="shared" si="312"/>
        <v/>
      </c>
      <c r="GE66" s="277" t="str">
        <f t="shared" si="313"/>
        <v/>
      </c>
      <c r="GF66" s="277"/>
      <c r="GG66" s="277"/>
      <c r="GH66" s="277" t="str">
        <f t="shared" si="271"/>
        <v/>
      </c>
      <c r="GI66" s="1104" t="str">
        <f t="shared" si="272"/>
        <v/>
      </c>
      <c r="GJ66" s="1104" t="str">
        <f t="shared" si="273"/>
        <v/>
      </c>
      <c r="GK66" s="443" t="str">
        <f>IF(A66=FALSE,"",IF(Cotations!AF66="monthly",GH66/12*L66,GH66/365*M66))</f>
        <v/>
      </c>
      <c r="GL66" s="1103" t="str">
        <f>IF(A66=FALSE,"",IF(Cotations!AF66="monthly",GJ66/12*L66,GJ66/365*M66))</f>
        <v/>
      </c>
      <c r="GM66" s="433" t="str">
        <f>IF(A66=FALSE,"",IF(Cotations!AK66="","",Cotations!AK66))</f>
        <v/>
      </c>
      <c r="GN66" s="277" t="str">
        <f t="shared" si="274"/>
        <v/>
      </c>
      <c r="GO66" s="277" t="str">
        <f t="shared" si="275"/>
        <v/>
      </c>
      <c r="GP66" s="1104" t="str">
        <f t="shared" si="276"/>
        <v/>
      </c>
      <c r="GQ66" s="277" t="str">
        <f t="shared" si="277"/>
        <v/>
      </c>
      <c r="GR66" s="759" t="str">
        <f>IF(A66=FALSE,"",((GH66*TAXE)-(GH66*TAXE*GM66)+GI66)+IF(CQ66="N/A",0,IF(INDEX(LISTES!$F$105:$F$109,MATCH(CQ66,LISTES!$C$105:$C$109,0))="FIX",CR66,CS66*GQ66)))</f>
        <v/>
      </c>
      <c r="GS66" s="412"/>
      <c r="GT66" s="412"/>
      <c r="GU66" s="412"/>
      <c r="GV66" s="412"/>
      <c r="GW66" s="412"/>
      <c r="GX66" s="412"/>
      <c r="GY66" s="412"/>
      <c r="GZ66" s="412"/>
      <c r="HA66" s="432" t="str">
        <f t="shared" si="314"/>
        <v/>
      </c>
      <c r="HB66" s="1234" t="str">
        <f>IF(A66=FALSE,"",IF(Detail!DF66="","N/A",YEAR(Detail!F66)&amp;Detail!DI66&amp;Detail!DF66&amp;"-"&amp;Detail!$DF$13))</f>
        <v/>
      </c>
      <c r="HC66" s="434" t="str">
        <f>IF(A66=FALSE,"",IF(LISTES!$A$17=1,HB66,INDEX(colMOD4,MATCH(Cotations!AH66,colchoice,0))))</f>
        <v/>
      </c>
      <c r="HD66" s="277" t="str">
        <f t="shared" si="278"/>
        <v/>
      </c>
      <c r="HE66" s="277" t="str">
        <f t="shared" si="279"/>
        <v/>
      </c>
      <c r="HF66" s="277"/>
      <c r="HG66" s="277"/>
      <c r="HH66" s="277" t="str">
        <f t="shared" si="280"/>
        <v/>
      </c>
      <c r="HI66" s="1104" t="str">
        <f t="shared" si="281"/>
        <v/>
      </c>
      <c r="HJ66" s="1104" t="str">
        <f t="shared" si="282"/>
        <v/>
      </c>
      <c r="HK66" s="443" t="str">
        <f>IF(A66=FALSE,"",IF(Cotations!AF66="monthly",HH66/12*L66,HH66/365*M66))</f>
        <v/>
      </c>
      <c r="HL66" s="1103" t="str">
        <f>IF(A66=FALSE,"",IF(Cotations!AF66="monthly",HJ66/12*L66,HJ66/365*M66))</f>
        <v/>
      </c>
      <c r="HM66" s="433" t="str">
        <f>IF(A66=FALSE,"",IF(Cotations!AL66="","",Cotations!AL66))</f>
        <v/>
      </c>
      <c r="HN66" s="277" t="str">
        <f t="shared" si="283"/>
        <v/>
      </c>
      <c r="HO66" s="277" t="str">
        <f t="shared" si="284"/>
        <v/>
      </c>
      <c r="HP66" s="1104" t="str">
        <f t="shared" si="285"/>
        <v/>
      </c>
      <c r="HQ66" s="277" t="str">
        <f t="shared" si="286"/>
        <v/>
      </c>
      <c r="HR66" s="759" t="str">
        <f>IF(A66=FALSE,"",((HH66*TAXE)-(HH66*TAXE*HM66)+HI66)+IF(CQ66="N/A",0,IF(INDEX(LISTES!$F$105:$F$109,MATCH(CQ66,LISTES!$C$105:$C$109,0))="FIX",CR66,CS66*HQ66)))</f>
        <v/>
      </c>
      <c r="HS66" s="412"/>
      <c r="HT66" s="412"/>
      <c r="HU66" s="412"/>
      <c r="HV66" s="412"/>
      <c r="HW66" s="412"/>
      <c r="HX66" s="412"/>
      <c r="HY66" s="412"/>
      <c r="HZ66" s="1262"/>
      <c r="IA66" s="432" t="str">
        <f>IF(A66=FALSE,"",Cotations!AT66)</f>
        <v/>
      </c>
      <c r="IB66" s="1253" t="str">
        <f>IF(A66=FALSE,"",IF(Detail!AT66="","N/A",YEAR(Detail!F66)&amp;Detail!AW66&amp;Detail!AT66&amp;"-"&amp;Detail!$AT$13&amp;Detail!AU66))</f>
        <v/>
      </c>
      <c r="IC66" s="431" t="str">
        <f>IF(A66=FALSE,"",IF(LISTES!$A$17=1,IB66,INDEX(colMOD1,MATCH(DA66,colchoice,0))))</f>
        <v/>
      </c>
      <c r="ID66" s="759" t="str">
        <f t="shared" si="358"/>
        <v/>
      </c>
      <c r="IE66" s="292" t="str">
        <f>IF(A66=FALSE,"",IF(LISTES!$A$17=1,Detail!AU66,INDEX(Rates!$M$1:$M$270,MATCH(IC66,colMOD1,0))))</f>
        <v/>
      </c>
      <c r="IF66" s="409" t="str">
        <f t="shared" si="359"/>
        <v/>
      </c>
      <c r="IG66" s="430" t="str">
        <f>IF(A66=FALSE,"",IF(IA66="POEA",Cotations!AY66,IF(IA66="FIXE",Cotations!AZ66,IF(Cotations!BA66*Y66&lt;50000,Z66,Cotations!BA66*Y66))))</f>
        <v/>
      </c>
      <c r="IH66" s="292" t="str">
        <f t="shared" si="360"/>
        <v/>
      </c>
      <c r="II66" s="446" t="str">
        <f>IF(A66=FALSE,"",IF(Cotations!AU66="monthly",IH66/12*L66,IH66/365*M66))</f>
        <v/>
      </c>
      <c r="IJ66" s="429" t="str">
        <f>IF(A66=FALSE,"",IF(Cotations!BB66="","",Cotations!BB66))</f>
        <v/>
      </c>
      <c r="IK66" s="292" t="str">
        <f t="shared" si="361"/>
        <v/>
      </c>
      <c r="IL66" s="292" t="str">
        <f t="shared" si="362"/>
        <v/>
      </c>
      <c r="IM66" s="759" t="str">
        <f t="shared" si="363"/>
        <v/>
      </c>
      <c r="IN66" s="759" t="str">
        <f>IF(A66=FALSE,"",((IH66*TAXE)-(IH66*TAXE*IJ66))+IF(DQ66="N/A",0,IF(INDEX(LISTES!$F$105:$F$109,MATCH(DQ66,LISTES!$C$105:$C$109,0))="FIX",DR66,DS66*IM66)))</f>
        <v/>
      </c>
      <c r="JA66" s="432" t="str">
        <f>IF(A66=FALSE,"",Cotations!AT66)</f>
        <v/>
      </c>
      <c r="JB66" s="1234" t="str">
        <f>IF(A66=FALSE,"",IF(Detail!BB66="","N/A",YEAR(Detail!F66)&amp;Detail!BE66&amp;Detail!BB66&amp;"-"&amp;Detail!$BB$13&amp;Detail!BC66))</f>
        <v/>
      </c>
      <c r="JC66" s="431" t="str">
        <f>IF(A66=FALSE,"",IF(LISTES!$A$17=1,JB66,INDEX(colMOD2,MATCH(DA66,colchoice,0))))</f>
        <v/>
      </c>
      <c r="JD66" s="759" t="str">
        <f t="shared" si="321"/>
        <v/>
      </c>
      <c r="JE66" s="292"/>
      <c r="JF66" s="409" t="str">
        <f t="shared" si="322"/>
        <v/>
      </c>
      <c r="JG66" s="430" t="str">
        <f>IF(A66=FALSE,"",IF(JA66="POEA",Cotations!BC66,IF(JA66="FIXE",Cotations!BD66,IF(Cotations!BE66*Y66&lt;50000,Z66,Cotations!BE66*Y66))))</f>
        <v/>
      </c>
      <c r="JH66" s="292" t="str">
        <f t="shared" si="323"/>
        <v/>
      </c>
      <c r="JI66" s="446" t="str">
        <f>IF(A66=FALSE,"",IF(Cotations!AU66="monthly",JH66/12*L66,JH66/365*M66))</f>
        <v/>
      </c>
      <c r="JJ66" s="429" t="str">
        <f>IF(A66=FALSE,"",IF(Cotations!BF66="","",Cotations!BF66))</f>
        <v/>
      </c>
      <c r="JK66" s="292" t="str">
        <f t="shared" si="324"/>
        <v/>
      </c>
      <c r="JL66" s="292" t="str">
        <f t="shared" si="325"/>
        <v/>
      </c>
      <c r="JM66" s="759" t="str">
        <f t="shared" si="326"/>
        <v/>
      </c>
      <c r="JN66" s="759" t="str">
        <f>IF(A66=FALSE,"",((JH66*TAXE)-(JH66*TAXE*JJ66))+IF(#REF!="N/A",0,IF(INDEX(LISTES!$F$105:$F$109,MATCH(#REF!,LISTES!$C$105:$C$109,0))="FIX",#REF!,#REF!*JM66)))</f>
        <v/>
      </c>
      <c r="KA66" s="432" t="str">
        <f>IF(A66=FALSE,"",Cotations!AT66)</f>
        <v/>
      </c>
      <c r="KB66" s="1234" t="str">
        <f>IF(A66=FALSE,"",IF(Detail!BJ66="","N/A",YEAR(Detail!F66)&amp;Detail!BM66&amp;Detail!BJ66&amp;"-"&amp;Detail!$BJ$13&amp;Detail!BK66))</f>
        <v/>
      </c>
      <c r="KC66" s="431" t="str">
        <f>IF(A66=FALSE,"",IF(LISTES!$A$17=1,KB66,INDEX(colMOD3,MATCH(DA66,colchoice,0))))</f>
        <v/>
      </c>
      <c r="KD66" s="759" t="str">
        <f t="shared" si="327"/>
        <v/>
      </c>
      <c r="KE66" s="292"/>
      <c r="KF66" s="409" t="str">
        <f t="shared" si="328"/>
        <v/>
      </c>
      <c r="KG66" s="430" t="str">
        <f>IF(A66=FALSE,"",IF(KA66="POEA",Cotations!BG66,IF(KA66="FIXE",Cotations!BH66,IF(Cotations!BI66*Y66&lt;50000,Z66,Cotations!BI66*Y66))))</f>
        <v/>
      </c>
      <c r="KH66" s="292" t="str">
        <f t="shared" si="329"/>
        <v/>
      </c>
      <c r="KI66" s="446" t="str">
        <f>IF(A66=FALSE,"",IF(Cotations!AU66="monthly",KH66/12*L66,KH66/365*M66))</f>
        <v/>
      </c>
      <c r="KJ66" s="429" t="str">
        <f>IF(A66=FALSE,"",IF(Cotations!BJ66="","",Cotations!BJ66))</f>
        <v/>
      </c>
      <c r="KK66" s="292" t="str">
        <f t="shared" si="330"/>
        <v/>
      </c>
      <c r="KL66" s="292" t="str">
        <f t="shared" si="331"/>
        <v/>
      </c>
      <c r="KM66" s="759" t="str">
        <f t="shared" si="332"/>
        <v/>
      </c>
      <c r="KN66" s="759" t="str">
        <f>IF(A66=FALSE,"",((KH66*TAXE)-(KH66*TAXE*KJ66))+IF(#REF!="N/A",0,IF(INDEX(LISTES!$F$105:$F$109,MATCH(#REF!,LISTES!$C$105:$C$109,0))="FIX",#REF!,#REF!*KM66)))</f>
        <v/>
      </c>
      <c r="LA66" s="432" t="str">
        <f>IF(A66=FALSE,"",Cotations!AT66)</f>
        <v/>
      </c>
      <c r="LB66" s="1234" t="str">
        <f>IF(A66=FALSE,"",IF(Detail!BR66="","N/A",YEAR(Detail!F66)&amp;Detail!BU66&amp;Detail!BR66&amp;"-"&amp;Detail!$BR$13&amp;Detail!BS66))</f>
        <v/>
      </c>
      <c r="LC66" s="431" t="str">
        <f>IF(A66=FALSE,"",IF(LISTES!$A$17=1,LB66,INDEX(colMOD4,MATCH(DA66,colchoice,0))))</f>
        <v/>
      </c>
      <c r="LD66" s="759" t="str">
        <f t="shared" si="333"/>
        <v/>
      </c>
      <c r="LE66" s="292"/>
      <c r="LF66" s="409" t="str">
        <f t="shared" si="334"/>
        <v/>
      </c>
      <c r="LG66" s="430" t="str">
        <f>IF(A66=FALSE,"",IF(LA66="POEA",Cotations!BK66,IF(LA66="FIXE",Cotations!BL66,IF(Cotations!BM66*Y66&lt;50000,Z66,Cotations!BM66*Y66))))</f>
        <v/>
      </c>
      <c r="LH66" s="292" t="str">
        <f t="shared" si="335"/>
        <v/>
      </c>
      <c r="LI66" s="446" t="str">
        <f>IF(A66=FALSE,"",IF(Cotations!AU66="monthly",LH66/12*L66,LH66/365*M66))</f>
        <v/>
      </c>
      <c r="LJ66" s="429" t="str">
        <f>IF(A66=FALSE,"",IF(Cotations!BN66="","",Cotations!BN66))</f>
        <v/>
      </c>
      <c r="LK66" s="292" t="str">
        <f t="shared" si="336"/>
        <v/>
      </c>
      <c r="LL66" s="292" t="str">
        <f t="shared" si="337"/>
        <v/>
      </c>
      <c r="LM66" s="759" t="str">
        <f t="shared" si="338"/>
        <v/>
      </c>
      <c r="LN66" s="759" t="str">
        <f>IF(A66=FALSE,"",((LH66*TAXE)-(LH66*TAXE*LJ66))+IF(#REF!="N/A",0,IF(INDEX(LISTES!$F$105:$F$109,MATCH(#REF!,LISTES!$C$105:$C$109,0))="FIX",#REF!,#REF!*LM66)))</f>
        <v/>
      </c>
      <c r="MA66" s="432" t="str">
        <f t="shared" si="339"/>
        <v/>
      </c>
      <c r="MB66" s="1234" t="str">
        <f>IF(A66=FALSE,"",IF(Detail!BZ66="","N/A",YEAR(Detail!F66)&amp;Detail!CC66&amp;Detail!BZ66&amp;"-"&amp;Detail!$BZ$13&amp;" (100%/"&amp;Detail!CD66&amp;"/"&amp;Detail!CE66&amp;")"))</f>
        <v/>
      </c>
      <c r="MC66" s="431" t="str">
        <f>IF(A66=FALSE,"",IF(LISTES!$A$17=1,MB66,INDEX(colMOD5,MATCH(DA66,colchoice,0))))</f>
        <v/>
      </c>
      <c r="MD66" s="759" t="str">
        <f t="shared" si="340"/>
        <v/>
      </c>
      <c r="ME66" s="292"/>
      <c r="MF66" s="409" t="str">
        <f t="shared" si="341"/>
        <v/>
      </c>
      <c r="MG66" s="430" t="str">
        <f>IF(A66=FALSE,"",Cotations!BQ66*AA66)</f>
        <v/>
      </c>
      <c r="MH66" s="292" t="str">
        <f t="shared" si="342"/>
        <v/>
      </c>
      <c r="MI66" s="446" t="str">
        <f>IF(A66=FALSE,"",IF(Cotations!AU66="monthly",MH66/12*L66,MH66/365*M66))</f>
        <v/>
      </c>
      <c r="MJ66" s="429" t="str">
        <f>IF(A66=FALSE,"",IF(Cotations!BR66="","",Cotations!BR66))</f>
        <v/>
      </c>
      <c r="MK66" s="292" t="str">
        <f t="shared" si="343"/>
        <v/>
      </c>
      <c r="ML66" s="292" t="str">
        <f t="shared" si="344"/>
        <v/>
      </c>
      <c r="MM66" s="759" t="str">
        <f t="shared" si="345"/>
        <v/>
      </c>
      <c r="MN66" s="759" t="str">
        <f>IF(A66=FALSE,"",((MH66*TAXE)-(MH66*TAXE*MJ66))+IF(#REF!="N/A",0,IF(INDEX(LISTES!$F$105:$F$109,MATCH(#REF!,LISTES!$C$105:$C$109,0))="FIX",#REF!,#REF!*MM66)))</f>
        <v/>
      </c>
      <c r="NA66" s="432" t="str">
        <f t="shared" si="346"/>
        <v/>
      </c>
      <c r="NB66" s="1234" t="str">
        <f>IF(A66=FALSE,"",IF(Detail!CH66="","N/A",YEAR(Detail!F66)&amp;Detail!CK66&amp;Detail!CH66&amp;"-"&amp;Detail!$CH$13&amp;" (100%/"&amp;Detail!CL66&amp;"/"&amp;Detail!CM66&amp;")"))</f>
        <v/>
      </c>
      <c r="NC66" s="431" t="str">
        <f>IF(A66=FALSE,"",IF(LISTES!$A$17=1,NB66,INDEX(colMOD6,MATCH(DA66,colchoice,0))))</f>
        <v/>
      </c>
      <c r="ND66" s="759" t="str">
        <f t="shared" si="347"/>
        <v/>
      </c>
      <c r="NE66" s="292"/>
      <c r="NF66" s="409" t="str">
        <f t="shared" si="348"/>
        <v/>
      </c>
      <c r="NG66" s="430" t="str">
        <f>IF(A66=FALSE,"",Cotations!BU66*AA66)</f>
        <v/>
      </c>
      <c r="NH66" s="292" t="str">
        <f t="shared" si="349"/>
        <v/>
      </c>
      <c r="NI66" s="446" t="str">
        <f>IF(A66=FALSE,"",IF(Cotations!AU66="monthly",NH66/12*L66,NH66/365*M66))</f>
        <v/>
      </c>
      <c r="NJ66" s="429" t="str">
        <f>IF(A66=FALSE,"",IF(Cotations!BV66="","",Cotations!BV66))</f>
        <v/>
      </c>
      <c r="NK66" s="292" t="str">
        <f t="shared" si="350"/>
        <v/>
      </c>
      <c r="NL66" s="292" t="str">
        <f t="shared" si="351"/>
        <v/>
      </c>
      <c r="NM66" s="759" t="str">
        <f t="shared" si="352"/>
        <v/>
      </c>
      <c r="NN66" s="759" t="str">
        <f>IF(A66=FALSE,"",((NH66*TAXE)-(NH66*TAXE*NJ66))+IF(#REF!="N/A",0,IF(INDEX(LISTES!$F$105:$F$109,MATCH(#REF!,LISTES!$C$105:$C$109,0))="FIX",#REF!,#REF!*NM66)))</f>
        <v/>
      </c>
      <c r="NZ66" s="1281" t="str">
        <f>IF(A66=FALSE,"",IF(Detail!CP66="","N/A",YEAR(Detail!F66)&amp;Detail!CS66&amp;Detail!CP66&amp;"-"&amp;Detail!CQ66))</f>
        <v/>
      </c>
      <c r="OA66" s="432" t="str">
        <f>IF(A66=FALSE,"",Cotations!CF66)</f>
        <v/>
      </c>
      <c r="OB66" s="1282" t="str">
        <f>IF(A66=FALSE,"",IF(Detail!CP66="","N/A",YEAR(Detail!F66)&amp;Detail!CS66&amp;Detail!CP66&amp;"-"&amp;Detail!$CP$13&amp;Detail!CQ66))</f>
        <v/>
      </c>
      <c r="OC66" s="1283" t="str">
        <f>IF(A66=FALSE,"",IF(LISTES!$A$17=1,OB66,INDEX(colMOD1,MATCH(Cotations!CE66,colchoice,0))))</f>
        <v/>
      </c>
      <c r="OD66" s="759" t="str">
        <f t="shared" si="353"/>
        <v/>
      </c>
      <c r="OE66" s="292" t="str">
        <f>IF(A66=FALSE,"",Detail!CQ66)</f>
        <v/>
      </c>
      <c r="OF66" s="409" t="str">
        <f t="shared" si="354"/>
        <v/>
      </c>
      <c r="OG66" s="430" t="str">
        <f>IF(A66=FALSE,"",IF(OA66="FIXE",Cotations!CM66,Cotations!CN66*AA66))</f>
        <v/>
      </c>
      <c r="OH66" s="292" t="str">
        <f t="shared" si="288"/>
        <v/>
      </c>
      <c r="OI66" s="446" t="str">
        <f>IF(A66=FALSE,"",IF(Cotations!CF66="monthly",OH66/12*L66,OH66/365*M66))</f>
        <v/>
      </c>
      <c r="OJ66" s="429" t="str">
        <f>IF(A66=FALSE,"",IF(Cotations!CO66="","",Cotations!CO66))</f>
        <v/>
      </c>
      <c r="OK66" s="292" t="str">
        <f t="shared" si="289"/>
        <v/>
      </c>
      <c r="OL66" s="292" t="str">
        <f t="shared" si="290"/>
        <v/>
      </c>
      <c r="OM66" s="759" t="str">
        <f t="shared" si="355"/>
        <v/>
      </c>
      <c r="ON66" s="759" t="str">
        <f>IF(A66=FALSE,"",((OH66*(1+TAXE)-(OH66*(1+TAXE)*OJ66))+IF(#REF!="N/A",0,IF(INDEX(LISTES!$F$105:$F$109,MATCH(#REF!,LISTES!$C$105:$C$109,0))="FIX",#REF!,#REF!*OM66))))</f>
        <v/>
      </c>
      <c r="PA66" s="432" t="str">
        <f>IF(A66=FALSE,"",Cotations!CF66)</f>
        <v/>
      </c>
      <c r="PB66" s="1282" t="str">
        <f>IF(A66=FALSE,"",IF(Detail!CX66="","N/A",YEAR(Detail!F66)&amp;Detail!DA66&amp;Detail!CX66&amp;"-"&amp;Detail!$CX$13&amp;Detail!CY66))</f>
        <v/>
      </c>
      <c r="PC66" s="1283" t="str">
        <f>IF(A66=FALSE,"",IF(LISTES!$A$17=1,PB66,INDEX(colMOD3,MATCH(Cotations!CE66,colchoice,0))))</f>
        <v/>
      </c>
      <c r="PD66" s="759" t="str">
        <f t="shared" si="356"/>
        <v/>
      </c>
      <c r="PE66" s="292" t="str">
        <f>IF(A66=FALSE,"",IF(Detail!CY66="","",Detail!CY66))</f>
        <v/>
      </c>
      <c r="PF66" s="409" t="str">
        <f t="shared" si="291"/>
        <v/>
      </c>
      <c r="PG66" s="430" t="str">
        <f>IF(A66=FALSE,"",IF(PA66="FIXE",Cotations!CP66,Cotations!CQ66*AA66))</f>
        <v/>
      </c>
      <c r="PH66" s="292" t="str">
        <f t="shared" si="292"/>
        <v/>
      </c>
      <c r="PI66" s="446" t="str">
        <f>IF(A66=FALSE,"",IF(Cotations!CG66="monthly",PH66/12*L66,PH66/365*M66))</f>
        <v/>
      </c>
      <c r="PJ66" s="429" t="str">
        <f>IF(A66=FALSE,"",IF(Cotations!DA66="",0,Cotations!DA66))</f>
        <v/>
      </c>
      <c r="PK66" s="292" t="str">
        <f t="shared" si="293"/>
        <v/>
      </c>
      <c r="PL66" s="292" t="str">
        <f t="shared" si="294"/>
        <v/>
      </c>
      <c r="PM66" s="759" t="str">
        <f t="shared" si="357"/>
        <v/>
      </c>
      <c r="PN66" s="759" t="str">
        <f>IF(A66=FALSE,"",((PH66*(1+TAXE)-(PH66*(1+TAXE)*PJ66))+IF(#REF!="N/A",0,IF(INDEX(LISTES!$F$105:$F$109,MATCH(#REF!,LISTES!$C$105:$C$109,0))="FIX",#REF!,#REF!*PM66))))</f>
        <v/>
      </c>
    </row>
    <row r="67" spans="1:430">
      <c r="A67" s="779" t="b">
        <f t="shared" si="295"/>
        <v>0</v>
      </c>
      <c r="B67" s="779" t="b">
        <f>IF(NAMES!$B$9=TRUE,TRUE,FALSE)</f>
        <v>1</v>
      </c>
      <c r="C67" s="779" t="b">
        <f t="shared" si="212"/>
        <v>0</v>
      </c>
      <c r="D67" s="779" t="b">
        <f t="shared" si="213"/>
        <v>0</v>
      </c>
      <c r="E67" s="267" t="b">
        <f>IF(Cotations!C67="","",Cotations!C67)</f>
        <v>0</v>
      </c>
      <c r="F67" s="267" t="str">
        <f>IF(Cotations!AT67="","",Cotations!AT67)</f>
        <v>PROP</v>
      </c>
      <c r="G67" s="267" t="str">
        <f>IF(Cotations!D67="","",Cotations!D67)</f>
        <v>2016-2017!</v>
      </c>
      <c r="H67" s="267" t="str">
        <f>IF(Cotations!E67="","",Cotations!E67)</f>
        <v>SINGLE</v>
      </c>
      <c r="I67" s="267" t="str">
        <f>IF(Cotations!F67="","",Cotations!F67)</f>
        <v/>
      </c>
      <c r="J67" s="267" t="str">
        <f>IF(Cotations!G67="","",Cotations!G67)</f>
        <v/>
      </c>
      <c r="K67" s="267" t="str">
        <f>IF(Cotations!H67="","",Cotations!H67)</f>
        <v/>
      </c>
      <c r="L67" s="267" t="str">
        <f>IF(A67=FALSE,"",IF(Cotations!M67="","",Cotations!M67))</f>
        <v/>
      </c>
      <c r="M67" s="267" t="str">
        <f>IF(Cotations!O67="","",Cotations!O67)</f>
        <v/>
      </c>
      <c r="N67" s="588" t="str">
        <f>IF(NAMES!$B$10=TRUE,Cotations!I67,Cotations!K67)</f>
        <v/>
      </c>
      <c r="O67" s="588" t="str">
        <f>IF(NAMES!$B$10=TRUE,Cotations!J67,Cotations!L67)</f>
        <v/>
      </c>
      <c r="P67" s="780" t="str">
        <f t="shared" si="214"/>
        <v/>
      </c>
      <c r="Q67" s="588" t="str">
        <f>IF(A67=FALSE,"",IF(Crewlist!Y67="","",Crewlist!Y67))</f>
        <v/>
      </c>
      <c r="R67" s="78" t="str">
        <f>IF(Cotations!T67="","",Cotations!T67)</f>
        <v/>
      </c>
      <c r="S67" s="780" t="str">
        <f t="shared" si="215"/>
        <v/>
      </c>
      <c r="T67" s="759" t="str">
        <f>IF(A67=FALSE,"",VLOOKUP($U$15:$U$120,Currency!$A$2:$D$10,4,0)*Crewlist!N67)</f>
        <v/>
      </c>
      <c r="U67" s="1097" t="str">
        <f>IF(A67=FALSE,"",IF(DP67=0,Crewlist!M67&amp;"/"&amp;CP67,Crewlist!M67&amp;"/"&amp;DP67))</f>
        <v/>
      </c>
      <c r="V67" s="759" t="str">
        <f>IF(A67=FALSE,"",VLOOKUP($U$15:$U$120,Currency!$A$2:$D$10,4,0)*Detail!Q67)</f>
        <v/>
      </c>
      <c r="W67" s="1097" t="str">
        <f>IF(A67=FALSE,"",IF(DP67=0,Detail!R67&amp;"/"&amp;CP67,Detail!R67&amp;"/"&amp;DP67))</f>
        <v/>
      </c>
      <c r="X67" s="759" t="str">
        <f>IF(A67=FALSE,"",IF(LISTES!$C$17="Crewlist",Calcul!T67,Calcul!V67))</f>
        <v/>
      </c>
      <c r="Y67" s="618" t="str">
        <f t="shared" si="216"/>
        <v/>
      </c>
      <c r="Z67" s="618" t="str">
        <f>IF(A67=FALSE,"",IF(X67=0,0,IF((Cotations!BA67*12*X67)&lt;50000,50000,(12*X67))))</f>
        <v/>
      </c>
      <c r="AA67" s="618" t="str">
        <f t="shared" si="217"/>
        <v/>
      </c>
      <c r="AB67" s="618" t="str">
        <f>IF(A67=FALSE,"",IF(Crewlist!O67=0,"",Crewlist!O67))</f>
        <v/>
      </c>
      <c r="AC67" s="618" t="str">
        <f>IF(I67="","",VLOOKUP($AB$15:$AB$120,Currency!$A$15:$B$34,2,0))</f>
        <v/>
      </c>
      <c r="AD67" s="618" t="str">
        <f t="shared" si="218"/>
        <v/>
      </c>
      <c r="AE67" s="618" t="str">
        <f t="shared" si="219"/>
        <v/>
      </c>
      <c r="AF67" s="618" t="str">
        <f t="shared" si="220"/>
        <v/>
      </c>
      <c r="AG67" s="618" t="str">
        <f t="shared" si="221"/>
        <v/>
      </c>
      <c r="AH67" s="1097" t="str">
        <f t="shared" si="296"/>
        <v/>
      </c>
      <c r="AI67" s="759" t="str">
        <f t="shared" si="222"/>
        <v/>
      </c>
      <c r="AJ67" s="1120" t="str">
        <f t="shared" si="223"/>
        <v/>
      </c>
      <c r="AK67" s="1120" t="str">
        <f t="shared" si="224"/>
        <v/>
      </c>
      <c r="AL67" s="236" t="str">
        <f t="shared" si="225"/>
        <v/>
      </c>
      <c r="AM67" s="236" t="str">
        <f t="shared" si="226"/>
        <v/>
      </c>
      <c r="AN67" s="1112" t="str">
        <f t="shared" si="227"/>
        <v/>
      </c>
      <c r="AO67" s="236" t="str">
        <f t="shared" si="228"/>
        <v/>
      </c>
      <c r="AP67" s="327" t="str">
        <f>IF(A67=FALSE,"",INDEX(Rates!$Q$1:$Q$278,MATCH(CA67,colchoice,0)))</f>
        <v/>
      </c>
      <c r="AQ67" s="236" t="str">
        <f t="shared" si="229"/>
        <v/>
      </c>
      <c r="AR67" s="236" t="str">
        <f t="shared" si="230"/>
        <v/>
      </c>
      <c r="AS67" s="236" t="str">
        <f t="shared" si="297"/>
        <v/>
      </c>
      <c r="AT67" s="236" t="str">
        <f t="shared" si="298"/>
        <v/>
      </c>
      <c r="AU67" s="236" t="str">
        <f t="shared" si="231"/>
        <v/>
      </c>
      <c r="AV67" s="236" t="str">
        <f t="shared" si="232"/>
        <v/>
      </c>
      <c r="AW67" s="236" t="str">
        <f t="shared" si="233"/>
        <v/>
      </c>
      <c r="AX67" s="236" t="str">
        <f t="shared" si="234"/>
        <v/>
      </c>
      <c r="AY67" s="236" t="str">
        <f t="shared" si="235"/>
        <v/>
      </c>
      <c r="AZ67" s="236" t="str">
        <f t="shared" si="236"/>
        <v/>
      </c>
      <c r="BA67" s="236" t="str">
        <f t="shared" si="237"/>
        <v/>
      </c>
      <c r="BB67" s="467" t="str">
        <f t="shared" si="238"/>
        <v/>
      </c>
      <c r="BC67" s="329" t="str">
        <f t="shared" si="239"/>
        <v/>
      </c>
      <c r="BD67" s="237" t="str">
        <f t="shared" si="240"/>
        <v/>
      </c>
      <c r="BE67" s="237" t="str">
        <f>IF(A67=FALSE,"",IF(ED67&lt;&gt;$BC$7,0,INDEX(EA67:EZ67,1,MATCH(Structure!$J$16,$EA$14:$EZ$14,0))))</f>
        <v/>
      </c>
      <c r="BF67" s="237" t="str">
        <f>IF(A67=FALSE,"",IF(FD67&lt;&gt;$BC$7,0,INDEX(FA67:FZ67,1,MATCH(Structure!$J$16,$FA$14:$FZ$14,0))))</f>
        <v/>
      </c>
      <c r="BG67" s="237" t="str">
        <f>IF(A67=FALSE,"",IF(GD67&lt;&gt;$BC$7,0,INDEX(GA67:GZ67,1,MATCH(Structure!$J$16,$GA$14:$GZ$14,0))))</f>
        <v/>
      </c>
      <c r="BH67" s="237" t="str">
        <f>IF(A67=FALSE,"",IF(HD67&lt;&gt;$BC$7,0,INDEX(HA67:HZ67,1,MATCH(Structure!$J$16,$HA$14:$HZ$14,0))))</f>
        <v/>
      </c>
      <c r="BI67" s="621" t="str">
        <f>IF(A67=FALSE,"",IF(ID67&lt;&gt;$BC$7,0,INDEX(IA67:IZ67,1,MATCH(Structure!$C$12,$IA$14:$IZ$14,0)))+OL67)</f>
        <v/>
      </c>
      <c r="BJ67" s="237" t="str">
        <f>IF(A67=FALSE,"",IF(JD67&lt;&gt;$BC$7,0,INDEX(JA67:JZ67,1,MATCH(Structure!$C$12,$JA$14:$JZ$14,0))))</f>
        <v/>
      </c>
      <c r="BK67" s="621" t="str">
        <f>IF(A67=FALSE,"",IF(KD67&lt;&gt;$BC$7,0,INDEX(KA67:KZ67,1,MATCH(Structure!$C$12,$KA$14:$KZ$14,0)))+PL67)</f>
        <v/>
      </c>
      <c r="BL67" s="237" t="str">
        <f>IF(A67=FALSE,"",IF(LD67&lt;&gt;$BC$7,0,INDEX(LA67:LZ67,1,MATCH(Structure!$C$12,$LA$14:$LZ$14,0))))</f>
        <v/>
      </c>
      <c r="BM67" s="237" t="str">
        <f>IF(A67=FALSE,"",IF(MD67&lt;&gt;$BC$7,0,INDEX(MA67:MZ67,1,MATCH(Structure!$C$12,$MA$14:$MZ$14,0))))</f>
        <v/>
      </c>
      <c r="BN67" s="326" t="str">
        <f>IF(A67=FALSE,"",IF(ND67&lt;&gt;$BC$7,0,INDEX(NA67:OC67,1,MATCH(Structure!$C$12,$NA$14:$OC$14,0))))</f>
        <v/>
      </c>
      <c r="BO67" s="435" t="str">
        <f t="shared" si="241"/>
        <v/>
      </c>
      <c r="BP67" s="237" t="str">
        <f t="shared" si="242"/>
        <v/>
      </c>
      <c r="BQ67" s="237" t="str">
        <f>IF(A67=FALSE,"",IF(ED67&lt;&gt;$BO$7,0,INDEX(EA67:EZ67,1,MATCH(Structure!$C$12,$EA$14:$EZ$14,0))))</f>
        <v/>
      </c>
      <c r="BR67" s="237" t="str">
        <f>IF(A67=FALSE,"",IF(FD67&lt;&gt;$BO$7,0,INDEX(FA67:FZ67,1,MATCH(Structure!$C$12,$FA$14:$FZ$14,0))))</f>
        <v/>
      </c>
      <c r="BS67" s="237" t="str">
        <f>IF(A67=FALSE,"",IF(ID67&lt;&gt;$BO$7,0,INDEX(IA67:IZ67,1,MATCH(Structure!$C$13,$IA$14:$IZ$14,0))))</f>
        <v/>
      </c>
      <c r="BT67" s="237" t="str">
        <f>IF(A67=FALSE,"",IF(JD67&lt;&gt;$BO$7,0,INDEX(JA67:JZ67,1,MATCH(Structure!$C$13,$JA$14:$JZ$14,0))))</f>
        <v/>
      </c>
      <c r="BU67" s="237" t="str">
        <f>IF(A67=FALSE,"",IF(KD67&lt;&gt;$BO$7,0,INDEX(KA67:KZ67,1,MATCH(Structure!$C$13,$KA$14:$KZ$14,0))))</f>
        <v/>
      </c>
      <c r="BV67" s="237" t="str">
        <f>IF(A67=FALSE,"",IF(LD67&lt;&gt;$BO$7,0,INDEX(LA67:LZ67,1,MATCH(Structure!$C$13,$LA$14:$LZ$14,0))))</f>
        <v/>
      </c>
      <c r="BW67" s="237" t="str">
        <f>IF(A67=FALSE,"",IF(MD67&lt;&gt;$BO$7,0,INDEX(MA67:MZ67,1,MATCH(Structure!$C$13,$MA$14:$MZ$14,0))))</f>
        <v/>
      </c>
      <c r="BX67" s="326" t="str">
        <f>IF(A67=FALSE,"",IF(ND67&lt;&gt;$BO$7,0,INDEX(NA67:OC67,1,MATCH(Structure!$C$13,$NA$14:$OC$14,0))))</f>
        <v/>
      </c>
      <c r="BY67" s="412"/>
      <c r="BZ67" s="412"/>
      <c r="CA67" s="1255" t="str">
        <f>IF(A67=FALSE,"",IF(LISTES!$A$17=1,Cotations!AG67,Cotations!AH67))</f>
        <v/>
      </c>
      <c r="CB67" s="1266" t="str">
        <f t="shared" si="243"/>
        <v/>
      </c>
      <c r="CC67" s="1120" t="str">
        <f t="shared" si="244"/>
        <v/>
      </c>
      <c r="CD67" s="1120" t="str">
        <f t="shared" si="245"/>
        <v/>
      </c>
      <c r="CE67" s="1120" t="str">
        <f t="shared" si="246"/>
        <v/>
      </c>
      <c r="CF67" s="1120" t="str">
        <f t="shared" si="247"/>
        <v/>
      </c>
      <c r="CG67" s="1267"/>
      <c r="CH67" s="1267"/>
      <c r="CI67" s="1268" t="str">
        <f t="shared" si="248"/>
        <v/>
      </c>
      <c r="CJ67" s="286" t="str">
        <f t="shared" si="249"/>
        <v/>
      </c>
      <c r="CK67" s="286" t="str">
        <f t="shared" si="250"/>
        <v/>
      </c>
      <c r="CL67" s="1263"/>
      <c r="CM67" s="1263"/>
      <c r="CN67" s="1263"/>
      <c r="CO67" s="1263"/>
      <c r="CP67" s="319" t="str">
        <f t="shared" si="251"/>
        <v/>
      </c>
      <c r="CQ67" s="443" t="str">
        <f>IF(A67=FALSE,"",Cotations!AM67)</f>
        <v/>
      </c>
      <c r="CR67" s="443" t="str">
        <f>IF(A67=FALSE,"",IF(Cotations!AN67="","",Cotations!AN67))</f>
        <v/>
      </c>
      <c r="CS67" s="433" t="str">
        <f>IF(A67=FALSE,"",Cotations!AO67)</f>
        <v/>
      </c>
      <c r="CT67" s="443" t="str">
        <f>IF(A67=FALSE,"",IF(CQ67="N/A",0,IF(INDEX(LISTES!$F$105:$F$109,MATCH(CQ67,LISTES!$C$105:$C$109,0))="FIX",IF(INDEX(LISTES!$E$105:$E$109,MATCH(CQ67,LISTES!$C$105:$C$109,0))=12,CR67/12*L67,CR67/365*M67),CS67*EQ67)))</f>
        <v/>
      </c>
      <c r="CU67" s="434" t="str">
        <f>IF(A67=FALSE,"",(CJ67+CK67)*Cotations!AP67)</f>
        <v/>
      </c>
      <c r="CV67" s="434" t="str">
        <f>IF(A67=FALSE,"",(CJ67+CK67)*Cotations!AQ67)</f>
        <v/>
      </c>
      <c r="DA67" s="1253" t="str">
        <f>IF(A67=FALSE,"",IF(LISTES!$A$17=1,Cotations!AV67,Cotations!AW67))</f>
        <v/>
      </c>
      <c r="DB67" s="1271" t="str">
        <f t="shared" si="252"/>
        <v/>
      </c>
      <c r="DC67" s="1270" t="str">
        <f t="shared" si="253"/>
        <v/>
      </c>
      <c r="DD67" s="1270" t="str">
        <f t="shared" si="254"/>
        <v/>
      </c>
      <c r="DE67" s="1270" t="str">
        <f t="shared" si="255"/>
        <v/>
      </c>
      <c r="DF67" s="1270" t="str">
        <f t="shared" si="256"/>
        <v/>
      </c>
      <c r="DG67" s="1270" t="str">
        <f t="shared" si="257"/>
        <v/>
      </c>
      <c r="DH67" s="1270" t="str">
        <f t="shared" si="258"/>
        <v/>
      </c>
      <c r="DI67" s="1271" t="str">
        <f t="shared" si="259"/>
        <v/>
      </c>
      <c r="DJ67" s="286" t="str">
        <f t="shared" si="260"/>
        <v/>
      </c>
      <c r="DK67" s="286" t="str">
        <f t="shared" si="261"/>
        <v/>
      </c>
      <c r="DL67" s="1264" t="str">
        <f t="shared" si="262"/>
        <v/>
      </c>
      <c r="DM67" s="1264" t="str">
        <f t="shared" si="263"/>
        <v/>
      </c>
      <c r="DN67" s="1264" t="str">
        <f t="shared" si="264"/>
        <v/>
      </c>
      <c r="DO67" s="1264" t="str">
        <f t="shared" si="265"/>
        <v/>
      </c>
      <c r="DP67" s="323" t="str">
        <f t="shared" si="299"/>
        <v/>
      </c>
      <c r="DQ67" s="444" t="str">
        <f>IF(A67=FALSE,"",Cotations!BW67)</f>
        <v/>
      </c>
      <c r="DR67" s="444" t="str">
        <f>IF(A67=FALSE,"",Cotations!BX67)</f>
        <v/>
      </c>
      <c r="DS67" s="433" t="str">
        <f>IF(A67=FALSE,"",Cotations!BY67)</f>
        <v/>
      </c>
      <c r="DT67" s="830" t="str">
        <f>IF(A67=FALSE,"",IF(DQ67="N/A",0,IF(INDEX(LISTES!$F$105:$F$109,MATCH(DQ67,LISTES!$C$105:$C$109,0))="FIX",IF(INDEX(LISTES!$E$105:$E$109,MATCH(DQ67,LISTES!$C$105:$C$109,0))=12,DR67/12*L67,DR67/365*M67),DS67*(DN67+DO67))))</f>
        <v/>
      </c>
      <c r="DU67" s="434" t="str">
        <f>IF(A67=FALSE,"",DJ67*Cotations!BZ67)</f>
        <v/>
      </c>
      <c r="DV67" s="434" t="str">
        <f>IF(A67=FALSE,"",DJ67*Cotations!CA67)</f>
        <v/>
      </c>
      <c r="EA67" s="432" t="str">
        <f>IF(A67=FALSE,"",Cotations!AT67)</f>
        <v/>
      </c>
      <c r="EB67" s="1234" t="str">
        <f>IF(A67=FALSE,"",YEAR(Detail!F67)&amp;Detail!AG67&amp;Detail!AD67&amp;"-"&amp;Detail!$AD$13&amp;Detail!AE67)</f>
        <v/>
      </c>
      <c r="EC67" s="434" t="str">
        <f>IF(A67=FALSE,"",IF(LISTES!$A$17=1,EB67,INDEX(colMOD1,MATCH(Cotations!AH67,colchoice,0))))</f>
        <v/>
      </c>
      <c r="ED67" s="277" t="str">
        <f t="shared" si="300"/>
        <v/>
      </c>
      <c r="EE67" s="277" t="str">
        <f t="shared" si="301"/>
        <v/>
      </c>
      <c r="EF67" s="277"/>
      <c r="EG67" s="277"/>
      <c r="EH67" s="277" t="str">
        <f t="shared" si="302"/>
        <v/>
      </c>
      <c r="EI67" s="1104" t="str">
        <f t="shared" si="303"/>
        <v/>
      </c>
      <c r="EJ67" s="1104" t="str">
        <f t="shared" si="304"/>
        <v/>
      </c>
      <c r="EK67" s="443" t="str">
        <f>IF(A67=FALSE,"",IF(Cotations!AF67="monthly",EH67/12*L67,EH67/365*M67))</f>
        <v/>
      </c>
      <c r="EL67" s="1103" t="str">
        <f>IF(A67=FALSE,"",IF(Cotations!AF67="monthly",EJ67/12*L67,EJ67/365*M67))</f>
        <v/>
      </c>
      <c r="EM67" s="433" t="str">
        <f>IF(A67=FALSE,"",IF(Cotations!AI67="","",Cotations!AI67))</f>
        <v/>
      </c>
      <c r="EN67" s="277" t="str">
        <f t="shared" si="305"/>
        <v/>
      </c>
      <c r="EO67" s="277" t="str">
        <f t="shared" si="306"/>
        <v/>
      </c>
      <c r="EP67" s="1104" t="str">
        <f t="shared" si="307"/>
        <v/>
      </c>
      <c r="EQ67" s="277" t="str">
        <f t="shared" si="308"/>
        <v/>
      </c>
      <c r="ER67" s="759" t="str">
        <f>IF(A67=FALSE,"",((EH67*TAXE)-(EH67*TAXE*EM67)+EI67)+IF(CQ67="N/A",0,IF(INDEX(LISTES!$F$105:$F$109,MATCH(CQ67,LISTES!$C$105:$C$109,0))="FIX",CR67,CS67*EQ67)))</f>
        <v/>
      </c>
      <c r="ET67" s="422"/>
      <c r="EU67" s="422"/>
      <c r="EV67" s="422"/>
      <c r="EW67" s="422"/>
      <c r="EX67" s="422"/>
      <c r="EY67" s="422"/>
      <c r="EZ67" s="422"/>
      <c r="FA67" s="432" t="str">
        <f>IF(A67=FALSE,"",Cotations!AT67)</f>
        <v/>
      </c>
      <c r="FB67" s="1235" t="str">
        <f>IF(A67=FALSE,"",IF(Detail!AL67="","N/A",YEAR(Detail!F67)&amp;Detail!AO67&amp;Detail!AL67&amp;"-"&amp;Detail!$AL$13&amp;Detail!AM67))</f>
        <v/>
      </c>
      <c r="FC67" s="434" t="str">
        <f>IF(A67=FALSE,"",IF(LISTES!$A$17=1,FB67,INDEX(colMOD2,MATCH(Cotations!AH67,colchoice,0))))</f>
        <v/>
      </c>
      <c r="FD67" s="277" t="str">
        <f t="shared" si="309"/>
        <v/>
      </c>
      <c r="FE67" s="443" t="str">
        <f>IF(A67=FALSE,"",IF(Detail!AM67="","",Detail!AM67))</f>
        <v/>
      </c>
      <c r="FF67" s="277"/>
      <c r="FG67" s="277"/>
      <c r="FH67" s="277" t="str">
        <f t="shared" si="310"/>
        <v/>
      </c>
      <c r="FI67" s="1104"/>
      <c r="FJ67" s="1104"/>
      <c r="FK67" s="443" t="str">
        <f>IF(A67=FALSE,"",IF(Cotations!AF67="monthly",FH67/12*L67,FH67/365*M67))</f>
        <v/>
      </c>
      <c r="FL67" s="1103" t="str">
        <f>IF(A67=FALSE,"",IF(Cotations!AF67="monthly",FJ67/12*L67,FJ67/365*M67))</f>
        <v/>
      </c>
      <c r="FM67" s="433" t="str">
        <f>IF(A67=FALSE,"",IF(Cotations!AJ67="","",Cotations!AJ67))</f>
        <v/>
      </c>
      <c r="FN67" s="277" t="str">
        <f t="shared" si="268"/>
        <v/>
      </c>
      <c r="FO67" s="277" t="str">
        <f t="shared" si="269"/>
        <v/>
      </c>
      <c r="FP67" s="1104"/>
      <c r="FQ67" s="277" t="str">
        <f t="shared" si="270"/>
        <v/>
      </c>
      <c r="FR67" s="759" t="str">
        <f>IF(A67=FALSE,"",((FH67*TAXE)-(FH67*TAXE*FM67))+IF(#REF!="N/A",0,IF(INDEX(LISTES!$F$105:$F$109,MATCH(#REF!,LISTES!$C$105:$C$109,0))="FIX",#REF!,#REF!*FQ67)))</f>
        <v/>
      </c>
      <c r="FS67" s="422"/>
      <c r="FT67" s="422"/>
      <c r="FU67" s="422"/>
      <c r="FV67" s="422"/>
      <c r="FW67" s="422"/>
      <c r="FX67" s="422"/>
      <c r="FY67" s="422"/>
      <c r="FZ67" s="422"/>
      <c r="GA67" s="432" t="str">
        <f t="shared" si="311"/>
        <v/>
      </c>
      <c r="GB67" s="1234" t="str">
        <f>IF(A67=FALSE,"",IF(Detail!DF67="","N/A",YEAR(Detail!F67)&amp;Detail!DI67&amp;Detail!DF67&amp;"-"&amp;Detail!$DF$13))</f>
        <v/>
      </c>
      <c r="GC67" s="434" t="str">
        <f>IF(A67=FALSE,"",IF(LISTES!$A$17=1,GB67,INDEX(colMOD3,MATCH(Cotations!AH67,colchoice,0))))</f>
        <v/>
      </c>
      <c r="GD67" s="277" t="str">
        <f t="shared" si="312"/>
        <v/>
      </c>
      <c r="GE67" s="277" t="str">
        <f t="shared" si="313"/>
        <v/>
      </c>
      <c r="GF67" s="277"/>
      <c r="GG67" s="277"/>
      <c r="GH67" s="277" t="str">
        <f t="shared" si="271"/>
        <v/>
      </c>
      <c r="GI67" s="1104" t="str">
        <f t="shared" si="272"/>
        <v/>
      </c>
      <c r="GJ67" s="1104" t="str">
        <f t="shared" si="273"/>
        <v/>
      </c>
      <c r="GK67" s="443" t="str">
        <f>IF(A67=FALSE,"",IF(Cotations!AF67="monthly",GH67/12*L67,GH67/365*M67))</f>
        <v/>
      </c>
      <c r="GL67" s="1103" t="str">
        <f>IF(A67=FALSE,"",IF(Cotations!AF67="monthly",GJ67/12*L67,GJ67/365*M67))</f>
        <v/>
      </c>
      <c r="GM67" s="433" t="str">
        <f>IF(A67=FALSE,"",IF(Cotations!AK67="","",Cotations!AK67))</f>
        <v/>
      </c>
      <c r="GN67" s="277" t="str">
        <f t="shared" si="274"/>
        <v/>
      </c>
      <c r="GO67" s="277" t="str">
        <f t="shared" si="275"/>
        <v/>
      </c>
      <c r="GP67" s="1104" t="str">
        <f t="shared" si="276"/>
        <v/>
      </c>
      <c r="GQ67" s="277" t="str">
        <f t="shared" si="277"/>
        <v/>
      </c>
      <c r="GR67" s="759" t="str">
        <f>IF(A67=FALSE,"",((GH67*TAXE)-(GH67*TAXE*GM67)+GI67)+IF(CQ67="N/A",0,IF(INDEX(LISTES!$F$105:$F$109,MATCH(CQ67,LISTES!$C$105:$C$109,0))="FIX",CR67,CS67*GQ67)))</f>
        <v/>
      </c>
      <c r="GS67" s="412"/>
      <c r="GT67" s="412"/>
      <c r="GU67" s="412"/>
      <c r="GV67" s="412"/>
      <c r="GW67" s="412"/>
      <c r="GX67" s="412"/>
      <c r="GY67" s="412"/>
      <c r="GZ67" s="412"/>
      <c r="HA67" s="432" t="str">
        <f t="shared" si="314"/>
        <v/>
      </c>
      <c r="HB67" s="1234" t="str">
        <f>IF(A67=FALSE,"",IF(Detail!DF67="","N/A",YEAR(Detail!F67)&amp;Detail!DI67&amp;Detail!DF67&amp;"-"&amp;Detail!$DF$13))</f>
        <v/>
      </c>
      <c r="HC67" s="434" t="str">
        <f>IF(A67=FALSE,"",IF(LISTES!$A$17=1,HB67,INDEX(colMOD4,MATCH(Cotations!AH67,colchoice,0))))</f>
        <v/>
      </c>
      <c r="HD67" s="277" t="str">
        <f t="shared" si="278"/>
        <v/>
      </c>
      <c r="HE67" s="277" t="str">
        <f t="shared" si="279"/>
        <v/>
      </c>
      <c r="HF67" s="277"/>
      <c r="HG67" s="277"/>
      <c r="HH67" s="277" t="str">
        <f t="shared" si="280"/>
        <v/>
      </c>
      <c r="HI67" s="1104" t="str">
        <f t="shared" si="281"/>
        <v/>
      </c>
      <c r="HJ67" s="1104" t="str">
        <f t="shared" si="282"/>
        <v/>
      </c>
      <c r="HK67" s="443" t="str">
        <f>IF(A67=FALSE,"",IF(Cotations!AF67="monthly",HH67/12*L67,HH67/365*M67))</f>
        <v/>
      </c>
      <c r="HL67" s="1103" t="str">
        <f>IF(A67=FALSE,"",IF(Cotations!AF67="monthly",HJ67/12*L67,HJ67/365*M67))</f>
        <v/>
      </c>
      <c r="HM67" s="433" t="str">
        <f>IF(A67=FALSE,"",IF(Cotations!AL67="","",Cotations!AL67))</f>
        <v/>
      </c>
      <c r="HN67" s="277" t="str">
        <f t="shared" si="283"/>
        <v/>
      </c>
      <c r="HO67" s="277" t="str">
        <f t="shared" si="284"/>
        <v/>
      </c>
      <c r="HP67" s="1104" t="str">
        <f t="shared" si="285"/>
        <v/>
      </c>
      <c r="HQ67" s="277" t="str">
        <f t="shared" si="286"/>
        <v/>
      </c>
      <c r="HR67" s="759" t="str">
        <f>IF(A67=FALSE,"",((HH67*TAXE)-(HH67*TAXE*HM67)+HI67)+IF(CQ67="N/A",0,IF(INDEX(LISTES!$F$105:$F$109,MATCH(CQ67,LISTES!$C$105:$C$109,0))="FIX",CR67,CS67*HQ67)))</f>
        <v/>
      </c>
      <c r="HS67" s="412"/>
      <c r="HT67" s="412"/>
      <c r="HU67" s="412"/>
      <c r="HV67" s="412"/>
      <c r="HW67" s="412"/>
      <c r="HX67" s="412"/>
      <c r="HY67" s="412"/>
      <c r="HZ67" s="1262"/>
      <c r="IA67" s="432" t="str">
        <f>IF(A67=FALSE,"",Cotations!AT67)</f>
        <v/>
      </c>
      <c r="IB67" s="1253" t="str">
        <f>IF(A67=FALSE,"",IF(Detail!AT67="","N/A",YEAR(Detail!F67)&amp;Detail!AW67&amp;Detail!AT67&amp;"-"&amp;Detail!$AT$13&amp;Detail!AU67))</f>
        <v/>
      </c>
      <c r="IC67" s="431" t="str">
        <f>IF(A67=FALSE,"",IF(LISTES!$A$17=1,IB67,INDEX(colMOD1,MATCH(DA67,colchoice,0))))</f>
        <v/>
      </c>
      <c r="ID67" s="759" t="str">
        <f t="shared" si="358"/>
        <v/>
      </c>
      <c r="IE67" s="292" t="str">
        <f>IF(A67=FALSE,"",IF(LISTES!$A$17=1,Detail!AU67,INDEX(Rates!$M$1:$M$270,MATCH(IC67,colMOD1,0))))</f>
        <v/>
      </c>
      <c r="IF67" s="409" t="str">
        <f t="shared" si="359"/>
        <v/>
      </c>
      <c r="IG67" s="430" t="str">
        <f>IF(A67=FALSE,"",IF(IA67="POEA",Cotations!AY67,IF(IA67="FIXE",Cotations!AZ67,IF(Cotations!BA67*Y67&lt;50000,Z67,Cotations!BA67*Y67))))</f>
        <v/>
      </c>
      <c r="IH67" s="292" t="str">
        <f t="shared" si="360"/>
        <v/>
      </c>
      <c r="II67" s="446" t="str">
        <f>IF(A67=FALSE,"",IF(Cotations!AU67="monthly",IH67/12*L67,IH67/365*M67))</f>
        <v/>
      </c>
      <c r="IJ67" s="429" t="str">
        <f>IF(A67=FALSE,"",IF(Cotations!BB67="","",Cotations!BB67))</f>
        <v/>
      </c>
      <c r="IK67" s="292" t="str">
        <f t="shared" si="361"/>
        <v/>
      </c>
      <c r="IL67" s="292" t="str">
        <f t="shared" si="362"/>
        <v/>
      </c>
      <c r="IM67" s="759" t="str">
        <f t="shared" si="363"/>
        <v/>
      </c>
      <c r="IN67" s="759" t="str">
        <f>IF(A67=FALSE,"",((IH67*TAXE)-(IH67*TAXE*IJ67))+IF(DQ67="N/A",0,IF(INDEX(LISTES!$F$105:$F$109,MATCH(DQ67,LISTES!$C$105:$C$109,0))="FIX",DR67,DS67*IM67)))</f>
        <v/>
      </c>
      <c r="JA67" s="432" t="str">
        <f>IF(A67=FALSE,"",Cotations!AT67)</f>
        <v/>
      </c>
      <c r="JB67" s="1234" t="str">
        <f>IF(A67=FALSE,"",IF(Detail!BB67="","N/A",YEAR(Detail!F67)&amp;Detail!BE67&amp;Detail!BB67&amp;"-"&amp;Detail!$BB$13&amp;Detail!BC67))</f>
        <v/>
      </c>
      <c r="JC67" s="431" t="str">
        <f>IF(A67=FALSE,"",IF(LISTES!$A$17=1,JB67,INDEX(colMOD2,MATCH(DA67,colchoice,0))))</f>
        <v/>
      </c>
      <c r="JD67" s="759" t="str">
        <f t="shared" si="321"/>
        <v/>
      </c>
      <c r="JE67" s="292"/>
      <c r="JF67" s="409" t="str">
        <f t="shared" si="322"/>
        <v/>
      </c>
      <c r="JG67" s="430" t="str">
        <f>IF(A67=FALSE,"",IF(JA67="POEA",Cotations!BC67,IF(JA67="FIXE",Cotations!BD67,IF(Cotations!BE67*Y67&lt;50000,Z67,Cotations!BE67*Y67))))</f>
        <v/>
      </c>
      <c r="JH67" s="292" t="str">
        <f t="shared" si="323"/>
        <v/>
      </c>
      <c r="JI67" s="446" t="str">
        <f>IF(A67=FALSE,"",IF(Cotations!AU67="monthly",JH67/12*L67,JH67/365*M67))</f>
        <v/>
      </c>
      <c r="JJ67" s="429" t="str">
        <f>IF(A67=FALSE,"",IF(Cotations!BF67="","",Cotations!BF67))</f>
        <v/>
      </c>
      <c r="JK67" s="292" t="str">
        <f t="shared" si="324"/>
        <v/>
      </c>
      <c r="JL67" s="292" t="str">
        <f t="shared" si="325"/>
        <v/>
      </c>
      <c r="JM67" s="759" t="str">
        <f t="shared" si="326"/>
        <v/>
      </c>
      <c r="JN67" s="759" t="str">
        <f>IF(A67=FALSE,"",((JH67*TAXE)-(JH67*TAXE*JJ67))+IF(#REF!="N/A",0,IF(INDEX(LISTES!$F$105:$F$109,MATCH(#REF!,LISTES!$C$105:$C$109,0))="FIX",#REF!,#REF!*JM67)))</f>
        <v/>
      </c>
      <c r="KA67" s="432" t="str">
        <f>IF(A67=FALSE,"",Cotations!AT67)</f>
        <v/>
      </c>
      <c r="KB67" s="1234" t="str">
        <f>IF(A67=FALSE,"",IF(Detail!BJ67="","N/A",YEAR(Detail!F67)&amp;Detail!BM67&amp;Detail!BJ67&amp;"-"&amp;Detail!$BJ$13&amp;Detail!BK67))</f>
        <v/>
      </c>
      <c r="KC67" s="431" t="str">
        <f>IF(A67=FALSE,"",IF(LISTES!$A$17=1,KB67,INDEX(colMOD3,MATCH(DA67,colchoice,0))))</f>
        <v/>
      </c>
      <c r="KD67" s="759" t="str">
        <f t="shared" si="327"/>
        <v/>
      </c>
      <c r="KE67" s="292"/>
      <c r="KF67" s="409" t="str">
        <f t="shared" si="328"/>
        <v/>
      </c>
      <c r="KG67" s="430" t="str">
        <f>IF(A67=FALSE,"",IF(KA67="POEA",Cotations!BG67,IF(KA67="FIXE",Cotations!BH67,IF(Cotations!BI67*Y67&lt;50000,Z67,Cotations!BI67*Y67))))</f>
        <v/>
      </c>
      <c r="KH67" s="292" t="str">
        <f t="shared" si="329"/>
        <v/>
      </c>
      <c r="KI67" s="446" t="str">
        <f>IF(A67=FALSE,"",IF(Cotations!AU67="monthly",KH67/12*L67,KH67/365*M67))</f>
        <v/>
      </c>
      <c r="KJ67" s="429" t="str">
        <f>IF(A67=FALSE,"",IF(Cotations!BJ67="","",Cotations!BJ67))</f>
        <v/>
      </c>
      <c r="KK67" s="292" t="str">
        <f t="shared" si="330"/>
        <v/>
      </c>
      <c r="KL67" s="292" t="str">
        <f t="shared" si="331"/>
        <v/>
      </c>
      <c r="KM67" s="759" t="str">
        <f t="shared" si="332"/>
        <v/>
      </c>
      <c r="KN67" s="759" t="str">
        <f>IF(A67=FALSE,"",((KH67*TAXE)-(KH67*TAXE*KJ67))+IF(#REF!="N/A",0,IF(INDEX(LISTES!$F$105:$F$109,MATCH(#REF!,LISTES!$C$105:$C$109,0))="FIX",#REF!,#REF!*KM67)))</f>
        <v/>
      </c>
      <c r="LA67" s="432" t="str">
        <f>IF(A67=FALSE,"",Cotations!AT67)</f>
        <v/>
      </c>
      <c r="LB67" s="1234" t="str">
        <f>IF(A67=FALSE,"",IF(Detail!BR67="","N/A",YEAR(Detail!F67)&amp;Detail!BU67&amp;Detail!BR67&amp;"-"&amp;Detail!$BR$13&amp;Detail!BS67))</f>
        <v/>
      </c>
      <c r="LC67" s="431" t="str">
        <f>IF(A67=FALSE,"",IF(LISTES!$A$17=1,LB67,INDEX(colMOD4,MATCH(DA67,colchoice,0))))</f>
        <v/>
      </c>
      <c r="LD67" s="759" t="str">
        <f t="shared" si="333"/>
        <v/>
      </c>
      <c r="LE67" s="292"/>
      <c r="LF67" s="409" t="str">
        <f t="shared" si="334"/>
        <v/>
      </c>
      <c r="LG67" s="430" t="str">
        <f>IF(A67=FALSE,"",IF(LA67="POEA",Cotations!BK67,IF(LA67="FIXE",Cotations!BL67,IF(Cotations!BM67*Y67&lt;50000,Z67,Cotations!BM67*Y67))))</f>
        <v/>
      </c>
      <c r="LH67" s="292" t="str">
        <f t="shared" si="335"/>
        <v/>
      </c>
      <c r="LI67" s="446" t="str">
        <f>IF(A67=FALSE,"",IF(Cotations!AU67="monthly",LH67/12*L67,LH67/365*M67))</f>
        <v/>
      </c>
      <c r="LJ67" s="429" t="str">
        <f>IF(A67=FALSE,"",IF(Cotations!BN67="","",Cotations!BN67))</f>
        <v/>
      </c>
      <c r="LK67" s="292" t="str">
        <f t="shared" si="336"/>
        <v/>
      </c>
      <c r="LL67" s="292" t="str">
        <f t="shared" si="337"/>
        <v/>
      </c>
      <c r="LM67" s="759" t="str">
        <f t="shared" si="338"/>
        <v/>
      </c>
      <c r="LN67" s="759" t="str">
        <f>IF(A67=FALSE,"",((LH67*TAXE)-(LH67*TAXE*LJ67))+IF(#REF!="N/A",0,IF(INDEX(LISTES!$F$105:$F$109,MATCH(#REF!,LISTES!$C$105:$C$109,0))="FIX",#REF!,#REF!*LM67)))</f>
        <v/>
      </c>
      <c r="MA67" s="432" t="str">
        <f t="shared" si="339"/>
        <v/>
      </c>
      <c r="MB67" s="1234" t="str">
        <f>IF(A67=FALSE,"",IF(Detail!BZ67="","N/A",YEAR(Detail!F67)&amp;Detail!CC67&amp;Detail!BZ67&amp;"-"&amp;Detail!$BZ$13&amp;" (100%/"&amp;Detail!CD67&amp;"/"&amp;Detail!CE67&amp;")"))</f>
        <v/>
      </c>
      <c r="MC67" s="431" t="str">
        <f>IF(A67=FALSE,"",IF(LISTES!$A$17=1,MB67,INDEX(colMOD5,MATCH(DA67,colchoice,0))))</f>
        <v/>
      </c>
      <c r="MD67" s="759" t="str">
        <f t="shared" si="340"/>
        <v/>
      </c>
      <c r="ME67" s="292"/>
      <c r="MF67" s="409" t="str">
        <f t="shared" si="341"/>
        <v/>
      </c>
      <c r="MG67" s="430" t="str">
        <f>IF(A67=FALSE,"",Cotations!BQ67*AA67)</f>
        <v/>
      </c>
      <c r="MH67" s="292" t="str">
        <f t="shared" si="342"/>
        <v/>
      </c>
      <c r="MI67" s="446" t="str">
        <f>IF(A67=FALSE,"",IF(Cotations!AU67="monthly",MH67/12*L67,MH67/365*M67))</f>
        <v/>
      </c>
      <c r="MJ67" s="429" t="str">
        <f>IF(A67=FALSE,"",IF(Cotations!BR67="","",Cotations!BR67))</f>
        <v/>
      </c>
      <c r="MK67" s="292" t="str">
        <f t="shared" si="343"/>
        <v/>
      </c>
      <c r="ML67" s="292" t="str">
        <f t="shared" si="344"/>
        <v/>
      </c>
      <c r="MM67" s="759" t="str">
        <f t="shared" si="345"/>
        <v/>
      </c>
      <c r="MN67" s="759" t="str">
        <f>IF(A67=FALSE,"",((MH67*TAXE)-(MH67*TAXE*MJ67))+IF(#REF!="N/A",0,IF(INDEX(LISTES!$F$105:$F$109,MATCH(#REF!,LISTES!$C$105:$C$109,0))="FIX",#REF!,#REF!*MM67)))</f>
        <v/>
      </c>
      <c r="NA67" s="432" t="str">
        <f t="shared" si="346"/>
        <v/>
      </c>
      <c r="NB67" s="1234" t="str">
        <f>IF(A67=FALSE,"",IF(Detail!CH67="","N/A",YEAR(Detail!F67)&amp;Detail!CK67&amp;Detail!CH67&amp;"-"&amp;Detail!$CH$13&amp;" (100%/"&amp;Detail!CL67&amp;"/"&amp;Detail!CM67&amp;")"))</f>
        <v/>
      </c>
      <c r="NC67" s="431" t="str">
        <f>IF(A67=FALSE,"",IF(LISTES!$A$17=1,NB67,INDEX(colMOD6,MATCH(DA67,colchoice,0))))</f>
        <v/>
      </c>
      <c r="ND67" s="759" t="str">
        <f t="shared" si="347"/>
        <v/>
      </c>
      <c r="NE67" s="292"/>
      <c r="NF67" s="409" t="str">
        <f t="shared" si="348"/>
        <v/>
      </c>
      <c r="NG67" s="430" t="str">
        <f>IF(A67=FALSE,"",Cotations!BU67*AA67)</f>
        <v/>
      </c>
      <c r="NH67" s="292" t="str">
        <f t="shared" si="349"/>
        <v/>
      </c>
      <c r="NI67" s="446" t="str">
        <f>IF(A67=FALSE,"",IF(Cotations!AU67="monthly",NH67/12*L67,NH67/365*M67))</f>
        <v/>
      </c>
      <c r="NJ67" s="429" t="str">
        <f>IF(A67=FALSE,"",IF(Cotations!BV67="","",Cotations!BV67))</f>
        <v/>
      </c>
      <c r="NK67" s="292" t="str">
        <f t="shared" si="350"/>
        <v/>
      </c>
      <c r="NL67" s="292" t="str">
        <f t="shared" si="351"/>
        <v/>
      </c>
      <c r="NM67" s="759" t="str">
        <f t="shared" si="352"/>
        <v/>
      </c>
      <c r="NN67" s="759" t="str">
        <f>IF(A67=FALSE,"",((NH67*TAXE)-(NH67*TAXE*NJ67))+IF(#REF!="N/A",0,IF(INDEX(LISTES!$F$105:$F$109,MATCH(#REF!,LISTES!$C$105:$C$109,0))="FIX",#REF!,#REF!*NM67)))</f>
        <v/>
      </c>
      <c r="NZ67" s="1281" t="str">
        <f>IF(A67=FALSE,"",IF(Detail!CP67="","N/A",YEAR(Detail!F67)&amp;Detail!CS67&amp;Detail!CP67&amp;"-"&amp;Detail!CQ67))</f>
        <v/>
      </c>
      <c r="OA67" s="432" t="str">
        <f>IF(A67=FALSE,"",Cotations!CF67)</f>
        <v/>
      </c>
      <c r="OB67" s="1282" t="str">
        <f>IF(A67=FALSE,"",IF(Detail!CP67="","N/A",YEAR(Detail!F67)&amp;Detail!CS67&amp;Detail!CP67&amp;"-"&amp;Detail!$CP$13&amp;Detail!CQ67))</f>
        <v/>
      </c>
      <c r="OC67" s="1283" t="str">
        <f>IF(A67=FALSE,"",IF(LISTES!$A$17=1,OB67,INDEX(colMOD1,MATCH(Cotations!CE67,colchoice,0))))</f>
        <v/>
      </c>
      <c r="OD67" s="759" t="str">
        <f t="shared" si="353"/>
        <v/>
      </c>
      <c r="OE67" s="292" t="str">
        <f>IF(A67=FALSE,"",Detail!CQ67)</f>
        <v/>
      </c>
      <c r="OF67" s="409" t="str">
        <f t="shared" si="354"/>
        <v/>
      </c>
      <c r="OG67" s="430" t="str">
        <f>IF(A67=FALSE,"",IF(OA67="FIXE",Cotations!CM67,Cotations!CN67*AA67))</f>
        <v/>
      </c>
      <c r="OH67" s="292" t="str">
        <f t="shared" si="288"/>
        <v/>
      </c>
      <c r="OI67" s="446" t="str">
        <f>IF(A67=FALSE,"",IF(Cotations!CF67="monthly",OH67/12*L67,OH67/365*M67))</f>
        <v/>
      </c>
      <c r="OJ67" s="429" t="str">
        <f>IF(A67=FALSE,"",IF(Cotations!CO67="","",Cotations!CO67))</f>
        <v/>
      </c>
      <c r="OK67" s="292" t="str">
        <f t="shared" si="289"/>
        <v/>
      </c>
      <c r="OL67" s="292" t="str">
        <f t="shared" si="290"/>
        <v/>
      </c>
      <c r="OM67" s="759" t="str">
        <f t="shared" si="355"/>
        <v/>
      </c>
      <c r="ON67" s="759" t="str">
        <f>IF(A67=FALSE,"",((OH67*(1+TAXE)-(OH67*(1+TAXE)*OJ67))+IF(#REF!="N/A",0,IF(INDEX(LISTES!$F$105:$F$109,MATCH(#REF!,LISTES!$C$105:$C$109,0))="FIX",#REF!,#REF!*OM67))))</f>
        <v/>
      </c>
      <c r="PA67" s="432" t="str">
        <f>IF(A67=FALSE,"",Cotations!CF67)</f>
        <v/>
      </c>
      <c r="PB67" s="1282" t="str">
        <f>IF(A67=FALSE,"",IF(Detail!CX67="","N/A",YEAR(Detail!F67)&amp;Detail!DA67&amp;Detail!CX67&amp;"-"&amp;Detail!$CX$13&amp;Detail!CY67))</f>
        <v/>
      </c>
      <c r="PC67" s="1283" t="str">
        <f>IF(A67=FALSE,"",IF(LISTES!$A$17=1,PB67,INDEX(colMOD3,MATCH(Cotations!CE67,colchoice,0))))</f>
        <v/>
      </c>
      <c r="PD67" s="759" t="str">
        <f t="shared" si="356"/>
        <v/>
      </c>
      <c r="PE67" s="292" t="str">
        <f>IF(A67=FALSE,"",IF(Detail!CY67="","",Detail!CY67))</f>
        <v/>
      </c>
      <c r="PF67" s="409" t="str">
        <f t="shared" si="291"/>
        <v/>
      </c>
      <c r="PG67" s="430" t="str">
        <f>IF(A67=FALSE,"",IF(PA67="FIXE",Cotations!CP67,Cotations!CQ67*AA67))</f>
        <v/>
      </c>
      <c r="PH67" s="292" t="str">
        <f t="shared" si="292"/>
        <v/>
      </c>
      <c r="PI67" s="446" t="str">
        <f>IF(A67=FALSE,"",IF(Cotations!CG67="monthly",PH67/12*L67,PH67/365*M67))</f>
        <v/>
      </c>
      <c r="PJ67" s="429" t="str">
        <f>IF(A67=FALSE,"",IF(Cotations!DA67="",0,Cotations!DA67))</f>
        <v/>
      </c>
      <c r="PK67" s="292" t="str">
        <f t="shared" si="293"/>
        <v/>
      </c>
      <c r="PL67" s="292" t="str">
        <f t="shared" si="294"/>
        <v/>
      </c>
      <c r="PM67" s="759" t="str">
        <f t="shared" si="357"/>
        <v/>
      </c>
      <c r="PN67" s="759" t="str">
        <f>IF(A67=FALSE,"",((PH67*(1+TAXE)-(PH67*(1+TAXE)*PJ67))+IF(#REF!="N/A",0,IF(INDEX(LISTES!$F$105:$F$109,MATCH(#REF!,LISTES!$C$105:$C$109,0))="FIX",#REF!,#REF!*PM67))))</f>
        <v/>
      </c>
    </row>
    <row r="68" spans="1:430">
      <c r="A68" s="779" t="b">
        <f t="shared" si="295"/>
        <v>0</v>
      </c>
      <c r="B68" s="779" t="b">
        <f>IF(NAMES!$B$9=TRUE,TRUE,FALSE)</f>
        <v>1</v>
      </c>
      <c r="C68" s="779" t="b">
        <f t="shared" si="212"/>
        <v>0</v>
      </c>
      <c r="D68" s="779" t="b">
        <f t="shared" si="213"/>
        <v>0</v>
      </c>
      <c r="E68" s="267" t="b">
        <f>IF(Cotations!C68="","",Cotations!C68)</f>
        <v>0</v>
      </c>
      <c r="F68" s="267" t="str">
        <f>IF(Cotations!AT68="","",Cotations!AT68)</f>
        <v>PROP</v>
      </c>
      <c r="G68" s="267" t="str">
        <f>IF(Cotations!D68="","",Cotations!D68)</f>
        <v>2016-2017!</v>
      </c>
      <c r="H68" s="267" t="str">
        <f>IF(Cotations!E68="","",Cotations!E68)</f>
        <v>SINGLE</v>
      </c>
      <c r="I68" s="267" t="str">
        <f>IF(Cotations!F68="","",Cotations!F68)</f>
        <v/>
      </c>
      <c r="J68" s="267" t="str">
        <f>IF(Cotations!G68="","",Cotations!G68)</f>
        <v/>
      </c>
      <c r="K68" s="267" t="str">
        <f>IF(Cotations!H68="","",Cotations!H68)</f>
        <v/>
      </c>
      <c r="L68" s="267" t="str">
        <f>IF(A68=FALSE,"",IF(Cotations!M68="","",Cotations!M68))</f>
        <v/>
      </c>
      <c r="M68" s="267" t="str">
        <f>IF(Cotations!O68="","",Cotations!O68)</f>
        <v/>
      </c>
      <c r="N68" s="588" t="str">
        <f>IF(NAMES!$B$10=TRUE,Cotations!I68,Cotations!K68)</f>
        <v/>
      </c>
      <c r="O68" s="588" t="str">
        <f>IF(NAMES!$B$10=TRUE,Cotations!J68,Cotations!L68)</f>
        <v/>
      </c>
      <c r="P68" s="780" t="str">
        <f t="shared" si="214"/>
        <v/>
      </c>
      <c r="Q68" s="588" t="str">
        <f>IF(A68=FALSE,"",IF(Crewlist!Y68="","",Crewlist!Y68))</f>
        <v/>
      </c>
      <c r="R68" s="78" t="str">
        <f>IF(Cotations!T68="","",Cotations!T68)</f>
        <v/>
      </c>
      <c r="S68" s="780" t="str">
        <f t="shared" si="215"/>
        <v/>
      </c>
      <c r="T68" s="759" t="str">
        <f>IF(A68=FALSE,"",VLOOKUP($U$15:$U$120,Currency!$A$2:$D$10,4,0)*Crewlist!N68)</f>
        <v/>
      </c>
      <c r="U68" s="1097" t="str">
        <f>IF(A68=FALSE,"",IF(DP68=0,Crewlist!M68&amp;"/"&amp;CP68,Crewlist!M68&amp;"/"&amp;DP68))</f>
        <v/>
      </c>
      <c r="V68" s="759" t="str">
        <f>IF(A68=FALSE,"",VLOOKUP($U$15:$U$120,Currency!$A$2:$D$10,4,0)*Detail!Q68)</f>
        <v/>
      </c>
      <c r="W68" s="1097" t="str">
        <f>IF(A68=FALSE,"",IF(DP68=0,Detail!R68&amp;"/"&amp;CP68,Detail!R68&amp;"/"&amp;DP68))</f>
        <v/>
      </c>
      <c r="X68" s="759" t="str">
        <f>IF(A68=FALSE,"",IF(LISTES!$C$17="Crewlist",Calcul!T68,Calcul!V68))</f>
        <v/>
      </c>
      <c r="Y68" s="618" t="str">
        <f t="shared" si="216"/>
        <v/>
      </c>
      <c r="Z68" s="618" t="str">
        <f>IF(A68=FALSE,"",IF(X68=0,0,IF((Cotations!BA68*12*X68)&lt;50000,50000,(12*X68))))</f>
        <v/>
      </c>
      <c r="AA68" s="618" t="str">
        <f t="shared" si="217"/>
        <v/>
      </c>
      <c r="AB68" s="618" t="str">
        <f>IF(A68=FALSE,"",IF(Crewlist!O68=0,"",Crewlist!O68))</f>
        <v/>
      </c>
      <c r="AC68" s="618" t="str">
        <f>IF(I68="","",VLOOKUP($AB$15:$AB$120,Currency!$A$15:$B$34,2,0))</f>
        <v/>
      </c>
      <c r="AD68" s="618" t="str">
        <f t="shared" si="218"/>
        <v/>
      </c>
      <c r="AE68" s="618" t="str">
        <f t="shared" si="219"/>
        <v/>
      </c>
      <c r="AF68" s="618" t="str">
        <f t="shared" si="220"/>
        <v/>
      </c>
      <c r="AG68" s="618" t="str">
        <f t="shared" si="221"/>
        <v/>
      </c>
      <c r="AH68" s="1097" t="str">
        <f t="shared" si="296"/>
        <v/>
      </c>
      <c r="AI68" s="759" t="str">
        <f t="shared" si="222"/>
        <v/>
      </c>
      <c r="AJ68" s="1120" t="str">
        <f t="shared" si="223"/>
        <v/>
      </c>
      <c r="AK68" s="1120" t="str">
        <f t="shared" si="224"/>
        <v/>
      </c>
      <c r="AL68" s="236" t="str">
        <f t="shared" si="225"/>
        <v/>
      </c>
      <c r="AM68" s="236" t="str">
        <f t="shared" si="226"/>
        <v/>
      </c>
      <c r="AN68" s="1112" t="str">
        <f t="shared" si="227"/>
        <v/>
      </c>
      <c r="AO68" s="236" t="str">
        <f t="shared" si="228"/>
        <v/>
      </c>
      <c r="AP68" s="327" t="str">
        <f>IF(A68=FALSE,"",INDEX(Rates!$Q$1:$Q$278,MATCH(CA68,colchoice,0)))</f>
        <v/>
      </c>
      <c r="AQ68" s="236" t="str">
        <f t="shared" si="229"/>
        <v/>
      </c>
      <c r="AR68" s="236" t="str">
        <f t="shared" si="230"/>
        <v/>
      </c>
      <c r="AS68" s="236" t="str">
        <f t="shared" si="297"/>
        <v/>
      </c>
      <c r="AT68" s="236" t="str">
        <f t="shared" si="298"/>
        <v/>
      </c>
      <c r="AU68" s="236" t="str">
        <f t="shared" si="231"/>
        <v/>
      </c>
      <c r="AV68" s="236" t="str">
        <f t="shared" si="232"/>
        <v/>
      </c>
      <c r="AW68" s="236" t="str">
        <f t="shared" si="233"/>
        <v/>
      </c>
      <c r="AX68" s="236" t="str">
        <f t="shared" si="234"/>
        <v/>
      </c>
      <c r="AY68" s="236" t="str">
        <f t="shared" si="235"/>
        <v/>
      </c>
      <c r="AZ68" s="236" t="str">
        <f t="shared" si="236"/>
        <v/>
      </c>
      <c r="BA68" s="236" t="str">
        <f t="shared" si="237"/>
        <v/>
      </c>
      <c r="BB68" s="467" t="str">
        <f t="shared" si="238"/>
        <v/>
      </c>
      <c r="BC68" s="329" t="str">
        <f t="shared" si="239"/>
        <v/>
      </c>
      <c r="BD68" s="237" t="str">
        <f t="shared" si="240"/>
        <v/>
      </c>
      <c r="BE68" s="237" t="str">
        <f>IF(A68=FALSE,"",IF(ED68&lt;&gt;$BC$7,0,INDEX(EA68:EZ68,1,MATCH(Structure!$J$16,$EA$14:$EZ$14,0))))</f>
        <v/>
      </c>
      <c r="BF68" s="237" t="str">
        <f>IF(A68=FALSE,"",IF(FD68&lt;&gt;$BC$7,0,INDEX(FA68:FZ68,1,MATCH(Structure!$J$16,$FA$14:$FZ$14,0))))</f>
        <v/>
      </c>
      <c r="BG68" s="237" t="str">
        <f>IF(A68=FALSE,"",IF(GD68&lt;&gt;$BC$7,0,INDEX(GA68:GZ68,1,MATCH(Structure!$J$16,$GA$14:$GZ$14,0))))</f>
        <v/>
      </c>
      <c r="BH68" s="237" t="str">
        <f>IF(A68=FALSE,"",IF(HD68&lt;&gt;$BC$7,0,INDEX(HA68:HZ68,1,MATCH(Structure!$J$16,$HA$14:$HZ$14,0))))</f>
        <v/>
      </c>
      <c r="BI68" s="621" t="str">
        <f>IF(A68=FALSE,"",IF(ID68&lt;&gt;$BC$7,0,INDEX(IA68:IZ68,1,MATCH(Structure!$C$12,$IA$14:$IZ$14,0)))+OL68)</f>
        <v/>
      </c>
      <c r="BJ68" s="237" t="str">
        <f>IF(A68=FALSE,"",IF(JD68&lt;&gt;$BC$7,0,INDEX(JA68:JZ68,1,MATCH(Structure!$C$12,$JA$14:$JZ$14,0))))</f>
        <v/>
      </c>
      <c r="BK68" s="621" t="str">
        <f>IF(A68=FALSE,"",IF(KD68&lt;&gt;$BC$7,0,INDEX(KA68:KZ68,1,MATCH(Structure!$C$12,$KA$14:$KZ$14,0)))+PL68)</f>
        <v/>
      </c>
      <c r="BL68" s="237" t="str">
        <f>IF(A68=FALSE,"",IF(LD68&lt;&gt;$BC$7,0,INDEX(LA68:LZ68,1,MATCH(Structure!$C$12,$LA$14:$LZ$14,0))))</f>
        <v/>
      </c>
      <c r="BM68" s="237" t="str">
        <f>IF(A68=FALSE,"",IF(MD68&lt;&gt;$BC$7,0,INDEX(MA68:MZ68,1,MATCH(Structure!$C$12,$MA$14:$MZ$14,0))))</f>
        <v/>
      </c>
      <c r="BN68" s="326" t="str">
        <f>IF(A68=FALSE,"",IF(ND68&lt;&gt;$BC$7,0,INDEX(NA68:OC68,1,MATCH(Structure!$C$12,$NA$14:$OC$14,0))))</f>
        <v/>
      </c>
      <c r="BO68" s="435" t="str">
        <f t="shared" si="241"/>
        <v/>
      </c>
      <c r="BP68" s="237" t="str">
        <f t="shared" si="242"/>
        <v/>
      </c>
      <c r="BQ68" s="237" t="str">
        <f>IF(A68=FALSE,"",IF(ED68&lt;&gt;$BO$7,0,INDEX(EA68:EZ68,1,MATCH(Structure!$C$12,$EA$14:$EZ$14,0))))</f>
        <v/>
      </c>
      <c r="BR68" s="237" t="str">
        <f>IF(A68=FALSE,"",IF(FD68&lt;&gt;$BO$7,0,INDEX(FA68:FZ68,1,MATCH(Structure!$C$12,$FA$14:$FZ$14,0))))</f>
        <v/>
      </c>
      <c r="BS68" s="237" t="str">
        <f>IF(A68=FALSE,"",IF(ID68&lt;&gt;$BO$7,0,INDEX(IA68:IZ68,1,MATCH(Structure!$C$13,$IA$14:$IZ$14,0))))</f>
        <v/>
      </c>
      <c r="BT68" s="237" t="str">
        <f>IF(A68=FALSE,"",IF(JD68&lt;&gt;$BO$7,0,INDEX(JA68:JZ68,1,MATCH(Structure!$C$13,$JA$14:$JZ$14,0))))</f>
        <v/>
      </c>
      <c r="BU68" s="237" t="str">
        <f>IF(A68=FALSE,"",IF(KD68&lt;&gt;$BO$7,0,INDEX(KA68:KZ68,1,MATCH(Structure!$C$13,$KA$14:$KZ$14,0))))</f>
        <v/>
      </c>
      <c r="BV68" s="237" t="str">
        <f>IF(A68=FALSE,"",IF(LD68&lt;&gt;$BO$7,0,INDEX(LA68:LZ68,1,MATCH(Structure!$C$13,$LA$14:$LZ$14,0))))</f>
        <v/>
      </c>
      <c r="BW68" s="237" t="str">
        <f>IF(A68=FALSE,"",IF(MD68&lt;&gt;$BO$7,0,INDEX(MA68:MZ68,1,MATCH(Structure!$C$13,$MA$14:$MZ$14,0))))</f>
        <v/>
      </c>
      <c r="BX68" s="326" t="str">
        <f>IF(A68=FALSE,"",IF(ND68&lt;&gt;$BO$7,0,INDEX(NA68:OC68,1,MATCH(Structure!$C$13,$NA$14:$OC$14,0))))</f>
        <v/>
      </c>
      <c r="BY68" s="412"/>
      <c r="BZ68" s="412"/>
      <c r="CA68" s="1255" t="str">
        <f>IF(A68=FALSE,"",IF(LISTES!$A$17=1,Cotations!AG68,Cotations!AH68))</f>
        <v/>
      </c>
      <c r="CB68" s="1266" t="str">
        <f t="shared" si="243"/>
        <v/>
      </c>
      <c r="CC68" s="1120" t="str">
        <f t="shared" si="244"/>
        <v/>
      </c>
      <c r="CD68" s="1120" t="str">
        <f t="shared" si="245"/>
        <v/>
      </c>
      <c r="CE68" s="1120" t="str">
        <f t="shared" si="246"/>
        <v/>
      </c>
      <c r="CF68" s="1120" t="str">
        <f t="shared" si="247"/>
        <v/>
      </c>
      <c r="CG68" s="1267"/>
      <c r="CH68" s="1267"/>
      <c r="CI68" s="1268" t="str">
        <f t="shared" si="248"/>
        <v/>
      </c>
      <c r="CJ68" s="286" t="str">
        <f t="shared" si="249"/>
        <v/>
      </c>
      <c r="CK68" s="286" t="str">
        <f t="shared" si="250"/>
        <v/>
      </c>
      <c r="CL68" s="1263"/>
      <c r="CM68" s="1263"/>
      <c r="CN68" s="1263"/>
      <c r="CO68" s="1263"/>
      <c r="CP68" s="319" t="str">
        <f t="shared" si="251"/>
        <v/>
      </c>
      <c r="CQ68" s="443" t="str">
        <f>IF(A68=FALSE,"",Cotations!AM68)</f>
        <v/>
      </c>
      <c r="CR68" s="443" t="str">
        <f>IF(A68=FALSE,"",IF(Cotations!AN68="","",Cotations!AN68))</f>
        <v/>
      </c>
      <c r="CS68" s="433" t="str">
        <f>IF(A68=FALSE,"",Cotations!AO68)</f>
        <v/>
      </c>
      <c r="CT68" s="443" t="str">
        <f>IF(A68=FALSE,"",IF(CQ68="N/A",0,IF(INDEX(LISTES!$F$105:$F$109,MATCH(CQ68,LISTES!$C$105:$C$109,0))="FIX",IF(INDEX(LISTES!$E$105:$E$109,MATCH(CQ68,LISTES!$C$105:$C$109,0))=12,CR68/12*L68,CR68/365*M68),CS68*EQ68)))</f>
        <v/>
      </c>
      <c r="CU68" s="434" t="str">
        <f>IF(A68=FALSE,"",(CJ68+CK68)*Cotations!AP68)</f>
        <v/>
      </c>
      <c r="CV68" s="434" t="str">
        <f>IF(A68=FALSE,"",(CJ68+CK68)*Cotations!AQ68)</f>
        <v/>
      </c>
      <c r="DA68" s="1253" t="str">
        <f>IF(A68=FALSE,"",IF(LISTES!$A$17=1,Cotations!AV68,Cotations!AW68))</f>
        <v/>
      </c>
      <c r="DB68" s="1271" t="str">
        <f t="shared" si="252"/>
        <v/>
      </c>
      <c r="DC68" s="1270" t="str">
        <f t="shared" si="253"/>
        <v/>
      </c>
      <c r="DD68" s="1270" t="str">
        <f t="shared" si="254"/>
        <v/>
      </c>
      <c r="DE68" s="1270" t="str">
        <f t="shared" si="255"/>
        <v/>
      </c>
      <c r="DF68" s="1270" t="str">
        <f t="shared" si="256"/>
        <v/>
      </c>
      <c r="DG68" s="1270" t="str">
        <f t="shared" si="257"/>
        <v/>
      </c>
      <c r="DH68" s="1270" t="str">
        <f t="shared" si="258"/>
        <v/>
      </c>
      <c r="DI68" s="1271" t="str">
        <f t="shared" si="259"/>
        <v/>
      </c>
      <c r="DJ68" s="286" t="str">
        <f t="shared" si="260"/>
        <v/>
      </c>
      <c r="DK68" s="286" t="str">
        <f t="shared" si="261"/>
        <v/>
      </c>
      <c r="DL68" s="1264" t="str">
        <f t="shared" si="262"/>
        <v/>
      </c>
      <c r="DM68" s="1264" t="str">
        <f t="shared" si="263"/>
        <v/>
      </c>
      <c r="DN68" s="1264" t="str">
        <f t="shared" si="264"/>
        <v/>
      </c>
      <c r="DO68" s="1264" t="str">
        <f t="shared" si="265"/>
        <v/>
      </c>
      <c r="DP68" s="323" t="str">
        <f t="shared" si="299"/>
        <v/>
      </c>
      <c r="DQ68" s="444" t="str">
        <f>IF(A68=FALSE,"",Cotations!BW68)</f>
        <v/>
      </c>
      <c r="DR68" s="444" t="str">
        <f>IF(A68=FALSE,"",Cotations!BX68)</f>
        <v/>
      </c>
      <c r="DS68" s="433" t="str">
        <f>IF(A68=FALSE,"",Cotations!BY68)</f>
        <v/>
      </c>
      <c r="DT68" s="830" t="str">
        <f>IF(A68=FALSE,"",IF(DQ68="N/A",0,IF(INDEX(LISTES!$F$105:$F$109,MATCH(DQ68,LISTES!$C$105:$C$109,0))="FIX",IF(INDEX(LISTES!$E$105:$E$109,MATCH(DQ68,LISTES!$C$105:$C$109,0))=12,DR68/12*L68,DR68/365*M68),DS68*(DN68+DO68))))</f>
        <v/>
      </c>
      <c r="DU68" s="434" t="str">
        <f>IF(A68=FALSE,"",DJ68*Cotations!BZ68)</f>
        <v/>
      </c>
      <c r="DV68" s="434" t="str">
        <f>IF(A68=FALSE,"",DJ68*Cotations!CA68)</f>
        <v/>
      </c>
      <c r="EA68" s="432" t="str">
        <f>IF(A68=FALSE,"",Cotations!AT68)</f>
        <v/>
      </c>
      <c r="EB68" s="1234" t="str">
        <f>IF(A68=FALSE,"",YEAR(Detail!F68)&amp;Detail!AG68&amp;Detail!AD68&amp;"-"&amp;Detail!$AD$13&amp;Detail!AE68)</f>
        <v/>
      </c>
      <c r="EC68" s="434" t="str">
        <f>IF(A68=FALSE,"",IF(LISTES!$A$17=1,EB68,INDEX(colMOD1,MATCH(Cotations!AH68,colchoice,0))))</f>
        <v/>
      </c>
      <c r="ED68" s="277" t="str">
        <f t="shared" si="300"/>
        <v/>
      </c>
      <c r="EE68" s="277" t="str">
        <f t="shared" si="301"/>
        <v/>
      </c>
      <c r="EF68" s="277"/>
      <c r="EG68" s="277"/>
      <c r="EH68" s="277" t="str">
        <f t="shared" si="302"/>
        <v/>
      </c>
      <c r="EI68" s="1104" t="str">
        <f t="shared" si="303"/>
        <v/>
      </c>
      <c r="EJ68" s="1104" t="str">
        <f t="shared" si="304"/>
        <v/>
      </c>
      <c r="EK68" s="443" t="str">
        <f>IF(A68=FALSE,"",IF(Cotations!AF68="monthly",EH68/12*L68,EH68/365*M68))</f>
        <v/>
      </c>
      <c r="EL68" s="1103" t="str">
        <f>IF(A68=FALSE,"",IF(Cotations!AF68="monthly",EJ68/12*L68,EJ68/365*M68))</f>
        <v/>
      </c>
      <c r="EM68" s="433" t="str">
        <f>IF(A68=FALSE,"",IF(Cotations!AI68="","",Cotations!AI68))</f>
        <v/>
      </c>
      <c r="EN68" s="277" t="str">
        <f t="shared" si="305"/>
        <v/>
      </c>
      <c r="EO68" s="277" t="str">
        <f t="shared" si="306"/>
        <v/>
      </c>
      <c r="EP68" s="1104" t="str">
        <f t="shared" si="307"/>
        <v/>
      </c>
      <c r="EQ68" s="277" t="str">
        <f t="shared" si="308"/>
        <v/>
      </c>
      <c r="ER68" s="759" t="str">
        <f>IF(A68=FALSE,"",((EH68*TAXE)-(EH68*TAXE*EM68)+EI68)+IF(CQ68="N/A",0,IF(INDEX(LISTES!$F$105:$F$109,MATCH(CQ68,LISTES!$C$105:$C$109,0))="FIX",CR68,CS68*EQ68)))</f>
        <v/>
      </c>
      <c r="ET68" s="422"/>
      <c r="EU68" s="422"/>
      <c r="EV68" s="422"/>
      <c r="EW68" s="422"/>
      <c r="EX68" s="422"/>
      <c r="EY68" s="422"/>
      <c r="EZ68" s="422"/>
      <c r="FA68" s="432" t="str">
        <f>IF(A68=FALSE,"",Cotations!AT68)</f>
        <v/>
      </c>
      <c r="FB68" s="1235" t="str">
        <f>IF(A68=FALSE,"",IF(Detail!AL68="","N/A",YEAR(Detail!F68)&amp;Detail!AO68&amp;Detail!AL68&amp;"-"&amp;Detail!$AL$13&amp;Detail!AM68))</f>
        <v/>
      </c>
      <c r="FC68" s="434" t="str">
        <f>IF(A68=FALSE,"",IF(LISTES!$A$17=1,FB68,INDEX(colMOD2,MATCH(Cotations!AH68,colchoice,0))))</f>
        <v/>
      </c>
      <c r="FD68" s="277" t="str">
        <f t="shared" si="309"/>
        <v/>
      </c>
      <c r="FE68" s="443" t="str">
        <f>IF(A68=FALSE,"",IF(Detail!AM68="","",Detail!AM68))</f>
        <v/>
      </c>
      <c r="FF68" s="277"/>
      <c r="FG68" s="277"/>
      <c r="FH68" s="277" t="str">
        <f t="shared" si="310"/>
        <v/>
      </c>
      <c r="FI68" s="1104"/>
      <c r="FJ68" s="1104"/>
      <c r="FK68" s="443" t="str">
        <f>IF(A68=FALSE,"",IF(Cotations!AF68="monthly",FH68/12*L68,FH68/365*M68))</f>
        <v/>
      </c>
      <c r="FL68" s="1103" t="str">
        <f>IF(A68=FALSE,"",IF(Cotations!AF68="monthly",FJ68/12*L68,FJ68/365*M68))</f>
        <v/>
      </c>
      <c r="FM68" s="433" t="str">
        <f>IF(A68=FALSE,"",IF(Cotations!AJ68="","",Cotations!AJ68))</f>
        <v/>
      </c>
      <c r="FN68" s="277" t="str">
        <f t="shared" si="268"/>
        <v/>
      </c>
      <c r="FO68" s="277" t="str">
        <f t="shared" si="269"/>
        <v/>
      </c>
      <c r="FP68" s="1104"/>
      <c r="FQ68" s="277" t="str">
        <f t="shared" si="270"/>
        <v/>
      </c>
      <c r="FR68" s="759" t="str">
        <f>IF(A68=FALSE,"",((FH68*TAXE)-(FH68*TAXE*FM68))+IF(#REF!="N/A",0,IF(INDEX(LISTES!$F$105:$F$109,MATCH(#REF!,LISTES!$C$105:$C$109,0))="FIX",#REF!,#REF!*FQ68)))</f>
        <v/>
      </c>
      <c r="FS68" s="422"/>
      <c r="FT68" s="422"/>
      <c r="FU68" s="422"/>
      <c r="FV68" s="422"/>
      <c r="FW68" s="422"/>
      <c r="FX68" s="422"/>
      <c r="FY68" s="422"/>
      <c r="FZ68" s="422"/>
      <c r="GA68" s="432" t="str">
        <f t="shared" si="311"/>
        <v/>
      </c>
      <c r="GB68" s="1234" t="str">
        <f>IF(A68=FALSE,"",IF(Detail!DF68="","N/A",YEAR(Detail!F68)&amp;Detail!DI68&amp;Detail!DF68&amp;"-"&amp;Detail!$DF$13))</f>
        <v/>
      </c>
      <c r="GC68" s="434" t="str">
        <f>IF(A68=FALSE,"",IF(LISTES!$A$17=1,GB68,INDEX(colMOD3,MATCH(Cotations!AH68,colchoice,0))))</f>
        <v/>
      </c>
      <c r="GD68" s="277" t="str">
        <f t="shared" si="312"/>
        <v/>
      </c>
      <c r="GE68" s="277" t="str">
        <f t="shared" si="313"/>
        <v/>
      </c>
      <c r="GF68" s="277"/>
      <c r="GG68" s="277"/>
      <c r="GH68" s="277" t="str">
        <f t="shared" si="271"/>
        <v/>
      </c>
      <c r="GI68" s="1104" t="str">
        <f t="shared" si="272"/>
        <v/>
      </c>
      <c r="GJ68" s="1104" t="str">
        <f t="shared" si="273"/>
        <v/>
      </c>
      <c r="GK68" s="443" t="str">
        <f>IF(A68=FALSE,"",IF(Cotations!AF68="monthly",GH68/12*L68,GH68/365*M68))</f>
        <v/>
      </c>
      <c r="GL68" s="1103" t="str">
        <f>IF(A68=FALSE,"",IF(Cotations!AF68="monthly",GJ68/12*L68,GJ68/365*M68))</f>
        <v/>
      </c>
      <c r="GM68" s="433" t="str">
        <f>IF(A68=FALSE,"",IF(Cotations!AK68="","",Cotations!AK68))</f>
        <v/>
      </c>
      <c r="GN68" s="277" t="str">
        <f t="shared" si="274"/>
        <v/>
      </c>
      <c r="GO68" s="277" t="str">
        <f t="shared" si="275"/>
        <v/>
      </c>
      <c r="GP68" s="1104" t="str">
        <f t="shared" si="276"/>
        <v/>
      </c>
      <c r="GQ68" s="277" t="str">
        <f t="shared" si="277"/>
        <v/>
      </c>
      <c r="GR68" s="759" t="str">
        <f>IF(A68=FALSE,"",((GH68*TAXE)-(GH68*TAXE*GM68)+GI68)+IF(CQ68="N/A",0,IF(INDEX(LISTES!$F$105:$F$109,MATCH(CQ68,LISTES!$C$105:$C$109,0))="FIX",CR68,CS68*GQ68)))</f>
        <v/>
      </c>
      <c r="GS68" s="412"/>
      <c r="GT68" s="412"/>
      <c r="GU68" s="412"/>
      <c r="GV68" s="412"/>
      <c r="GW68" s="412"/>
      <c r="GX68" s="412"/>
      <c r="GY68" s="412"/>
      <c r="GZ68" s="412"/>
      <c r="HA68" s="432" t="str">
        <f t="shared" si="314"/>
        <v/>
      </c>
      <c r="HB68" s="1234" t="str">
        <f>IF(A68=FALSE,"",IF(Detail!DF68="","N/A",YEAR(Detail!F68)&amp;Detail!DI68&amp;Detail!DF68&amp;"-"&amp;Detail!$DF$13))</f>
        <v/>
      </c>
      <c r="HC68" s="434" t="str">
        <f>IF(A68=FALSE,"",IF(LISTES!$A$17=1,HB68,INDEX(colMOD4,MATCH(Cotations!AH68,colchoice,0))))</f>
        <v/>
      </c>
      <c r="HD68" s="277" t="str">
        <f t="shared" si="278"/>
        <v/>
      </c>
      <c r="HE68" s="277" t="str">
        <f t="shared" si="279"/>
        <v/>
      </c>
      <c r="HF68" s="277"/>
      <c r="HG68" s="277"/>
      <c r="HH68" s="277" t="str">
        <f t="shared" si="280"/>
        <v/>
      </c>
      <c r="HI68" s="1104" t="str">
        <f t="shared" si="281"/>
        <v/>
      </c>
      <c r="HJ68" s="1104" t="str">
        <f t="shared" si="282"/>
        <v/>
      </c>
      <c r="HK68" s="443" t="str">
        <f>IF(A68=FALSE,"",IF(Cotations!AF68="monthly",HH68/12*L68,HH68/365*M68))</f>
        <v/>
      </c>
      <c r="HL68" s="1103" t="str">
        <f>IF(A68=FALSE,"",IF(Cotations!AF68="monthly",HJ68/12*L68,HJ68/365*M68))</f>
        <v/>
      </c>
      <c r="HM68" s="433" t="str">
        <f>IF(A68=FALSE,"",IF(Cotations!AL68="","",Cotations!AL68))</f>
        <v/>
      </c>
      <c r="HN68" s="277" t="str">
        <f t="shared" si="283"/>
        <v/>
      </c>
      <c r="HO68" s="277" t="str">
        <f t="shared" si="284"/>
        <v/>
      </c>
      <c r="HP68" s="1104" t="str">
        <f t="shared" si="285"/>
        <v/>
      </c>
      <c r="HQ68" s="277" t="str">
        <f t="shared" si="286"/>
        <v/>
      </c>
      <c r="HR68" s="759" t="str">
        <f>IF(A68=FALSE,"",((HH68*TAXE)-(HH68*TAXE*HM68)+HI68)+IF(CQ68="N/A",0,IF(INDEX(LISTES!$F$105:$F$109,MATCH(CQ68,LISTES!$C$105:$C$109,0))="FIX",CR68,CS68*HQ68)))</f>
        <v/>
      </c>
      <c r="HS68" s="412"/>
      <c r="HT68" s="412"/>
      <c r="HU68" s="412"/>
      <c r="HV68" s="412"/>
      <c r="HW68" s="412"/>
      <c r="HX68" s="412"/>
      <c r="HY68" s="412"/>
      <c r="HZ68" s="1262"/>
      <c r="IA68" s="432" t="str">
        <f>IF(A68=FALSE,"",Cotations!AT68)</f>
        <v/>
      </c>
      <c r="IB68" s="1253" t="str">
        <f>IF(A68=FALSE,"",IF(Detail!AT68="","N/A",YEAR(Detail!F68)&amp;Detail!AW68&amp;Detail!AT68&amp;"-"&amp;Detail!$AT$13&amp;Detail!AU68))</f>
        <v/>
      </c>
      <c r="IC68" s="431" t="str">
        <f>IF(A68=FALSE,"",IF(LISTES!$A$17=1,IB68,INDEX(colMOD1,MATCH(DA68,colchoice,0))))</f>
        <v/>
      </c>
      <c r="ID68" s="759" t="str">
        <f t="shared" si="358"/>
        <v/>
      </c>
      <c r="IE68" s="292" t="str">
        <f>IF(A68=FALSE,"",IF(LISTES!$A$17=1,Detail!AU68,INDEX(Rates!$M$1:$M$270,MATCH(IC68,colMOD1,0))))</f>
        <v/>
      </c>
      <c r="IF68" s="409" t="str">
        <f t="shared" si="359"/>
        <v/>
      </c>
      <c r="IG68" s="430" t="str">
        <f>IF(A68=FALSE,"",IF(IA68="POEA",Cotations!AY68,IF(IA68="FIXE",Cotations!AZ68,IF(Cotations!BA68*Y68&lt;50000,Z68,Cotations!BA68*Y68))))</f>
        <v/>
      </c>
      <c r="IH68" s="292" t="str">
        <f t="shared" si="360"/>
        <v/>
      </c>
      <c r="II68" s="446" t="str">
        <f>IF(A68=FALSE,"",IF(Cotations!AU68="monthly",IH68/12*L68,IH68/365*M68))</f>
        <v/>
      </c>
      <c r="IJ68" s="429" t="str">
        <f>IF(A68=FALSE,"",IF(Cotations!BB68="","",Cotations!BB68))</f>
        <v/>
      </c>
      <c r="IK68" s="292" t="str">
        <f t="shared" si="361"/>
        <v/>
      </c>
      <c r="IL68" s="292" t="str">
        <f t="shared" si="362"/>
        <v/>
      </c>
      <c r="IM68" s="759" t="str">
        <f t="shared" si="363"/>
        <v/>
      </c>
      <c r="IN68" s="759" t="str">
        <f>IF(A68=FALSE,"",((IH68*TAXE)-(IH68*TAXE*IJ68))+IF(DQ68="N/A",0,IF(INDEX(LISTES!$F$105:$F$109,MATCH(DQ68,LISTES!$C$105:$C$109,0))="FIX",DR68,DS68*IM68)))</f>
        <v/>
      </c>
      <c r="JA68" s="432" t="str">
        <f>IF(A68=FALSE,"",Cotations!AT68)</f>
        <v/>
      </c>
      <c r="JB68" s="1234" t="str">
        <f>IF(A68=FALSE,"",IF(Detail!BB68="","N/A",YEAR(Detail!F68)&amp;Detail!BE68&amp;Detail!BB68&amp;"-"&amp;Detail!$BB$13&amp;Detail!BC68))</f>
        <v/>
      </c>
      <c r="JC68" s="431" t="str">
        <f>IF(A68=FALSE,"",IF(LISTES!$A$17=1,JB68,INDEX(colMOD2,MATCH(DA68,colchoice,0))))</f>
        <v/>
      </c>
      <c r="JD68" s="759" t="str">
        <f t="shared" si="321"/>
        <v/>
      </c>
      <c r="JE68" s="292"/>
      <c r="JF68" s="409" t="str">
        <f t="shared" si="322"/>
        <v/>
      </c>
      <c r="JG68" s="430" t="str">
        <f>IF(A68=FALSE,"",IF(JA68="POEA",Cotations!BC68,IF(JA68="FIXE",Cotations!BD68,IF(Cotations!BE68*Y68&lt;50000,Z68,Cotations!BE68*Y68))))</f>
        <v/>
      </c>
      <c r="JH68" s="292" t="str">
        <f t="shared" si="323"/>
        <v/>
      </c>
      <c r="JI68" s="446" t="str">
        <f>IF(A68=FALSE,"",IF(Cotations!AU68="monthly",JH68/12*L68,JH68/365*M68))</f>
        <v/>
      </c>
      <c r="JJ68" s="429" t="str">
        <f>IF(A68=FALSE,"",IF(Cotations!BF68="","",Cotations!BF68))</f>
        <v/>
      </c>
      <c r="JK68" s="292" t="str">
        <f t="shared" si="324"/>
        <v/>
      </c>
      <c r="JL68" s="292" t="str">
        <f t="shared" si="325"/>
        <v/>
      </c>
      <c r="JM68" s="759" t="str">
        <f t="shared" si="326"/>
        <v/>
      </c>
      <c r="JN68" s="759" t="str">
        <f>IF(A68=FALSE,"",((JH68*TAXE)-(JH68*TAXE*JJ68))+IF(#REF!="N/A",0,IF(INDEX(LISTES!$F$105:$F$109,MATCH(#REF!,LISTES!$C$105:$C$109,0))="FIX",#REF!,#REF!*JM68)))</f>
        <v/>
      </c>
      <c r="KA68" s="432" t="str">
        <f>IF(A68=FALSE,"",Cotations!AT68)</f>
        <v/>
      </c>
      <c r="KB68" s="1234" t="str">
        <f>IF(A68=FALSE,"",IF(Detail!BJ68="","N/A",YEAR(Detail!F68)&amp;Detail!BM68&amp;Detail!BJ68&amp;"-"&amp;Detail!$BJ$13&amp;Detail!BK68))</f>
        <v/>
      </c>
      <c r="KC68" s="431" t="str">
        <f>IF(A68=FALSE,"",IF(LISTES!$A$17=1,KB68,INDEX(colMOD3,MATCH(DA68,colchoice,0))))</f>
        <v/>
      </c>
      <c r="KD68" s="759" t="str">
        <f t="shared" si="327"/>
        <v/>
      </c>
      <c r="KE68" s="292"/>
      <c r="KF68" s="409" t="str">
        <f t="shared" si="328"/>
        <v/>
      </c>
      <c r="KG68" s="430" t="str">
        <f>IF(A68=FALSE,"",IF(KA68="POEA",Cotations!BG68,IF(KA68="FIXE",Cotations!BH68,IF(Cotations!BI68*Y68&lt;50000,Z68,Cotations!BI68*Y68))))</f>
        <v/>
      </c>
      <c r="KH68" s="292" t="str">
        <f t="shared" si="329"/>
        <v/>
      </c>
      <c r="KI68" s="446" t="str">
        <f>IF(A68=FALSE,"",IF(Cotations!AU68="monthly",KH68/12*L68,KH68/365*M68))</f>
        <v/>
      </c>
      <c r="KJ68" s="429" t="str">
        <f>IF(A68=FALSE,"",IF(Cotations!BJ68="","",Cotations!BJ68))</f>
        <v/>
      </c>
      <c r="KK68" s="292" t="str">
        <f t="shared" si="330"/>
        <v/>
      </c>
      <c r="KL68" s="292" t="str">
        <f t="shared" si="331"/>
        <v/>
      </c>
      <c r="KM68" s="759" t="str">
        <f t="shared" si="332"/>
        <v/>
      </c>
      <c r="KN68" s="759" t="str">
        <f>IF(A68=FALSE,"",((KH68*TAXE)-(KH68*TAXE*KJ68))+IF(#REF!="N/A",0,IF(INDEX(LISTES!$F$105:$F$109,MATCH(#REF!,LISTES!$C$105:$C$109,0))="FIX",#REF!,#REF!*KM68)))</f>
        <v/>
      </c>
      <c r="LA68" s="432" t="str">
        <f>IF(A68=FALSE,"",Cotations!AT68)</f>
        <v/>
      </c>
      <c r="LB68" s="1234" t="str">
        <f>IF(A68=FALSE,"",IF(Detail!BR68="","N/A",YEAR(Detail!F68)&amp;Detail!BU68&amp;Detail!BR68&amp;"-"&amp;Detail!$BR$13&amp;Detail!BS68))</f>
        <v/>
      </c>
      <c r="LC68" s="431" t="str">
        <f>IF(A68=FALSE,"",IF(LISTES!$A$17=1,LB68,INDEX(colMOD4,MATCH(DA68,colchoice,0))))</f>
        <v/>
      </c>
      <c r="LD68" s="759" t="str">
        <f t="shared" si="333"/>
        <v/>
      </c>
      <c r="LE68" s="292"/>
      <c r="LF68" s="409" t="str">
        <f t="shared" si="334"/>
        <v/>
      </c>
      <c r="LG68" s="430" t="str">
        <f>IF(A68=FALSE,"",IF(LA68="POEA",Cotations!BK68,IF(LA68="FIXE",Cotations!BL68,IF(Cotations!BM68*Y68&lt;50000,Z68,Cotations!BM68*Y68))))</f>
        <v/>
      </c>
      <c r="LH68" s="292" t="str">
        <f t="shared" si="335"/>
        <v/>
      </c>
      <c r="LI68" s="446" t="str">
        <f>IF(A68=FALSE,"",IF(Cotations!AU68="monthly",LH68/12*L68,LH68/365*M68))</f>
        <v/>
      </c>
      <c r="LJ68" s="429" t="str">
        <f>IF(A68=FALSE,"",IF(Cotations!BN68="","",Cotations!BN68))</f>
        <v/>
      </c>
      <c r="LK68" s="292" t="str">
        <f t="shared" si="336"/>
        <v/>
      </c>
      <c r="LL68" s="292" t="str">
        <f t="shared" si="337"/>
        <v/>
      </c>
      <c r="LM68" s="759" t="str">
        <f t="shared" si="338"/>
        <v/>
      </c>
      <c r="LN68" s="759" t="str">
        <f>IF(A68=FALSE,"",((LH68*TAXE)-(LH68*TAXE*LJ68))+IF(#REF!="N/A",0,IF(INDEX(LISTES!$F$105:$F$109,MATCH(#REF!,LISTES!$C$105:$C$109,0))="FIX",#REF!,#REF!*LM68)))</f>
        <v/>
      </c>
      <c r="MA68" s="432" t="str">
        <f t="shared" si="339"/>
        <v/>
      </c>
      <c r="MB68" s="1234" t="str">
        <f>IF(A68=FALSE,"",IF(Detail!BZ68="","N/A",YEAR(Detail!F68)&amp;Detail!CC68&amp;Detail!BZ68&amp;"-"&amp;Detail!$BZ$13&amp;" (100%/"&amp;Detail!CD68&amp;"/"&amp;Detail!CE68&amp;")"))</f>
        <v/>
      </c>
      <c r="MC68" s="431" t="str">
        <f>IF(A68=FALSE,"",IF(LISTES!$A$17=1,MB68,INDEX(colMOD5,MATCH(DA68,colchoice,0))))</f>
        <v/>
      </c>
      <c r="MD68" s="759" t="str">
        <f t="shared" si="340"/>
        <v/>
      </c>
      <c r="ME68" s="292"/>
      <c r="MF68" s="409" t="str">
        <f t="shared" si="341"/>
        <v/>
      </c>
      <c r="MG68" s="430" t="str">
        <f>IF(A68=FALSE,"",Cotations!BQ68*AA68)</f>
        <v/>
      </c>
      <c r="MH68" s="292" t="str">
        <f t="shared" si="342"/>
        <v/>
      </c>
      <c r="MI68" s="446" t="str">
        <f>IF(A68=FALSE,"",IF(Cotations!AU68="monthly",MH68/12*L68,MH68/365*M68))</f>
        <v/>
      </c>
      <c r="MJ68" s="429" t="str">
        <f>IF(A68=FALSE,"",IF(Cotations!BR68="","",Cotations!BR68))</f>
        <v/>
      </c>
      <c r="MK68" s="292" t="str">
        <f t="shared" si="343"/>
        <v/>
      </c>
      <c r="ML68" s="292" t="str">
        <f t="shared" si="344"/>
        <v/>
      </c>
      <c r="MM68" s="759" t="str">
        <f t="shared" si="345"/>
        <v/>
      </c>
      <c r="MN68" s="759" t="str">
        <f>IF(A68=FALSE,"",((MH68*TAXE)-(MH68*TAXE*MJ68))+IF(#REF!="N/A",0,IF(INDEX(LISTES!$F$105:$F$109,MATCH(#REF!,LISTES!$C$105:$C$109,0))="FIX",#REF!,#REF!*MM68)))</f>
        <v/>
      </c>
      <c r="NA68" s="432" t="str">
        <f t="shared" si="346"/>
        <v/>
      </c>
      <c r="NB68" s="1234" t="str">
        <f>IF(A68=FALSE,"",IF(Detail!CH68="","N/A",YEAR(Detail!F68)&amp;Detail!CK68&amp;Detail!CH68&amp;"-"&amp;Detail!$CH$13&amp;" (100%/"&amp;Detail!CL68&amp;"/"&amp;Detail!CM68&amp;")"))</f>
        <v/>
      </c>
      <c r="NC68" s="431" t="str">
        <f>IF(A68=FALSE,"",IF(LISTES!$A$17=1,NB68,INDEX(colMOD6,MATCH(DA68,colchoice,0))))</f>
        <v/>
      </c>
      <c r="ND68" s="759" t="str">
        <f t="shared" si="347"/>
        <v/>
      </c>
      <c r="NE68" s="292"/>
      <c r="NF68" s="409" t="str">
        <f t="shared" si="348"/>
        <v/>
      </c>
      <c r="NG68" s="430" t="str">
        <f>IF(A68=FALSE,"",Cotations!BU68*AA68)</f>
        <v/>
      </c>
      <c r="NH68" s="292" t="str">
        <f t="shared" si="349"/>
        <v/>
      </c>
      <c r="NI68" s="446" t="str">
        <f>IF(A68=FALSE,"",IF(Cotations!AU68="monthly",NH68/12*L68,NH68/365*M68))</f>
        <v/>
      </c>
      <c r="NJ68" s="429" t="str">
        <f>IF(A68=FALSE,"",IF(Cotations!BV68="","",Cotations!BV68))</f>
        <v/>
      </c>
      <c r="NK68" s="292" t="str">
        <f t="shared" si="350"/>
        <v/>
      </c>
      <c r="NL68" s="292" t="str">
        <f t="shared" si="351"/>
        <v/>
      </c>
      <c r="NM68" s="759" t="str">
        <f t="shared" si="352"/>
        <v/>
      </c>
      <c r="NN68" s="759" t="str">
        <f>IF(A68=FALSE,"",((NH68*TAXE)-(NH68*TAXE*NJ68))+IF(#REF!="N/A",0,IF(INDEX(LISTES!$F$105:$F$109,MATCH(#REF!,LISTES!$C$105:$C$109,0))="FIX",#REF!,#REF!*NM68)))</f>
        <v/>
      </c>
      <c r="NZ68" s="1281" t="str">
        <f>IF(A68=FALSE,"",IF(Detail!CP68="","N/A",YEAR(Detail!F68)&amp;Detail!CS68&amp;Detail!CP68&amp;"-"&amp;Detail!CQ68))</f>
        <v/>
      </c>
      <c r="OA68" s="432" t="str">
        <f>IF(A68=FALSE,"",Cotations!CF68)</f>
        <v/>
      </c>
      <c r="OB68" s="1282" t="str">
        <f>IF(A68=FALSE,"",IF(Detail!CP68="","N/A",YEAR(Detail!F68)&amp;Detail!CS68&amp;Detail!CP68&amp;"-"&amp;Detail!$CP$13&amp;Detail!CQ68))</f>
        <v/>
      </c>
      <c r="OC68" s="1283" t="str">
        <f>IF(A68=FALSE,"",IF(LISTES!$A$17=1,OB68,INDEX(colMOD1,MATCH(Cotations!CE68,colchoice,0))))</f>
        <v/>
      </c>
      <c r="OD68" s="759" t="str">
        <f t="shared" si="353"/>
        <v/>
      </c>
      <c r="OE68" s="292" t="str">
        <f>IF(A68=FALSE,"",Detail!CQ68)</f>
        <v/>
      </c>
      <c r="OF68" s="409" t="str">
        <f t="shared" si="354"/>
        <v/>
      </c>
      <c r="OG68" s="430" t="str">
        <f>IF(A68=FALSE,"",IF(OA68="FIXE",Cotations!CM68,Cotations!CN68*AA68))</f>
        <v/>
      </c>
      <c r="OH68" s="292" t="str">
        <f t="shared" si="288"/>
        <v/>
      </c>
      <c r="OI68" s="446" t="str">
        <f>IF(A68=FALSE,"",IF(Cotations!CF68="monthly",OH68/12*L68,OH68/365*M68))</f>
        <v/>
      </c>
      <c r="OJ68" s="429" t="str">
        <f>IF(A68=FALSE,"",IF(Cotations!CO68="","",Cotations!CO68))</f>
        <v/>
      </c>
      <c r="OK68" s="292" t="str">
        <f t="shared" si="289"/>
        <v/>
      </c>
      <c r="OL68" s="292" t="str">
        <f t="shared" si="290"/>
        <v/>
      </c>
      <c r="OM68" s="759" t="str">
        <f t="shared" si="355"/>
        <v/>
      </c>
      <c r="ON68" s="759" t="str">
        <f>IF(A68=FALSE,"",((OH68*(1+TAXE)-(OH68*(1+TAXE)*OJ68))+IF(#REF!="N/A",0,IF(INDEX(LISTES!$F$105:$F$109,MATCH(#REF!,LISTES!$C$105:$C$109,0))="FIX",#REF!,#REF!*OM68))))</f>
        <v/>
      </c>
      <c r="PA68" s="432" t="str">
        <f>IF(A68=FALSE,"",Cotations!CF68)</f>
        <v/>
      </c>
      <c r="PB68" s="1282" t="str">
        <f>IF(A68=FALSE,"",IF(Detail!CX68="","N/A",YEAR(Detail!F68)&amp;Detail!DA68&amp;Detail!CX68&amp;"-"&amp;Detail!$CX$13&amp;Detail!CY68))</f>
        <v/>
      </c>
      <c r="PC68" s="1283" t="str">
        <f>IF(A68=FALSE,"",IF(LISTES!$A$17=1,PB68,INDEX(colMOD3,MATCH(Cotations!CE68,colchoice,0))))</f>
        <v/>
      </c>
      <c r="PD68" s="759" t="str">
        <f t="shared" si="356"/>
        <v/>
      </c>
      <c r="PE68" s="292" t="str">
        <f>IF(A68=FALSE,"",IF(Detail!CY68="","",Detail!CY68))</f>
        <v/>
      </c>
      <c r="PF68" s="409" t="str">
        <f t="shared" si="291"/>
        <v/>
      </c>
      <c r="PG68" s="430" t="str">
        <f>IF(A68=FALSE,"",IF(PA68="FIXE",Cotations!CP68,Cotations!CQ68*AA68))</f>
        <v/>
      </c>
      <c r="PH68" s="292" t="str">
        <f t="shared" si="292"/>
        <v/>
      </c>
      <c r="PI68" s="446" t="str">
        <f>IF(A68=FALSE,"",IF(Cotations!CG68="monthly",PH68/12*L68,PH68/365*M68))</f>
        <v/>
      </c>
      <c r="PJ68" s="429" t="str">
        <f>IF(A68=FALSE,"",IF(Cotations!DA68="",0,Cotations!DA68))</f>
        <v/>
      </c>
      <c r="PK68" s="292" t="str">
        <f t="shared" si="293"/>
        <v/>
      </c>
      <c r="PL68" s="292" t="str">
        <f t="shared" si="294"/>
        <v/>
      </c>
      <c r="PM68" s="759" t="str">
        <f t="shared" si="357"/>
        <v/>
      </c>
      <c r="PN68" s="759" t="str">
        <f>IF(A68=FALSE,"",((PH68*(1+TAXE)-(PH68*(1+TAXE)*PJ68))+IF(#REF!="N/A",0,IF(INDEX(LISTES!$F$105:$F$109,MATCH(#REF!,LISTES!$C$105:$C$109,0))="FIX",#REF!,#REF!*PM68))))</f>
        <v/>
      </c>
    </row>
    <row r="69" spans="1:430">
      <c r="A69" s="779" t="b">
        <f t="shared" si="295"/>
        <v>0</v>
      </c>
      <c r="B69" s="779" t="b">
        <f>IF(NAMES!$B$9=TRUE,TRUE,FALSE)</f>
        <v>1</v>
      </c>
      <c r="C69" s="779" t="b">
        <f t="shared" si="212"/>
        <v>0</v>
      </c>
      <c r="D69" s="779" t="b">
        <f t="shared" si="213"/>
        <v>0</v>
      </c>
      <c r="E69" s="267" t="b">
        <f>IF(Cotations!C69="","",Cotations!C69)</f>
        <v>0</v>
      </c>
      <c r="F69" s="267" t="str">
        <f>IF(Cotations!AT69="","",Cotations!AT69)</f>
        <v>PROP</v>
      </c>
      <c r="G69" s="267" t="str">
        <f>IF(Cotations!D69="","",Cotations!D69)</f>
        <v>2016-2017!</v>
      </c>
      <c r="H69" s="267" t="str">
        <f>IF(Cotations!E69="","",Cotations!E69)</f>
        <v>SINGLE</v>
      </c>
      <c r="I69" s="267" t="str">
        <f>IF(Cotations!F69="","",Cotations!F69)</f>
        <v/>
      </c>
      <c r="J69" s="267" t="str">
        <f>IF(Cotations!G69="","",Cotations!G69)</f>
        <v/>
      </c>
      <c r="K69" s="267" t="str">
        <f>IF(Cotations!H69="","",Cotations!H69)</f>
        <v/>
      </c>
      <c r="L69" s="267" t="str">
        <f>IF(A69=FALSE,"",IF(Cotations!M69="","",Cotations!M69))</f>
        <v/>
      </c>
      <c r="M69" s="267" t="str">
        <f>IF(Cotations!O69="","",Cotations!O69)</f>
        <v/>
      </c>
      <c r="N69" s="588" t="str">
        <f>IF(NAMES!$B$10=TRUE,Cotations!I69,Cotations!K69)</f>
        <v/>
      </c>
      <c r="O69" s="588" t="str">
        <f>IF(NAMES!$B$10=TRUE,Cotations!J69,Cotations!L69)</f>
        <v/>
      </c>
      <c r="P69" s="780" t="str">
        <f t="shared" si="214"/>
        <v/>
      </c>
      <c r="Q69" s="588" t="str">
        <f>IF(A69=FALSE,"",IF(Crewlist!Y69="","",Crewlist!Y69))</f>
        <v/>
      </c>
      <c r="R69" s="78" t="str">
        <f>IF(Cotations!T69="","",Cotations!T69)</f>
        <v/>
      </c>
      <c r="S69" s="780" t="str">
        <f t="shared" si="215"/>
        <v/>
      </c>
      <c r="T69" s="759" t="str">
        <f>IF(A69=FALSE,"",VLOOKUP($U$15:$U$120,Currency!$A$2:$D$10,4,0)*Crewlist!N69)</f>
        <v/>
      </c>
      <c r="U69" s="1097" t="str">
        <f>IF(A69=FALSE,"",IF(DP69=0,Crewlist!M69&amp;"/"&amp;CP69,Crewlist!M69&amp;"/"&amp;DP69))</f>
        <v/>
      </c>
      <c r="V69" s="759" t="str">
        <f>IF(A69=FALSE,"",VLOOKUP($U$15:$U$120,Currency!$A$2:$D$10,4,0)*Detail!Q69)</f>
        <v/>
      </c>
      <c r="W69" s="1097" t="str">
        <f>IF(A69=FALSE,"",IF(DP69=0,Detail!R69&amp;"/"&amp;CP69,Detail!R69&amp;"/"&amp;DP69))</f>
        <v/>
      </c>
      <c r="X69" s="759" t="str">
        <f>IF(A69=FALSE,"",IF(LISTES!$C$17="Crewlist",Calcul!T69,Calcul!V69))</f>
        <v/>
      </c>
      <c r="Y69" s="618" t="str">
        <f t="shared" si="216"/>
        <v/>
      </c>
      <c r="Z69" s="618" t="str">
        <f>IF(A69=FALSE,"",IF(X69=0,0,IF((Cotations!BA69*12*X69)&lt;50000,50000,(12*X69))))</f>
        <v/>
      </c>
      <c r="AA69" s="618" t="str">
        <f t="shared" si="217"/>
        <v/>
      </c>
      <c r="AB69" s="618" t="str">
        <f>IF(A69=FALSE,"",IF(Crewlist!O69=0,"",Crewlist!O69))</f>
        <v/>
      </c>
      <c r="AC69" s="618" t="str">
        <f>IF(I69="","",VLOOKUP($AB$15:$AB$120,Currency!$A$15:$B$34,2,0))</f>
        <v/>
      </c>
      <c r="AD69" s="618" t="str">
        <f t="shared" si="218"/>
        <v/>
      </c>
      <c r="AE69" s="618" t="str">
        <f t="shared" si="219"/>
        <v/>
      </c>
      <c r="AF69" s="618" t="str">
        <f t="shared" si="220"/>
        <v/>
      </c>
      <c r="AG69" s="618" t="str">
        <f t="shared" si="221"/>
        <v/>
      </c>
      <c r="AH69" s="1097" t="str">
        <f t="shared" si="296"/>
        <v/>
      </c>
      <c r="AI69" s="759" t="str">
        <f t="shared" si="222"/>
        <v/>
      </c>
      <c r="AJ69" s="1120" t="str">
        <f t="shared" si="223"/>
        <v/>
      </c>
      <c r="AK69" s="1120" t="str">
        <f t="shared" si="224"/>
        <v/>
      </c>
      <c r="AL69" s="236" t="str">
        <f t="shared" si="225"/>
        <v/>
      </c>
      <c r="AM69" s="236" t="str">
        <f t="shared" si="226"/>
        <v/>
      </c>
      <c r="AN69" s="1112" t="str">
        <f t="shared" si="227"/>
        <v/>
      </c>
      <c r="AO69" s="236" t="str">
        <f t="shared" si="228"/>
        <v/>
      </c>
      <c r="AP69" s="327" t="str">
        <f>IF(A69=FALSE,"",INDEX(Rates!$Q$1:$Q$278,MATCH(CA69,colchoice,0)))</f>
        <v/>
      </c>
      <c r="AQ69" s="236" t="str">
        <f t="shared" si="229"/>
        <v/>
      </c>
      <c r="AR69" s="236" t="str">
        <f t="shared" si="230"/>
        <v/>
      </c>
      <c r="AS69" s="236" t="str">
        <f t="shared" si="297"/>
        <v/>
      </c>
      <c r="AT69" s="236" t="str">
        <f t="shared" si="298"/>
        <v/>
      </c>
      <c r="AU69" s="236" t="str">
        <f t="shared" si="231"/>
        <v/>
      </c>
      <c r="AV69" s="236" t="str">
        <f t="shared" si="232"/>
        <v/>
      </c>
      <c r="AW69" s="236" t="str">
        <f t="shared" si="233"/>
        <v/>
      </c>
      <c r="AX69" s="236" t="str">
        <f t="shared" si="234"/>
        <v/>
      </c>
      <c r="AY69" s="236" t="str">
        <f t="shared" si="235"/>
        <v/>
      </c>
      <c r="AZ69" s="236" t="str">
        <f t="shared" si="236"/>
        <v/>
      </c>
      <c r="BA69" s="236" t="str">
        <f t="shared" si="237"/>
        <v/>
      </c>
      <c r="BB69" s="467" t="str">
        <f t="shared" si="238"/>
        <v/>
      </c>
      <c r="BC69" s="329" t="str">
        <f t="shared" si="239"/>
        <v/>
      </c>
      <c r="BD69" s="237" t="str">
        <f t="shared" si="240"/>
        <v/>
      </c>
      <c r="BE69" s="237" t="str">
        <f>IF(A69=FALSE,"",IF(ED69&lt;&gt;$BC$7,0,INDEX(EA69:EZ69,1,MATCH(Structure!$J$16,$EA$14:$EZ$14,0))))</f>
        <v/>
      </c>
      <c r="BF69" s="237" t="str">
        <f>IF(A69=FALSE,"",IF(FD69&lt;&gt;$BC$7,0,INDEX(FA69:FZ69,1,MATCH(Structure!$J$16,$FA$14:$FZ$14,0))))</f>
        <v/>
      </c>
      <c r="BG69" s="237" t="str">
        <f>IF(A69=FALSE,"",IF(GD69&lt;&gt;$BC$7,0,INDEX(GA69:GZ69,1,MATCH(Structure!$J$16,$GA$14:$GZ$14,0))))</f>
        <v/>
      </c>
      <c r="BH69" s="237" t="str">
        <f>IF(A69=FALSE,"",IF(HD69&lt;&gt;$BC$7,0,INDEX(HA69:HZ69,1,MATCH(Structure!$J$16,$HA$14:$HZ$14,0))))</f>
        <v/>
      </c>
      <c r="BI69" s="621" t="str">
        <f>IF(A69=FALSE,"",IF(ID69&lt;&gt;$BC$7,0,INDEX(IA69:IZ69,1,MATCH(Structure!$C$12,$IA$14:$IZ$14,0)))+OL69)</f>
        <v/>
      </c>
      <c r="BJ69" s="237" t="str">
        <f>IF(A69=FALSE,"",IF(JD69&lt;&gt;$BC$7,0,INDEX(JA69:JZ69,1,MATCH(Structure!$C$12,$JA$14:$JZ$14,0))))</f>
        <v/>
      </c>
      <c r="BK69" s="621" t="str">
        <f>IF(A69=FALSE,"",IF(KD69&lt;&gt;$BC$7,0,INDEX(KA69:KZ69,1,MATCH(Structure!$C$12,$KA$14:$KZ$14,0)))+PL69)</f>
        <v/>
      </c>
      <c r="BL69" s="237" t="str">
        <f>IF(A69=FALSE,"",IF(LD69&lt;&gt;$BC$7,0,INDEX(LA69:LZ69,1,MATCH(Structure!$C$12,$LA$14:$LZ$14,0))))</f>
        <v/>
      </c>
      <c r="BM69" s="237" t="str">
        <f>IF(A69=FALSE,"",IF(MD69&lt;&gt;$BC$7,0,INDEX(MA69:MZ69,1,MATCH(Structure!$C$12,$MA$14:$MZ$14,0))))</f>
        <v/>
      </c>
      <c r="BN69" s="326" t="str">
        <f>IF(A69=FALSE,"",IF(ND69&lt;&gt;$BC$7,0,INDEX(NA69:OC69,1,MATCH(Structure!$C$12,$NA$14:$OC$14,0))))</f>
        <v/>
      </c>
      <c r="BO69" s="435" t="str">
        <f t="shared" si="241"/>
        <v/>
      </c>
      <c r="BP69" s="237" t="str">
        <f t="shared" si="242"/>
        <v/>
      </c>
      <c r="BQ69" s="237" t="str">
        <f>IF(A69=FALSE,"",IF(ED69&lt;&gt;$BO$7,0,INDEX(EA69:EZ69,1,MATCH(Structure!$C$12,$EA$14:$EZ$14,0))))</f>
        <v/>
      </c>
      <c r="BR69" s="237" t="str">
        <f>IF(A69=FALSE,"",IF(FD69&lt;&gt;$BO$7,0,INDEX(FA69:FZ69,1,MATCH(Structure!$C$12,$FA$14:$FZ$14,0))))</f>
        <v/>
      </c>
      <c r="BS69" s="237" t="str">
        <f>IF(A69=FALSE,"",IF(ID69&lt;&gt;$BO$7,0,INDEX(IA69:IZ69,1,MATCH(Structure!$C$13,$IA$14:$IZ$14,0))))</f>
        <v/>
      </c>
      <c r="BT69" s="237" t="str">
        <f>IF(A69=FALSE,"",IF(JD69&lt;&gt;$BO$7,0,INDEX(JA69:JZ69,1,MATCH(Structure!$C$13,$JA$14:$JZ$14,0))))</f>
        <v/>
      </c>
      <c r="BU69" s="237" t="str">
        <f>IF(A69=FALSE,"",IF(KD69&lt;&gt;$BO$7,0,INDEX(KA69:KZ69,1,MATCH(Structure!$C$13,$KA$14:$KZ$14,0))))</f>
        <v/>
      </c>
      <c r="BV69" s="237" t="str">
        <f>IF(A69=FALSE,"",IF(LD69&lt;&gt;$BO$7,0,INDEX(LA69:LZ69,1,MATCH(Structure!$C$13,$LA$14:$LZ$14,0))))</f>
        <v/>
      </c>
      <c r="BW69" s="237" t="str">
        <f>IF(A69=FALSE,"",IF(MD69&lt;&gt;$BO$7,0,INDEX(MA69:MZ69,1,MATCH(Structure!$C$13,$MA$14:$MZ$14,0))))</f>
        <v/>
      </c>
      <c r="BX69" s="326" t="str">
        <f>IF(A69=FALSE,"",IF(ND69&lt;&gt;$BO$7,0,INDEX(NA69:OC69,1,MATCH(Structure!$C$13,$NA$14:$OC$14,0))))</f>
        <v/>
      </c>
      <c r="BY69" s="412"/>
      <c r="BZ69" s="412"/>
      <c r="CA69" s="1255" t="str">
        <f>IF(A69=FALSE,"",IF(LISTES!$A$17=1,Cotations!AG69,Cotations!AH69))</f>
        <v/>
      </c>
      <c r="CB69" s="1266" t="str">
        <f t="shared" si="243"/>
        <v/>
      </c>
      <c r="CC69" s="1120" t="str">
        <f t="shared" si="244"/>
        <v/>
      </c>
      <c r="CD69" s="1120" t="str">
        <f t="shared" si="245"/>
        <v/>
      </c>
      <c r="CE69" s="1120" t="str">
        <f t="shared" si="246"/>
        <v/>
      </c>
      <c r="CF69" s="1120" t="str">
        <f t="shared" si="247"/>
        <v/>
      </c>
      <c r="CG69" s="1267"/>
      <c r="CH69" s="1267"/>
      <c r="CI69" s="1268" t="str">
        <f t="shared" si="248"/>
        <v/>
      </c>
      <c r="CJ69" s="286" t="str">
        <f t="shared" si="249"/>
        <v/>
      </c>
      <c r="CK69" s="286" t="str">
        <f t="shared" si="250"/>
        <v/>
      </c>
      <c r="CL69" s="1263"/>
      <c r="CM69" s="1263"/>
      <c r="CN69" s="1263"/>
      <c r="CO69" s="1263"/>
      <c r="CP69" s="319" t="str">
        <f t="shared" si="251"/>
        <v/>
      </c>
      <c r="CQ69" s="443" t="str">
        <f>IF(A69=FALSE,"",Cotations!AM69)</f>
        <v/>
      </c>
      <c r="CR69" s="443" t="str">
        <f>IF(A69=FALSE,"",IF(Cotations!AN69="","",Cotations!AN69))</f>
        <v/>
      </c>
      <c r="CS69" s="433" t="str">
        <f>IF(A69=FALSE,"",Cotations!AO69)</f>
        <v/>
      </c>
      <c r="CT69" s="443" t="str">
        <f>IF(A69=FALSE,"",IF(CQ69="N/A",0,IF(INDEX(LISTES!$F$105:$F$109,MATCH(CQ69,LISTES!$C$105:$C$109,0))="FIX",IF(INDEX(LISTES!$E$105:$E$109,MATCH(CQ69,LISTES!$C$105:$C$109,0))=12,CR69/12*L69,CR69/365*M69),CS69*EQ69)))</f>
        <v/>
      </c>
      <c r="CU69" s="434" t="str">
        <f>IF(A69=FALSE,"",(CJ69+CK69)*Cotations!AP69)</f>
        <v/>
      </c>
      <c r="CV69" s="434" t="str">
        <f>IF(A69=FALSE,"",(CJ69+CK69)*Cotations!AQ69)</f>
        <v/>
      </c>
      <c r="DA69" s="1253" t="str">
        <f>IF(A69=FALSE,"",IF(LISTES!$A$17=1,Cotations!AV69,Cotations!AW69))</f>
        <v/>
      </c>
      <c r="DB69" s="1271" t="str">
        <f t="shared" si="252"/>
        <v/>
      </c>
      <c r="DC69" s="1270" t="str">
        <f t="shared" si="253"/>
        <v/>
      </c>
      <c r="DD69" s="1270" t="str">
        <f t="shared" si="254"/>
        <v/>
      </c>
      <c r="DE69" s="1270" t="str">
        <f t="shared" si="255"/>
        <v/>
      </c>
      <c r="DF69" s="1270" t="str">
        <f t="shared" si="256"/>
        <v/>
      </c>
      <c r="DG69" s="1270" t="str">
        <f t="shared" si="257"/>
        <v/>
      </c>
      <c r="DH69" s="1270" t="str">
        <f t="shared" si="258"/>
        <v/>
      </c>
      <c r="DI69" s="1271" t="str">
        <f t="shared" si="259"/>
        <v/>
      </c>
      <c r="DJ69" s="286" t="str">
        <f t="shared" si="260"/>
        <v/>
      </c>
      <c r="DK69" s="286" t="str">
        <f t="shared" si="261"/>
        <v/>
      </c>
      <c r="DL69" s="1264" t="str">
        <f t="shared" si="262"/>
        <v/>
      </c>
      <c r="DM69" s="1264" t="str">
        <f t="shared" si="263"/>
        <v/>
      </c>
      <c r="DN69" s="1264" t="str">
        <f t="shared" si="264"/>
        <v/>
      </c>
      <c r="DO69" s="1264" t="str">
        <f t="shared" si="265"/>
        <v/>
      </c>
      <c r="DP69" s="323" t="str">
        <f t="shared" si="299"/>
        <v/>
      </c>
      <c r="DQ69" s="444" t="str">
        <f>IF(A69=FALSE,"",Cotations!BW69)</f>
        <v/>
      </c>
      <c r="DR69" s="444" t="str">
        <f>IF(A69=FALSE,"",Cotations!BX69)</f>
        <v/>
      </c>
      <c r="DS69" s="433" t="str">
        <f>IF(A69=FALSE,"",Cotations!BY69)</f>
        <v/>
      </c>
      <c r="DT69" s="830" t="str">
        <f>IF(A69=FALSE,"",IF(DQ69="N/A",0,IF(INDEX(LISTES!$F$105:$F$109,MATCH(DQ69,LISTES!$C$105:$C$109,0))="FIX",IF(INDEX(LISTES!$E$105:$E$109,MATCH(DQ69,LISTES!$C$105:$C$109,0))=12,DR69/12*L69,DR69/365*M69),DS69*(DN69+DO69))))</f>
        <v/>
      </c>
      <c r="DU69" s="434" t="str">
        <f>IF(A69=FALSE,"",DJ69*Cotations!BZ69)</f>
        <v/>
      </c>
      <c r="DV69" s="434" t="str">
        <f>IF(A69=FALSE,"",DJ69*Cotations!CA69)</f>
        <v/>
      </c>
      <c r="EA69" s="432" t="str">
        <f>IF(A69=FALSE,"",Cotations!AT69)</f>
        <v/>
      </c>
      <c r="EB69" s="1234" t="str">
        <f>IF(A69=FALSE,"",YEAR(Detail!F69)&amp;Detail!AG69&amp;Detail!AD69&amp;"-"&amp;Detail!$AD$13&amp;Detail!AE69)</f>
        <v/>
      </c>
      <c r="EC69" s="434" t="str">
        <f>IF(A69=FALSE,"",IF(LISTES!$A$17=1,EB69,INDEX(colMOD1,MATCH(Cotations!AH69,colchoice,0))))</f>
        <v/>
      </c>
      <c r="ED69" s="277" t="str">
        <f t="shared" si="300"/>
        <v/>
      </c>
      <c r="EE69" s="277" t="str">
        <f t="shared" si="301"/>
        <v/>
      </c>
      <c r="EF69" s="277"/>
      <c r="EG69" s="277"/>
      <c r="EH69" s="277" t="str">
        <f t="shared" si="302"/>
        <v/>
      </c>
      <c r="EI69" s="1104" t="str">
        <f t="shared" si="303"/>
        <v/>
      </c>
      <c r="EJ69" s="1104" t="str">
        <f t="shared" si="304"/>
        <v/>
      </c>
      <c r="EK69" s="443" t="str">
        <f>IF(A69=FALSE,"",IF(Cotations!AF69="monthly",EH69/12*L69,EH69/365*M69))</f>
        <v/>
      </c>
      <c r="EL69" s="1103" t="str">
        <f>IF(A69=FALSE,"",IF(Cotations!AF69="monthly",EJ69/12*L69,EJ69/365*M69))</f>
        <v/>
      </c>
      <c r="EM69" s="433" t="str">
        <f>IF(A69=FALSE,"",IF(Cotations!AI69="","",Cotations!AI69))</f>
        <v/>
      </c>
      <c r="EN69" s="277" t="str">
        <f t="shared" si="305"/>
        <v/>
      </c>
      <c r="EO69" s="277" t="str">
        <f t="shared" si="306"/>
        <v/>
      </c>
      <c r="EP69" s="1104" t="str">
        <f t="shared" si="307"/>
        <v/>
      </c>
      <c r="EQ69" s="277" t="str">
        <f t="shared" si="308"/>
        <v/>
      </c>
      <c r="ER69" s="759" t="str">
        <f>IF(A69=FALSE,"",((EH69*TAXE)-(EH69*TAXE*EM69)+EI69)+IF(CQ69="N/A",0,IF(INDEX(LISTES!$F$105:$F$109,MATCH(CQ69,LISTES!$C$105:$C$109,0))="FIX",CR69,CS69*EQ69)))</f>
        <v/>
      </c>
      <c r="ET69" s="422"/>
      <c r="EU69" s="422"/>
      <c r="EV69" s="422"/>
      <c r="EW69" s="422"/>
      <c r="EX69" s="422"/>
      <c r="EY69" s="422"/>
      <c r="EZ69" s="422"/>
      <c r="FA69" s="432" t="str">
        <f>IF(A69=FALSE,"",Cotations!AT69)</f>
        <v/>
      </c>
      <c r="FB69" s="1235" t="str">
        <f>IF(A69=FALSE,"",IF(Detail!AL69="","N/A",YEAR(Detail!F69)&amp;Detail!AO69&amp;Detail!AL69&amp;"-"&amp;Detail!$AL$13&amp;Detail!AM69))</f>
        <v/>
      </c>
      <c r="FC69" s="434" t="str">
        <f>IF(A69=FALSE,"",IF(LISTES!$A$17=1,FB69,INDEX(colMOD2,MATCH(Cotations!AH69,colchoice,0))))</f>
        <v/>
      </c>
      <c r="FD69" s="277" t="str">
        <f t="shared" si="309"/>
        <v/>
      </c>
      <c r="FE69" s="443" t="str">
        <f>IF(A69=FALSE,"",IF(Detail!AM69="","",Detail!AM69))</f>
        <v/>
      </c>
      <c r="FF69" s="277"/>
      <c r="FG69" s="277"/>
      <c r="FH69" s="277" t="str">
        <f t="shared" si="310"/>
        <v/>
      </c>
      <c r="FI69" s="1104"/>
      <c r="FJ69" s="1104"/>
      <c r="FK69" s="443" t="str">
        <f>IF(A69=FALSE,"",IF(Cotations!AF69="monthly",FH69/12*L69,FH69/365*M69))</f>
        <v/>
      </c>
      <c r="FL69" s="1103" t="str">
        <f>IF(A69=FALSE,"",IF(Cotations!AF69="monthly",FJ69/12*L69,FJ69/365*M69))</f>
        <v/>
      </c>
      <c r="FM69" s="433" t="str">
        <f>IF(A69=FALSE,"",IF(Cotations!AJ69="","",Cotations!AJ69))</f>
        <v/>
      </c>
      <c r="FN69" s="277" t="str">
        <f t="shared" si="268"/>
        <v/>
      </c>
      <c r="FO69" s="277" t="str">
        <f t="shared" si="269"/>
        <v/>
      </c>
      <c r="FP69" s="1104"/>
      <c r="FQ69" s="277" t="str">
        <f t="shared" si="270"/>
        <v/>
      </c>
      <c r="FR69" s="759" t="str">
        <f>IF(A69=FALSE,"",((FH69*TAXE)-(FH69*TAXE*FM69))+IF(#REF!="N/A",0,IF(INDEX(LISTES!$F$105:$F$109,MATCH(#REF!,LISTES!$C$105:$C$109,0))="FIX",#REF!,#REF!*FQ69)))</f>
        <v/>
      </c>
      <c r="FS69" s="422"/>
      <c r="FT69" s="422"/>
      <c r="FU69" s="422"/>
      <c r="FV69" s="422"/>
      <c r="FW69" s="422"/>
      <c r="FX69" s="422"/>
      <c r="FY69" s="422"/>
      <c r="FZ69" s="422"/>
      <c r="GA69" s="432" t="str">
        <f t="shared" si="311"/>
        <v/>
      </c>
      <c r="GB69" s="1234" t="str">
        <f>IF(A69=FALSE,"",IF(Detail!DF69="","N/A",YEAR(Detail!F69)&amp;Detail!DI69&amp;Detail!DF69&amp;"-"&amp;Detail!$DF$13))</f>
        <v/>
      </c>
      <c r="GC69" s="434" t="str">
        <f>IF(A69=FALSE,"",IF(LISTES!$A$17=1,GB69,INDEX(colMOD3,MATCH(Cotations!AH69,colchoice,0))))</f>
        <v/>
      </c>
      <c r="GD69" s="277" t="str">
        <f t="shared" si="312"/>
        <v/>
      </c>
      <c r="GE69" s="277" t="str">
        <f t="shared" si="313"/>
        <v/>
      </c>
      <c r="GF69" s="277"/>
      <c r="GG69" s="277"/>
      <c r="GH69" s="277" t="str">
        <f t="shared" si="271"/>
        <v/>
      </c>
      <c r="GI69" s="1104" t="str">
        <f t="shared" si="272"/>
        <v/>
      </c>
      <c r="GJ69" s="1104" t="str">
        <f t="shared" si="273"/>
        <v/>
      </c>
      <c r="GK69" s="443" t="str">
        <f>IF(A69=FALSE,"",IF(Cotations!AF69="monthly",GH69/12*L69,GH69/365*M69))</f>
        <v/>
      </c>
      <c r="GL69" s="1103" t="str">
        <f>IF(A69=FALSE,"",IF(Cotations!AF69="monthly",GJ69/12*L69,GJ69/365*M69))</f>
        <v/>
      </c>
      <c r="GM69" s="433" t="str">
        <f>IF(A69=FALSE,"",IF(Cotations!AK69="","",Cotations!AK69))</f>
        <v/>
      </c>
      <c r="GN69" s="277" t="str">
        <f t="shared" si="274"/>
        <v/>
      </c>
      <c r="GO69" s="277" t="str">
        <f t="shared" si="275"/>
        <v/>
      </c>
      <c r="GP69" s="1104" t="str">
        <f t="shared" si="276"/>
        <v/>
      </c>
      <c r="GQ69" s="277" t="str">
        <f t="shared" si="277"/>
        <v/>
      </c>
      <c r="GR69" s="759" t="str">
        <f>IF(A69=FALSE,"",((GH69*TAXE)-(GH69*TAXE*GM69)+GI69)+IF(CQ69="N/A",0,IF(INDEX(LISTES!$F$105:$F$109,MATCH(CQ69,LISTES!$C$105:$C$109,0))="FIX",CR69,CS69*GQ69)))</f>
        <v/>
      </c>
      <c r="GS69" s="412"/>
      <c r="GT69" s="412"/>
      <c r="GU69" s="412"/>
      <c r="GV69" s="412"/>
      <c r="GW69" s="412"/>
      <c r="GX69" s="412"/>
      <c r="GY69" s="412"/>
      <c r="GZ69" s="412"/>
      <c r="HA69" s="432" t="str">
        <f t="shared" si="314"/>
        <v/>
      </c>
      <c r="HB69" s="1234" t="str">
        <f>IF(A69=FALSE,"",IF(Detail!DF69="","N/A",YEAR(Detail!F69)&amp;Detail!DI69&amp;Detail!DF69&amp;"-"&amp;Detail!$DF$13))</f>
        <v/>
      </c>
      <c r="HC69" s="434" t="str">
        <f>IF(A69=FALSE,"",IF(LISTES!$A$17=1,HB69,INDEX(colMOD4,MATCH(Cotations!AH69,colchoice,0))))</f>
        <v/>
      </c>
      <c r="HD69" s="277" t="str">
        <f t="shared" si="278"/>
        <v/>
      </c>
      <c r="HE69" s="277" t="str">
        <f t="shared" si="279"/>
        <v/>
      </c>
      <c r="HF69" s="277"/>
      <c r="HG69" s="277"/>
      <c r="HH69" s="277" t="str">
        <f t="shared" si="280"/>
        <v/>
      </c>
      <c r="HI69" s="1104" t="str">
        <f t="shared" si="281"/>
        <v/>
      </c>
      <c r="HJ69" s="1104" t="str">
        <f t="shared" si="282"/>
        <v/>
      </c>
      <c r="HK69" s="443" t="str">
        <f>IF(A69=FALSE,"",IF(Cotations!AF69="monthly",HH69/12*L69,HH69/365*M69))</f>
        <v/>
      </c>
      <c r="HL69" s="1103" t="str">
        <f>IF(A69=FALSE,"",IF(Cotations!AF69="monthly",HJ69/12*L69,HJ69/365*M69))</f>
        <v/>
      </c>
      <c r="HM69" s="433" t="str">
        <f>IF(A69=FALSE,"",IF(Cotations!AL69="","",Cotations!AL69))</f>
        <v/>
      </c>
      <c r="HN69" s="277" t="str">
        <f t="shared" si="283"/>
        <v/>
      </c>
      <c r="HO69" s="277" t="str">
        <f t="shared" si="284"/>
        <v/>
      </c>
      <c r="HP69" s="1104" t="str">
        <f t="shared" si="285"/>
        <v/>
      </c>
      <c r="HQ69" s="277" t="str">
        <f t="shared" si="286"/>
        <v/>
      </c>
      <c r="HR69" s="759" t="str">
        <f>IF(A69=FALSE,"",((HH69*TAXE)-(HH69*TAXE*HM69)+HI69)+IF(CQ69="N/A",0,IF(INDEX(LISTES!$F$105:$F$109,MATCH(CQ69,LISTES!$C$105:$C$109,0))="FIX",CR69,CS69*HQ69)))</f>
        <v/>
      </c>
      <c r="HS69" s="412"/>
      <c r="HT69" s="412"/>
      <c r="HU69" s="412"/>
      <c r="HV69" s="412"/>
      <c r="HW69" s="412"/>
      <c r="HX69" s="412"/>
      <c r="HY69" s="412"/>
      <c r="HZ69" s="1262"/>
      <c r="IA69" s="432" t="str">
        <f>IF(A69=FALSE,"",Cotations!AT69)</f>
        <v/>
      </c>
      <c r="IB69" s="1253" t="str">
        <f>IF(A69=FALSE,"",IF(Detail!AT69="","N/A",YEAR(Detail!F69)&amp;Detail!AW69&amp;Detail!AT69&amp;"-"&amp;Detail!$AT$13&amp;Detail!AU69))</f>
        <v/>
      </c>
      <c r="IC69" s="431" t="str">
        <f>IF(A69=FALSE,"",IF(LISTES!$A$17=1,IB69,INDEX(colMOD1,MATCH(DA69,colchoice,0))))</f>
        <v/>
      </c>
      <c r="ID69" s="759" t="str">
        <f t="shared" si="358"/>
        <v/>
      </c>
      <c r="IE69" s="292" t="str">
        <f>IF(A69=FALSE,"",IF(LISTES!$A$17=1,Detail!AU69,INDEX(Rates!$M$1:$M$270,MATCH(IC69,colMOD1,0))))</f>
        <v/>
      </c>
      <c r="IF69" s="409" t="str">
        <f t="shared" si="359"/>
        <v/>
      </c>
      <c r="IG69" s="430" t="str">
        <f>IF(A69=FALSE,"",IF(IA69="POEA",Cotations!AY69,IF(IA69="FIXE",Cotations!AZ69,IF(Cotations!BA69*Y69&lt;50000,Z69,Cotations!BA69*Y69))))</f>
        <v/>
      </c>
      <c r="IH69" s="292" t="str">
        <f t="shared" si="360"/>
        <v/>
      </c>
      <c r="II69" s="446" t="str">
        <f>IF(A69=FALSE,"",IF(Cotations!AU69="monthly",IH69/12*L69,IH69/365*M69))</f>
        <v/>
      </c>
      <c r="IJ69" s="429" t="str">
        <f>IF(A69=FALSE,"",IF(Cotations!BB69="","",Cotations!BB69))</f>
        <v/>
      </c>
      <c r="IK69" s="292" t="str">
        <f t="shared" si="361"/>
        <v/>
      </c>
      <c r="IL69" s="292" t="str">
        <f t="shared" si="362"/>
        <v/>
      </c>
      <c r="IM69" s="759" t="str">
        <f t="shared" si="363"/>
        <v/>
      </c>
      <c r="IN69" s="759" t="str">
        <f>IF(A69=FALSE,"",((IH69*TAXE)-(IH69*TAXE*IJ69))+IF(DQ69="N/A",0,IF(INDEX(LISTES!$F$105:$F$109,MATCH(DQ69,LISTES!$C$105:$C$109,0))="FIX",DR69,DS69*IM69)))</f>
        <v/>
      </c>
      <c r="JA69" s="432" t="str">
        <f>IF(A69=FALSE,"",Cotations!AT69)</f>
        <v/>
      </c>
      <c r="JB69" s="1234" t="str">
        <f>IF(A69=FALSE,"",IF(Detail!BB69="","N/A",YEAR(Detail!F69)&amp;Detail!BE69&amp;Detail!BB69&amp;"-"&amp;Detail!$BB$13&amp;Detail!BC69))</f>
        <v/>
      </c>
      <c r="JC69" s="431" t="str">
        <f>IF(A69=FALSE,"",IF(LISTES!$A$17=1,JB69,INDEX(colMOD2,MATCH(DA69,colchoice,0))))</f>
        <v/>
      </c>
      <c r="JD69" s="759" t="str">
        <f t="shared" si="321"/>
        <v/>
      </c>
      <c r="JE69" s="292"/>
      <c r="JF69" s="409" t="str">
        <f t="shared" si="322"/>
        <v/>
      </c>
      <c r="JG69" s="430" t="str">
        <f>IF(A69=FALSE,"",IF(JA69="POEA",Cotations!BC69,IF(JA69="FIXE",Cotations!BD69,IF(Cotations!BE69*Y69&lt;50000,Z69,Cotations!BE69*Y69))))</f>
        <v/>
      </c>
      <c r="JH69" s="292" t="str">
        <f t="shared" si="323"/>
        <v/>
      </c>
      <c r="JI69" s="446" t="str">
        <f>IF(A69=FALSE,"",IF(Cotations!AU69="monthly",JH69/12*L69,JH69/365*M69))</f>
        <v/>
      </c>
      <c r="JJ69" s="429" t="str">
        <f>IF(A69=FALSE,"",IF(Cotations!BF69="","",Cotations!BF69))</f>
        <v/>
      </c>
      <c r="JK69" s="292" t="str">
        <f t="shared" si="324"/>
        <v/>
      </c>
      <c r="JL69" s="292" t="str">
        <f t="shared" si="325"/>
        <v/>
      </c>
      <c r="JM69" s="759" t="str">
        <f t="shared" si="326"/>
        <v/>
      </c>
      <c r="JN69" s="759" t="str">
        <f>IF(A69=FALSE,"",((JH69*TAXE)-(JH69*TAXE*JJ69))+IF(#REF!="N/A",0,IF(INDEX(LISTES!$F$105:$F$109,MATCH(#REF!,LISTES!$C$105:$C$109,0))="FIX",#REF!,#REF!*JM69)))</f>
        <v/>
      </c>
      <c r="KA69" s="432" t="str">
        <f>IF(A69=FALSE,"",Cotations!AT69)</f>
        <v/>
      </c>
      <c r="KB69" s="1234" t="str">
        <f>IF(A69=FALSE,"",IF(Detail!BJ69="","N/A",YEAR(Detail!F69)&amp;Detail!BM69&amp;Detail!BJ69&amp;"-"&amp;Detail!$BJ$13&amp;Detail!BK69))</f>
        <v/>
      </c>
      <c r="KC69" s="431" t="str">
        <f>IF(A69=FALSE,"",IF(LISTES!$A$17=1,KB69,INDEX(colMOD3,MATCH(DA69,colchoice,0))))</f>
        <v/>
      </c>
      <c r="KD69" s="759" t="str">
        <f t="shared" si="327"/>
        <v/>
      </c>
      <c r="KE69" s="292"/>
      <c r="KF69" s="409" t="str">
        <f t="shared" si="328"/>
        <v/>
      </c>
      <c r="KG69" s="430" t="str">
        <f>IF(A69=FALSE,"",IF(KA69="POEA",Cotations!BG69,IF(KA69="FIXE",Cotations!BH69,IF(Cotations!BI69*Y69&lt;50000,Z69,Cotations!BI69*Y69))))</f>
        <v/>
      </c>
      <c r="KH69" s="292" t="str">
        <f t="shared" si="329"/>
        <v/>
      </c>
      <c r="KI69" s="446" t="str">
        <f>IF(A69=FALSE,"",IF(Cotations!AU69="monthly",KH69/12*L69,KH69/365*M69))</f>
        <v/>
      </c>
      <c r="KJ69" s="429" t="str">
        <f>IF(A69=FALSE,"",IF(Cotations!BJ69="","",Cotations!BJ69))</f>
        <v/>
      </c>
      <c r="KK69" s="292" t="str">
        <f t="shared" si="330"/>
        <v/>
      </c>
      <c r="KL69" s="292" t="str">
        <f t="shared" si="331"/>
        <v/>
      </c>
      <c r="KM69" s="759" t="str">
        <f t="shared" si="332"/>
        <v/>
      </c>
      <c r="KN69" s="759" t="str">
        <f>IF(A69=FALSE,"",((KH69*TAXE)-(KH69*TAXE*KJ69))+IF(#REF!="N/A",0,IF(INDEX(LISTES!$F$105:$F$109,MATCH(#REF!,LISTES!$C$105:$C$109,0))="FIX",#REF!,#REF!*KM69)))</f>
        <v/>
      </c>
      <c r="LA69" s="432" t="str">
        <f>IF(A69=FALSE,"",Cotations!AT69)</f>
        <v/>
      </c>
      <c r="LB69" s="1234" t="str">
        <f>IF(A69=FALSE,"",IF(Detail!BR69="","N/A",YEAR(Detail!F69)&amp;Detail!BU69&amp;Detail!BR69&amp;"-"&amp;Detail!$BR$13&amp;Detail!BS69))</f>
        <v/>
      </c>
      <c r="LC69" s="431" t="str">
        <f>IF(A69=FALSE,"",IF(LISTES!$A$17=1,LB69,INDEX(colMOD4,MATCH(DA69,colchoice,0))))</f>
        <v/>
      </c>
      <c r="LD69" s="759" t="str">
        <f t="shared" si="333"/>
        <v/>
      </c>
      <c r="LE69" s="292"/>
      <c r="LF69" s="409" t="str">
        <f t="shared" si="334"/>
        <v/>
      </c>
      <c r="LG69" s="430" t="str">
        <f>IF(A69=FALSE,"",IF(LA69="POEA",Cotations!BK69,IF(LA69="FIXE",Cotations!BL69,IF(Cotations!BM69*Y69&lt;50000,Z69,Cotations!BM69*Y69))))</f>
        <v/>
      </c>
      <c r="LH69" s="292" t="str">
        <f t="shared" si="335"/>
        <v/>
      </c>
      <c r="LI69" s="446" t="str">
        <f>IF(A69=FALSE,"",IF(Cotations!AU69="monthly",LH69/12*L69,LH69/365*M69))</f>
        <v/>
      </c>
      <c r="LJ69" s="429" t="str">
        <f>IF(A69=FALSE,"",IF(Cotations!BN69="","",Cotations!BN69))</f>
        <v/>
      </c>
      <c r="LK69" s="292" t="str">
        <f t="shared" si="336"/>
        <v/>
      </c>
      <c r="LL69" s="292" t="str">
        <f t="shared" si="337"/>
        <v/>
      </c>
      <c r="LM69" s="759" t="str">
        <f t="shared" si="338"/>
        <v/>
      </c>
      <c r="LN69" s="759" t="str">
        <f>IF(A69=FALSE,"",((LH69*TAXE)-(LH69*TAXE*LJ69))+IF(#REF!="N/A",0,IF(INDEX(LISTES!$F$105:$F$109,MATCH(#REF!,LISTES!$C$105:$C$109,0))="FIX",#REF!,#REF!*LM69)))</f>
        <v/>
      </c>
      <c r="MA69" s="432" t="str">
        <f t="shared" si="339"/>
        <v/>
      </c>
      <c r="MB69" s="1234" t="str">
        <f>IF(A69=FALSE,"",IF(Detail!BZ69="","N/A",YEAR(Detail!F69)&amp;Detail!CC69&amp;Detail!BZ69&amp;"-"&amp;Detail!$BZ$13&amp;" (100%/"&amp;Detail!CD69&amp;"/"&amp;Detail!CE69&amp;")"))</f>
        <v/>
      </c>
      <c r="MC69" s="431" t="str">
        <f>IF(A69=FALSE,"",IF(LISTES!$A$17=1,MB69,INDEX(colMOD5,MATCH(DA69,colchoice,0))))</f>
        <v/>
      </c>
      <c r="MD69" s="759" t="str">
        <f t="shared" si="340"/>
        <v/>
      </c>
      <c r="ME69" s="292"/>
      <c r="MF69" s="409" t="str">
        <f t="shared" si="341"/>
        <v/>
      </c>
      <c r="MG69" s="430" t="str">
        <f>IF(A69=FALSE,"",Cotations!BQ69*AA69)</f>
        <v/>
      </c>
      <c r="MH69" s="292" t="str">
        <f t="shared" si="342"/>
        <v/>
      </c>
      <c r="MI69" s="446" t="str">
        <f>IF(A69=FALSE,"",IF(Cotations!AU69="monthly",MH69/12*L69,MH69/365*M69))</f>
        <v/>
      </c>
      <c r="MJ69" s="429" t="str">
        <f>IF(A69=FALSE,"",IF(Cotations!BR69="","",Cotations!BR69))</f>
        <v/>
      </c>
      <c r="MK69" s="292" t="str">
        <f t="shared" si="343"/>
        <v/>
      </c>
      <c r="ML69" s="292" t="str">
        <f t="shared" si="344"/>
        <v/>
      </c>
      <c r="MM69" s="759" t="str">
        <f t="shared" si="345"/>
        <v/>
      </c>
      <c r="MN69" s="759" t="str">
        <f>IF(A69=FALSE,"",((MH69*TAXE)-(MH69*TAXE*MJ69))+IF(#REF!="N/A",0,IF(INDEX(LISTES!$F$105:$F$109,MATCH(#REF!,LISTES!$C$105:$C$109,0))="FIX",#REF!,#REF!*MM69)))</f>
        <v/>
      </c>
      <c r="NA69" s="432" t="str">
        <f t="shared" si="346"/>
        <v/>
      </c>
      <c r="NB69" s="1234" t="str">
        <f>IF(A69=FALSE,"",IF(Detail!CH69="","N/A",YEAR(Detail!F69)&amp;Detail!CK69&amp;Detail!CH69&amp;"-"&amp;Detail!$CH$13&amp;" (100%/"&amp;Detail!CL69&amp;"/"&amp;Detail!CM69&amp;")"))</f>
        <v/>
      </c>
      <c r="NC69" s="431" t="str">
        <f>IF(A69=FALSE,"",IF(LISTES!$A$17=1,NB69,INDEX(colMOD6,MATCH(DA69,colchoice,0))))</f>
        <v/>
      </c>
      <c r="ND69" s="759" t="str">
        <f t="shared" si="347"/>
        <v/>
      </c>
      <c r="NE69" s="292"/>
      <c r="NF69" s="409" t="str">
        <f t="shared" si="348"/>
        <v/>
      </c>
      <c r="NG69" s="430" t="str">
        <f>IF(A69=FALSE,"",Cotations!BU69*AA69)</f>
        <v/>
      </c>
      <c r="NH69" s="292" t="str">
        <f t="shared" si="349"/>
        <v/>
      </c>
      <c r="NI69" s="446" t="str">
        <f>IF(A69=FALSE,"",IF(Cotations!AU69="monthly",NH69/12*L69,NH69/365*M69))</f>
        <v/>
      </c>
      <c r="NJ69" s="429" t="str">
        <f>IF(A69=FALSE,"",IF(Cotations!BV69="","",Cotations!BV69))</f>
        <v/>
      </c>
      <c r="NK69" s="292" t="str">
        <f t="shared" si="350"/>
        <v/>
      </c>
      <c r="NL69" s="292" t="str">
        <f t="shared" si="351"/>
        <v/>
      </c>
      <c r="NM69" s="759" t="str">
        <f t="shared" si="352"/>
        <v/>
      </c>
      <c r="NN69" s="759" t="str">
        <f>IF(A69=FALSE,"",((NH69*TAXE)-(NH69*TAXE*NJ69))+IF(#REF!="N/A",0,IF(INDEX(LISTES!$F$105:$F$109,MATCH(#REF!,LISTES!$C$105:$C$109,0))="FIX",#REF!,#REF!*NM69)))</f>
        <v/>
      </c>
      <c r="NZ69" s="1281" t="str">
        <f>IF(A69=FALSE,"",IF(Detail!CP69="","N/A",YEAR(Detail!F69)&amp;Detail!CS69&amp;Detail!CP69&amp;"-"&amp;Detail!CQ69))</f>
        <v/>
      </c>
      <c r="OA69" s="432" t="str">
        <f>IF(A69=FALSE,"",Cotations!CF69)</f>
        <v/>
      </c>
      <c r="OB69" s="1282" t="str">
        <f>IF(A69=FALSE,"",IF(Detail!CP69="","N/A",YEAR(Detail!F69)&amp;Detail!CS69&amp;Detail!CP69&amp;"-"&amp;Detail!$CP$13&amp;Detail!CQ69))</f>
        <v/>
      </c>
      <c r="OC69" s="1283" t="str">
        <f>IF(A69=FALSE,"",IF(LISTES!$A$17=1,OB69,INDEX(colMOD1,MATCH(Cotations!CE69,colchoice,0))))</f>
        <v/>
      </c>
      <c r="OD69" s="759" t="str">
        <f t="shared" si="353"/>
        <v/>
      </c>
      <c r="OE69" s="292" t="str">
        <f>IF(A69=FALSE,"",Detail!CQ69)</f>
        <v/>
      </c>
      <c r="OF69" s="409" t="str">
        <f t="shared" si="354"/>
        <v/>
      </c>
      <c r="OG69" s="430" t="str">
        <f>IF(A69=FALSE,"",IF(OA69="FIXE",Cotations!CM69,Cotations!CN69*AA69))</f>
        <v/>
      </c>
      <c r="OH69" s="292" t="str">
        <f t="shared" si="288"/>
        <v/>
      </c>
      <c r="OI69" s="446" t="str">
        <f>IF(A69=FALSE,"",IF(Cotations!CF69="monthly",OH69/12*L69,OH69/365*M69))</f>
        <v/>
      </c>
      <c r="OJ69" s="429" t="str">
        <f>IF(A69=FALSE,"",IF(Cotations!CO69="","",Cotations!CO69))</f>
        <v/>
      </c>
      <c r="OK69" s="292" t="str">
        <f t="shared" si="289"/>
        <v/>
      </c>
      <c r="OL69" s="292" t="str">
        <f t="shared" si="290"/>
        <v/>
      </c>
      <c r="OM69" s="759" t="str">
        <f t="shared" si="355"/>
        <v/>
      </c>
      <c r="ON69" s="759" t="str">
        <f>IF(A69=FALSE,"",((OH69*(1+TAXE)-(OH69*(1+TAXE)*OJ69))+IF(#REF!="N/A",0,IF(INDEX(LISTES!$F$105:$F$109,MATCH(#REF!,LISTES!$C$105:$C$109,0))="FIX",#REF!,#REF!*OM69))))</f>
        <v/>
      </c>
      <c r="PA69" s="432" t="str">
        <f>IF(A69=FALSE,"",Cotations!CF69)</f>
        <v/>
      </c>
      <c r="PB69" s="1282" t="str">
        <f>IF(A69=FALSE,"",IF(Detail!CX69="","N/A",YEAR(Detail!F69)&amp;Detail!DA69&amp;Detail!CX69&amp;"-"&amp;Detail!$CX$13&amp;Detail!CY69))</f>
        <v/>
      </c>
      <c r="PC69" s="1283" t="str">
        <f>IF(A69=FALSE,"",IF(LISTES!$A$17=1,PB69,INDEX(colMOD3,MATCH(Cotations!CE69,colchoice,0))))</f>
        <v/>
      </c>
      <c r="PD69" s="759" t="str">
        <f t="shared" si="356"/>
        <v/>
      </c>
      <c r="PE69" s="292" t="str">
        <f>IF(A69=FALSE,"",IF(Detail!CY69="","",Detail!CY69))</f>
        <v/>
      </c>
      <c r="PF69" s="409" t="str">
        <f t="shared" si="291"/>
        <v/>
      </c>
      <c r="PG69" s="430" t="str">
        <f>IF(A69=FALSE,"",IF(PA69="FIXE",Cotations!CP69,Cotations!CQ69*AA69))</f>
        <v/>
      </c>
      <c r="PH69" s="292" t="str">
        <f t="shared" si="292"/>
        <v/>
      </c>
      <c r="PI69" s="446" t="str">
        <f>IF(A69=FALSE,"",IF(Cotations!CG69="monthly",PH69/12*L69,PH69/365*M69))</f>
        <v/>
      </c>
      <c r="PJ69" s="429" t="str">
        <f>IF(A69=FALSE,"",IF(Cotations!DA69="",0,Cotations!DA69))</f>
        <v/>
      </c>
      <c r="PK69" s="292" t="str">
        <f t="shared" si="293"/>
        <v/>
      </c>
      <c r="PL69" s="292" t="str">
        <f t="shared" si="294"/>
        <v/>
      </c>
      <c r="PM69" s="759" t="str">
        <f t="shared" si="357"/>
        <v/>
      </c>
      <c r="PN69" s="759" t="str">
        <f>IF(A69=FALSE,"",((PH69*(1+TAXE)-(PH69*(1+TAXE)*PJ69))+IF(#REF!="N/A",0,IF(INDEX(LISTES!$F$105:$F$109,MATCH(#REF!,LISTES!$C$105:$C$109,0))="FIX",#REF!,#REF!*PM69))))</f>
        <v/>
      </c>
    </row>
    <row r="70" spans="1:430">
      <c r="A70" s="779" t="b">
        <f t="shared" si="295"/>
        <v>0</v>
      </c>
      <c r="B70" s="779" t="b">
        <f>IF(NAMES!$B$9=TRUE,TRUE,FALSE)</f>
        <v>1</v>
      </c>
      <c r="C70" s="779" t="b">
        <f t="shared" si="212"/>
        <v>0</v>
      </c>
      <c r="D70" s="779" t="b">
        <f t="shared" si="213"/>
        <v>0</v>
      </c>
      <c r="E70" s="267" t="b">
        <f>IF(Cotations!C70="","",Cotations!C70)</f>
        <v>0</v>
      </c>
      <c r="F70" s="267" t="str">
        <f>IF(Cotations!AT70="","",Cotations!AT70)</f>
        <v>PROP</v>
      </c>
      <c r="G70" s="267" t="str">
        <f>IF(Cotations!D70="","",Cotations!D70)</f>
        <v>2016-2017!</v>
      </c>
      <c r="H70" s="267" t="str">
        <f>IF(Cotations!E70="","",Cotations!E70)</f>
        <v>SINGLE</v>
      </c>
      <c r="I70" s="267" t="str">
        <f>IF(Cotations!F70="","",Cotations!F70)</f>
        <v/>
      </c>
      <c r="J70" s="267" t="str">
        <f>IF(Cotations!G70="","",Cotations!G70)</f>
        <v/>
      </c>
      <c r="K70" s="267" t="str">
        <f>IF(Cotations!H70="","",Cotations!H70)</f>
        <v/>
      </c>
      <c r="L70" s="267" t="str">
        <f>IF(A70=FALSE,"",IF(Cotations!M70="","",Cotations!M70))</f>
        <v/>
      </c>
      <c r="M70" s="267" t="str">
        <f>IF(Cotations!O70="","",Cotations!O70)</f>
        <v/>
      </c>
      <c r="N70" s="588" t="str">
        <f>IF(NAMES!$B$10=TRUE,Cotations!I70,Cotations!K70)</f>
        <v/>
      </c>
      <c r="O70" s="588" t="str">
        <f>IF(NAMES!$B$10=TRUE,Cotations!J70,Cotations!L70)</f>
        <v/>
      </c>
      <c r="P70" s="780" t="str">
        <f t="shared" si="214"/>
        <v/>
      </c>
      <c r="Q70" s="588" t="str">
        <f>IF(A70=FALSE,"",IF(Crewlist!Y70="","",Crewlist!Y70))</f>
        <v/>
      </c>
      <c r="R70" s="78" t="str">
        <f>IF(Cotations!T70="","",Cotations!T70)</f>
        <v/>
      </c>
      <c r="S70" s="780" t="str">
        <f t="shared" si="215"/>
        <v/>
      </c>
      <c r="T70" s="759" t="str">
        <f>IF(A70=FALSE,"",VLOOKUP($U$15:$U$120,Currency!$A$2:$D$10,4,0)*Crewlist!N70)</f>
        <v/>
      </c>
      <c r="U70" s="1097" t="str">
        <f>IF(A70=FALSE,"",IF(DP70=0,Crewlist!M70&amp;"/"&amp;CP70,Crewlist!M70&amp;"/"&amp;DP70))</f>
        <v/>
      </c>
      <c r="V70" s="759" t="str">
        <f>IF(A70=FALSE,"",VLOOKUP($U$15:$U$120,Currency!$A$2:$D$10,4,0)*Detail!Q70)</f>
        <v/>
      </c>
      <c r="W70" s="1097" t="str">
        <f>IF(A70=FALSE,"",IF(DP70=0,Detail!R70&amp;"/"&amp;CP70,Detail!R70&amp;"/"&amp;DP70))</f>
        <v/>
      </c>
      <c r="X70" s="759" t="str">
        <f>IF(A70=FALSE,"",IF(LISTES!$C$17="Crewlist",Calcul!T70,Calcul!V70))</f>
        <v/>
      </c>
      <c r="Y70" s="618" t="str">
        <f t="shared" si="216"/>
        <v/>
      </c>
      <c r="Z70" s="618" t="str">
        <f>IF(A70=FALSE,"",IF(X70=0,0,IF((Cotations!BA70*12*X70)&lt;50000,50000,(12*X70))))</f>
        <v/>
      </c>
      <c r="AA70" s="618" t="str">
        <f t="shared" si="217"/>
        <v/>
      </c>
      <c r="AB70" s="618" t="str">
        <f>IF(A70=FALSE,"",IF(Crewlist!O70=0,"",Crewlist!O70))</f>
        <v/>
      </c>
      <c r="AC70" s="618" t="str">
        <f>IF(I70="","",VLOOKUP($AB$15:$AB$120,Currency!$A$15:$B$34,2,0))</f>
        <v/>
      </c>
      <c r="AD70" s="618" t="str">
        <f t="shared" si="218"/>
        <v/>
      </c>
      <c r="AE70" s="618" t="str">
        <f t="shared" si="219"/>
        <v/>
      </c>
      <c r="AF70" s="618" t="str">
        <f t="shared" si="220"/>
        <v/>
      </c>
      <c r="AG70" s="618" t="str">
        <f t="shared" si="221"/>
        <v/>
      </c>
      <c r="AH70" s="1097" t="str">
        <f t="shared" si="296"/>
        <v/>
      </c>
      <c r="AI70" s="759" t="str">
        <f t="shared" si="222"/>
        <v/>
      </c>
      <c r="AJ70" s="1120" t="str">
        <f t="shared" si="223"/>
        <v/>
      </c>
      <c r="AK70" s="1120" t="str">
        <f t="shared" si="224"/>
        <v/>
      </c>
      <c r="AL70" s="236" t="str">
        <f t="shared" si="225"/>
        <v/>
      </c>
      <c r="AM70" s="236" t="str">
        <f t="shared" si="226"/>
        <v/>
      </c>
      <c r="AN70" s="1112" t="str">
        <f t="shared" si="227"/>
        <v/>
      </c>
      <c r="AO70" s="236" t="str">
        <f t="shared" si="228"/>
        <v/>
      </c>
      <c r="AP70" s="327" t="str">
        <f>IF(A70=FALSE,"",INDEX(Rates!$Q$1:$Q$278,MATCH(CA70,colchoice,0)))</f>
        <v/>
      </c>
      <c r="AQ70" s="236" t="str">
        <f t="shared" si="229"/>
        <v/>
      </c>
      <c r="AR70" s="236" t="str">
        <f t="shared" si="230"/>
        <v/>
      </c>
      <c r="AS70" s="236" t="str">
        <f t="shared" si="297"/>
        <v/>
      </c>
      <c r="AT70" s="236" t="str">
        <f t="shared" si="298"/>
        <v/>
      </c>
      <c r="AU70" s="236" t="str">
        <f t="shared" si="231"/>
        <v/>
      </c>
      <c r="AV70" s="236" t="str">
        <f t="shared" si="232"/>
        <v/>
      </c>
      <c r="AW70" s="236" t="str">
        <f t="shared" si="233"/>
        <v/>
      </c>
      <c r="AX70" s="236" t="str">
        <f t="shared" si="234"/>
        <v/>
      </c>
      <c r="AY70" s="236" t="str">
        <f t="shared" si="235"/>
        <v/>
      </c>
      <c r="AZ70" s="236" t="str">
        <f t="shared" si="236"/>
        <v/>
      </c>
      <c r="BA70" s="236" t="str">
        <f t="shared" si="237"/>
        <v/>
      </c>
      <c r="BB70" s="467" t="str">
        <f t="shared" si="238"/>
        <v/>
      </c>
      <c r="BC70" s="329" t="str">
        <f t="shared" si="239"/>
        <v/>
      </c>
      <c r="BD70" s="237" t="str">
        <f t="shared" si="240"/>
        <v/>
      </c>
      <c r="BE70" s="237" t="str">
        <f>IF(A70=FALSE,"",IF(ED70&lt;&gt;$BC$7,0,INDEX(EA70:EZ70,1,MATCH(Structure!$J$16,$EA$14:$EZ$14,0))))</f>
        <v/>
      </c>
      <c r="BF70" s="237" t="str">
        <f>IF(A70=FALSE,"",IF(FD70&lt;&gt;$BC$7,0,INDEX(FA70:FZ70,1,MATCH(Structure!$J$16,$FA$14:$FZ$14,0))))</f>
        <v/>
      </c>
      <c r="BG70" s="237" t="str">
        <f>IF(A70=FALSE,"",IF(GD70&lt;&gt;$BC$7,0,INDEX(GA70:GZ70,1,MATCH(Structure!$J$16,$GA$14:$GZ$14,0))))</f>
        <v/>
      </c>
      <c r="BH70" s="237" t="str">
        <f>IF(A70=FALSE,"",IF(HD70&lt;&gt;$BC$7,0,INDEX(HA70:HZ70,1,MATCH(Structure!$J$16,$HA$14:$HZ$14,0))))</f>
        <v/>
      </c>
      <c r="BI70" s="621" t="str">
        <f>IF(A70=FALSE,"",IF(ID70&lt;&gt;$BC$7,0,INDEX(IA70:IZ70,1,MATCH(Structure!$C$12,$IA$14:$IZ$14,0)))+OL70)</f>
        <v/>
      </c>
      <c r="BJ70" s="237" t="str">
        <f>IF(A70=FALSE,"",IF(JD70&lt;&gt;$BC$7,0,INDEX(JA70:JZ70,1,MATCH(Structure!$C$12,$JA$14:$JZ$14,0))))</f>
        <v/>
      </c>
      <c r="BK70" s="621" t="str">
        <f>IF(A70=FALSE,"",IF(KD70&lt;&gt;$BC$7,0,INDEX(KA70:KZ70,1,MATCH(Structure!$C$12,$KA$14:$KZ$14,0)))+PL70)</f>
        <v/>
      </c>
      <c r="BL70" s="237" t="str">
        <f>IF(A70=FALSE,"",IF(LD70&lt;&gt;$BC$7,0,INDEX(LA70:LZ70,1,MATCH(Structure!$C$12,$LA$14:$LZ$14,0))))</f>
        <v/>
      </c>
      <c r="BM70" s="237" t="str">
        <f>IF(A70=FALSE,"",IF(MD70&lt;&gt;$BC$7,0,INDEX(MA70:MZ70,1,MATCH(Structure!$C$12,$MA$14:$MZ$14,0))))</f>
        <v/>
      </c>
      <c r="BN70" s="326" t="str">
        <f>IF(A70=FALSE,"",IF(ND70&lt;&gt;$BC$7,0,INDEX(NA70:OC70,1,MATCH(Structure!$C$12,$NA$14:$OC$14,0))))</f>
        <v/>
      </c>
      <c r="BO70" s="435" t="str">
        <f t="shared" si="241"/>
        <v/>
      </c>
      <c r="BP70" s="237" t="str">
        <f t="shared" si="242"/>
        <v/>
      </c>
      <c r="BQ70" s="237" t="str">
        <f>IF(A70=FALSE,"",IF(ED70&lt;&gt;$BO$7,0,INDEX(EA70:EZ70,1,MATCH(Structure!$C$12,$EA$14:$EZ$14,0))))</f>
        <v/>
      </c>
      <c r="BR70" s="237" t="str">
        <f>IF(A70=FALSE,"",IF(FD70&lt;&gt;$BO$7,0,INDEX(FA70:FZ70,1,MATCH(Structure!$C$12,$FA$14:$FZ$14,0))))</f>
        <v/>
      </c>
      <c r="BS70" s="237" t="str">
        <f>IF(A70=FALSE,"",IF(ID70&lt;&gt;$BO$7,0,INDEX(IA70:IZ70,1,MATCH(Structure!$C$13,$IA$14:$IZ$14,0))))</f>
        <v/>
      </c>
      <c r="BT70" s="237" t="str">
        <f>IF(A70=FALSE,"",IF(JD70&lt;&gt;$BO$7,0,INDEX(JA70:JZ70,1,MATCH(Structure!$C$13,$JA$14:$JZ$14,0))))</f>
        <v/>
      </c>
      <c r="BU70" s="237" t="str">
        <f>IF(A70=FALSE,"",IF(KD70&lt;&gt;$BO$7,0,INDEX(KA70:KZ70,1,MATCH(Structure!$C$13,$KA$14:$KZ$14,0))))</f>
        <v/>
      </c>
      <c r="BV70" s="237" t="str">
        <f>IF(A70=FALSE,"",IF(LD70&lt;&gt;$BO$7,0,INDEX(LA70:LZ70,1,MATCH(Structure!$C$13,$LA$14:$LZ$14,0))))</f>
        <v/>
      </c>
      <c r="BW70" s="237" t="str">
        <f>IF(A70=FALSE,"",IF(MD70&lt;&gt;$BO$7,0,INDEX(MA70:MZ70,1,MATCH(Structure!$C$13,$MA$14:$MZ$14,0))))</f>
        <v/>
      </c>
      <c r="BX70" s="326" t="str">
        <f>IF(A70=FALSE,"",IF(ND70&lt;&gt;$BO$7,0,INDEX(NA70:OC70,1,MATCH(Structure!$C$13,$NA$14:$OC$14,0))))</f>
        <v/>
      </c>
      <c r="BY70" s="412"/>
      <c r="BZ70" s="412"/>
      <c r="CA70" s="1255" t="str">
        <f>IF(A70=FALSE,"",IF(LISTES!$A$17=1,Cotations!AG70,Cotations!AH70))</f>
        <v/>
      </c>
      <c r="CB70" s="1266" t="str">
        <f t="shared" si="243"/>
        <v/>
      </c>
      <c r="CC70" s="1120" t="str">
        <f t="shared" si="244"/>
        <v/>
      </c>
      <c r="CD70" s="1120" t="str">
        <f t="shared" si="245"/>
        <v/>
      </c>
      <c r="CE70" s="1120" t="str">
        <f t="shared" si="246"/>
        <v/>
      </c>
      <c r="CF70" s="1120" t="str">
        <f t="shared" si="247"/>
        <v/>
      </c>
      <c r="CG70" s="1267"/>
      <c r="CH70" s="1267"/>
      <c r="CI70" s="1268" t="str">
        <f t="shared" si="248"/>
        <v/>
      </c>
      <c r="CJ70" s="286" t="str">
        <f t="shared" si="249"/>
        <v/>
      </c>
      <c r="CK70" s="286" t="str">
        <f t="shared" si="250"/>
        <v/>
      </c>
      <c r="CL70" s="1263"/>
      <c r="CM70" s="1263"/>
      <c r="CN70" s="1263"/>
      <c r="CO70" s="1263"/>
      <c r="CP70" s="319" t="str">
        <f t="shared" si="251"/>
        <v/>
      </c>
      <c r="CQ70" s="443" t="str">
        <f>IF(A70=FALSE,"",Cotations!AM70)</f>
        <v/>
      </c>
      <c r="CR70" s="443" t="str">
        <f>IF(A70=FALSE,"",IF(Cotations!AN70="","",Cotations!AN70))</f>
        <v/>
      </c>
      <c r="CS70" s="433" t="str">
        <f>IF(A70=FALSE,"",Cotations!AO70)</f>
        <v/>
      </c>
      <c r="CT70" s="443" t="str">
        <f>IF(A70=FALSE,"",IF(CQ70="N/A",0,IF(INDEX(LISTES!$F$105:$F$109,MATCH(CQ70,LISTES!$C$105:$C$109,0))="FIX",IF(INDEX(LISTES!$E$105:$E$109,MATCH(CQ70,LISTES!$C$105:$C$109,0))=12,CR70/12*L70,CR70/365*M70),CS70*EQ70)))</f>
        <v/>
      </c>
      <c r="CU70" s="434" t="str">
        <f>IF(A70=FALSE,"",(CJ70+CK70)*Cotations!AP70)</f>
        <v/>
      </c>
      <c r="CV70" s="434" t="str">
        <f>IF(A70=FALSE,"",(CJ70+CK70)*Cotations!AQ70)</f>
        <v/>
      </c>
      <c r="DA70" s="1253" t="str">
        <f>IF(A70=FALSE,"",IF(LISTES!$A$17=1,Cotations!AV70,Cotations!AW70))</f>
        <v/>
      </c>
      <c r="DB70" s="1271" t="str">
        <f t="shared" si="252"/>
        <v/>
      </c>
      <c r="DC70" s="1270" t="str">
        <f t="shared" si="253"/>
        <v/>
      </c>
      <c r="DD70" s="1270" t="str">
        <f t="shared" si="254"/>
        <v/>
      </c>
      <c r="DE70" s="1270" t="str">
        <f t="shared" si="255"/>
        <v/>
      </c>
      <c r="DF70" s="1270" t="str">
        <f t="shared" si="256"/>
        <v/>
      </c>
      <c r="DG70" s="1270" t="str">
        <f t="shared" si="257"/>
        <v/>
      </c>
      <c r="DH70" s="1270" t="str">
        <f t="shared" si="258"/>
        <v/>
      </c>
      <c r="DI70" s="1271" t="str">
        <f t="shared" si="259"/>
        <v/>
      </c>
      <c r="DJ70" s="286" t="str">
        <f t="shared" si="260"/>
        <v/>
      </c>
      <c r="DK70" s="286" t="str">
        <f t="shared" si="261"/>
        <v/>
      </c>
      <c r="DL70" s="1264" t="str">
        <f t="shared" si="262"/>
        <v/>
      </c>
      <c r="DM70" s="1264" t="str">
        <f t="shared" si="263"/>
        <v/>
      </c>
      <c r="DN70" s="1264" t="str">
        <f t="shared" si="264"/>
        <v/>
      </c>
      <c r="DO70" s="1264" t="str">
        <f t="shared" si="265"/>
        <v/>
      </c>
      <c r="DP70" s="323" t="str">
        <f t="shared" si="299"/>
        <v/>
      </c>
      <c r="DQ70" s="444" t="str">
        <f>IF(A70=FALSE,"",Cotations!BW70)</f>
        <v/>
      </c>
      <c r="DR70" s="444" t="str">
        <f>IF(A70=FALSE,"",Cotations!BX70)</f>
        <v/>
      </c>
      <c r="DS70" s="433" t="str">
        <f>IF(A70=FALSE,"",Cotations!BY70)</f>
        <v/>
      </c>
      <c r="DT70" s="830" t="str">
        <f>IF(A70=FALSE,"",IF(DQ70="N/A",0,IF(INDEX(LISTES!$F$105:$F$109,MATCH(DQ70,LISTES!$C$105:$C$109,0))="FIX",IF(INDEX(LISTES!$E$105:$E$109,MATCH(DQ70,LISTES!$C$105:$C$109,0))=12,DR70/12*L70,DR70/365*M70),DS70*(DN70+DO70))))</f>
        <v/>
      </c>
      <c r="DU70" s="434" t="str">
        <f>IF(A70=FALSE,"",DJ70*Cotations!BZ70)</f>
        <v/>
      </c>
      <c r="DV70" s="434" t="str">
        <f>IF(A70=FALSE,"",DJ70*Cotations!CA70)</f>
        <v/>
      </c>
      <c r="EA70" s="432" t="str">
        <f>IF(A70=FALSE,"",Cotations!AT70)</f>
        <v/>
      </c>
      <c r="EB70" s="1234" t="str">
        <f>IF(A70=FALSE,"",YEAR(Detail!F70)&amp;Detail!AG70&amp;Detail!AD70&amp;"-"&amp;Detail!$AD$13&amp;Detail!AE70)</f>
        <v/>
      </c>
      <c r="EC70" s="434" t="str">
        <f>IF(A70=FALSE,"",IF(LISTES!$A$17=1,EB70,INDEX(colMOD1,MATCH(Cotations!AH70,colchoice,0))))</f>
        <v/>
      </c>
      <c r="ED70" s="277" t="str">
        <f t="shared" si="300"/>
        <v/>
      </c>
      <c r="EE70" s="277" t="str">
        <f t="shared" si="301"/>
        <v/>
      </c>
      <c r="EF70" s="277"/>
      <c r="EG70" s="277"/>
      <c r="EH70" s="277" t="str">
        <f t="shared" si="302"/>
        <v/>
      </c>
      <c r="EI70" s="1104" t="str">
        <f t="shared" si="303"/>
        <v/>
      </c>
      <c r="EJ70" s="1104" t="str">
        <f t="shared" si="304"/>
        <v/>
      </c>
      <c r="EK70" s="443" t="str">
        <f>IF(A70=FALSE,"",IF(Cotations!AF70="monthly",EH70/12*L70,EH70/365*M70))</f>
        <v/>
      </c>
      <c r="EL70" s="1103" t="str">
        <f>IF(A70=FALSE,"",IF(Cotations!AF70="monthly",EJ70/12*L70,EJ70/365*M70))</f>
        <v/>
      </c>
      <c r="EM70" s="433" t="str">
        <f>IF(A70=FALSE,"",IF(Cotations!AI70="","",Cotations!AI70))</f>
        <v/>
      </c>
      <c r="EN70" s="277" t="str">
        <f t="shared" si="305"/>
        <v/>
      </c>
      <c r="EO70" s="277" t="str">
        <f t="shared" si="306"/>
        <v/>
      </c>
      <c r="EP70" s="1104" t="str">
        <f t="shared" si="307"/>
        <v/>
      </c>
      <c r="EQ70" s="277" t="str">
        <f t="shared" si="308"/>
        <v/>
      </c>
      <c r="ER70" s="759" t="str">
        <f>IF(A70=FALSE,"",((EH70*TAXE)-(EH70*TAXE*EM70)+EI70)+IF(CQ70="N/A",0,IF(INDEX(LISTES!$F$105:$F$109,MATCH(CQ70,LISTES!$C$105:$C$109,0))="FIX",CR70,CS70*EQ70)))</f>
        <v/>
      </c>
      <c r="ET70" s="422"/>
      <c r="EU70" s="422"/>
      <c r="EV70" s="422"/>
      <c r="EW70" s="422"/>
      <c r="EX70" s="422"/>
      <c r="EY70" s="422"/>
      <c r="EZ70" s="422"/>
      <c r="FA70" s="432" t="str">
        <f>IF(A70=FALSE,"",Cotations!AT70)</f>
        <v/>
      </c>
      <c r="FB70" s="1235" t="str">
        <f>IF(A70=FALSE,"",IF(Detail!AL70="","N/A",YEAR(Detail!F70)&amp;Detail!AO70&amp;Detail!AL70&amp;"-"&amp;Detail!$AL$13&amp;Detail!AM70))</f>
        <v/>
      </c>
      <c r="FC70" s="434" t="str">
        <f>IF(A70=FALSE,"",IF(LISTES!$A$17=1,FB70,INDEX(colMOD2,MATCH(Cotations!AH70,colchoice,0))))</f>
        <v/>
      </c>
      <c r="FD70" s="277" t="str">
        <f t="shared" si="309"/>
        <v/>
      </c>
      <c r="FE70" s="443" t="str">
        <f>IF(A70=FALSE,"",IF(Detail!AM70="","",Detail!AM70))</f>
        <v/>
      </c>
      <c r="FF70" s="277"/>
      <c r="FG70" s="277"/>
      <c r="FH70" s="277" t="str">
        <f t="shared" si="310"/>
        <v/>
      </c>
      <c r="FI70" s="1104"/>
      <c r="FJ70" s="1104"/>
      <c r="FK70" s="443" t="str">
        <f>IF(A70=FALSE,"",IF(Cotations!AF70="monthly",FH70/12*L70,FH70/365*M70))</f>
        <v/>
      </c>
      <c r="FL70" s="1103" t="str">
        <f>IF(A70=FALSE,"",IF(Cotations!AF70="monthly",FJ70/12*L70,FJ70/365*M70))</f>
        <v/>
      </c>
      <c r="FM70" s="433" t="str">
        <f>IF(A70=FALSE,"",IF(Cotations!AJ70="","",Cotations!AJ70))</f>
        <v/>
      </c>
      <c r="FN70" s="277" t="str">
        <f t="shared" si="268"/>
        <v/>
      </c>
      <c r="FO70" s="277" t="str">
        <f t="shared" si="269"/>
        <v/>
      </c>
      <c r="FP70" s="1104"/>
      <c r="FQ70" s="277" t="str">
        <f t="shared" si="270"/>
        <v/>
      </c>
      <c r="FR70" s="759" t="str">
        <f>IF(A70=FALSE,"",((FH70*TAXE)-(FH70*TAXE*FM70))+IF(#REF!="N/A",0,IF(INDEX(LISTES!$F$105:$F$109,MATCH(#REF!,LISTES!$C$105:$C$109,0))="FIX",#REF!,#REF!*FQ70)))</f>
        <v/>
      </c>
      <c r="FS70" s="422"/>
      <c r="FT70" s="422"/>
      <c r="FU70" s="422"/>
      <c r="FV70" s="422"/>
      <c r="FW70" s="422"/>
      <c r="FX70" s="422"/>
      <c r="FY70" s="422"/>
      <c r="FZ70" s="422"/>
      <c r="GA70" s="432" t="str">
        <f t="shared" si="311"/>
        <v/>
      </c>
      <c r="GB70" s="1234" t="str">
        <f>IF(A70=FALSE,"",IF(Detail!DF70="","N/A",YEAR(Detail!F70)&amp;Detail!DI70&amp;Detail!DF70&amp;"-"&amp;Detail!$DF$13))</f>
        <v/>
      </c>
      <c r="GC70" s="434" t="str">
        <f>IF(A70=FALSE,"",IF(LISTES!$A$17=1,GB70,INDEX(colMOD3,MATCH(Cotations!AH70,colchoice,0))))</f>
        <v/>
      </c>
      <c r="GD70" s="277" t="str">
        <f t="shared" si="312"/>
        <v/>
      </c>
      <c r="GE70" s="277" t="str">
        <f t="shared" si="313"/>
        <v/>
      </c>
      <c r="GF70" s="277"/>
      <c r="GG70" s="277"/>
      <c r="GH70" s="277" t="str">
        <f t="shared" si="271"/>
        <v/>
      </c>
      <c r="GI70" s="1104" t="str">
        <f t="shared" si="272"/>
        <v/>
      </c>
      <c r="GJ70" s="1104" t="str">
        <f t="shared" si="273"/>
        <v/>
      </c>
      <c r="GK70" s="443" t="str">
        <f>IF(A70=FALSE,"",IF(Cotations!AF70="monthly",GH70/12*L70,GH70/365*M70))</f>
        <v/>
      </c>
      <c r="GL70" s="1103" t="str">
        <f>IF(A70=FALSE,"",IF(Cotations!AF70="monthly",GJ70/12*L70,GJ70/365*M70))</f>
        <v/>
      </c>
      <c r="GM70" s="433" t="str">
        <f>IF(A70=FALSE,"",IF(Cotations!AK70="","",Cotations!AK70))</f>
        <v/>
      </c>
      <c r="GN70" s="277" t="str">
        <f t="shared" si="274"/>
        <v/>
      </c>
      <c r="GO70" s="277" t="str">
        <f t="shared" si="275"/>
        <v/>
      </c>
      <c r="GP70" s="1104" t="str">
        <f t="shared" si="276"/>
        <v/>
      </c>
      <c r="GQ70" s="277" t="str">
        <f t="shared" si="277"/>
        <v/>
      </c>
      <c r="GR70" s="759" t="str">
        <f>IF(A70=FALSE,"",((GH70*TAXE)-(GH70*TAXE*GM70)+GI70)+IF(CQ70="N/A",0,IF(INDEX(LISTES!$F$105:$F$109,MATCH(CQ70,LISTES!$C$105:$C$109,0))="FIX",CR70,CS70*GQ70)))</f>
        <v/>
      </c>
      <c r="GS70" s="412"/>
      <c r="GT70" s="412"/>
      <c r="GU70" s="412"/>
      <c r="GV70" s="412"/>
      <c r="GW70" s="412"/>
      <c r="GX70" s="412"/>
      <c r="GY70" s="412"/>
      <c r="GZ70" s="412"/>
      <c r="HA70" s="432" t="str">
        <f t="shared" si="314"/>
        <v/>
      </c>
      <c r="HB70" s="1234" t="str">
        <f>IF(A70=FALSE,"",IF(Detail!DF70="","N/A",YEAR(Detail!F70)&amp;Detail!DI70&amp;Detail!DF70&amp;"-"&amp;Detail!$DF$13))</f>
        <v/>
      </c>
      <c r="HC70" s="434" t="str">
        <f>IF(A70=FALSE,"",IF(LISTES!$A$17=1,HB70,INDEX(colMOD4,MATCH(Cotations!AH70,colchoice,0))))</f>
        <v/>
      </c>
      <c r="HD70" s="277" t="str">
        <f t="shared" si="278"/>
        <v/>
      </c>
      <c r="HE70" s="277" t="str">
        <f t="shared" si="279"/>
        <v/>
      </c>
      <c r="HF70" s="277"/>
      <c r="HG70" s="277"/>
      <c r="HH70" s="277" t="str">
        <f t="shared" si="280"/>
        <v/>
      </c>
      <c r="HI70" s="1104" t="str">
        <f t="shared" si="281"/>
        <v/>
      </c>
      <c r="HJ70" s="1104" t="str">
        <f t="shared" si="282"/>
        <v/>
      </c>
      <c r="HK70" s="443" t="str">
        <f>IF(A70=FALSE,"",IF(Cotations!AF70="monthly",HH70/12*L70,HH70/365*M70))</f>
        <v/>
      </c>
      <c r="HL70" s="1103" t="str">
        <f>IF(A70=FALSE,"",IF(Cotations!AF70="monthly",HJ70/12*L70,HJ70/365*M70))</f>
        <v/>
      </c>
      <c r="HM70" s="433" t="str">
        <f>IF(A70=FALSE,"",IF(Cotations!AL70="","",Cotations!AL70))</f>
        <v/>
      </c>
      <c r="HN70" s="277" t="str">
        <f t="shared" si="283"/>
        <v/>
      </c>
      <c r="HO70" s="277" t="str">
        <f t="shared" si="284"/>
        <v/>
      </c>
      <c r="HP70" s="1104" t="str">
        <f t="shared" si="285"/>
        <v/>
      </c>
      <c r="HQ70" s="277" t="str">
        <f t="shared" si="286"/>
        <v/>
      </c>
      <c r="HR70" s="759" t="str">
        <f>IF(A70=FALSE,"",((HH70*TAXE)-(HH70*TAXE*HM70)+HI70)+IF(CQ70="N/A",0,IF(INDEX(LISTES!$F$105:$F$109,MATCH(CQ70,LISTES!$C$105:$C$109,0))="FIX",CR70,CS70*HQ70)))</f>
        <v/>
      </c>
      <c r="HS70" s="412"/>
      <c r="HT70" s="412"/>
      <c r="HU70" s="412"/>
      <c r="HV70" s="412"/>
      <c r="HW70" s="412"/>
      <c r="HX70" s="412"/>
      <c r="HY70" s="412"/>
      <c r="HZ70" s="1262"/>
      <c r="IA70" s="432" t="str">
        <f>IF(A70=FALSE,"",Cotations!AT70)</f>
        <v/>
      </c>
      <c r="IB70" s="1253" t="str">
        <f>IF(A70=FALSE,"",IF(Detail!AT70="","N/A",YEAR(Detail!F70)&amp;Detail!AW70&amp;Detail!AT70&amp;"-"&amp;Detail!$AT$13&amp;Detail!AU70))</f>
        <v/>
      </c>
      <c r="IC70" s="431" t="str">
        <f>IF(A70=FALSE,"",IF(LISTES!$A$17=1,IB70,INDEX(colMOD1,MATCH(DA70,colchoice,0))))</f>
        <v/>
      </c>
      <c r="ID70" s="759" t="str">
        <f t="shared" si="358"/>
        <v/>
      </c>
      <c r="IE70" s="292" t="str">
        <f>IF(A70=FALSE,"",IF(LISTES!$A$17=1,Detail!AU70,INDEX(Rates!$M$1:$M$270,MATCH(IC70,colMOD1,0))))</f>
        <v/>
      </c>
      <c r="IF70" s="409" t="str">
        <f t="shared" si="359"/>
        <v/>
      </c>
      <c r="IG70" s="430" t="str">
        <f>IF(A70=FALSE,"",IF(IA70="POEA",Cotations!AY70,IF(IA70="FIXE",Cotations!AZ70,IF(Cotations!BA70*Y70&lt;50000,Z70,Cotations!BA70*Y70))))</f>
        <v/>
      </c>
      <c r="IH70" s="292" t="str">
        <f t="shared" si="360"/>
        <v/>
      </c>
      <c r="II70" s="446" t="str">
        <f>IF(A70=FALSE,"",IF(Cotations!AU70="monthly",IH70/12*L70,IH70/365*M70))</f>
        <v/>
      </c>
      <c r="IJ70" s="429" t="str">
        <f>IF(A70=FALSE,"",IF(Cotations!BB70="","",Cotations!BB70))</f>
        <v/>
      </c>
      <c r="IK70" s="292" t="str">
        <f t="shared" si="361"/>
        <v/>
      </c>
      <c r="IL70" s="292" t="str">
        <f t="shared" si="362"/>
        <v/>
      </c>
      <c r="IM70" s="759" t="str">
        <f t="shared" si="363"/>
        <v/>
      </c>
      <c r="IN70" s="759" t="str">
        <f>IF(A70=FALSE,"",((IH70*TAXE)-(IH70*TAXE*IJ70))+IF(DQ70="N/A",0,IF(INDEX(LISTES!$F$105:$F$109,MATCH(DQ70,LISTES!$C$105:$C$109,0))="FIX",DR70,DS70*IM70)))</f>
        <v/>
      </c>
      <c r="JA70" s="432" t="str">
        <f>IF(A70=FALSE,"",Cotations!AT70)</f>
        <v/>
      </c>
      <c r="JB70" s="1234" t="str">
        <f>IF(A70=FALSE,"",IF(Detail!BB70="","N/A",YEAR(Detail!F70)&amp;Detail!BE70&amp;Detail!BB70&amp;"-"&amp;Detail!$BB$13&amp;Detail!BC70))</f>
        <v/>
      </c>
      <c r="JC70" s="431" t="str">
        <f>IF(A70=FALSE,"",IF(LISTES!$A$17=1,JB70,INDEX(colMOD2,MATCH(DA70,colchoice,0))))</f>
        <v/>
      </c>
      <c r="JD70" s="759" t="str">
        <f t="shared" si="321"/>
        <v/>
      </c>
      <c r="JE70" s="292"/>
      <c r="JF70" s="409" t="str">
        <f t="shared" si="322"/>
        <v/>
      </c>
      <c r="JG70" s="430" t="str">
        <f>IF(A70=FALSE,"",IF(JA70="POEA",Cotations!BC70,IF(JA70="FIXE",Cotations!BD70,IF(Cotations!BE70*Y70&lt;50000,Z70,Cotations!BE70*Y70))))</f>
        <v/>
      </c>
      <c r="JH70" s="292" t="str">
        <f t="shared" si="323"/>
        <v/>
      </c>
      <c r="JI70" s="446" t="str">
        <f>IF(A70=FALSE,"",IF(Cotations!AU70="monthly",JH70/12*L70,JH70/365*M70))</f>
        <v/>
      </c>
      <c r="JJ70" s="429" t="str">
        <f>IF(A70=FALSE,"",IF(Cotations!BF70="","",Cotations!BF70))</f>
        <v/>
      </c>
      <c r="JK70" s="292" t="str">
        <f t="shared" si="324"/>
        <v/>
      </c>
      <c r="JL70" s="292" t="str">
        <f t="shared" si="325"/>
        <v/>
      </c>
      <c r="JM70" s="759" t="str">
        <f t="shared" si="326"/>
        <v/>
      </c>
      <c r="JN70" s="759" t="str">
        <f>IF(A70=FALSE,"",((JH70*TAXE)-(JH70*TAXE*JJ70))+IF(#REF!="N/A",0,IF(INDEX(LISTES!$F$105:$F$109,MATCH(#REF!,LISTES!$C$105:$C$109,0))="FIX",#REF!,#REF!*JM70)))</f>
        <v/>
      </c>
      <c r="KA70" s="432" t="str">
        <f>IF(A70=FALSE,"",Cotations!AT70)</f>
        <v/>
      </c>
      <c r="KB70" s="1234" t="str">
        <f>IF(A70=FALSE,"",IF(Detail!BJ70="","N/A",YEAR(Detail!F70)&amp;Detail!BM70&amp;Detail!BJ70&amp;"-"&amp;Detail!$BJ$13&amp;Detail!BK70))</f>
        <v/>
      </c>
      <c r="KC70" s="431" t="str">
        <f>IF(A70=FALSE,"",IF(LISTES!$A$17=1,KB70,INDEX(colMOD3,MATCH(DA70,colchoice,0))))</f>
        <v/>
      </c>
      <c r="KD70" s="759" t="str">
        <f t="shared" si="327"/>
        <v/>
      </c>
      <c r="KE70" s="292"/>
      <c r="KF70" s="409" t="str">
        <f t="shared" si="328"/>
        <v/>
      </c>
      <c r="KG70" s="430" t="str">
        <f>IF(A70=FALSE,"",IF(KA70="POEA",Cotations!BG70,IF(KA70="FIXE",Cotations!BH70,IF(Cotations!BI70*Y70&lt;50000,Z70,Cotations!BI70*Y70))))</f>
        <v/>
      </c>
      <c r="KH70" s="292" t="str">
        <f t="shared" si="329"/>
        <v/>
      </c>
      <c r="KI70" s="446" t="str">
        <f>IF(A70=FALSE,"",IF(Cotations!AU70="monthly",KH70/12*L70,KH70/365*M70))</f>
        <v/>
      </c>
      <c r="KJ70" s="429" t="str">
        <f>IF(A70=FALSE,"",IF(Cotations!BJ70="","",Cotations!BJ70))</f>
        <v/>
      </c>
      <c r="KK70" s="292" t="str">
        <f t="shared" si="330"/>
        <v/>
      </c>
      <c r="KL70" s="292" t="str">
        <f t="shared" si="331"/>
        <v/>
      </c>
      <c r="KM70" s="759" t="str">
        <f t="shared" si="332"/>
        <v/>
      </c>
      <c r="KN70" s="759" t="str">
        <f>IF(A70=FALSE,"",((KH70*TAXE)-(KH70*TAXE*KJ70))+IF(#REF!="N/A",0,IF(INDEX(LISTES!$F$105:$F$109,MATCH(#REF!,LISTES!$C$105:$C$109,0))="FIX",#REF!,#REF!*KM70)))</f>
        <v/>
      </c>
      <c r="LA70" s="432" t="str">
        <f>IF(A70=FALSE,"",Cotations!AT70)</f>
        <v/>
      </c>
      <c r="LB70" s="1234" t="str">
        <f>IF(A70=FALSE,"",IF(Detail!BR70="","N/A",YEAR(Detail!F70)&amp;Detail!BU70&amp;Detail!BR70&amp;"-"&amp;Detail!$BR$13&amp;Detail!BS70))</f>
        <v/>
      </c>
      <c r="LC70" s="431" t="str">
        <f>IF(A70=FALSE,"",IF(LISTES!$A$17=1,LB70,INDEX(colMOD4,MATCH(DA70,colchoice,0))))</f>
        <v/>
      </c>
      <c r="LD70" s="759" t="str">
        <f t="shared" si="333"/>
        <v/>
      </c>
      <c r="LE70" s="292"/>
      <c r="LF70" s="409" t="str">
        <f t="shared" si="334"/>
        <v/>
      </c>
      <c r="LG70" s="430" t="str">
        <f>IF(A70=FALSE,"",IF(LA70="POEA",Cotations!BK70,IF(LA70="FIXE",Cotations!BL70,IF(Cotations!BM70*Y70&lt;50000,Z70,Cotations!BM70*Y70))))</f>
        <v/>
      </c>
      <c r="LH70" s="292" t="str">
        <f t="shared" si="335"/>
        <v/>
      </c>
      <c r="LI70" s="446" t="str">
        <f>IF(A70=FALSE,"",IF(Cotations!AU70="monthly",LH70/12*L70,LH70/365*M70))</f>
        <v/>
      </c>
      <c r="LJ70" s="429" t="str">
        <f>IF(A70=FALSE,"",IF(Cotations!BN70="","",Cotations!BN70))</f>
        <v/>
      </c>
      <c r="LK70" s="292" t="str">
        <f t="shared" si="336"/>
        <v/>
      </c>
      <c r="LL70" s="292" t="str">
        <f t="shared" si="337"/>
        <v/>
      </c>
      <c r="LM70" s="759" t="str">
        <f t="shared" si="338"/>
        <v/>
      </c>
      <c r="LN70" s="759" t="str">
        <f>IF(A70=FALSE,"",((LH70*TAXE)-(LH70*TAXE*LJ70))+IF(#REF!="N/A",0,IF(INDEX(LISTES!$F$105:$F$109,MATCH(#REF!,LISTES!$C$105:$C$109,0))="FIX",#REF!,#REF!*LM70)))</f>
        <v/>
      </c>
      <c r="MA70" s="432" t="str">
        <f t="shared" si="339"/>
        <v/>
      </c>
      <c r="MB70" s="1234" t="str">
        <f>IF(A70=FALSE,"",IF(Detail!BZ70="","N/A",YEAR(Detail!F70)&amp;Detail!CC70&amp;Detail!BZ70&amp;"-"&amp;Detail!$BZ$13&amp;" (100%/"&amp;Detail!CD70&amp;"/"&amp;Detail!CE70&amp;")"))</f>
        <v/>
      </c>
      <c r="MC70" s="431" t="str">
        <f>IF(A70=FALSE,"",IF(LISTES!$A$17=1,MB70,INDEX(colMOD5,MATCH(DA70,colchoice,0))))</f>
        <v/>
      </c>
      <c r="MD70" s="759" t="str">
        <f t="shared" si="340"/>
        <v/>
      </c>
      <c r="ME70" s="292"/>
      <c r="MF70" s="409" t="str">
        <f t="shared" si="341"/>
        <v/>
      </c>
      <c r="MG70" s="430" t="str">
        <f>IF(A70=FALSE,"",Cotations!BQ70*AA70)</f>
        <v/>
      </c>
      <c r="MH70" s="292" t="str">
        <f t="shared" si="342"/>
        <v/>
      </c>
      <c r="MI70" s="446" t="str">
        <f>IF(A70=FALSE,"",IF(Cotations!AU70="monthly",MH70/12*L70,MH70/365*M70))</f>
        <v/>
      </c>
      <c r="MJ70" s="429" t="str">
        <f>IF(A70=FALSE,"",IF(Cotations!BR70="","",Cotations!BR70))</f>
        <v/>
      </c>
      <c r="MK70" s="292" t="str">
        <f t="shared" si="343"/>
        <v/>
      </c>
      <c r="ML70" s="292" t="str">
        <f t="shared" si="344"/>
        <v/>
      </c>
      <c r="MM70" s="759" t="str">
        <f t="shared" si="345"/>
        <v/>
      </c>
      <c r="MN70" s="759" t="str">
        <f>IF(A70=FALSE,"",((MH70*TAXE)-(MH70*TAXE*MJ70))+IF(#REF!="N/A",0,IF(INDEX(LISTES!$F$105:$F$109,MATCH(#REF!,LISTES!$C$105:$C$109,0))="FIX",#REF!,#REF!*MM70)))</f>
        <v/>
      </c>
      <c r="NA70" s="432" t="str">
        <f t="shared" si="346"/>
        <v/>
      </c>
      <c r="NB70" s="1234" t="str">
        <f>IF(A70=FALSE,"",IF(Detail!CH70="","N/A",YEAR(Detail!F70)&amp;Detail!CK70&amp;Detail!CH70&amp;"-"&amp;Detail!$CH$13&amp;" (100%/"&amp;Detail!CL70&amp;"/"&amp;Detail!CM70&amp;")"))</f>
        <v/>
      </c>
      <c r="NC70" s="431" t="str">
        <f>IF(A70=FALSE,"",IF(LISTES!$A$17=1,NB70,INDEX(colMOD6,MATCH(DA70,colchoice,0))))</f>
        <v/>
      </c>
      <c r="ND70" s="759" t="str">
        <f t="shared" si="347"/>
        <v/>
      </c>
      <c r="NE70" s="292"/>
      <c r="NF70" s="409" t="str">
        <f t="shared" si="348"/>
        <v/>
      </c>
      <c r="NG70" s="430" t="str">
        <f>IF(A70=FALSE,"",Cotations!BU70*AA70)</f>
        <v/>
      </c>
      <c r="NH70" s="292" t="str">
        <f t="shared" si="349"/>
        <v/>
      </c>
      <c r="NI70" s="446" t="str">
        <f>IF(A70=FALSE,"",IF(Cotations!AU70="monthly",NH70/12*L70,NH70/365*M70))</f>
        <v/>
      </c>
      <c r="NJ70" s="429" t="str">
        <f>IF(A70=FALSE,"",IF(Cotations!BV70="","",Cotations!BV70))</f>
        <v/>
      </c>
      <c r="NK70" s="292" t="str">
        <f t="shared" si="350"/>
        <v/>
      </c>
      <c r="NL70" s="292" t="str">
        <f t="shared" si="351"/>
        <v/>
      </c>
      <c r="NM70" s="759" t="str">
        <f t="shared" si="352"/>
        <v/>
      </c>
      <c r="NN70" s="759" t="str">
        <f>IF(A70=FALSE,"",((NH70*TAXE)-(NH70*TAXE*NJ70))+IF(#REF!="N/A",0,IF(INDEX(LISTES!$F$105:$F$109,MATCH(#REF!,LISTES!$C$105:$C$109,0))="FIX",#REF!,#REF!*NM70)))</f>
        <v/>
      </c>
      <c r="NZ70" s="1281" t="str">
        <f>IF(A70=FALSE,"",IF(Detail!CP70="","N/A",YEAR(Detail!F70)&amp;Detail!CS70&amp;Detail!CP70&amp;"-"&amp;Detail!CQ70))</f>
        <v/>
      </c>
      <c r="OA70" s="432" t="str">
        <f>IF(A70=FALSE,"",Cotations!CF70)</f>
        <v/>
      </c>
      <c r="OB70" s="1282" t="str">
        <f>IF(A70=FALSE,"",IF(Detail!CP70="","N/A",YEAR(Detail!F70)&amp;Detail!CS70&amp;Detail!CP70&amp;"-"&amp;Detail!$CP$13&amp;Detail!CQ70))</f>
        <v/>
      </c>
      <c r="OC70" s="1283" t="str">
        <f>IF(A70=FALSE,"",IF(LISTES!$A$17=1,OB70,INDEX(colMOD1,MATCH(Cotations!CE70,colchoice,0))))</f>
        <v/>
      </c>
      <c r="OD70" s="759" t="str">
        <f t="shared" si="353"/>
        <v/>
      </c>
      <c r="OE70" s="292" t="str">
        <f>IF(A70=FALSE,"",Detail!CQ70)</f>
        <v/>
      </c>
      <c r="OF70" s="409" t="str">
        <f t="shared" si="354"/>
        <v/>
      </c>
      <c r="OG70" s="430" t="str">
        <f>IF(A70=FALSE,"",IF(OA70="FIXE",Cotations!CM70,Cotations!CN70*AA70))</f>
        <v/>
      </c>
      <c r="OH70" s="292" t="str">
        <f t="shared" si="288"/>
        <v/>
      </c>
      <c r="OI70" s="446" t="str">
        <f>IF(A70=FALSE,"",IF(Cotations!CF70="monthly",OH70/12*L70,OH70/365*M70))</f>
        <v/>
      </c>
      <c r="OJ70" s="429" t="str">
        <f>IF(A70=FALSE,"",IF(Cotations!CO70="","",Cotations!CO70))</f>
        <v/>
      </c>
      <c r="OK70" s="292" t="str">
        <f t="shared" si="289"/>
        <v/>
      </c>
      <c r="OL70" s="292" t="str">
        <f t="shared" si="290"/>
        <v/>
      </c>
      <c r="OM70" s="759" t="str">
        <f t="shared" si="355"/>
        <v/>
      </c>
      <c r="ON70" s="759" t="str">
        <f>IF(A70=FALSE,"",((OH70*(1+TAXE)-(OH70*(1+TAXE)*OJ70))+IF(#REF!="N/A",0,IF(INDEX(LISTES!$F$105:$F$109,MATCH(#REF!,LISTES!$C$105:$C$109,0))="FIX",#REF!,#REF!*OM70))))</f>
        <v/>
      </c>
      <c r="PA70" s="432" t="str">
        <f>IF(A70=FALSE,"",Cotations!CF70)</f>
        <v/>
      </c>
      <c r="PB70" s="1282" t="str">
        <f>IF(A70=FALSE,"",IF(Detail!CX70="","N/A",YEAR(Detail!F70)&amp;Detail!DA70&amp;Detail!CX70&amp;"-"&amp;Detail!$CX$13&amp;Detail!CY70))</f>
        <v/>
      </c>
      <c r="PC70" s="1283" t="str">
        <f>IF(A70=FALSE,"",IF(LISTES!$A$17=1,PB70,INDEX(colMOD3,MATCH(Cotations!CE70,colchoice,0))))</f>
        <v/>
      </c>
      <c r="PD70" s="759" t="str">
        <f t="shared" si="356"/>
        <v/>
      </c>
      <c r="PE70" s="292" t="str">
        <f>IF(A70=FALSE,"",IF(Detail!CY70="","",Detail!CY70))</f>
        <v/>
      </c>
      <c r="PF70" s="409" t="str">
        <f t="shared" si="291"/>
        <v/>
      </c>
      <c r="PG70" s="430" t="str">
        <f>IF(A70=FALSE,"",IF(PA70="FIXE",Cotations!CP70,Cotations!CQ70*AA70))</f>
        <v/>
      </c>
      <c r="PH70" s="292" t="str">
        <f t="shared" si="292"/>
        <v/>
      </c>
      <c r="PI70" s="446" t="str">
        <f>IF(A70=FALSE,"",IF(Cotations!CG70="monthly",PH70/12*L70,PH70/365*M70))</f>
        <v/>
      </c>
      <c r="PJ70" s="429" t="str">
        <f>IF(A70=FALSE,"",IF(Cotations!DA70="",0,Cotations!DA70))</f>
        <v/>
      </c>
      <c r="PK70" s="292" t="str">
        <f t="shared" si="293"/>
        <v/>
      </c>
      <c r="PL70" s="292" t="str">
        <f t="shared" si="294"/>
        <v/>
      </c>
      <c r="PM70" s="759" t="str">
        <f t="shared" si="357"/>
        <v/>
      </c>
      <c r="PN70" s="759" t="str">
        <f>IF(A70=FALSE,"",((PH70*(1+TAXE)-(PH70*(1+TAXE)*PJ70))+IF(#REF!="N/A",0,IF(INDEX(LISTES!$F$105:$F$109,MATCH(#REF!,LISTES!$C$105:$C$109,0))="FIX",#REF!,#REF!*PM70))))</f>
        <v/>
      </c>
    </row>
    <row r="71" spans="1:430">
      <c r="A71" s="779" t="b">
        <f t="shared" si="295"/>
        <v>0</v>
      </c>
      <c r="B71" s="779" t="b">
        <f>IF(NAMES!$B$9=TRUE,TRUE,FALSE)</f>
        <v>1</v>
      </c>
      <c r="C71" s="779" t="b">
        <f t="shared" si="212"/>
        <v>0</v>
      </c>
      <c r="D71" s="779" t="b">
        <f t="shared" si="213"/>
        <v>0</v>
      </c>
      <c r="E71" s="267" t="b">
        <f>IF(Cotations!C71="","",Cotations!C71)</f>
        <v>0</v>
      </c>
      <c r="F71" s="267" t="str">
        <f>IF(Cotations!AT71="","",Cotations!AT71)</f>
        <v>PROP</v>
      </c>
      <c r="G71" s="267" t="str">
        <f>IF(Cotations!D71="","",Cotations!D71)</f>
        <v>2016-2017!</v>
      </c>
      <c r="H71" s="267" t="str">
        <f>IF(Cotations!E71="","",Cotations!E71)</f>
        <v>SINGLE</v>
      </c>
      <c r="I71" s="267" t="str">
        <f>IF(Cotations!F71="","",Cotations!F71)</f>
        <v/>
      </c>
      <c r="J71" s="267" t="str">
        <f>IF(Cotations!G71="","",Cotations!G71)</f>
        <v/>
      </c>
      <c r="K71" s="267" t="str">
        <f>IF(Cotations!H71="","",Cotations!H71)</f>
        <v/>
      </c>
      <c r="L71" s="267" t="str">
        <f>IF(A71=FALSE,"",IF(Cotations!M71="","",Cotations!M71))</f>
        <v/>
      </c>
      <c r="M71" s="267" t="str">
        <f>IF(Cotations!O71="","",Cotations!O71)</f>
        <v/>
      </c>
      <c r="N71" s="588" t="str">
        <f>IF(NAMES!$B$10=TRUE,Cotations!I71,Cotations!K71)</f>
        <v/>
      </c>
      <c r="O71" s="588" t="str">
        <f>IF(NAMES!$B$10=TRUE,Cotations!J71,Cotations!L71)</f>
        <v/>
      </c>
      <c r="P71" s="780" t="str">
        <f t="shared" si="214"/>
        <v/>
      </c>
      <c r="Q71" s="588" t="str">
        <f>IF(A71=FALSE,"",IF(Crewlist!Y71="","",Crewlist!Y71))</f>
        <v/>
      </c>
      <c r="R71" s="78" t="str">
        <f>IF(Cotations!T71="","",Cotations!T71)</f>
        <v/>
      </c>
      <c r="S71" s="780" t="str">
        <f t="shared" si="215"/>
        <v/>
      </c>
      <c r="T71" s="759" t="str">
        <f>IF(A71=FALSE,"",VLOOKUP($U$15:$U$120,Currency!$A$2:$D$10,4,0)*Crewlist!N71)</f>
        <v/>
      </c>
      <c r="U71" s="1097" t="str">
        <f>IF(A71=FALSE,"",IF(DP71=0,Crewlist!M71&amp;"/"&amp;CP71,Crewlist!M71&amp;"/"&amp;DP71))</f>
        <v/>
      </c>
      <c r="V71" s="759" t="str">
        <f>IF(A71=FALSE,"",VLOOKUP($U$15:$U$120,Currency!$A$2:$D$10,4,0)*Detail!Q71)</f>
        <v/>
      </c>
      <c r="W71" s="1097" t="str">
        <f>IF(A71=FALSE,"",IF(DP71=0,Detail!R71&amp;"/"&amp;CP71,Detail!R71&amp;"/"&amp;DP71))</f>
        <v/>
      </c>
      <c r="X71" s="759" t="str">
        <f>IF(A71=FALSE,"",IF(LISTES!$C$17="Crewlist",Calcul!T71,Calcul!V71))</f>
        <v/>
      </c>
      <c r="Y71" s="618" t="str">
        <f t="shared" si="216"/>
        <v/>
      </c>
      <c r="Z71" s="618" t="str">
        <f>IF(A71=FALSE,"",IF(X71=0,0,IF((Cotations!BA71*12*X71)&lt;50000,50000,(12*X71))))</f>
        <v/>
      </c>
      <c r="AA71" s="618" t="str">
        <f t="shared" si="217"/>
        <v/>
      </c>
      <c r="AB71" s="618" t="str">
        <f>IF(A71=FALSE,"",IF(Crewlist!O71=0,"",Crewlist!O71))</f>
        <v/>
      </c>
      <c r="AC71" s="618" t="str">
        <f>IF(I71="","",VLOOKUP($AB$15:$AB$120,Currency!$A$15:$B$34,2,0))</f>
        <v/>
      </c>
      <c r="AD71" s="618" t="str">
        <f t="shared" si="218"/>
        <v/>
      </c>
      <c r="AE71" s="618" t="str">
        <f t="shared" si="219"/>
        <v/>
      </c>
      <c r="AF71" s="618" t="str">
        <f t="shared" si="220"/>
        <v/>
      </c>
      <c r="AG71" s="618" t="str">
        <f t="shared" si="221"/>
        <v/>
      </c>
      <c r="AH71" s="1097" t="str">
        <f t="shared" si="296"/>
        <v/>
      </c>
      <c r="AI71" s="759" t="str">
        <f t="shared" si="222"/>
        <v/>
      </c>
      <c r="AJ71" s="1120" t="str">
        <f t="shared" si="223"/>
        <v/>
      </c>
      <c r="AK71" s="1120" t="str">
        <f t="shared" si="224"/>
        <v/>
      </c>
      <c r="AL71" s="236" t="str">
        <f t="shared" si="225"/>
        <v/>
      </c>
      <c r="AM71" s="236" t="str">
        <f t="shared" si="226"/>
        <v/>
      </c>
      <c r="AN71" s="1112" t="str">
        <f t="shared" si="227"/>
        <v/>
      </c>
      <c r="AO71" s="236" t="str">
        <f t="shared" si="228"/>
        <v/>
      </c>
      <c r="AP71" s="327" t="str">
        <f>IF(A71=FALSE,"",INDEX(Rates!$Q$1:$Q$278,MATCH(CA71,colchoice,0)))</f>
        <v/>
      </c>
      <c r="AQ71" s="236" t="str">
        <f t="shared" si="229"/>
        <v/>
      </c>
      <c r="AR71" s="236" t="str">
        <f t="shared" si="230"/>
        <v/>
      </c>
      <c r="AS71" s="236" t="str">
        <f t="shared" si="297"/>
        <v/>
      </c>
      <c r="AT71" s="236" t="str">
        <f t="shared" si="298"/>
        <v/>
      </c>
      <c r="AU71" s="236" t="str">
        <f t="shared" si="231"/>
        <v/>
      </c>
      <c r="AV71" s="236" t="str">
        <f t="shared" si="232"/>
        <v/>
      </c>
      <c r="AW71" s="236" t="str">
        <f t="shared" si="233"/>
        <v/>
      </c>
      <c r="AX71" s="236" t="str">
        <f t="shared" si="234"/>
        <v/>
      </c>
      <c r="AY71" s="236" t="str">
        <f t="shared" si="235"/>
        <v/>
      </c>
      <c r="AZ71" s="236" t="str">
        <f t="shared" si="236"/>
        <v/>
      </c>
      <c r="BA71" s="236" t="str">
        <f t="shared" si="237"/>
        <v/>
      </c>
      <c r="BB71" s="467" t="str">
        <f t="shared" si="238"/>
        <v/>
      </c>
      <c r="BC71" s="329" t="str">
        <f t="shared" si="239"/>
        <v/>
      </c>
      <c r="BD71" s="237" t="str">
        <f t="shared" si="240"/>
        <v/>
      </c>
      <c r="BE71" s="237" t="str">
        <f>IF(A71=FALSE,"",IF(ED71&lt;&gt;$BC$7,0,INDEX(EA71:EZ71,1,MATCH(Structure!$J$16,$EA$14:$EZ$14,0))))</f>
        <v/>
      </c>
      <c r="BF71" s="237" t="str">
        <f>IF(A71=FALSE,"",IF(FD71&lt;&gt;$BC$7,0,INDEX(FA71:FZ71,1,MATCH(Structure!$J$16,$FA$14:$FZ$14,0))))</f>
        <v/>
      </c>
      <c r="BG71" s="237" t="str">
        <f>IF(A71=FALSE,"",IF(GD71&lt;&gt;$BC$7,0,INDEX(GA71:GZ71,1,MATCH(Structure!$J$16,$GA$14:$GZ$14,0))))</f>
        <v/>
      </c>
      <c r="BH71" s="237" t="str">
        <f>IF(A71=FALSE,"",IF(HD71&lt;&gt;$BC$7,0,INDEX(HA71:HZ71,1,MATCH(Structure!$J$16,$HA$14:$HZ$14,0))))</f>
        <v/>
      </c>
      <c r="BI71" s="621" t="str">
        <f>IF(A71=FALSE,"",IF(ID71&lt;&gt;$BC$7,0,INDEX(IA71:IZ71,1,MATCH(Structure!$C$12,$IA$14:$IZ$14,0)))+OL71)</f>
        <v/>
      </c>
      <c r="BJ71" s="237" t="str">
        <f>IF(A71=FALSE,"",IF(JD71&lt;&gt;$BC$7,0,INDEX(JA71:JZ71,1,MATCH(Structure!$C$12,$JA$14:$JZ$14,0))))</f>
        <v/>
      </c>
      <c r="BK71" s="621" t="str">
        <f>IF(A71=FALSE,"",IF(KD71&lt;&gt;$BC$7,0,INDEX(KA71:KZ71,1,MATCH(Structure!$C$12,$KA$14:$KZ$14,0)))+PL71)</f>
        <v/>
      </c>
      <c r="BL71" s="237" t="str">
        <f>IF(A71=FALSE,"",IF(LD71&lt;&gt;$BC$7,0,INDEX(LA71:LZ71,1,MATCH(Structure!$C$12,$LA$14:$LZ$14,0))))</f>
        <v/>
      </c>
      <c r="BM71" s="237" t="str">
        <f>IF(A71=FALSE,"",IF(MD71&lt;&gt;$BC$7,0,INDEX(MA71:MZ71,1,MATCH(Structure!$C$12,$MA$14:$MZ$14,0))))</f>
        <v/>
      </c>
      <c r="BN71" s="326" t="str">
        <f>IF(A71=FALSE,"",IF(ND71&lt;&gt;$BC$7,0,INDEX(NA71:OC71,1,MATCH(Structure!$C$12,$NA$14:$OC$14,0))))</f>
        <v/>
      </c>
      <c r="BO71" s="435" t="str">
        <f t="shared" si="241"/>
        <v/>
      </c>
      <c r="BP71" s="237" t="str">
        <f t="shared" si="242"/>
        <v/>
      </c>
      <c r="BQ71" s="237" t="str">
        <f>IF(A71=FALSE,"",IF(ED71&lt;&gt;$BO$7,0,INDEX(EA71:EZ71,1,MATCH(Structure!$C$12,$EA$14:$EZ$14,0))))</f>
        <v/>
      </c>
      <c r="BR71" s="237" t="str">
        <f>IF(A71=FALSE,"",IF(FD71&lt;&gt;$BO$7,0,INDEX(FA71:FZ71,1,MATCH(Structure!$C$12,$FA$14:$FZ$14,0))))</f>
        <v/>
      </c>
      <c r="BS71" s="237" t="str">
        <f>IF(A71=FALSE,"",IF(ID71&lt;&gt;$BO$7,0,INDEX(IA71:IZ71,1,MATCH(Structure!$C$13,$IA$14:$IZ$14,0))))</f>
        <v/>
      </c>
      <c r="BT71" s="237" t="str">
        <f>IF(A71=FALSE,"",IF(JD71&lt;&gt;$BO$7,0,INDEX(JA71:JZ71,1,MATCH(Structure!$C$13,$JA$14:$JZ$14,0))))</f>
        <v/>
      </c>
      <c r="BU71" s="237" t="str">
        <f>IF(A71=FALSE,"",IF(KD71&lt;&gt;$BO$7,0,INDEX(KA71:KZ71,1,MATCH(Structure!$C$13,$KA$14:$KZ$14,0))))</f>
        <v/>
      </c>
      <c r="BV71" s="237" t="str">
        <f>IF(A71=FALSE,"",IF(LD71&lt;&gt;$BO$7,0,INDEX(LA71:LZ71,1,MATCH(Structure!$C$13,$LA$14:$LZ$14,0))))</f>
        <v/>
      </c>
      <c r="BW71" s="237" t="str">
        <f>IF(A71=FALSE,"",IF(MD71&lt;&gt;$BO$7,0,INDEX(MA71:MZ71,1,MATCH(Structure!$C$13,$MA$14:$MZ$14,0))))</f>
        <v/>
      </c>
      <c r="BX71" s="326" t="str">
        <f>IF(A71=FALSE,"",IF(ND71&lt;&gt;$BO$7,0,INDEX(NA71:OC71,1,MATCH(Structure!$C$13,$NA$14:$OC$14,0))))</f>
        <v/>
      </c>
      <c r="BY71" s="412"/>
      <c r="BZ71" s="412"/>
      <c r="CA71" s="1255" t="str">
        <f>IF(A71=FALSE,"",IF(LISTES!$A$17=1,Cotations!AG71,Cotations!AH71))</f>
        <v/>
      </c>
      <c r="CB71" s="1266" t="str">
        <f t="shared" si="243"/>
        <v/>
      </c>
      <c r="CC71" s="1120" t="str">
        <f t="shared" si="244"/>
        <v/>
      </c>
      <c r="CD71" s="1120" t="str">
        <f t="shared" si="245"/>
        <v/>
      </c>
      <c r="CE71" s="1120" t="str">
        <f t="shared" si="246"/>
        <v/>
      </c>
      <c r="CF71" s="1120" t="str">
        <f t="shared" si="247"/>
        <v/>
      </c>
      <c r="CG71" s="1267"/>
      <c r="CH71" s="1267"/>
      <c r="CI71" s="1268" t="str">
        <f t="shared" si="248"/>
        <v/>
      </c>
      <c r="CJ71" s="286" t="str">
        <f t="shared" si="249"/>
        <v/>
      </c>
      <c r="CK71" s="286" t="str">
        <f t="shared" si="250"/>
        <v/>
      </c>
      <c r="CL71" s="1263"/>
      <c r="CM71" s="1263"/>
      <c r="CN71" s="1263"/>
      <c r="CO71" s="1263"/>
      <c r="CP71" s="319" t="str">
        <f t="shared" si="251"/>
        <v/>
      </c>
      <c r="CQ71" s="443" t="str">
        <f>IF(A71=FALSE,"",Cotations!AM71)</f>
        <v/>
      </c>
      <c r="CR71" s="443" t="str">
        <f>IF(A71=FALSE,"",IF(Cotations!AN71="","",Cotations!AN71))</f>
        <v/>
      </c>
      <c r="CS71" s="433" t="str">
        <f>IF(A71=FALSE,"",Cotations!AO71)</f>
        <v/>
      </c>
      <c r="CT71" s="443" t="str">
        <f>IF(A71=FALSE,"",IF(CQ71="N/A",0,IF(INDEX(LISTES!$F$105:$F$109,MATCH(CQ71,LISTES!$C$105:$C$109,0))="FIX",IF(INDEX(LISTES!$E$105:$E$109,MATCH(CQ71,LISTES!$C$105:$C$109,0))=12,CR71/12*L71,CR71/365*M71),CS71*EQ71)))</f>
        <v/>
      </c>
      <c r="CU71" s="434" t="str">
        <f>IF(A71=FALSE,"",(CJ71+CK71)*Cotations!AP71)</f>
        <v/>
      </c>
      <c r="CV71" s="434" t="str">
        <f>IF(A71=FALSE,"",(CJ71+CK71)*Cotations!AQ71)</f>
        <v/>
      </c>
      <c r="DA71" s="1253" t="str">
        <f>IF(A71=FALSE,"",IF(LISTES!$A$17=1,Cotations!AV71,Cotations!AW71))</f>
        <v/>
      </c>
      <c r="DB71" s="1271" t="str">
        <f t="shared" si="252"/>
        <v/>
      </c>
      <c r="DC71" s="1270" t="str">
        <f t="shared" si="253"/>
        <v/>
      </c>
      <c r="DD71" s="1270" t="str">
        <f t="shared" si="254"/>
        <v/>
      </c>
      <c r="DE71" s="1270" t="str">
        <f t="shared" si="255"/>
        <v/>
      </c>
      <c r="DF71" s="1270" t="str">
        <f t="shared" si="256"/>
        <v/>
      </c>
      <c r="DG71" s="1270" t="str">
        <f t="shared" si="257"/>
        <v/>
      </c>
      <c r="DH71" s="1270" t="str">
        <f t="shared" si="258"/>
        <v/>
      </c>
      <c r="DI71" s="1271" t="str">
        <f t="shared" si="259"/>
        <v/>
      </c>
      <c r="DJ71" s="286" t="str">
        <f t="shared" si="260"/>
        <v/>
      </c>
      <c r="DK71" s="286" t="str">
        <f t="shared" si="261"/>
        <v/>
      </c>
      <c r="DL71" s="1264" t="str">
        <f t="shared" si="262"/>
        <v/>
      </c>
      <c r="DM71" s="1264" t="str">
        <f t="shared" si="263"/>
        <v/>
      </c>
      <c r="DN71" s="1264" t="str">
        <f t="shared" si="264"/>
        <v/>
      </c>
      <c r="DO71" s="1264" t="str">
        <f t="shared" si="265"/>
        <v/>
      </c>
      <c r="DP71" s="323" t="str">
        <f t="shared" si="299"/>
        <v/>
      </c>
      <c r="DQ71" s="444" t="str">
        <f>IF(A71=FALSE,"",Cotations!BW71)</f>
        <v/>
      </c>
      <c r="DR71" s="444" t="str">
        <f>IF(A71=FALSE,"",Cotations!BX71)</f>
        <v/>
      </c>
      <c r="DS71" s="433" t="str">
        <f>IF(A71=FALSE,"",Cotations!BY71)</f>
        <v/>
      </c>
      <c r="DT71" s="830" t="str">
        <f>IF(A71=FALSE,"",IF(DQ71="N/A",0,IF(INDEX(LISTES!$F$105:$F$109,MATCH(DQ71,LISTES!$C$105:$C$109,0))="FIX",IF(INDEX(LISTES!$E$105:$E$109,MATCH(DQ71,LISTES!$C$105:$C$109,0))=12,DR71/12*L71,DR71/365*M71),DS71*(DN71+DO71))))</f>
        <v/>
      </c>
      <c r="DU71" s="434" t="str">
        <f>IF(A71=FALSE,"",DJ71*Cotations!BZ71)</f>
        <v/>
      </c>
      <c r="DV71" s="434" t="str">
        <f>IF(A71=FALSE,"",DJ71*Cotations!CA71)</f>
        <v/>
      </c>
      <c r="EA71" s="432" t="str">
        <f>IF(A71=FALSE,"",Cotations!AT71)</f>
        <v/>
      </c>
      <c r="EB71" s="1234" t="str">
        <f>IF(A71=FALSE,"",YEAR(Detail!F71)&amp;Detail!AG71&amp;Detail!AD71&amp;"-"&amp;Detail!$AD$13&amp;Detail!AE71)</f>
        <v/>
      </c>
      <c r="EC71" s="434" t="str">
        <f>IF(A71=FALSE,"",IF(LISTES!$A$17=1,EB71,INDEX(colMOD1,MATCH(Cotations!AH71,colchoice,0))))</f>
        <v/>
      </c>
      <c r="ED71" s="277" t="str">
        <f t="shared" si="300"/>
        <v/>
      </c>
      <c r="EE71" s="277" t="str">
        <f t="shared" si="301"/>
        <v/>
      </c>
      <c r="EF71" s="277"/>
      <c r="EG71" s="277"/>
      <c r="EH71" s="277" t="str">
        <f t="shared" si="302"/>
        <v/>
      </c>
      <c r="EI71" s="1104" t="str">
        <f t="shared" si="303"/>
        <v/>
      </c>
      <c r="EJ71" s="1104" t="str">
        <f t="shared" si="304"/>
        <v/>
      </c>
      <c r="EK71" s="443" t="str">
        <f>IF(A71=FALSE,"",IF(Cotations!AF71="monthly",EH71/12*L71,EH71/365*M71))</f>
        <v/>
      </c>
      <c r="EL71" s="1103" t="str">
        <f>IF(A71=FALSE,"",IF(Cotations!AF71="monthly",EJ71/12*L71,EJ71/365*M71))</f>
        <v/>
      </c>
      <c r="EM71" s="433" t="str">
        <f>IF(A71=FALSE,"",IF(Cotations!AI71="","",Cotations!AI71))</f>
        <v/>
      </c>
      <c r="EN71" s="277" t="str">
        <f t="shared" si="305"/>
        <v/>
      </c>
      <c r="EO71" s="277" t="str">
        <f t="shared" si="306"/>
        <v/>
      </c>
      <c r="EP71" s="1104" t="str">
        <f t="shared" si="307"/>
        <v/>
      </c>
      <c r="EQ71" s="277" t="str">
        <f t="shared" si="308"/>
        <v/>
      </c>
      <c r="ER71" s="759" t="str">
        <f>IF(A71=FALSE,"",((EH71*TAXE)-(EH71*TAXE*EM71)+EI71)+IF(CQ71="N/A",0,IF(INDEX(LISTES!$F$105:$F$109,MATCH(CQ71,LISTES!$C$105:$C$109,0))="FIX",CR71,CS71*EQ71)))</f>
        <v/>
      </c>
      <c r="ET71" s="422"/>
      <c r="EU71" s="422"/>
      <c r="EV71" s="422"/>
      <c r="EW71" s="422"/>
      <c r="EX71" s="422"/>
      <c r="EY71" s="422"/>
      <c r="EZ71" s="422"/>
      <c r="FA71" s="432" t="str">
        <f>IF(A71=FALSE,"",Cotations!AT71)</f>
        <v/>
      </c>
      <c r="FB71" s="1235" t="str">
        <f>IF(A71=FALSE,"",IF(Detail!AL71="","N/A",YEAR(Detail!F71)&amp;Detail!AO71&amp;Detail!AL71&amp;"-"&amp;Detail!$AL$13&amp;Detail!AM71))</f>
        <v/>
      </c>
      <c r="FC71" s="434" t="str">
        <f>IF(A71=FALSE,"",IF(LISTES!$A$17=1,FB71,INDEX(colMOD2,MATCH(Cotations!AH71,colchoice,0))))</f>
        <v/>
      </c>
      <c r="FD71" s="277" t="str">
        <f t="shared" si="309"/>
        <v/>
      </c>
      <c r="FE71" s="443" t="str">
        <f>IF(A71=FALSE,"",IF(Detail!AM71="","",Detail!AM71))</f>
        <v/>
      </c>
      <c r="FF71" s="277"/>
      <c r="FG71" s="277"/>
      <c r="FH71" s="277" t="str">
        <f t="shared" si="310"/>
        <v/>
      </c>
      <c r="FI71" s="1104"/>
      <c r="FJ71" s="1104"/>
      <c r="FK71" s="443" t="str">
        <f>IF(A71=FALSE,"",IF(Cotations!AF71="monthly",FH71/12*L71,FH71/365*M71))</f>
        <v/>
      </c>
      <c r="FL71" s="1103" t="str">
        <f>IF(A71=FALSE,"",IF(Cotations!AF71="monthly",FJ71/12*L71,FJ71/365*M71))</f>
        <v/>
      </c>
      <c r="FM71" s="433" t="str">
        <f>IF(A71=FALSE,"",IF(Cotations!AJ71="","",Cotations!AJ71))</f>
        <v/>
      </c>
      <c r="FN71" s="277" t="str">
        <f t="shared" si="268"/>
        <v/>
      </c>
      <c r="FO71" s="277" t="str">
        <f t="shared" si="269"/>
        <v/>
      </c>
      <c r="FP71" s="1104"/>
      <c r="FQ71" s="277" t="str">
        <f t="shared" si="270"/>
        <v/>
      </c>
      <c r="FR71" s="759" t="str">
        <f>IF(A71=FALSE,"",((FH71*TAXE)-(FH71*TAXE*FM71))+IF(#REF!="N/A",0,IF(INDEX(LISTES!$F$105:$F$109,MATCH(#REF!,LISTES!$C$105:$C$109,0))="FIX",#REF!,#REF!*FQ71)))</f>
        <v/>
      </c>
      <c r="FS71" s="422"/>
      <c r="FT71" s="422"/>
      <c r="FU71" s="422"/>
      <c r="FV71" s="422"/>
      <c r="FW71" s="422"/>
      <c r="FX71" s="422"/>
      <c r="FY71" s="422"/>
      <c r="FZ71" s="422"/>
      <c r="GA71" s="432" t="str">
        <f t="shared" si="311"/>
        <v/>
      </c>
      <c r="GB71" s="1234" t="str">
        <f>IF(A71=FALSE,"",IF(Detail!DF71="","N/A",YEAR(Detail!F71)&amp;Detail!DI71&amp;Detail!DF71&amp;"-"&amp;Detail!$DF$13))</f>
        <v/>
      </c>
      <c r="GC71" s="434" t="str">
        <f>IF(A71=FALSE,"",IF(LISTES!$A$17=1,GB71,INDEX(colMOD3,MATCH(Cotations!AH71,colchoice,0))))</f>
        <v/>
      </c>
      <c r="GD71" s="277" t="str">
        <f t="shared" si="312"/>
        <v/>
      </c>
      <c r="GE71" s="277" t="str">
        <f t="shared" si="313"/>
        <v/>
      </c>
      <c r="GF71" s="277"/>
      <c r="GG71" s="277"/>
      <c r="GH71" s="277" t="str">
        <f t="shared" si="271"/>
        <v/>
      </c>
      <c r="GI71" s="1104" t="str">
        <f t="shared" si="272"/>
        <v/>
      </c>
      <c r="GJ71" s="1104" t="str">
        <f t="shared" si="273"/>
        <v/>
      </c>
      <c r="GK71" s="443" t="str">
        <f>IF(A71=FALSE,"",IF(Cotations!AF71="monthly",GH71/12*L71,GH71/365*M71))</f>
        <v/>
      </c>
      <c r="GL71" s="1103" t="str">
        <f>IF(A71=FALSE,"",IF(Cotations!AF71="monthly",GJ71/12*L71,GJ71/365*M71))</f>
        <v/>
      </c>
      <c r="GM71" s="433" t="str">
        <f>IF(A71=FALSE,"",IF(Cotations!AK71="","",Cotations!AK71))</f>
        <v/>
      </c>
      <c r="GN71" s="277" t="str">
        <f t="shared" si="274"/>
        <v/>
      </c>
      <c r="GO71" s="277" t="str">
        <f t="shared" si="275"/>
        <v/>
      </c>
      <c r="GP71" s="1104" t="str">
        <f t="shared" si="276"/>
        <v/>
      </c>
      <c r="GQ71" s="277" t="str">
        <f t="shared" si="277"/>
        <v/>
      </c>
      <c r="GR71" s="759" t="str">
        <f>IF(A71=FALSE,"",((GH71*TAXE)-(GH71*TAXE*GM71)+GI71)+IF(CQ71="N/A",0,IF(INDEX(LISTES!$F$105:$F$109,MATCH(CQ71,LISTES!$C$105:$C$109,0))="FIX",CR71,CS71*GQ71)))</f>
        <v/>
      </c>
      <c r="GS71" s="412"/>
      <c r="GT71" s="412"/>
      <c r="GU71" s="412"/>
      <c r="GV71" s="412"/>
      <c r="GW71" s="412"/>
      <c r="GX71" s="412"/>
      <c r="GY71" s="412"/>
      <c r="GZ71" s="412"/>
      <c r="HA71" s="432" t="str">
        <f t="shared" si="314"/>
        <v/>
      </c>
      <c r="HB71" s="1234" t="str">
        <f>IF(A71=FALSE,"",IF(Detail!DF71="","N/A",YEAR(Detail!F71)&amp;Detail!DI71&amp;Detail!DF71&amp;"-"&amp;Detail!$DF$13))</f>
        <v/>
      </c>
      <c r="HC71" s="434" t="str">
        <f>IF(A71=FALSE,"",IF(LISTES!$A$17=1,HB71,INDEX(colMOD4,MATCH(Cotations!AH71,colchoice,0))))</f>
        <v/>
      </c>
      <c r="HD71" s="277" t="str">
        <f t="shared" si="278"/>
        <v/>
      </c>
      <c r="HE71" s="277" t="str">
        <f t="shared" si="279"/>
        <v/>
      </c>
      <c r="HF71" s="277"/>
      <c r="HG71" s="277"/>
      <c r="HH71" s="277" t="str">
        <f t="shared" si="280"/>
        <v/>
      </c>
      <c r="HI71" s="1104" t="str">
        <f t="shared" si="281"/>
        <v/>
      </c>
      <c r="HJ71" s="1104" t="str">
        <f t="shared" si="282"/>
        <v/>
      </c>
      <c r="HK71" s="443" t="str">
        <f>IF(A71=FALSE,"",IF(Cotations!AF71="monthly",HH71/12*L71,HH71/365*M71))</f>
        <v/>
      </c>
      <c r="HL71" s="1103" t="str">
        <f>IF(A71=FALSE,"",IF(Cotations!AF71="monthly",HJ71/12*L71,HJ71/365*M71))</f>
        <v/>
      </c>
      <c r="HM71" s="433" t="str">
        <f>IF(A71=FALSE,"",IF(Cotations!AL71="","",Cotations!AL71))</f>
        <v/>
      </c>
      <c r="HN71" s="277" t="str">
        <f t="shared" si="283"/>
        <v/>
      </c>
      <c r="HO71" s="277" t="str">
        <f t="shared" si="284"/>
        <v/>
      </c>
      <c r="HP71" s="1104" t="str">
        <f t="shared" si="285"/>
        <v/>
      </c>
      <c r="HQ71" s="277" t="str">
        <f t="shared" si="286"/>
        <v/>
      </c>
      <c r="HR71" s="759" t="str">
        <f>IF(A71=FALSE,"",((HH71*TAXE)-(HH71*TAXE*HM71)+HI71)+IF(CQ71="N/A",0,IF(INDEX(LISTES!$F$105:$F$109,MATCH(CQ71,LISTES!$C$105:$C$109,0))="FIX",CR71,CS71*HQ71)))</f>
        <v/>
      </c>
      <c r="HS71" s="412"/>
      <c r="HT71" s="412"/>
      <c r="HU71" s="412"/>
      <c r="HV71" s="412"/>
      <c r="HW71" s="412"/>
      <c r="HX71" s="412"/>
      <c r="HY71" s="412"/>
      <c r="HZ71" s="1262"/>
      <c r="IA71" s="432" t="str">
        <f>IF(A71=FALSE,"",Cotations!AT71)</f>
        <v/>
      </c>
      <c r="IB71" s="1253" t="str">
        <f>IF(A71=FALSE,"",IF(Detail!AT71="","N/A",YEAR(Detail!F71)&amp;Detail!AW71&amp;Detail!AT71&amp;"-"&amp;Detail!$AT$13&amp;Detail!AU71))</f>
        <v/>
      </c>
      <c r="IC71" s="431" t="str">
        <f>IF(A71=FALSE,"",IF(LISTES!$A$17=1,IB71,INDEX(colMOD1,MATCH(DA71,colchoice,0))))</f>
        <v/>
      </c>
      <c r="ID71" s="759" t="str">
        <f t="shared" si="358"/>
        <v/>
      </c>
      <c r="IE71" s="292" t="str">
        <f>IF(A71=FALSE,"",IF(LISTES!$A$17=1,Detail!AU71,INDEX(Rates!$M$1:$M$270,MATCH(IC71,colMOD1,0))))</f>
        <v/>
      </c>
      <c r="IF71" s="409" t="str">
        <f t="shared" si="359"/>
        <v/>
      </c>
      <c r="IG71" s="430" t="str">
        <f>IF(A71=FALSE,"",IF(IA71="POEA",Cotations!AY71,IF(IA71="FIXE",Cotations!AZ71,IF(Cotations!BA71*Y71&lt;50000,Z71,Cotations!BA71*Y71))))</f>
        <v/>
      </c>
      <c r="IH71" s="292" t="str">
        <f t="shared" si="360"/>
        <v/>
      </c>
      <c r="II71" s="446" t="str">
        <f>IF(A71=FALSE,"",IF(Cotations!AU71="monthly",IH71/12*L71,IH71/365*M71))</f>
        <v/>
      </c>
      <c r="IJ71" s="429" t="str">
        <f>IF(A71=FALSE,"",IF(Cotations!BB71="","",Cotations!BB71))</f>
        <v/>
      </c>
      <c r="IK71" s="292" t="str">
        <f t="shared" si="361"/>
        <v/>
      </c>
      <c r="IL71" s="292" t="str">
        <f t="shared" si="362"/>
        <v/>
      </c>
      <c r="IM71" s="759" t="str">
        <f t="shared" si="363"/>
        <v/>
      </c>
      <c r="IN71" s="759" t="str">
        <f>IF(A71=FALSE,"",((IH71*TAXE)-(IH71*TAXE*IJ71))+IF(DQ71="N/A",0,IF(INDEX(LISTES!$F$105:$F$109,MATCH(DQ71,LISTES!$C$105:$C$109,0))="FIX",DR71,DS71*IM71)))</f>
        <v/>
      </c>
      <c r="JA71" s="432" t="str">
        <f>IF(A71=FALSE,"",Cotations!AT71)</f>
        <v/>
      </c>
      <c r="JB71" s="1234" t="str">
        <f>IF(A71=FALSE,"",IF(Detail!BB71="","N/A",YEAR(Detail!F71)&amp;Detail!BE71&amp;Detail!BB71&amp;"-"&amp;Detail!$BB$13&amp;Detail!BC71))</f>
        <v/>
      </c>
      <c r="JC71" s="431" t="str">
        <f>IF(A71=FALSE,"",IF(LISTES!$A$17=1,JB71,INDEX(colMOD2,MATCH(DA71,colchoice,0))))</f>
        <v/>
      </c>
      <c r="JD71" s="759" t="str">
        <f t="shared" si="321"/>
        <v/>
      </c>
      <c r="JE71" s="292"/>
      <c r="JF71" s="409" t="str">
        <f t="shared" si="322"/>
        <v/>
      </c>
      <c r="JG71" s="430" t="str">
        <f>IF(A71=FALSE,"",IF(JA71="POEA",Cotations!BC71,IF(JA71="FIXE",Cotations!BD71,IF(Cotations!BE71*Y71&lt;50000,Z71,Cotations!BE71*Y71))))</f>
        <v/>
      </c>
      <c r="JH71" s="292" t="str">
        <f t="shared" si="323"/>
        <v/>
      </c>
      <c r="JI71" s="446" t="str">
        <f>IF(A71=FALSE,"",IF(Cotations!AU71="monthly",JH71/12*L71,JH71/365*M71))</f>
        <v/>
      </c>
      <c r="JJ71" s="429" t="str">
        <f>IF(A71=FALSE,"",IF(Cotations!BF71="","",Cotations!BF71))</f>
        <v/>
      </c>
      <c r="JK71" s="292" t="str">
        <f t="shared" si="324"/>
        <v/>
      </c>
      <c r="JL71" s="292" t="str">
        <f t="shared" si="325"/>
        <v/>
      </c>
      <c r="JM71" s="759" t="str">
        <f t="shared" si="326"/>
        <v/>
      </c>
      <c r="JN71" s="759" t="str">
        <f>IF(A71=FALSE,"",((JH71*TAXE)-(JH71*TAXE*JJ71))+IF(#REF!="N/A",0,IF(INDEX(LISTES!$F$105:$F$109,MATCH(#REF!,LISTES!$C$105:$C$109,0))="FIX",#REF!,#REF!*JM71)))</f>
        <v/>
      </c>
      <c r="KA71" s="432" t="str">
        <f>IF(A71=FALSE,"",Cotations!AT71)</f>
        <v/>
      </c>
      <c r="KB71" s="1234" t="str">
        <f>IF(A71=FALSE,"",IF(Detail!BJ71="","N/A",YEAR(Detail!F71)&amp;Detail!BM71&amp;Detail!BJ71&amp;"-"&amp;Detail!$BJ$13&amp;Detail!BK71))</f>
        <v/>
      </c>
      <c r="KC71" s="431" t="str">
        <f>IF(A71=FALSE,"",IF(LISTES!$A$17=1,KB71,INDEX(colMOD3,MATCH(DA71,colchoice,0))))</f>
        <v/>
      </c>
      <c r="KD71" s="759" t="str">
        <f t="shared" si="327"/>
        <v/>
      </c>
      <c r="KE71" s="292"/>
      <c r="KF71" s="409" t="str">
        <f t="shared" si="328"/>
        <v/>
      </c>
      <c r="KG71" s="430" t="str">
        <f>IF(A71=FALSE,"",IF(KA71="POEA",Cotations!BG71,IF(KA71="FIXE",Cotations!BH71,IF(Cotations!BI71*Y71&lt;50000,Z71,Cotations!BI71*Y71))))</f>
        <v/>
      </c>
      <c r="KH71" s="292" t="str">
        <f t="shared" si="329"/>
        <v/>
      </c>
      <c r="KI71" s="446" t="str">
        <f>IF(A71=FALSE,"",IF(Cotations!AU71="monthly",KH71/12*L71,KH71/365*M71))</f>
        <v/>
      </c>
      <c r="KJ71" s="429" t="str">
        <f>IF(A71=FALSE,"",IF(Cotations!BJ71="","",Cotations!BJ71))</f>
        <v/>
      </c>
      <c r="KK71" s="292" t="str">
        <f t="shared" si="330"/>
        <v/>
      </c>
      <c r="KL71" s="292" t="str">
        <f t="shared" si="331"/>
        <v/>
      </c>
      <c r="KM71" s="759" t="str">
        <f t="shared" si="332"/>
        <v/>
      </c>
      <c r="KN71" s="759" t="str">
        <f>IF(A71=FALSE,"",((KH71*TAXE)-(KH71*TAXE*KJ71))+IF(#REF!="N/A",0,IF(INDEX(LISTES!$F$105:$F$109,MATCH(#REF!,LISTES!$C$105:$C$109,0))="FIX",#REF!,#REF!*KM71)))</f>
        <v/>
      </c>
      <c r="LA71" s="432" t="str">
        <f>IF(A71=FALSE,"",Cotations!AT71)</f>
        <v/>
      </c>
      <c r="LB71" s="1234" t="str">
        <f>IF(A71=FALSE,"",IF(Detail!BR71="","N/A",YEAR(Detail!F71)&amp;Detail!BU71&amp;Detail!BR71&amp;"-"&amp;Detail!$BR$13&amp;Detail!BS71))</f>
        <v/>
      </c>
      <c r="LC71" s="431" t="str">
        <f>IF(A71=FALSE,"",IF(LISTES!$A$17=1,LB71,INDEX(colMOD4,MATCH(DA71,colchoice,0))))</f>
        <v/>
      </c>
      <c r="LD71" s="759" t="str">
        <f t="shared" si="333"/>
        <v/>
      </c>
      <c r="LE71" s="292"/>
      <c r="LF71" s="409" t="str">
        <f t="shared" si="334"/>
        <v/>
      </c>
      <c r="LG71" s="430" t="str">
        <f>IF(A71=FALSE,"",IF(LA71="POEA",Cotations!BK71,IF(LA71="FIXE",Cotations!BL71,IF(Cotations!BM71*Y71&lt;50000,Z71,Cotations!BM71*Y71))))</f>
        <v/>
      </c>
      <c r="LH71" s="292" t="str">
        <f t="shared" si="335"/>
        <v/>
      </c>
      <c r="LI71" s="446" t="str">
        <f>IF(A71=FALSE,"",IF(Cotations!AU71="monthly",LH71/12*L71,LH71/365*M71))</f>
        <v/>
      </c>
      <c r="LJ71" s="429" t="str">
        <f>IF(A71=FALSE,"",IF(Cotations!BN71="","",Cotations!BN71))</f>
        <v/>
      </c>
      <c r="LK71" s="292" t="str">
        <f t="shared" si="336"/>
        <v/>
      </c>
      <c r="LL71" s="292" t="str">
        <f t="shared" si="337"/>
        <v/>
      </c>
      <c r="LM71" s="759" t="str">
        <f t="shared" si="338"/>
        <v/>
      </c>
      <c r="LN71" s="759" t="str">
        <f>IF(A71=FALSE,"",((LH71*TAXE)-(LH71*TAXE*LJ71))+IF(#REF!="N/A",0,IF(INDEX(LISTES!$F$105:$F$109,MATCH(#REF!,LISTES!$C$105:$C$109,0))="FIX",#REF!,#REF!*LM71)))</f>
        <v/>
      </c>
      <c r="MA71" s="432" t="str">
        <f t="shared" si="339"/>
        <v/>
      </c>
      <c r="MB71" s="1234" t="str">
        <f>IF(A71=FALSE,"",IF(Detail!BZ71="","N/A",YEAR(Detail!F71)&amp;Detail!CC71&amp;Detail!BZ71&amp;"-"&amp;Detail!$BZ$13&amp;" (100%/"&amp;Detail!CD71&amp;"/"&amp;Detail!CE71&amp;")"))</f>
        <v/>
      </c>
      <c r="MC71" s="431" t="str">
        <f>IF(A71=FALSE,"",IF(LISTES!$A$17=1,MB71,INDEX(colMOD5,MATCH(DA71,colchoice,0))))</f>
        <v/>
      </c>
      <c r="MD71" s="759" t="str">
        <f t="shared" si="340"/>
        <v/>
      </c>
      <c r="ME71" s="292"/>
      <c r="MF71" s="409" t="str">
        <f t="shared" si="341"/>
        <v/>
      </c>
      <c r="MG71" s="430" t="str">
        <f>IF(A71=FALSE,"",Cotations!BQ71*AA71)</f>
        <v/>
      </c>
      <c r="MH71" s="292" t="str">
        <f t="shared" si="342"/>
        <v/>
      </c>
      <c r="MI71" s="446" t="str">
        <f>IF(A71=FALSE,"",IF(Cotations!AU71="monthly",MH71/12*L71,MH71/365*M71))</f>
        <v/>
      </c>
      <c r="MJ71" s="429" t="str">
        <f>IF(A71=FALSE,"",IF(Cotations!BR71="","",Cotations!BR71))</f>
        <v/>
      </c>
      <c r="MK71" s="292" t="str">
        <f t="shared" si="343"/>
        <v/>
      </c>
      <c r="ML71" s="292" t="str">
        <f t="shared" si="344"/>
        <v/>
      </c>
      <c r="MM71" s="759" t="str">
        <f t="shared" si="345"/>
        <v/>
      </c>
      <c r="MN71" s="759" t="str">
        <f>IF(A71=FALSE,"",((MH71*TAXE)-(MH71*TAXE*MJ71))+IF(#REF!="N/A",0,IF(INDEX(LISTES!$F$105:$F$109,MATCH(#REF!,LISTES!$C$105:$C$109,0))="FIX",#REF!,#REF!*MM71)))</f>
        <v/>
      </c>
      <c r="NA71" s="432" t="str">
        <f t="shared" si="346"/>
        <v/>
      </c>
      <c r="NB71" s="1234" t="str">
        <f>IF(A71=FALSE,"",IF(Detail!CH71="","N/A",YEAR(Detail!F71)&amp;Detail!CK71&amp;Detail!CH71&amp;"-"&amp;Detail!$CH$13&amp;" (100%/"&amp;Detail!CL71&amp;"/"&amp;Detail!CM71&amp;")"))</f>
        <v/>
      </c>
      <c r="NC71" s="431" t="str">
        <f>IF(A71=FALSE,"",IF(LISTES!$A$17=1,NB71,INDEX(colMOD6,MATCH(DA71,colchoice,0))))</f>
        <v/>
      </c>
      <c r="ND71" s="759" t="str">
        <f t="shared" si="347"/>
        <v/>
      </c>
      <c r="NE71" s="292"/>
      <c r="NF71" s="409" t="str">
        <f t="shared" si="348"/>
        <v/>
      </c>
      <c r="NG71" s="430" t="str">
        <f>IF(A71=FALSE,"",Cotations!BU71*AA71)</f>
        <v/>
      </c>
      <c r="NH71" s="292" t="str">
        <f t="shared" si="349"/>
        <v/>
      </c>
      <c r="NI71" s="446" t="str">
        <f>IF(A71=FALSE,"",IF(Cotations!AU71="monthly",NH71/12*L71,NH71/365*M71))</f>
        <v/>
      </c>
      <c r="NJ71" s="429" t="str">
        <f>IF(A71=FALSE,"",IF(Cotations!BV71="","",Cotations!BV71))</f>
        <v/>
      </c>
      <c r="NK71" s="292" t="str">
        <f t="shared" si="350"/>
        <v/>
      </c>
      <c r="NL71" s="292" t="str">
        <f t="shared" si="351"/>
        <v/>
      </c>
      <c r="NM71" s="759" t="str">
        <f t="shared" si="352"/>
        <v/>
      </c>
      <c r="NN71" s="759" t="str">
        <f>IF(A71=FALSE,"",((NH71*TAXE)-(NH71*TAXE*NJ71))+IF(#REF!="N/A",0,IF(INDEX(LISTES!$F$105:$F$109,MATCH(#REF!,LISTES!$C$105:$C$109,0))="FIX",#REF!,#REF!*NM71)))</f>
        <v/>
      </c>
      <c r="NZ71" s="1281" t="str">
        <f>IF(A71=FALSE,"",IF(Detail!CP71="","N/A",YEAR(Detail!F71)&amp;Detail!CS71&amp;Detail!CP71&amp;"-"&amp;Detail!CQ71))</f>
        <v/>
      </c>
      <c r="OA71" s="432" t="str">
        <f>IF(A71=FALSE,"",Cotations!CF71)</f>
        <v/>
      </c>
      <c r="OB71" s="1282" t="str">
        <f>IF(A71=FALSE,"",IF(Detail!CP71="","N/A",YEAR(Detail!F71)&amp;Detail!CS71&amp;Detail!CP71&amp;"-"&amp;Detail!$CP$13&amp;Detail!CQ71))</f>
        <v/>
      </c>
      <c r="OC71" s="1283" t="str">
        <f>IF(A71=FALSE,"",IF(LISTES!$A$17=1,OB71,INDEX(colMOD1,MATCH(Cotations!CE71,colchoice,0))))</f>
        <v/>
      </c>
      <c r="OD71" s="759" t="str">
        <f t="shared" si="353"/>
        <v/>
      </c>
      <c r="OE71" s="292" t="str">
        <f>IF(A71=FALSE,"",Detail!CQ71)</f>
        <v/>
      </c>
      <c r="OF71" s="409" t="str">
        <f t="shared" si="354"/>
        <v/>
      </c>
      <c r="OG71" s="430" t="str">
        <f>IF(A71=FALSE,"",IF(OA71="FIXE",Cotations!CM71,Cotations!CN71*AA71))</f>
        <v/>
      </c>
      <c r="OH71" s="292" t="str">
        <f t="shared" si="288"/>
        <v/>
      </c>
      <c r="OI71" s="446" t="str">
        <f>IF(A71=FALSE,"",IF(Cotations!CF71="monthly",OH71/12*L71,OH71/365*M71))</f>
        <v/>
      </c>
      <c r="OJ71" s="429" t="str">
        <f>IF(A71=FALSE,"",IF(Cotations!CO71="","",Cotations!CO71))</f>
        <v/>
      </c>
      <c r="OK71" s="292" t="str">
        <f t="shared" si="289"/>
        <v/>
      </c>
      <c r="OL71" s="292" t="str">
        <f t="shared" si="290"/>
        <v/>
      </c>
      <c r="OM71" s="759" t="str">
        <f t="shared" si="355"/>
        <v/>
      </c>
      <c r="ON71" s="759" t="str">
        <f>IF(A71=FALSE,"",((OH71*(1+TAXE)-(OH71*(1+TAXE)*OJ71))+IF(#REF!="N/A",0,IF(INDEX(LISTES!$F$105:$F$109,MATCH(#REF!,LISTES!$C$105:$C$109,0))="FIX",#REF!,#REF!*OM71))))</f>
        <v/>
      </c>
      <c r="PA71" s="432" t="str">
        <f>IF(A71=FALSE,"",Cotations!CF71)</f>
        <v/>
      </c>
      <c r="PB71" s="1282" t="str">
        <f>IF(A71=FALSE,"",IF(Detail!CX71="","N/A",YEAR(Detail!F71)&amp;Detail!DA71&amp;Detail!CX71&amp;"-"&amp;Detail!$CX$13&amp;Detail!CY71))</f>
        <v/>
      </c>
      <c r="PC71" s="1283" t="str">
        <f>IF(A71=FALSE,"",IF(LISTES!$A$17=1,PB71,INDEX(colMOD3,MATCH(Cotations!CE71,colchoice,0))))</f>
        <v/>
      </c>
      <c r="PD71" s="759" t="str">
        <f t="shared" si="356"/>
        <v/>
      </c>
      <c r="PE71" s="292" t="str">
        <f>IF(A71=FALSE,"",IF(Detail!CY71="","",Detail!CY71))</f>
        <v/>
      </c>
      <c r="PF71" s="409" t="str">
        <f t="shared" si="291"/>
        <v/>
      </c>
      <c r="PG71" s="430" t="str">
        <f>IF(A71=FALSE,"",IF(PA71="FIXE",Cotations!CP71,Cotations!CQ71*AA71))</f>
        <v/>
      </c>
      <c r="PH71" s="292" t="str">
        <f t="shared" si="292"/>
        <v/>
      </c>
      <c r="PI71" s="446" t="str">
        <f>IF(A71=FALSE,"",IF(Cotations!CG71="monthly",PH71/12*L71,PH71/365*M71))</f>
        <v/>
      </c>
      <c r="PJ71" s="429" t="str">
        <f>IF(A71=FALSE,"",IF(Cotations!DA71="",0,Cotations!DA71))</f>
        <v/>
      </c>
      <c r="PK71" s="292" t="str">
        <f t="shared" si="293"/>
        <v/>
      </c>
      <c r="PL71" s="292" t="str">
        <f t="shared" si="294"/>
        <v/>
      </c>
      <c r="PM71" s="759" t="str">
        <f t="shared" si="357"/>
        <v/>
      </c>
      <c r="PN71" s="759" t="str">
        <f>IF(A71=FALSE,"",((PH71*(1+TAXE)-(PH71*(1+TAXE)*PJ71))+IF(#REF!="N/A",0,IF(INDEX(LISTES!$F$105:$F$109,MATCH(#REF!,LISTES!$C$105:$C$109,0))="FIX",#REF!,#REF!*PM71))))</f>
        <v/>
      </c>
    </row>
    <row r="72" spans="1:430">
      <c r="A72" s="779" t="b">
        <f t="shared" si="295"/>
        <v>0</v>
      </c>
      <c r="B72" s="779" t="b">
        <f>IF(NAMES!$B$9=TRUE,TRUE,FALSE)</f>
        <v>1</v>
      </c>
      <c r="C72" s="779" t="b">
        <f t="shared" si="212"/>
        <v>0</v>
      </c>
      <c r="D72" s="779" t="b">
        <f t="shared" si="213"/>
        <v>0</v>
      </c>
      <c r="E72" s="267" t="b">
        <f>IF(Cotations!C72="","",Cotations!C72)</f>
        <v>0</v>
      </c>
      <c r="F72" s="267" t="str">
        <f>IF(Cotations!AT72="","",Cotations!AT72)</f>
        <v>PROP</v>
      </c>
      <c r="G72" s="267" t="str">
        <f>IF(Cotations!D72="","",Cotations!D72)</f>
        <v>2016-2017!</v>
      </c>
      <c r="H72" s="267" t="str">
        <f>IF(Cotations!E72="","",Cotations!E72)</f>
        <v>SINGLE</v>
      </c>
      <c r="I72" s="267" t="str">
        <f>IF(Cotations!F72="","",Cotations!F72)</f>
        <v/>
      </c>
      <c r="J72" s="267" t="str">
        <f>IF(Cotations!G72="","",Cotations!G72)</f>
        <v/>
      </c>
      <c r="K72" s="267" t="str">
        <f>IF(Cotations!H72="","",Cotations!H72)</f>
        <v/>
      </c>
      <c r="L72" s="267" t="str">
        <f>IF(A72=FALSE,"",IF(Cotations!M72="","",Cotations!M72))</f>
        <v/>
      </c>
      <c r="M72" s="267" t="str">
        <f>IF(Cotations!O72="","",Cotations!O72)</f>
        <v/>
      </c>
      <c r="N72" s="588" t="str">
        <f>IF(NAMES!$B$10=TRUE,Cotations!I72,Cotations!K72)</f>
        <v/>
      </c>
      <c r="O72" s="588" t="str">
        <f>IF(NAMES!$B$10=TRUE,Cotations!J72,Cotations!L72)</f>
        <v/>
      </c>
      <c r="P72" s="780" t="str">
        <f t="shared" si="214"/>
        <v/>
      </c>
      <c r="Q72" s="588" t="str">
        <f>IF(A72=FALSE,"",IF(Crewlist!Y72="","",Crewlist!Y72))</f>
        <v/>
      </c>
      <c r="R72" s="78" t="str">
        <f>IF(Cotations!T72="","",Cotations!T72)</f>
        <v/>
      </c>
      <c r="S72" s="780" t="str">
        <f t="shared" si="215"/>
        <v/>
      </c>
      <c r="T72" s="759" t="str">
        <f>IF(A72=FALSE,"",VLOOKUP($U$15:$U$120,Currency!$A$2:$D$10,4,0)*Crewlist!N72)</f>
        <v/>
      </c>
      <c r="U72" s="1097" t="str">
        <f>IF(A72=FALSE,"",IF(DP72=0,Crewlist!M72&amp;"/"&amp;CP72,Crewlist!M72&amp;"/"&amp;DP72))</f>
        <v/>
      </c>
      <c r="V72" s="759" t="str">
        <f>IF(A72=FALSE,"",VLOOKUP($U$15:$U$120,Currency!$A$2:$D$10,4,0)*Detail!Q72)</f>
        <v/>
      </c>
      <c r="W72" s="1097" t="str">
        <f>IF(A72=FALSE,"",IF(DP72=0,Detail!R72&amp;"/"&amp;CP72,Detail!R72&amp;"/"&amp;DP72))</f>
        <v/>
      </c>
      <c r="X72" s="759" t="str">
        <f>IF(A72=FALSE,"",IF(LISTES!$C$17="Crewlist",Calcul!T72,Calcul!V72))</f>
        <v/>
      </c>
      <c r="Y72" s="618" t="str">
        <f t="shared" si="216"/>
        <v/>
      </c>
      <c r="Z72" s="618" t="str">
        <f>IF(A72=FALSE,"",IF(X72=0,0,IF((Cotations!BA72*12*X72)&lt;50000,50000,(12*X72))))</f>
        <v/>
      </c>
      <c r="AA72" s="618" t="str">
        <f t="shared" si="217"/>
        <v/>
      </c>
      <c r="AB72" s="618" t="str">
        <f>IF(A72=FALSE,"",IF(Crewlist!O72=0,"",Crewlist!O72))</f>
        <v/>
      </c>
      <c r="AC72" s="618" t="str">
        <f>IF(I72="","",VLOOKUP($AB$15:$AB$120,Currency!$A$15:$B$34,2,0))</f>
        <v/>
      </c>
      <c r="AD72" s="618" t="str">
        <f t="shared" si="218"/>
        <v/>
      </c>
      <c r="AE72" s="618" t="str">
        <f t="shared" si="219"/>
        <v/>
      </c>
      <c r="AF72" s="618" t="str">
        <f t="shared" si="220"/>
        <v/>
      </c>
      <c r="AG72" s="618" t="str">
        <f t="shared" si="221"/>
        <v/>
      </c>
      <c r="AH72" s="1097" t="str">
        <f t="shared" si="296"/>
        <v/>
      </c>
      <c r="AI72" s="759" t="str">
        <f t="shared" si="222"/>
        <v/>
      </c>
      <c r="AJ72" s="1120" t="str">
        <f t="shared" si="223"/>
        <v/>
      </c>
      <c r="AK72" s="1120" t="str">
        <f t="shared" si="224"/>
        <v/>
      </c>
      <c r="AL72" s="236" t="str">
        <f t="shared" si="225"/>
        <v/>
      </c>
      <c r="AM72" s="236" t="str">
        <f t="shared" si="226"/>
        <v/>
      </c>
      <c r="AN72" s="1112" t="str">
        <f t="shared" si="227"/>
        <v/>
      </c>
      <c r="AO72" s="236" t="str">
        <f t="shared" si="228"/>
        <v/>
      </c>
      <c r="AP72" s="327" t="str">
        <f>IF(A72=FALSE,"",INDEX(Rates!$Q$1:$Q$278,MATCH(CA72,colchoice,0)))</f>
        <v/>
      </c>
      <c r="AQ72" s="236" t="str">
        <f t="shared" si="229"/>
        <v/>
      </c>
      <c r="AR72" s="236" t="str">
        <f t="shared" si="230"/>
        <v/>
      </c>
      <c r="AS72" s="236" t="str">
        <f t="shared" si="297"/>
        <v/>
      </c>
      <c r="AT72" s="236" t="str">
        <f t="shared" si="298"/>
        <v/>
      </c>
      <c r="AU72" s="236" t="str">
        <f t="shared" si="231"/>
        <v/>
      </c>
      <c r="AV72" s="236" t="str">
        <f t="shared" si="232"/>
        <v/>
      </c>
      <c r="AW72" s="236" t="str">
        <f t="shared" si="233"/>
        <v/>
      </c>
      <c r="AX72" s="236" t="str">
        <f t="shared" si="234"/>
        <v/>
      </c>
      <c r="AY72" s="236" t="str">
        <f t="shared" si="235"/>
        <v/>
      </c>
      <c r="AZ72" s="236" t="str">
        <f t="shared" si="236"/>
        <v/>
      </c>
      <c r="BA72" s="236" t="str">
        <f t="shared" si="237"/>
        <v/>
      </c>
      <c r="BB72" s="467" t="str">
        <f t="shared" si="238"/>
        <v/>
      </c>
      <c r="BC72" s="329" t="str">
        <f t="shared" si="239"/>
        <v/>
      </c>
      <c r="BD72" s="237" t="str">
        <f t="shared" si="240"/>
        <v/>
      </c>
      <c r="BE72" s="237" t="str">
        <f>IF(A72=FALSE,"",IF(ED72&lt;&gt;$BC$7,0,INDEX(EA72:EZ72,1,MATCH(Structure!$J$16,$EA$14:$EZ$14,0))))</f>
        <v/>
      </c>
      <c r="BF72" s="237" t="str">
        <f>IF(A72=FALSE,"",IF(FD72&lt;&gt;$BC$7,0,INDEX(FA72:FZ72,1,MATCH(Structure!$J$16,$FA$14:$FZ$14,0))))</f>
        <v/>
      </c>
      <c r="BG72" s="237" t="str">
        <f>IF(A72=FALSE,"",IF(GD72&lt;&gt;$BC$7,0,INDEX(GA72:GZ72,1,MATCH(Structure!$J$16,$GA$14:$GZ$14,0))))</f>
        <v/>
      </c>
      <c r="BH72" s="237" t="str">
        <f>IF(A72=FALSE,"",IF(HD72&lt;&gt;$BC$7,0,INDEX(HA72:HZ72,1,MATCH(Structure!$J$16,$HA$14:$HZ$14,0))))</f>
        <v/>
      </c>
      <c r="BI72" s="621" t="str">
        <f>IF(A72=FALSE,"",IF(ID72&lt;&gt;$BC$7,0,INDEX(IA72:IZ72,1,MATCH(Structure!$C$12,$IA$14:$IZ$14,0)))+OL72)</f>
        <v/>
      </c>
      <c r="BJ72" s="237" t="str">
        <f>IF(A72=FALSE,"",IF(JD72&lt;&gt;$BC$7,0,INDEX(JA72:JZ72,1,MATCH(Structure!$C$12,$JA$14:$JZ$14,0))))</f>
        <v/>
      </c>
      <c r="BK72" s="621" t="str">
        <f>IF(A72=FALSE,"",IF(KD72&lt;&gt;$BC$7,0,INDEX(KA72:KZ72,1,MATCH(Structure!$C$12,$KA$14:$KZ$14,0)))+PL72)</f>
        <v/>
      </c>
      <c r="BL72" s="237" t="str">
        <f>IF(A72=FALSE,"",IF(LD72&lt;&gt;$BC$7,0,INDEX(LA72:LZ72,1,MATCH(Structure!$C$12,$LA$14:$LZ$14,0))))</f>
        <v/>
      </c>
      <c r="BM72" s="237" t="str">
        <f>IF(A72=FALSE,"",IF(MD72&lt;&gt;$BC$7,0,INDEX(MA72:MZ72,1,MATCH(Structure!$C$12,$MA$14:$MZ$14,0))))</f>
        <v/>
      </c>
      <c r="BN72" s="326" t="str">
        <f>IF(A72=FALSE,"",IF(ND72&lt;&gt;$BC$7,0,INDEX(NA72:OC72,1,MATCH(Structure!$C$12,$NA$14:$OC$14,0))))</f>
        <v/>
      </c>
      <c r="BO72" s="435" t="str">
        <f t="shared" si="241"/>
        <v/>
      </c>
      <c r="BP72" s="237" t="str">
        <f t="shared" si="242"/>
        <v/>
      </c>
      <c r="BQ72" s="237" t="str">
        <f>IF(A72=FALSE,"",IF(ED72&lt;&gt;$BO$7,0,INDEX(EA72:EZ72,1,MATCH(Structure!$C$12,$EA$14:$EZ$14,0))))</f>
        <v/>
      </c>
      <c r="BR72" s="237" t="str">
        <f>IF(A72=FALSE,"",IF(FD72&lt;&gt;$BO$7,0,INDEX(FA72:FZ72,1,MATCH(Structure!$C$12,$FA$14:$FZ$14,0))))</f>
        <v/>
      </c>
      <c r="BS72" s="237" t="str">
        <f>IF(A72=FALSE,"",IF(ID72&lt;&gt;$BO$7,0,INDEX(IA72:IZ72,1,MATCH(Structure!$C$13,$IA$14:$IZ$14,0))))</f>
        <v/>
      </c>
      <c r="BT72" s="237" t="str">
        <f>IF(A72=FALSE,"",IF(JD72&lt;&gt;$BO$7,0,INDEX(JA72:JZ72,1,MATCH(Structure!$C$13,$JA$14:$JZ$14,0))))</f>
        <v/>
      </c>
      <c r="BU72" s="237" t="str">
        <f>IF(A72=FALSE,"",IF(KD72&lt;&gt;$BO$7,0,INDEX(KA72:KZ72,1,MATCH(Structure!$C$13,$KA$14:$KZ$14,0))))</f>
        <v/>
      </c>
      <c r="BV72" s="237" t="str">
        <f>IF(A72=FALSE,"",IF(LD72&lt;&gt;$BO$7,0,INDEX(LA72:LZ72,1,MATCH(Structure!$C$13,$LA$14:$LZ$14,0))))</f>
        <v/>
      </c>
      <c r="BW72" s="237" t="str">
        <f>IF(A72=FALSE,"",IF(MD72&lt;&gt;$BO$7,0,INDEX(MA72:MZ72,1,MATCH(Structure!$C$13,$MA$14:$MZ$14,0))))</f>
        <v/>
      </c>
      <c r="BX72" s="326" t="str">
        <f>IF(A72=FALSE,"",IF(ND72&lt;&gt;$BO$7,0,INDEX(NA72:OC72,1,MATCH(Structure!$C$13,$NA$14:$OC$14,0))))</f>
        <v/>
      </c>
      <c r="BY72" s="412"/>
      <c r="BZ72" s="412"/>
      <c r="CA72" s="1255" t="str">
        <f>IF(A72=FALSE,"",IF(LISTES!$A$17=1,Cotations!AG72,Cotations!AH72))</f>
        <v/>
      </c>
      <c r="CB72" s="1266" t="str">
        <f t="shared" si="243"/>
        <v/>
      </c>
      <c r="CC72" s="1120" t="str">
        <f t="shared" si="244"/>
        <v/>
      </c>
      <c r="CD72" s="1120" t="str">
        <f t="shared" si="245"/>
        <v/>
      </c>
      <c r="CE72" s="1120" t="str">
        <f t="shared" si="246"/>
        <v/>
      </c>
      <c r="CF72" s="1120" t="str">
        <f t="shared" si="247"/>
        <v/>
      </c>
      <c r="CG72" s="1267"/>
      <c r="CH72" s="1267"/>
      <c r="CI72" s="1268" t="str">
        <f t="shared" si="248"/>
        <v/>
      </c>
      <c r="CJ72" s="286" t="str">
        <f t="shared" si="249"/>
        <v/>
      </c>
      <c r="CK72" s="286" t="str">
        <f t="shared" si="250"/>
        <v/>
      </c>
      <c r="CL72" s="1263"/>
      <c r="CM72" s="1263"/>
      <c r="CN72" s="1263"/>
      <c r="CO72" s="1263"/>
      <c r="CP72" s="319" t="str">
        <f t="shared" si="251"/>
        <v/>
      </c>
      <c r="CQ72" s="443" t="str">
        <f>IF(A72=FALSE,"",Cotations!AM72)</f>
        <v/>
      </c>
      <c r="CR72" s="443" t="str">
        <f>IF(A72=FALSE,"",IF(Cotations!AN72="","",Cotations!AN72))</f>
        <v/>
      </c>
      <c r="CS72" s="433" t="str">
        <f>IF(A72=FALSE,"",Cotations!AO72)</f>
        <v/>
      </c>
      <c r="CT72" s="443" t="str">
        <f>IF(A72=FALSE,"",IF(CQ72="N/A",0,IF(INDEX(LISTES!$F$105:$F$109,MATCH(CQ72,LISTES!$C$105:$C$109,0))="FIX",IF(INDEX(LISTES!$E$105:$E$109,MATCH(CQ72,LISTES!$C$105:$C$109,0))=12,CR72/12*L72,CR72/365*M72),CS72*EQ72)))</f>
        <v/>
      </c>
      <c r="CU72" s="434" t="str">
        <f>IF(A72=FALSE,"",(CJ72+CK72)*Cotations!AP72)</f>
        <v/>
      </c>
      <c r="CV72" s="434" t="str">
        <f>IF(A72=FALSE,"",(CJ72+CK72)*Cotations!AQ72)</f>
        <v/>
      </c>
      <c r="DA72" s="1253" t="str">
        <f>IF(A72=FALSE,"",IF(LISTES!$A$17=1,Cotations!AV72,Cotations!AW72))</f>
        <v/>
      </c>
      <c r="DB72" s="1271" t="str">
        <f t="shared" si="252"/>
        <v/>
      </c>
      <c r="DC72" s="1270" t="str">
        <f t="shared" si="253"/>
        <v/>
      </c>
      <c r="DD72" s="1270" t="str">
        <f t="shared" si="254"/>
        <v/>
      </c>
      <c r="DE72" s="1270" t="str">
        <f t="shared" si="255"/>
        <v/>
      </c>
      <c r="DF72" s="1270" t="str">
        <f t="shared" si="256"/>
        <v/>
      </c>
      <c r="DG72" s="1270" t="str">
        <f t="shared" si="257"/>
        <v/>
      </c>
      <c r="DH72" s="1270" t="str">
        <f t="shared" si="258"/>
        <v/>
      </c>
      <c r="DI72" s="1271" t="str">
        <f t="shared" si="259"/>
        <v/>
      </c>
      <c r="DJ72" s="286" t="str">
        <f t="shared" si="260"/>
        <v/>
      </c>
      <c r="DK72" s="286" t="str">
        <f t="shared" si="261"/>
        <v/>
      </c>
      <c r="DL72" s="1264" t="str">
        <f t="shared" si="262"/>
        <v/>
      </c>
      <c r="DM72" s="1264" t="str">
        <f t="shared" si="263"/>
        <v/>
      </c>
      <c r="DN72" s="1264" t="str">
        <f t="shared" si="264"/>
        <v/>
      </c>
      <c r="DO72" s="1264" t="str">
        <f t="shared" si="265"/>
        <v/>
      </c>
      <c r="DP72" s="323" t="str">
        <f t="shared" si="299"/>
        <v/>
      </c>
      <c r="DQ72" s="444" t="str">
        <f>IF(A72=FALSE,"",Cotations!BW72)</f>
        <v/>
      </c>
      <c r="DR72" s="444" t="str">
        <f>IF(A72=FALSE,"",Cotations!BX72)</f>
        <v/>
      </c>
      <c r="DS72" s="433" t="str">
        <f>IF(A72=FALSE,"",Cotations!BY72)</f>
        <v/>
      </c>
      <c r="DT72" s="830" t="str">
        <f>IF(A72=FALSE,"",IF(DQ72="N/A",0,IF(INDEX(LISTES!$F$105:$F$109,MATCH(DQ72,LISTES!$C$105:$C$109,0))="FIX",IF(INDEX(LISTES!$E$105:$E$109,MATCH(DQ72,LISTES!$C$105:$C$109,0))=12,DR72/12*L72,DR72/365*M72),DS72*(DN72+DO72))))</f>
        <v/>
      </c>
      <c r="DU72" s="434" t="str">
        <f>IF(A72=FALSE,"",DJ72*Cotations!BZ72)</f>
        <v/>
      </c>
      <c r="DV72" s="434" t="str">
        <f>IF(A72=FALSE,"",DJ72*Cotations!CA72)</f>
        <v/>
      </c>
      <c r="EA72" s="432" t="str">
        <f>IF(A72=FALSE,"",Cotations!AT72)</f>
        <v/>
      </c>
      <c r="EB72" s="1234" t="str">
        <f>IF(A72=FALSE,"",YEAR(Detail!F72)&amp;Detail!AG72&amp;Detail!AD72&amp;"-"&amp;Detail!$AD$13&amp;Detail!AE72)</f>
        <v/>
      </c>
      <c r="EC72" s="434" t="str">
        <f>IF(A72=FALSE,"",IF(LISTES!$A$17=1,EB72,INDEX(colMOD1,MATCH(Cotations!AH72,colchoice,0))))</f>
        <v/>
      </c>
      <c r="ED72" s="277" t="str">
        <f t="shared" si="300"/>
        <v/>
      </c>
      <c r="EE72" s="277" t="str">
        <f t="shared" si="301"/>
        <v/>
      </c>
      <c r="EF72" s="277"/>
      <c r="EG72" s="277"/>
      <c r="EH72" s="277" t="str">
        <f t="shared" si="302"/>
        <v/>
      </c>
      <c r="EI72" s="1104" t="str">
        <f t="shared" si="303"/>
        <v/>
      </c>
      <c r="EJ72" s="1104" t="str">
        <f t="shared" si="304"/>
        <v/>
      </c>
      <c r="EK72" s="443" t="str">
        <f>IF(A72=FALSE,"",IF(Cotations!AF72="monthly",EH72/12*L72,EH72/365*M72))</f>
        <v/>
      </c>
      <c r="EL72" s="1103" t="str">
        <f>IF(A72=FALSE,"",IF(Cotations!AF72="monthly",EJ72/12*L72,EJ72/365*M72))</f>
        <v/>
      </c>
      <c r="EM72" s="433" t="str">
        <f>IF(A72=FALSE,"",IF(Cotations!AI72="","",Cotations!AI72))</f>
        <v/>
      </c>
      <c r="EN72" s="277" t="str">
        <f t="shared" si="305"/>
        <v/>
      </c>
      <c r="EO72" s="277" t="str">
        <f t="shared" si="306"/>
        <v/>
      </c>
      <c r="EP72" s="1104" t="str">
        <f t="shared" si="307"/>
        <v/>
      </c>
      <c r="EQ72" s="277" t="str">
        <f t="shared" si="308"/>
        <v/>
      </c>
      <c r="ER72" s="759" t="str">
        <f>IF(A72=FALSE,"",((EH72*TAXE)-(EH72*TAXE*EM72)+EI72)+IF(CQ72="N/A",0,IF(INDEX(LISTES!$F$105:$F$109,MATCH(CQ72,LISTES!$C$105:$C$109,0))="FIX",CR72,CS72*EQ72)))</f>
        <v/>
      </c>
      <c r="ET72" s="422"/>
      <c r="EU72" s="422"/>
      <c r="EV72" s="422"/>
      <c r="EW72" s="422"/>
      <c r="EX72" s="422"/>
      <c r="EY72" s="422"/>
      <c r="EZ72" s="422"/>
      <c r="FA72" s="432" t="str">
        <f>IF(A72=FALSE,"",Cotations!AT72)</f>
        <v/>
      </c>
      <c r="FB72" s="1235" t="str">
        <f>IF(A72=FALSE,"",IF(Detail!AL72="","N/A",YEAR(Detail!F72)&amp;Detail!AO72&amp;Detail!AL72&amp;"-"&amp;Detail!$AL$13&amp;Detail!AM72))</f>
        <v/>
      </c>
      <c r="FC72" s="434" t="str">
        <f>IF(A72=FALSE,"",IF(LISTES!$A$17=1,FB72,INDEX(colMOD2,MATCH(Cotations!AH72,colchoice,0))))</f>
        <v/>
      </c>
      <c r="FD72" s="277" t="str">
        <f t="shared" si="309"/>
        <v/>
      </c>
      <c r="FE72" s="443" t="str">
        <f>IF(A72=FALSE,"",IF(Detail!AM72="","",Detail!AM72))</f>
        <v/>
      </c>
      <c r="FF72" s="277"/>
      <c r="FG72" s="277"/>
      <c r="FH72" s="277" t="str">
        <f t="shared" si="310"/>
        <v/>
      </c>
      <c r="FI72" s="1104"/>
      <c r="FJ72" s="1104"/>
      <c r="FK72" s="443" t="str">
        <f>IF(A72=FALSE,"",IF(Cotations!AF72="monthly",FH72/12*L72,FH72/365*M72))</f>
        <v/>
      </c>
      <c r="FL72" s="1103" t="str">
        <f>IF(A72=FALSE,"",IF(Cotations!AF72="monthly",FJ72/12*L72,FJ72/365*M72))</f>
        <v/>
      </c>
      <c r="FM72" s="433" t="str">
        <f>IF(A72=FALSE,"",IF(Cotations!AJ72="","",Cotations!AJ72))</f>
        <v/>
      </c>
      <c r="FN72" s="277" t="str">
        <f t="shared" si="268"/>
        <v/>
      </c>
      <c r="FO72" s="277" t="str">
        <f t="shared" si="269"/>
        <v/>
      </c>
      <c r="FP72" s="1104"/>
      <c r="FQ72" s="277" t="str">
        <f t="shared" si="270"/>
        <v/>
      </c>
      <c r="FR72" s="759" t="str">
        <f>IF(A72=FALSE,"",((FH72*TAXE)-(FH72*TAXE*FM72))+IF(#REF!="N/A",0,IF(INDEX(LISTES!$F$105:$F$109,MATCH(#REF!,LISTES!$C$105:$C$109,0))="FIX",#REF!,#REF!*FQ72)))</f>
        <v/>
      </c>
      <c r="FS72" s="422"/>
      <c r="FT72" s="422"/>
      <c r="FU72" s="422"/>
      <c r="FV72" s="422"/>
      <c r="FW72" s="422"/>
      <c r="FX72" s="422"/>
      <c r="FY72" s="422"/>
      <c r="FZ72" s="422"/>
      <c r="GA72" s="432" t="str">
        <f t="shared" si="311"/>
        <v/>
      </c>
      <c r="GB72" s="1234" t="str">
        <f>IF(A72=FALSE,"",IF(Detail!DF72="","N/A",YEAR(Detail!F72)&amp;Detail!DI72&amp;Detail!DF72&amp;"-"&amp;Detail!$DF$13))</f>
        <v/>
      </c>
      <c r="GC72" s="434" t="str">
        <f>IF(A72=FALSE,"",IF(LISTES!$A$17=1,GB72,INDEX(colMOD3,MATCH(Cotations!AH72,colchoice,0))))</f>
        <v/>
      </c>
      <c r="GD72" s="277" t="str">
        <f t="shared" si="312"/>
        <v/>
      </c>
      <c r="GE72" s="277" t="str">
        <f t="shared" si="313"/>
        <v/>
      </c>
      <c r="GF72" s="277"/>
      <c r="GG72" s="277"/>
      <c r="GH72" s="277" t="str">
        <f t="shared" si="271"/>
        <v/>
      </c>
      <c r="GI72" s="1104" t="str">
        <f t="shared" si="272"/>
        <v/>
      </c>
      <c r="GJ72" s="1104" t="str">
        <f t="shared" si="273"/>
        <v/>
      </c>
      <c r="GK72" s="443" t="str">
        <f>IF(A72=FALSE,"",IF(Cotations!AF72="monthly",GH72/12*L72,GH72/365*M72))</f>
        <v/>
      </c>
      <c r="GL72" s="1103" t="str">
        <f>IF(A72=FALSE,"",IF(Cotations!AF72="monthly",GJ72/12*L72,GJ72/365*M72))</f>
        <v/>
      </c>
      <c r="GM72" s="433" t="str">
        <f>IF(A72=FALSE,"",IF(Cotations!AK72="","",Cotations!AK72))</f>
        <v/>
      </c>
      <c r="GN72" s="277" t="str">
        <f t="shared" si="274"/>
        <v/>
      </c>
      <c r="GO72" s="277" t="str">
        <f t="shared" si="275"/>
        <v/>
      </c>
      <c r="GP72" s="1104" t="str">
        <f t="shared" si="276"/>
        <v/>
      </c>
      <c r="GQ72" s="277" t="str">
        <f t="shared" si="277"/>
        <v/>
      </c>
      <c r="GR72" s="759" t="str">
        <f>IF(A72=FALSE,"",((GH72*TAXE)-(GH72*TAXE*GM72)+GI72)+IF(CQ72="N/A",0,IF(INDEX(LISTES!$F$105:$F$109,MATCH(CQ72,LISTES!$C$105:$C$109,0))="FIX",CR72,CS72*GQ72)))</f>
        <v/>
      </c>
      <c r="GS72" s="412"/>
      <c r="GT72" s="412"/>
      <c r="GU72" s="412"/>
      <c r="GV72" s="412"/>
      <c r="GW72" s="412"/>
      <c r="GX72" s="412"/>
      <c r="GY72" s="412"/>
      <c r="GZ72" s="412"/>
      <c r="HA72" s="432" t="str">
        <f t="shared" si="314"/>
        <v/>
      </c>
      <c r="HB72" s="1234" t="str">
        <f>IF(A72=FALSE,"",IF(Detail!DF72="","N/A",YEAR(Detail!F72)&amp;Detail!DI72&amp;Detail!DF72&amp;"-"&amp;Detail!$DF$13))</f>
        <v/>
      </c>
      <c r="HC72" s="434" t="str">
        <f>IF(A72=FALSE,"",IF(LISTES!$A$17=1,HB72,INDEX(colMOD4,MATCH(Cotations!AH72,colchoice,0))))</f>
        <v/>
      </c>
      <c r="HD72" s="277" t="str">
        <f t="shared" si="278"/>
        <v/>
      </c>
      <c r="HE72" s="277" t="str">
        <f t="shared" si="279"/>
        <v/>
      </c>
      <c r="HF72" s="277"/>
      <c r="HG72" s="277"/>
      <c r="HH72" s="277" t="str">
        <f t="shared" si="280"/>
        <v/>
      </c>
      <c r="HI72" s="1104" t="str">
        <f t="shared" si="281"/>
        <v/>
      </c>
      <c r="HJ72" s="1104" t="str">
        <f t="shared" si="282"/>
        <v/>
      </c>
      <c r="HK72" s="443" t="str">
        <f>IF(A72=FALSE,"",IF(Cotations!AF72="monthly",HH72/12*L72,HH72/365*M72))</f>
        <v/>
      </c>
      <c r="HL72" s="1103" t="str">
        <f>IF(A72=FALSE,"",IF(Cotations!AF72="monthly",HJ72/12*L72,HJ72/365*M72))</f>
        <v/>
      </c>
      <c r="HM72" s="433" t="str">
        <f>IF(A72=FALSE,"",IF(Cotations!AL72="","",Cotations!AL72))</f>
        <v/>
      </c>
      <c r="HN72" s="277" t="str">
        <f t="shared" si="283"/>
        <v/>
      </c>
      <c r="HO72" s="277" t="str">
        <f t="shared" si="284"/>
        <v/>
      </c>
      <c r="HP72" s="1104" t="str">
        <f t="shared" si="285"/>
        <v/>
      </c>
      <c r="HQ72" s="277" t="str">
        <f t="shared" si="286"/>
        <v/>
      </c>
      <c r="HR72" s="759" t="str">
        <f>IF(A72=FALSE,"",((HH72*TAXE)-(HH72*TAXE*HM72)+HI72)+IF(CQ72="N/A",0,IF(INDEX(LISTES!$F$105:$F$109,MATCH(CQ72,LISTES!$C$105:$C$109,0))="FIX",CR72,CS72*HQ72)))</f>
        <v/>
      </c>
      <c r="HS72" s="412"/>
      <c r="HT72" s="412"/>
      <c r="HU72" s="412"/>
      <c r="HV72" s="412"/>
      <c r="HW72" s="412"/>
      <c r="HX72" s="412"/>
      <c r="HY72" s="412"/>
      <c r="HZ72" s="1262"/>
      <c r="IA72" s="432" t="str">
        <f>IF(A72=FALSE,"",Cotations!AT72)</f>
        <v/>
      </c>
      <c r="IB72" s="1253" t="str">
        <f>IF(A72=FALSE,"",IF(Detail!AT72="","N/A",YEAR(Detail!F72)&amp;Detail!AW72&amp;Detail!AT72&amp;"-"&amp;Detail!$AT$13&amp;Detail!AU72))</f>
        <v/>
      </c>
      <c r="IC72" s="431" t="str">
        <f>IF(A72=FALSE,"",IF(LISTES!$A$17=1,IB72,INDEX(colMOD1,MATCH(DA72,colchoice,0))))</f>
        <v/>
      </c>
      <c r="ID72" s="759" t="str">
        <f t="shared" si="358"/>
        <v/>
      </c>
      <c r="IE72" s="292" t="str">
        <f>IF(A72=FALSE,"",IF(LISTES!$A$17=1,Detail!AU72,INDEX(Rates!$M$1:$M$270,MATCH(IC72,colMOD1,0))))</f>
        <v/>
      </c>
      <c r="IF72" s="409" t="str">
        <f t="shared" si="359"/>
        <v/>
      </c>
      <c r="IG72" s="430" t="str">
        <f>IF(A72=FALSE,"",IF(IA72="POEA",Cotations!AY72,IF(IA72="FIXE",Cotations!AZ72,IF(Cotations!BA72*Y72&lt;50000,Z72,Cotations!BA72*Y72))))</f>
        <v/>
      </c>
      <c r="IH72" s="292" t="str">
        <f t="shared" si="360"/>
        <v/>
      </c>
      <c r="II72" s="446" t="str">
        <f>IF(A72=FALSE,"",IF(Cotations!AU72="monthly",IH72/12*L72,IH72/365*M72))</f>
        <v/>
      </c>
      <c r="IJ72" s="429" t="str">
        <f>IF(A72=FALSE,"",IF(Cotations!BB72="","",Cotations!BB72))</f>
        <v/>
      </c>
      <c r="IK72" s="292" t="str">
        <f t="shared" si="361"/>
        <v/>
      </c>
      <c r="IL72" s="292" t="str">
        <f t="shared" si="362"/>
        <v/>
      </c>
      <c r="IM72" s="759" t="str">
        <f t="shared" si="363"/>
        <v/>
      </c>
      <c r="IN72" s="759" t="str">
        <f>IF(A72=FALSE,"",((IH72*TAXE)-(IH72*TAXE*IJ72))+IF(DQ72="N/A",0,IF(INDEX(LISTES!$F$105:$F$109,MATCH(DQ72,LISTES!$C$105:$C$109,0))="FIX",DR72,DS72*IM72)))</f>
        <v/>
      </c>
      <c r="JA72" s="432" t="str">
        <f>IF(A72=FALSE,"",Cotations!AT72)</f>
        <v/>
      </c>
      <c r="JB72" s="1234" t="str">
        <f>IF(A72=FALSE,"",IF(Detail!BB72="","N/A",YEAR(Detail!F72)&amp;Detail!BE72&amp;Detail!BB72&amp;"-"&amp;Detail!$BB$13&amp;Detail!BC72))</f>
        <v/>
      </c>
      <c r="JC72" s="431" t="str">
        <f>IF(A72=FALSE,"",IF(LISTES!$A$17=1,JB72,INDEX(colMOD2,MATCH(DA72,colchoice,0))))</f>
        <v/>
      </c>
      <c r="JD72" s="759" t="str">
        <f t="shared" si="321"/>
        <v/>
      </c>
      <c r="JE72" s="292"/>
      <c r="JF72" s="409" t="str">
        <f t="shared" si="322"/>
        <v/>
      </c>
      <c r="JG72" s="430" t="str">
        <f>IF(A72=FALSE,"",IF(JA72="POEA",Cotations!BC72,IF(JA72="FIXE",Cotations!BD72,IF(Cotations!BE72*Y72&lt;50000,Z72,Cotations!BE72*Y72))))</f>
        <v/>
      </c>
      <c r="JH72" s="292" t="str">
        <f t="shared" si="323"/>
        <v/>
      </c>
      <c r="JI72" s="446" t="str">
        <f>IF(A72=FALSE,"",IF(Cotations!AU72="monthly",JH72/12*L72,JH72/365*M72))</f>
        <v/>
      </c>
      <c r="JJ72" s="429" t="str">
        <f>IF(A72=FALSE,"",IF(Cotations!BF72="","",Cotations!BF72))</f>
        <v/>
      </c>
      <c r="JK72" s="292" t="str">
        <f t="shared" si="324"/>
        <v/>
      </c>
      <c r="JL72" s="292" t="str">
        <f t="shared" si="325"/>
        <v/>
      </c>
      <c r="JM72" s="759" t="str">
        <f t="shared" si="326"/>
        <v/>
      </c>
      <c r="JN72" s="759" t="str">
        <f>IF(A72=FALSE,"",((JH72*TAXE)-(JH72*TAXE*JJ72))+IF(#REF!="N/A",0,IF(INDEX(LISTES!$F$105:$F$109,MATCH(#REF!,LISTES!$C$105:$C$109,0))="FIX",#REF!,#REF!*JM72)))</f>
        <v/>
      </c>
      <c r="KA72" s="432" t="str">
        <f>IF(A72=FALSE,"",Cotations!AT72)</f>
        <v/>
      </c>
      <c r="KB72" s="1234" t="str">
        <f>IF(A72=FALSE,"",IF(Detail!BJ72="","N/A",YEAR(Detail!F72)&amp;Detail!BM72&amp;Detail!BJ72&amp;"-"&amp;Detail!$BJ$13&amp;Detail!BK72))</f>
        <v/>
      </c>
      <c r="KC72" s="431" t="str">
        <f>IF(A72=FALSE,"",IF(LISTES!$A$17=1,KB72,INDEX(colMOD3,MATCH(DA72,colchoice,0))))</f>
        <v/>
      </c>
      <c r="KD72" s="759" t="str">
        <f t="shared" si="327"/>
        <v/>
      </c>
      <c r="KE72" s="292"/>
      <c r="KF72" s="409" t="str">
        <f t="shared" si="328"/>
        <v/>
      </c>
      <c r="KG72" s="430" t="str">
        <f>IF(A72=FALSE,"",IF(KA72="POEA",Cotations!BG72,IF(KA72="FIXE",Cotations!BH72,IF(Cotations!BI72*Y72&lt;50000,Z72,Cotations!BI72*Y72))))</f>
        <v/>
      </c>
      <c r="KH72" s="292" t="str">
        <f t="shared" si="329"/>
        <v/>
      </c>
      <c r="KI72" s="446" t="str">
        <f>IF(A72=FALSE,"",IF(Cotations!AU72="monthly",KH72/12*L72,KH72/365*M72))</f>
        <v/>
      </c>
      <c r="KJ72" s="429" t="str">
        <f>IF(A72=FALSE,"",IF(Cotations!BJ72="","",Cotations!BJ72))</f>
        <v/>
      </c>
      <c r="KK72" s="292" t="str">
        <f t="shared" si="330"/>
        <v/>
      </c>
      <c r="KL72" s="292" t="str">
        <f t="shared" si="331"/>
        <v/>
      </c>
      <c r="KM72" s="759" t="str">
        <f t="shared" si="332"/>
        <v/>
      </c>
      <c r="KN72" s="759" t="str">
        <f>IF(A72=FALSE,"",((KH72*TAXE)-(KH72*TAXE*KJ72))+IF(#REF!="N/A",0,IF(INDEX(LISTES!$F$105:$F$109,MATCH(#REF!,LISTES!$C$105:$C$109,0))="FIX",#REF!,#REF!*KM72)))</f>
        <v/>
      </c>
      <c r="LA72" s="432" t="str">
        <f>IF(A72=FALSE,"",Cotations!AT72)</f>
        <v/>
      </c>
      <c r="LB72" s="1234" t="str">
        <f>IF(A72=FALSE,"",IF(Detail!BR72="","N/A",YEAR(Detail!F72)&amp;Detail!BU72&amp;Detail!BR72&amp;"-"&amp;Detail!$BR$13&amp;Detail!BS72))</f>
        <v/>
      </c>
      <c r="LC72" s="431" t="str">
        <f>IF(A72=FALSE,"",IF(LISTES!$A$17=1,LB72,INDEX(colMOD4,MATCH(DA72,colchoice,0))))</f>
        <v/>
      </c>
      <c r="LD72" s="759" t="str">
        <f t="shared" si="333"/>
        <v/>
      </c>
      <c r="LE72" s="292"/>
      <c r="LF72" s="409" t="str">
        <f t="shared" si="334"/>
        <v/>
      </c>
      <c r="LG72" s="430" t="str">
        <f>IF(A72=FALSE,"",IF(LA72="POEA",Cotations!BK72,IF(LA72="FIXE",Cotations!BL72,IF(Cotations!BM72*Y72&lt;50000,Z72,Cotations!BM72*Y72))))</f>
        <v/>
      </c>
      <c r="LH72" s="292" t="str">
        <f t="shared" si="335"/>
        <v/>
      </c>
      <c r="LI72" s="446" t="str">
        <f>IF(A72=FALSE,"",IF(Cotations!AU72="monthly",LH72/12*L72,LH72/365*M72))</f>
        <v/>
      </c>
      <c r="LJ72" s="429" t="str">
        <f>IF(A72=FALSE,"",IF(Cotations!BN72="","",Cotations!BN72))</f>
        <v/>
      </c>
      <c r="LK72" s="292" t="str">
        <f t="shared" si="336"/>
        <v/>
      </c>
      <c r="LL72" s="292" t="str">
        <f t="shared" si="337"/>
        <v/>
      </c>
      <c r="LM72" s="759" t="str">
        <f t="shared" si="338"/>
        <v/>
      </c>
      <c r="LN72" s="759" t="str">
        <f>IF(A72=FALSE,"",((LH72*TAXE)-(LH72*TAXE*LJ72))+IF(#REF!="N/A",0,IF(INDEX(LISTES!$F$105:$F$109,MATCH(#REF!,LISTES!$C$105:$C$109,0))="FIX",#REF!,#REF!*LM72)))</f>
        <v/>
      </c>
      <c r="MA72" s="432" t="str">
        <f t="shared" si="339"/>
        <v/>
      </c>
      <c r="MB72" s="1234" t="str">
        <f>IF(A72=FALSE,"",IF(Detail!BZ72="","N/A",YEAR(Detail!F72)&amp;Detail!CC72&amp;Detail!BZ72&amp;"-"&amp;Detail!$BZ$13&amp;" (100%/"&amp;Detail!CD72&amp;"/"&amp;Detail!CE72&amp;")"))</f>
        <v/>
      </c>
      <c r="MC72" s="431" t="str">
        <f>IF(A72=FALSE,"",IF(LISTES!$A$17=1,MB72,INDEX(colMOD5,MATCH(DA72,colchoice,0))))</f>
        <v/>
      </c>
      <c r="MD72" s="759" t="str">
        <f t="shared" si="340"/>
        <v/>
      </c>
      <c r="ME72" s="292"/>
      <c r="MF72" s="409" t="str">
        <f t="shared" si="341"/>
        <v/>
      </c>
      <c r="MG72" s="430" t="str">
        <f>IF(A72=FALSE,"",Cotations!BQ72*AA72)</f>
        <v/>
      </c>
      <c r="MH72" s="292" t="str">
        <f t="shared" si="342"/>
        <v/>
      </c>
      <c r="MI72" s="446" t="str">
        <f>IF(A72=FALSE,"",IF(Cotations!AU72="monthly",MH72/12*L72,MH72/365*M72))</f>
        <v/>
      </c>
      <c r="MJ72" s="429" t="str">
        <f>IF(A72=FALSE,"",IF(Cotations!BR72="","",Cotations!BR72))</f>
        <v/>
      </c>
      <c r="MK72" s="292" t="str">
        <f t="shared" si="343"/>
        <v/>
      </c>
      <c r="ML72" s="292" t="str">
        <f t="shared" si="344"/>
        <v/>
      </c>
      <c r="MM72" s="759" t="str">
        <f t="shared" si="345"/>
        <v/>
      </c>
      <c r="MN72" s="759" t="str">
        <f>IF(A72=FALSE,"",((MH72*TAXE)-(MH72*TAXE*MJ72))+IF(#REF!="N/A",0,IF(INDEX(LISTES!$F$105:$F$109,MATCH(#REF!,LISTES!$C$105:$C$109,0))="FIX",#REF!,#REF!*MM72)))</f>
        <v/>
      </c>
      <c r="NA72" s="432" t="str">
        <f t="shared" si="346"/>
        <v/>
      </c>
      <c r="NB72" s="1234" t="str">
        <f>IF(A72=FALSE,"",IF(Detail!CH72="","N/A",YEAR(Detail!F72)&amp;Detail!CK72&amp;Detail!CH72&amp;"-"&amp;Detail!$CH$13&amp;" (100%/"&amp;Detail!CL72&amp;"/"&amp;Detail!CM72&amp;")"))</f>
        <v/>
      </c>
      <c r="NC72" s="431" t="str">
        <f>IF(A72=FALSE,"",IF(LISTES!$A$17=1,NB72,INDEX(colMOD6,MATCH(DA72,colchoice,0))))</f>
        <v/>
      </c>
      <c r="ND72" s="759" t="str">
        <f t="shared" si="347"/>
        <v/>
      </c>
      <c r="NE72" s="292"/>
      <c r="NF72" s="409" t="str">
        <f t="shared" si="348"/>
        <v/>
      </c>
      <c r="NG72" s="430" t="str">
        <f>IF(A72=FALSE,"",Cotations!BU72*AA72)</f>
        <v/>
      </c>
      <c r="NH72" s="292" t="str">
        <f t="shared" si="349"/>
        <v/>
      </c>
      <c r="NI72" s="446" t="str">
        <f>IF(A72=FALSE,"",IF(Cotations!AU72="monthly",NH72/12*L72,NH72/365*M72))</f>
        <v/>
      </c>
      <c r="NJ72" s="429" t="str">
        <f>IF(A72=FALSE,"",IF(Cotations!BV72="","",Cotations!BV72))</f>
        <v/>
      </c>
      <c r="NK72" s="292" t="str">
        <f t="shared" si="350"/>
        <v/>
      </c>
      <c r="NL72" s="292" t="str">
        <f t="shared" si="351"/>
        <v/>
      </c>
      <c r="NM72" s="759" t="str">
        <f t="shared" si="352"/>
        <v/>
      </c>
      <c r="NN72" s="759" t="str">
        <f>IF(A72=FALSE,"",((NH72*TAXE)-(NH72*TAXE*NJ72))+IF(#REF!="N/A",0,IF(INDEX(LISTES!$F$105:$F$109,MATCH(#REF!,LISTES!$C$105:$C$109,0))="FIX",#REF!,#REF!*NM72)))</f>
        <v/>
      </c>
      <c r="NZ72" s="1281" t="str">
        <f>IF(A72=FALSE,"",IF(Detail!CP72="","N/A",YEAR(Detail!F72)&amp;Detail!CS72&amp;Detail!CP72&amp;"-"&amp;Detail!CQ72))</f>
        <v/>
      </c>
      <c r="OA72" s="432" t="str">
        <f>IF(A72=FALSE,"",Cotations!CF72)</f>
        <v/>
      </c>
      <c r="OB72" s="1282" t="str">
        <f>IF(A72=FALSE,"",IF(Detail!CP72="","N/A",YEAR(Detail!F72)&amp;Detail!CS72&amp;Detail!CP72&amp;"-"&amp;Detail!$CP$13&amp;Detail!CQ72))</f>
        <v/>
      </c>
      <c r="OC72" s="1283" t="str">
        <f>IF(A72=FALSE,"",IF(LISTES!$A$17=1,OB72,INDEX(colMOD1,MATCH(Cotations!CE72,colchoice,0))))</f>
        <v/>
      </c>
      <c r="OD72" s="759" t="str">
        <f t="shared" si="353"/>
        <v/>
      </c>
      <c r="OE72" s="292" t="str">
        <f>IF(A72=FALSE,"",Detail!CQ72)</f>
        <v/>
      </c>
      <c r="OF72" s="409" t="str">
        <f t="shared" si="354"/>
        <v/>
      </c>
      <c r="OG72" s="430" t="str">
        <f>IF(A72=FALSE,"",IF(OA72="FIXE",Cotations!CM72,Cotations!CN72*AA72))</f>
        <v/>
      </c>
      <c r="OH72" s="292" t="str">
        <f t="shared" si="288"/>
        <v/>
      </c>
      <c r="OI72" s="446" t="str">
        <f>IF(A72=FALSE,"",IF(Cotations!CF72="monthly",OH72/12*L72,OH72/365*M72))</f>
        <v/>
      </c>
      <c r="OJ72" s="429" t="str">
        <f>IF(A72=FALSE,"",IF(Cotations!CO72="","",Cotations!CO72))</f>
        <v/>
      </c>
      <c r="OK72" s="292" t="str">
        <f t="shared" si="289"/>
        <v/>
      </c>
      <c r="OL72" s="292" t="str">
        <f t="shared" si="290"/>
        <v/>
      </c>
      <c r="OM72" s="759" t="str">
        <f t="shared" si="355"/>
        <v/>
      </c>
      <c r="ON72" s="759" t="str">
        <f>IF(A72=FALSE,"",((OH72*(1+TAXE)-(OH72*(1+TAXE)*OJ72))+IF(#REF!="N/A",0,IF(INDEX(LISTES!$F$105:$F$109,MATCH(#REF!,LISTES!$C$105:$C$109,0))="FIX",#REF!,#REF!*OM72))))</f>
        <v/>
      </c>
      <c r="PA72" s="432" t="str">
        <f>IF(A72=FALSE,"",Cotations!CF72)</f>
        <v/>
      </c>
      <c r="PB72" s="1282" t="str">
        <f>IF(A72=FALSE,"",IF(Detail!CX72="","N/A",YEAR(Detail!F72)&amp;Detail!DA72&amp;Detail!CX72&amp;"-"&amp;Detail!$CX$13&amp;Detail!CY72))</f>
        <v/>
      </c>
      <c r="PC72" s="1283" t="str">
        <f>IF(A72=FALSE,"",IF(LISTES!$A$17=1,PB72,INDEX(colMOD3,MATCH(Cotations!CE72,colchoice,0))))</f>
        <v/>
      </c>
      <c r="PD72" s="759" t="str">
        <f t="shared" si="356"/>
        <v/>
      </c>
      <c r="PE72" s="292" t="str">
        <f>IF(A72=FALSE,"",IF(Detail!CY72="","",Detail!CY72))</f>
        <v/>
      </c>
      <c r="PF72" s="409" t="str">
        <f t="shared" si="291"/>
        <v/>
      </c>
      <c r="PG72" s="430" t="str">
        <f>IF(A72=FALSE,"",IF(PA72="FIXE",Cotations!CP72,Cotations!CQ72*AA72))</f>
        <v/>
      </c>
      <c r="PH72" s="292" t="str">
        <f t="shared" si="292"/>
        <v/>
      </c>
      <c r="PI72" s="446" t="str">
        <f>IF(A72=FALSE,"",IF(Cotations!CG72="monthly",PH72/12*L72,PH72/365*M72))</f>
        <v/>
      </c>
      <c r="PJ72" s="429" t="str">
        <f>IF(A72=FALSE,"",IF(Cotations!DA72="",0,Cotations!DA72))</f>
        <v/>
      </c>
      <c r="PK72" s="292" t="str">
        <f t="shared" si="293"/>
        <v/>
      </c>
      <c r="PL72" s="292" t="str">
        <f t="shared" si="294"/>
        <v/>
      </c>
      <c r="PM72" s="759" t="str">
        <f t="shared" si="357"/>
        <v/>
      </c>
      <c r="PN72" s="759" t="str">
        <f>IF(A72=FALSE,"",((PH72*(1+TAXE)-(PH72*(1+TAXE)*PJ72))+IF(#REF!="N/A",0,IF(INDEX(LISTES!$F$105:$F$109,MATCH(#REF!,LISTES!$C$105:$C$109,0))="FIX",#REF!,#REF!*PM72))))</f>
        <v/>
      </c>
    </row>
    <row r="73" spans="1:430">
      <c r="A73" s="779" t="b">
        <f t="shared" si="295"/>
        <v>0</v>
      </c>
      <c r="B73" s="779" t="b">
        <f>IF(NAMES!$B$9=TRUE,TRUE,FALSE)</f>
        <v>1</v>
      </c>
      <c r="C73" s="779" t="b">
        <f t="shared" si="212"/>
        <v>0</v>
      </c>
      <c r="D73" s="779" t="b">
        <f t="shared" si="213"/>
        <v>0</v>
      </c>
      <c r="E73" s="267" t="b">
        <f>IF(Cotations!C73="","",Cotations!C73)</f>
        <v>0</v>
      </c>
      <c r="F73" s="267" t="str">
        <f>IF(Cotations!AT73="","",Cotations!AT73)</f>
        <v>PROP</v>
      </c>
      <c r="G73" s="267" t="str">
        <f>IF(Cotations!D73="","",Cotations!D73)</f>
        <v>2016-2017!</v>
      </c>
      <c r="H73" s="267" t="str">
        <f>IF(Cotations!E73="","",Cotations!E73)</f>
        <v>SINGLE</v>
      </c>
      <c r="I73" s="267" t="str">
        <f>IF(Cotations!F73="","",Cotations!F73)</f>
        <v/>
      </c>
      <c r="J73" s="267" t="str">
        <f>IF(Cotations!G73="","",Cotations!G73)</f>
        <v/>
      </c>
      <c r="K73" s="267" t="str">
        <f>IF(Cotations!H73="","",Cotations!H73)</f>
        <v/>
      </c>
      <c r="L73" s="267" t="str">
        <f>IF(A73=FALSE,"",IF(Cotations!M73="","",Cotations!M73))</f>
        <v/>
      </c>
      <c r="M73" s="267" t="str">
        <f>IF(Cotations!O73="","",Cotations!O73)</f>
        <v/>
      </c>
      <c r="N73" s="588" t="str">
        <f>IF(NAMES!$B$10=TRUE,Cotations!I73,Cotations!K73)</f>
        <v/>
      </c>
      <c r="O73" s="588" t="str">
        <f>IF(NAMES!$B$10=TRUE,Cotations!J73,Cotations!L73)</f>
        <v/>
      </c>
      <c r="P73" s="780" t="str">
        <f t="shared" si="214"/>
        <v/>
      </c>
      <c r="Q73" s="588" t="str">
        <f>IF(A73=FALSE,"",IF(Crewlist!Y73="","",Crewlist!Y73))</f>
        <v/>
      </c>
      <c r="R73" s="78" t="str">
        <f>IF(Cotations!T73="","",Cotations!T73)</f>
        <v/>
      </c>
      <c r="S73" s="780" t="str">
        <f t="shared" si="215"/>
        <v/>
      </c>
      <c r="T73" s="759" t="str">
        <f>IF(A73=FALSE,"",VLOOKUP($U$15:$U$120,Currency!$A$2:$D$10,4,0)*Crewlist!N73)</f>
        <v/>
      </c>
      <c r="U73" s="1097" t="str">
        <f>IF(A73=FALSE,"",IF(DP73=0,Crewlist!M73&amp;"/"&amp;CP73,Crewlist!M73&amp;"/"&amp;DP73))</f>
        <v/>
      </c>
      <c r="V73" s="759" t="str">
        <f>IF(A73=FALSE,"",VLOOKUP($U$15:$U$120,Currency!$A$2:$D$10,4,0)*Detail!Q73)</f>
        <v/>
      </c>
      <c r="W73" s="1097" t="str">
        <f>IF(A73=FALSE,"",IF(DP73=0,Detail!R73&amp;"/"&amp;CP73,Detail!R73&amp;"/"&amp;DP73))</f>
        <v/>
      </c>
      <c r="X73" s="759" t="str">
        <f>IF(A73=FALSE,"",IF(LISTES!$C$17="Crewlist",Calcul!T73,Calcul!V73))</f>
        <v/>
      </c>
      <c r="Y73" s="618" t="str">
        <f t="shared" si="216"/>
        <v/>
      </c>
      <c r="Z73" s="618" t="str">
        <f>IF(A73=FALSE,"",IF(X73=0,0,IF((Cotations!BA73*12*X73)&lt;50000,50000,(12*X73))))</f>
        <v/>
      </c>
      <c r="AA73" s="618" t="str">
        <f t="shared" si="217"/>
        <v/>
      </c>
      <c r="AB73" s="618" t="str">
        <f>IF(A73=FALSE,"",IF(Crewlist!O73=0,"",Crewlist!O73))</f>
        <v/>
      </c>
      <c r="AC73" s="618" t="str">
        <f>IF(I73="","",VLOOKUP($AB$15:$AB$120,Currency!$A$15:$B$34,2,0))</f>
        <v/>
      </c>
      <c r="AD73" s="618" t="str">
        <f t="shared" si="218"/>
        <v/>
      </c>
      <c r="AE73" s="618" t="str">
        <f t="shared" si="219"/>
        <v/>
      </c>
      <c r="AF73" s="618" t="str">
        <f t="shared" si="220"/>
        <v/>
      </c>
      <c r="AG73" s="618" t="str">
        <f t="shared" si="221"/>
        <v/>
      </c>
      <c r="AH73" s="1097" t="str">
        <f t="shared" si="296"/>
        <v/>
      </c>
      <c r="AI73" s="759" t="str">
        <f t="shared" si="222"/>
        <v/>
      </c>
      <c r="AJ73" s="1120" t="str">
        <f t="shared" si="223"/>
        <v/>
      </c>
      <c r="AK73" s="1120" t="str">
        <f t="shared" si="224"/>
        <v/>
      </c>
      <c r="AL73" s="236" t="str">
        <f t="shared" si="225"/>
        <v/>
      </c>
      <c r="AM73" s="236" t="str">
        <f t="shared" si="226"/>
        <v/>
      </c>
      <c r="AN73" s="1112" t="str">
        <f t="shared" si="227"/>
        <v/>
      </c>
      <c r="AO73" s="236" t="str">
        <f t="shared" si="228"/>
        <v/>
      </c>
      <c r="AP73" s="327" t="str">
        <f>IF(A73=FALSE,"",INDEX(Rates!$Q$1:$Q$278,MATCH(CA73,colchoice,0)))</f>
        <v/>
      </c>
      <c r="AQ73" s="236" t="str">
        <f t="shared" si="229"/>
        <v/>
      </c>
      <c r="AR73" s="236" t="str">
        <f t="shared" si="230"/>
        <v/>
      </c>
      <c r="AS73" s="236" t="str">
        <f t="shared" si="297"/>
        <v/>
      </c>
      <c r="AT73" s="236" t="str">
        <f t="shared" si="298"/>
        <v/>
      </c>
      <c r="AU73" s="236" t="str">
        <f t="shared" si="231"/>
        <v/>
      </c>
      <c r="AV73" s="236" t="str">
        <f t="shared" si="232"/>
        <v/>
      </c>
      <c r="AW73" s="236" t="str">
        <f t="shared" si="233"/>
        <v/>
      </c>
      <c r="AX73" s="236" t="str">
        <f t="shared" si="234"/>
        <v/>
      </c>
      <c r="AY73" s="236" t="str">
        <f t="shared" si="235"/>
        <v/>
      </c>
      <c r="AZ73" s="236" t="str">
        <f t="shared" si="236"/>
        <v/>
      </c>
      <c r="BA73" s="236" t="str">
        <f t="shared" si="237"/>
        <v/>
      </c>
      <c r="BB73" s="467" t="str">
        <f t="shared" si="238"/>
        <v/>
      </c>
      <c r="BC73" s="329" t="str">
        <f t="shared" si="239"/>
        <v/>
      </c>
      <c r="BD73" s="237" t="str">
        <f t="shared" si="240"/>
        <v/>
      </c>
      <c r="BE73" s="237" t="str">
        <f>IF(A73=FALSE,"",IF(ED73&lt;&gt;$BC$7,0,INDEX(EA73:EZ73,1,MATCH(Structure!$J$16,$EA$14:$EZ$14,0))))</f>
        <v/>
      </c>
      <c r="BF73" s="237" t="str">
        <f>IF(A73=FALSE,"",IF(FD73&lt;&gt;$BC$7,0,INDEX(FA73:FZ73,1,MATCH(Structure!$J$16,$FA$14:$FZ$14,0))))</f>
        <v/>
      </c>
      <c r="BG73" s="237" t="str">
        <f>IF(A73=FALSE,"",IF(GD73&lt;&gt;$BC$7,0,INDEX(GA73:GZ73,1,MATCH(Structure!$J$16,$GA$14:$GZ$14,0))))</f>
        <v/>
      </c>
      <c r="BH73" s="237" t="str">
        <f>IF(A73=FALSE,"",IF(HD73&lt;&gt;$BC$7,0,INDEX(HA73:HZ73,1,MATCH(Structure!$J$16,$HA$14:$HZ$14,0))))</f>
        <v/>
      </c>
      <c r="BI73" s="621" t="str">
        <f>IF(A73=FALSE,"",IF(ID73&lt;&gt;$BC$7,0,INDEX(IA73:IZ73,1,MATCH(Structure!$C$12,$IA$14:$IZ$14,0)))+OL73)</f>
        <v/>
      </c>
      <c r="BJ73" s="237" t="str">
        <f>IF(A73=FALSE,"",IF(JD73&lt;&gt;$BC$7,0,INDEX(JA73:JZ73,1,MATCH(Structure!$C$12,$JA$14:$JZ$14,0))))</f>
        <v/>
      </c>
      <c r="BK73" s="621" t="str">
        <f>IF(A73=FALSE,"",IF(KD73&lt;&gt;$BC$7,0,INDEX(KA73:KZ73,1,MATCH(Structure!$C$12,$KA$14:$KZ$14,0)))+PL73)</f>
        <v/>
      </c>
      <c r="BL73" s="237" t="str">
        <f>IF(A73=FALSE,"",IF(LD73&lt;&gt;$BC$7,0,INDEX(LA73:LZ73,1,MATCH(Structure!$C$12,$LA$14:$LZ$14,0))))</f>
        <v/>
      </c>
      <c r="BM73" s="237" t="str">
        <f>IF(A73=FALSE,"",IF(MD73&lt;&gt;$BC$7,0,INDEX(MA73:MZ73,1,MATCH(Structure!$C$12,$MA$14:$MZ$14,0))))</f>
        <v/>
      </c>
      <c r="BN73" s="326" t="str">
        <f>IF(A73=FALSE,"",IF(ND73&lt;&gt;$BC$7,0,INDEX(NA73:OC73,1,MATCH(Structure!$C$12,$NA$14:$OC$14,0))))</f>
        <v/>
      </c>
      <c r="BO73" s="435" t="str">
        <f t="shared" si="241"/>
        <v/>
      </c>
      <c r="BP73" s="237" t="str">
        <f t="shared" si="242"/>
        <v/>
      </c>
      <c r="BQ73" s="237" t="str">
        <f>IF(A73=FALSE,"",IF(ED73&lt;&gt;$BO$7,0,INDEX(EA73:EZ73,1,MATCH(Structure!$C$12,$EA$14:$EZ$14,0))))</f>
        <v/>
      </c>
      <c r="BR73" s="237" t="str">
        <f>IF(A73=FALSE,"",IF(FD73&lt;&gt;$BO$7,0,INDEX(FA73:FZ73,1,MATCH(Structure!$C$12,$FA$14:$FZ$14,0))))</f>
        <v/>
      </c>
      <c r="BS73" s="237" t="str">
        <f>IF(A73=FALSE,"",IF(ID73&lt;&gt;$BO$7,0,INDEX(IA73:IZ73,1,MATCH(Structure!$C$13,$IA$14:$IZ$14,0))))</f>
        <v/>
      </c>
      <c r="BT73" s="237" t="str">
        <f>IF(A73=FALSE,"",IF(JD73&lt;&gt;$BO$7,0,INDEX(JA73:JZ73,1,MATCH(Structure!$C$13,$JA$14:$JZ$14,0))))</f>
        <v/>
      </c>
      <c r="BU73" s="237" t="str">
        <f>IF(A73=FALSE,"",IF(KD73&lt;&gt;$BO$7,0,INDEX(KA73:KZ73,1,MATCH(Structure!$C$13,$KA$14:$KZ$14,0))))</f>
        <v/>
      </c>
      <c r="BV73" s="237" t="str">
        <f>IF(A73=FALSE,"",IF(LD73&lt;&gt;$BO$7,0,INDEX(LA73:LZ73,1,MATCH(Structure!$C$13,$LA$14:$LZ$14,0))))</f>
        <v/>
      </c>
      <c r="BW73" s="237" t="str">
        <f>IF(A73=FALSE,"",IF(MD73&lt;&gt;$BO$7,0,INDEX(MA73:MZ73,1,MATCH(Structure!$C$13,$MA$14:$MZ$14,0))))</f>
        <v/>
      </c>
      <c r="BX73" s="326" t="str">
        <f>IF(A73=FALSE,"",IF(ND73&lt;&gt;$BO$7,0,INDEX(NA73:OC73,1,MATCH(Structure!$C$13,$NA$14:$OC$14,0))))</f>
        <v/>
      </c>
      <c r="BY73" s="412"/>
      <c r="BZ73" s="412"/>
      <c r="CA73" s="1255" t="str">
        <f>IF(A73=FALSE,"",IF(LISTES!$A$17=1,Cotations!AG73,Cotations!AH73))</f>
        <v/>
      </c>
      <c r="CB73" s="1266" t="str">
        <f t="shared" si="243"/>
        <v/>
      </c>
      <c r="CC73" s="1120" t="str">
        <f t="shared" si="244"/>
        <v/>
      </c>
      <c r="CD73" s="1120" t="str">
        <f t="shared" si="245"/>
        <v/>
      </c>
      <c r="CE73" s="1120" t="str">
        <f t="shared" si="246"/>
        <v/>
      </c>
      <c r="CF73" s="1120" t="str">
        <f t="shared" si="247"/>
        <v/>
      </c>
      <c r="CG73" s="1267"/>
      <c r="CH73" s="1267"/>
      <c r="CI73" s="1268" t="str">
        <f t="shared" si="248"/>
        <v/>
      </c>
      <c r="CJ73" s="286" t="str">
        <f t="shared" si="249"/>
        <v/>
      </c>
      <c r="CK73" s="286" t="str">
        <f t="shared" si="250"/>
        <v/>
      </c>
      <c r="CL73" s="1263"/>
      <c r="CM73" s="1263"/>
      <c r="CN73" s="1263"/>
      <c r="CO73" s="1263"/>
      <c r="CP73" s="319" t="str">
        <f t="shared" si="251"/>
        <v/>
      </c>
      <c r="CQ73" s="443" t="str">
        <f>IF(A73=FALSE,"",Cotations!AM73)</f>
        <v/>
      </c>
      <c r="CR73" s="443" t="str">
        <f>IF(A73=FALSE,"",IF(Cotations!AN73="","",Cotations!AN73))</f>
        <v/>
      </c>
      <c r="CS73" s="433" t="str">
        <f>IF(A73=FALSE,"",Cotations!AO73)</f>
        <v/>
      </c>
      <c r="CT73" s="443" t="str">
        <f>IF(A73=FALSE,"",IF(CQ73="N/A",0,IF(INDEX(LISTES!$F$105:$F$109,MATCH(CQ73,LISTES!$C$105:$C$109,0))="FIX",IF(INDEX(LISTES!$E$105:$E$109,MATCH(CQ73,LISTES!$C$105:$C$109,0))=12,CR73/12*L73,CR73/365*M73),CS73*EQ73)))</f>
        <v/>
      </c>
      <c r="CU73" s="434" t="str">
        <f>IF(A73=FALSE,"",(CJ73+CK73)*Cotations!AP73)</f>
        <v/>
      </c>
      <c r="CV73" s="434" t="str">
        <f>IF(A73=FALSE,"",(CJ73+CK73)*Cotations!AQ73)</f>
        <v/>
      </c>
      <c r="DA73" s="1253" t="str">
        <f>IF(A73=FALSE,"",IF(LISTES!$A$17=1,Cotations!AV73,Cotations!AW73))</f>
        <v/>
      </c>
      <c r="DB73" s="1271" t="str">
        <f t="shared" si="252"/>
        <v/>
      </c>
      <c r="DC73" s="1270" t="str">
        <f t="shared" si="253"/>
        <v/>
      </c>
      <c r="DD73" s="1270" t="str">
        <f t="shared" si="254"/>
        <v/>
      </c>
      <c r="DE73" s="1270" t="str">
        <f t="shared" si="255"/>
        <v/>
      </c>
      <c r="DF73" s="1270" t="str">
        <f t="shared" si="256"/>
        <v/>
      </c>
      <c r="DG73" s="1270" t="str">
        <f t="shared" si="257"/>
        <v/>
      </c>
      <c r="DH73" s="1270" t="str">
        <f t="shared" si="258"/>
        <v/>
      </c>
      <c r="DI73" s="1271" t="str">
        <f t="shared" si="259"/>
        <v/>
      </c>
      <c r="DJ73" s="286" t="str">
        <f t="shared" si="260"/>
        <v/>
      </c>
      <c r="DK73" s="286" t="str">
        <f t="shared" si="261"/>
        <v/>
      </c>
      <c r="DL73" s="1264" t="str">
        <f t="shared" si="262"/>
        <v/>
      </c>
      <c r="DM73" s="1264" t="str">
        <f t="shared" si="263"/>
        <v/>
      </c>
      <c r="DN73" s="1264" t="str">
        <f t="shared" si="264"/>
        <v/>
      </c>
      <c r="DO73" s="1264" t="str">
        <f t="shared" si="265"/>
        <v/>
      </c>
      <c r="DP73" s="323" t="str">
        <f t="shared" si="299"/>
        <v/>
      </c>
      <c r="DQ73" s="444" t="str">
        <f>IF(A73=FALSE,"",Cotations!BW73)</f>
        <v/>
      </c>
      <c r="DR73" s="444" t="str">
        <f>IF(A73=FALSE,"",Cotations!BX73)</f>
        <v/>
      </c>
      <c r="DS73" s="433" t="str">
        <f>IF(A73=FALSE,"",Cotations!BY73)</f>
        <v/>
      </c>
      <c r="DT73" s="830" t="str">
        <f>IF(A73=FALSE,"",IF(DQ73="N/A",0,IF(INDEX(LISTES!$F$105:$F$109,MATCH(DQ73,LISTES!$C$105:$C$109,0))="FIX",IF(INDEX(LISTES!$E$105:$E$109,MATCH(DQ73,LISTES!$C$105:$C$109,0))=12,DR73/12*L73,DR73/365*M73),DS73*(DN73+DO73))))</f>
        <v/>
      </c>
      <c r="DU73" s="434" t="str">
        <f>IF(A73=FALSE,"",DJ73*Cotations!BZ73)</f>
        <v/>
      </c>
      <c r="DV73" s="434" t="str">
        <f>IF(A73=FALSE,"",DJ73*Cotations!CA73)</f>
        <v/>
      </c>
      <c r="EA73" s="432" t="str">
        <f>IF(A73=FALSE,"",Cotations!AT73)</f>
        <v/>
      </c>
      <c r="EB73" s="1234" t="str">
        <f>IF(A73=FALSE,"",YEAR(Detail!F73)&amp;Detail!AG73&amp;Detail!AD73&amp;"-"&amp;Detail!$AD$13&amp;Detail!AE73)</f>
        <v/>
      </c>
      <c r="EC73" s="434" t="str">
        <f>IF(A73=FALSE,"",IF(LISTES!$A$17=1,EB73,INDEX(colMOD1,MATCH(Cotations!AH73,colchoice,0))))</f>
        <v/>
      </c>
      <c r="ED73" s="277" t="str">
        <f t="shared" si="300"/>
        <v/>
      </c>
      <c r="EE73" s="277" t="str">
        <f t="shared" si="301"/>
        <v/>
      </c>
      <c r="EF73" s="277"/>
      <c r="EG73" s="277"/>
      <c r="EH73" s="277" t="str">
        <f t="shared" si="302"/>
        <v/>
      </c>
      <c r="EI73" s="1104" t="str">
        <f t="shared" si="303"/>
        <v/>
      </c>
      <c r="EJ73" s="1104" t="str">
        <f t="shared" si="304"/>
        <v/>
      </c>
      <c r="EK73" s="443" t="str">
        <f>IF(A73=FALSE,"",IF(Cotations!AF73="monthly",EH73/12*L73,EH73/365*M73))</f>
        <v/>
      </c>
      <c r="EL73" s="1103" t="str">
        <f>IF(A73=FALSE,"",IF(Cotations!AF73="monthly",EJ73/12*L73,EJ73/365*M73))</f>
        <v/>
      </c>
      <c r="EM73" s="433" t="str">
        <f>IF(A73=FALSE,"",IF(Cotations!AI73="","",Cotations!AI73))</f>
        <v/>
      </c>
      <c r="EN73" s="277" t="str">
        <f t="shared" si="305"/>
        <v/>
      </c>
      <c r="EO73" s="277" t="str">
        <f t="shared" si="306"/>
        <v/>
      </c>
      <c r="EP73" s="1104" t="str">
        <f t="shared" si="307"/>
        <v/>
      </c>
      <c r="EQ73" s="277" t="str">
        <f t="shared" si="308"/>
        <v/>
      </c>
      <c r="ER73" s="759" t="str">
        <f>IF(A73=FALSE,"",((EH73*TAXE)-(EH73*TAXE*EM73)+EI73)+IF(CQ73="N/A",0,IF(INDEX(LISTES!$F$105:$F$109,MATCH(CQ73,LISTES!$C$105:$C$109,0))="FIX",CR73,CS73*EQ73)))</f>
        <v/>
      </c>
      <c r="ET73" s="422"/>
      <c r="EU73" s="422"/>
      <c r="EV73" s="422"/>
      <c r="EW73" s="422"/>
      <c r="EX73" s="422"/>
      <c r="EY73" s="422"/>
      <c r="EZ73" s="422"/>
      <c r="FA73" s="432" t="str">
        <f>IF(A73=FALSE,"",Cotations!AT73)</f>
        <v/>
      </c>
      <c r="FB73" s="1235" t="str">
        <f>IF(A73=FALSE,"",IF(Detail!AL73="","N/A",YEAR(Detail!F73)&amp;Detail!AO73&amp;Detail!AL73&amp;"-"&amp;Detail!$AL$13&amp;Detail!AM73))</f>
        <v/>
      </c>
      <c r="FC73" s="434" t="str">
        <f>IF(A73=FALSE,"",IF(LISTES!$A$17=1,FB73,INDEX(colMOD2,MATCH(Cotations!AH73,colchoice,0))))</f>
        <v/>
      </c>
      <c r="FD73" s="277" t="str">
        <f t="shared" si="309"/>
        <v/>
      </c>
      <c r="FE73" s="443" t="str">
        <f>IF(A73=FALSE,"",IF(Detail!AM73="","",Detail!AM73))</f>
        <v/>
      </c>
      <c r="FF73" s="277"/>
      <c r="FG73" s="277"/>
      <c r="FH73" s="277" t="str">
        <f t="shared" si="310"/>
        <v/>
      </c>
      <c r="FI73" s="1104"/>
      <c r="FJ73" s="1104"/>
      <c r="FK73" s="443" t="str">
        <f>IF(A73=FALSE,"",IF(Cotations!AF73="monthly",FH73/12*L73,FH73/365*M73))</f>
        <v/>
      </c>
      <c r="FL73" s="1103" t="str">
        <f>IF(A73=FALSE,"",IF(Cotations!AF73="monthly",FJ73/12*L73,FJ73/365*M73))</f>
        <v/>
      </c>
      <c r="FM73" s="433" t="str">
        <f>IF(A73=FALSE,"",IF(Cotations!AJ73="","",Cotations!AJ73))</f>
        <v/>
      </c>
      <c r="FN73" s="277" t="str">
        <f t="shared" si="268"/>
        <v/>
      </c>
      <c r="FO73" s="277" t="str">
        <f t="shared" si="269"/>
        <v/>
      </c>
      <c r="FP73" s="1104"/>
      <c r="FQ73" s="277" t="str">
        <f t="shared" si="270"/>
        <v/>
      </c>
      <c r="FR73" s="759" t="str">
        <f>IF(A73=FALSE,"",((FH73*TAXE)-(FH73*TAXE*FM73))+IF(#REF!="N/A",0,IF(INDEX(LISTES!$F$105:$F$109,MATCH(#REF!,LISTES!$C$105:$C$109,0))="FIX",#REF!,#REF!*FQ73)))</f>
        <v/>
      </c>
      <c r="FS73" s="422"/>
      <c r="FT73" s="422"/>
      <c r="FU73" s="422"/>
      <c r="FV73" s="422"/>
      <c r="FW73" s="422"/>
      <c r="FX73" s="422"/>
      <c r="FY73" s="422"/>
      <c r="FZ73" s="422"/>
      <c r="GA73" s="432" t="str">
        <f t="shared" si="311"/>
        <v/>
      </c>
      <c r="GB73" s="1234" t="str">
        <f>IF(A73=FALSE,"",IF(Detail!DF73="","N/A",YEAR(Detail!F73)&amp;Detail!DI73&amp;Detail!DF73&amp;"-"&amp;Detail!$DF$13))</f>
        <v/>
      </c>
      <c r="GC73" s="434" t="str">
        <f>IF(A73=FALSE,"",IF(LISTES!$A$17=1,GB73,INDEX(colMOD3,MATCH(Cotations!AH73,colchoice,0))))</f>
        <v/>
      </c>
      <c r="GD73" s="277" t="str">
        <f t="shared" si="312"/>
        <v/>
      </c>
      <c r="GE73" s="277" t="str">
        <f t="shared" si="313"/>
        <v/>
      </c>
      <c r="GF73" s="277"/>
      <c r="GG73" s="277"/>
      <c r="GH73" s="277" t="str">
        <f t="shared" si="271"/>
        <v/>
      </c>
      <c r="GI73" s="1104" t="str">
        <f t="shared" si="272"/>
        <v/>
      </c>
      <c r="GJ73" s="1104" t="str">
        <f t="shared" si="273"/>
        <v/>
      </c>
      <c r="GK73" s="443" t="str">
        <f>IF(A73=FALSE,"",IF(Cotations!AF73="monthly",GH73/12*L73,GH73/365*M73))</f>
        <v/>
      </c>
      <c r="GL73" s="1103" t="str">
        <f>IF(A73=FALSE,"",IF(Cotations!AF73="monthly",GJ73/12*L73,GJ73/365*M73))</f>
        <v/>
      </c>
      <c r="GM73" s="433" t="str">
        <f>IF(A73=FALSE,"",IF(Cotations!AK73="","",Cotations!AK73))</f>
        <v/>
      </c>
      <c r="GN73" s="277" t="str">
        <f t="shared" si="274"/>
        <v/>
      </c>
      <c r="GO73" s="277" t="str">
        <f t="shared" si="275"/>
        <v/>
      </c>
      <c r="GP73" s="1104" t="str">
        <f t="shared" si="276"/>
        <v/>
      </c>
      <c r="GQ73" s="277" t="str">
        <f t="shared" si="277"/>
        <v/>
      </c>
      <c r="GR73" s="759" t="str">
        <f>IF(A73=FALSE,"",((GH73*TAXE)-(GH73*TAXE*GM73)+GI73)+IF(CQ73="N/A",0,IF(INDEX(LISTES!$F$105:$F$109,MATCH(CQ73,LISTES!$C$105:$C$109,0))="FIX",CR73,CS73*GQ73)))</f>
        <v/>
      </c>
      <c r="GS73" s="412"/>
      <c r="GT73" s="412"/>
      <c r="GU73" s="412"/>
      <c r="GV73" s="412"/>
      <c r="GW73" s="412"/>
      <c r="GX73" s="412"/>
      <c r="GY73" s="412"/>
      <c r="GZ73" s="412"/>
      <c r="HA73" s="432" t="str">
        <f t="shared" si="314"/>
        <v/>
      </c>
      <c r="HB73" s="1234" t="str">
        <f>IF(A73=FALSE,"",IF(Detail!DF73="","N/A",YEAR(Detail!F73)&amp;Detail!DI73&amp;Detail!DF73&amp;"-"&amp;Detail!$DF$13))</f>
        <v/>
      </c>
      <c r="HC73" s="434" t="str">
        <f>IF(A73=FALSE,"",IF(LISTES!$A$17=1,HB73,INDEX(colMOD4,MATCH(Cotations!AH73,colchoice,0))))</f>
        <v/>
      </c>
      <c r="HD73" s="277" t="str">
        <f t="shared" si="278"/>
        <v/>
      </c>
      <c r="HE73" s="277" t="str">
        <f t="shared" si="279"/>
        <v/>
      </c>
      <c r="HF73" s="277"/>
      <c r="HG73" s="277"/>
      <c r="HH73" s="277" t="str">
        <f t="shared" si="280"/>
        <v/>
      </c>
      <c r="HI73" s="1104" t="str">
        <f t="shared" si="281"/>
        <v/>
      </c>
      <c r="HJ73" s="1104" t="str">
        <f t="shared" si="282"/>
        <v/>
      </c>
      <c r="HK73" s="443" t="str">
        <f>IF(A73=FALSE,"",IF(Cotations!AF73="monthly",HH73/12*L73,HH73/365*M73))</f>
        <v/>
      </c>
      <c r="HL73" s="1103" t="str">
        <f>IF(A73=FALSE,"",IF(Cotations!AF73="monthly",HJ73/12*L73,HJ73/365*M73))</f>
        <v/>
      </c>
      <c r="HM73" s="433" t="str">
        <f>IF(A73=FALSE,"",IF(Cotations!AL73="","",Cotations!AL73))</f>
        <v/>
      </c>
      <c r="HN73" s="277" t="str">
        <f t="shared" si="283"/>
        <v/>
      </c>
      <c r="HO73" s="277" t="str">
        <f t="shared" si="284"/>
        <v/>
      </c>
      <c r="HP73" s="1104" t="str">
        <f t="shared" si="285"/>
        <v/>
      </c>
      <c r="HQ73" s="277" t="str">
        <f t="shared" si="286"/>
        <v/>
      </c>
      <c r="HR73" s="759" t="str">
        <f>IF(A73=FALSE,"",((HH73*TAXE)-(HH73*TAXE*HM73)+HI73)+IF(CQ73="N/A",0,IF(INDEX(LISTES!$F$105:$F$109,MATCH(CQ73,LISTES!$C$105:$C$109,0))="FIX",CR73,CS73*HQ73)))</f>
        <v/>
      </c>
      <c r="HS73" s="412"/>
      <c r="HT73" s="412"/>
      <c r="HU73" s="412"/>
      <c r="HV73" s="412"/>
      <c r="HW73" s="412"/>
      <c r="HX73" s="412"/>
      <c r="HY73" s="412"/>
      <c r="HZ73" s="1262"/>
      <c r="IA73" s="432" t="str">
        <f>IF(A73=FALSE,"",Cotations!AT73)</f>
        <v/>
      </c>
      <c r="IB73" s="1253" t="str">
        <f>IF(A73=FALSE,"",IF(Detail!AT73="","N/A",YEAR(Detail!F73)&amp;Detail!AW73&amp;Detail!AT73&amp;"-"&amp;Detail!$AT$13&amp;Detail!AU73))</f>
        <v/>
      </c>
      <c r="IC73" s="431" t="str">
        <f>IF(A73=FALSE,"",IF(LISTES!$A$17=1,IB73,INDEX(colMOD1,MATCH(DA73,colchoice,0))))</f>
        <v/>
      </c>
      <c r="ID73" s="759" t="str">
        <f t="shared" si="358"/>
        <v/>
      </c>
      <c r="IE73" s="292" t="str">
        <f>IF(A73=FALSE,"",IF(LISTES!$A$17=1,Detail!AU73,INDEX(Rates!$M$1:$M$270,MATCH(IC73,colMOD1,0))))</f>
        <v/>
      </c>
      <c r="IF73" s="409" t="str">
        <f t="shared" si="359"/>
        <v/>
      </c>
      <c r="IG73" s="430" t="str">
        <f>IF(A73=FALSE,"",IF(IA73="POEA",Cotations!AY73,IF(IA73="FIXE",Cotations!AZ73,IF(Cotations!BA73*Y73&lt;50000,Z73,Cotations!BA73*Y73))))</f>
        <v/>
      </c>
      <c r="IH73" s="292" t="str">
        <f t="shared" si="360"/>
        <v/>
      </c>
      <c r="II73" s="446" t="str">
        <f>IF(A73=FALSE,"",IF(Cotations!AU73="monthly",IH73/12*L73,IH73/365*M73))</f>
        <v/>
      </c>
      <c r="IJ73" s="429" t="str">
        <f>IF(A73=FALSE,"",IF(Cotations!BB73="","",Cotations!BB73))</f>
        <v/>
      </c>
      <c r="IK73" s="292" t="str">
        <f t="shared" si="361"/>
        <v/>
      </c>
      <c r="IL73" s="292" t="str">
        <f t="shared" si="362"/>
        <v/>
      </c>
      <c r="IM73" s="759" t="str">
        <f t="shared" si="363"/>
        <v/>
      </c>
      <c r="IN73" s="759" t="str">
        <f>IF(A73=FALSE,"",((IH73*TAXE)-(IH73*TAXE*IJ73))+IF(DQ73="N/A",0,IF(INDEX(LISTES!$F$105:$F$109,MATCH(DQ73,LISTES!$C$105:$C$109,0))="FIX",DR73,DS73*IM73)))</f>
        <v/>
      </c>
      <c r="JA73" s="432" t="str">
        <f>IF(A73=FALSE,"",Cotations!AT73)</f>
        <v/>
      </c>
      <c r="JB73" s="1234" t="str">
        <f>IF(A73=FALSE,"",IF(Detail!BB73="","N/A",YEAR(Detail!F73)&amp;Detail!BE73&amp;Detail!BB73&amp;"-"&amp;Detail!$BB$13&amp;Detail!BC73))</f>
        <v/>
      </c>
      <c r="JC73" s="431" t="str">
        <f>IF(A73=FALSE,"",IF(LISTES!$A$17=1,JB73,INDEX(colMOD2,MATCH(DA73,colchoice,0))))</f>
        <v/>
      </c>
      <c r="JD73" s="759" t="str">
        <f t="shared" si="321"/>
        <v/>
      </c>
      <c r="JE73" s="292"/>
      <c r="JF73" s="409" t="str">
        <f t="shared" si="322"/>
        <v/>
      </c>
      <c r="JG73" s="430" t="str">
        <f>IF(A73=FALSE,"",IF(JA73="POEA",Cotations!BC73,IF(JA73="FIXE",Cotations!BD73,IF(Cotations!BE73*Y73&lt;50000,Z73,Cotations!BE73*Y73))))</f>
        <v/>
      </c>
      <c r="JH73" s="292" t="str">
        <f t="shared" si="323"/>
        <v/>
      </c>
      <c r="JI73" s="446" t="str">
        <f>IF(A73=FALSE,"",IF(Cotations!AU73="monthly",JH73/12*L73,JH73/365*M73))</f>
        <v/>
      </c>
      <c r="JJ73" s="429" t="str">
        <f>IF(A73=FALSE,"",IF(Cotations!BF73="","",Cotations!BF73))</f>
        <v/>
      </c>
      <c r="JK73" s="292" t="str">
        <f t="shared" si="324"/>
        <v/>
      </c>
      <c r="JL73" s="292" t="str">
        <f t="shared" si="325"/>
        <v/>
      </c>
      <c r="JM73" s="759" t="str">
        <f t="shared" si="326"/>
        <v/>
      </c>
      <c r="JN73" s="759" t="str">
        <f>IF(A73=FALSE,"",((JH73*TAXE)-(JH73*TAXE*JJ73))+IF(#REF!="N/A",0,IF(INDEX(LISTES!$F$105:$F$109,MATCH(#REF!,LISTES!$C$105:$C$109,0))="FIX",#REF!,#REF!*JM73)))</f>
        <v/>
      </c>
      <c r="KA73" s="432" t="str">
        <f>IF(A73=FALSE,"",Cotations!AT73)</f>
        <v/>
      </c>
      <c r="KB73" s="1234" t="str">
        <f>IF(A73=FALSE,"",IF(Detail!BJ73="","N/A",YEAR(Detail!F73)&amp;Detail!BM73&amp;Detail!BJ73&amp;"-"&amp;Detail!$BJ$13&amp;Detail!BK73))</f>
        <v/>
      </c>
      <c r="KC73" s="431" t="str">
        <f>IF(A73=FALSE,"",IF(LISTES!$A$17=1,KB73,INDEX(colMOD3,MATCH(DA73,colchoice,0))))</f>
        <v/>
      </c>
      <c r="KD73" s="759" t="str">
        <f t="shared" si="327"/>
        <v/>
      </c>
      <c r="KE73" s="292"/>
      <c r="KF73" s="409" t="str">
        <f t="shared" si="328"/>
        <v/>
      </c>
      <c r="KG73" s="430" t="str">
        <f>IF(A73=FALSE,"",IF(KA73="POEA",Cotations!BG73,IF(KA73="FIXE",Cotations!BH73,IF(Cotations!BI73*Y73&lt;50000,Z73,Cotations!BI73*Y73))))</f>
        <v/>
      </c>
      <c r="KH73" s="292" t="str">
        <f t="shared" si="329"/>
        <v/>
      </c>
      <c r="KI73" s="446" t="str">
        <f>IF(A73=FALSE,"",IF(Cotations!AU73="monthly",KH73/12*L73,KH73/365*M73))</f>
        <v/>
      </c>
      <c r="KJ73" s="429" t="str">
        <f>IF(A73=FALSE,"",IF(Cotations!BJ73="","",Cotations!BJ73))</f>
        <v/>
      </c>
      <c r="KK73" s="292" t="str">
        <f t="shared" si="330"/>
        <v/>
      </c>
      <c r="KL73" s="292" t="str">
        <f t="shared" si="331"/>
        <v/>
      </c>
      <c r="KM73" s="759" t="str">
        <f t="shared" si="332"/>
        <v/>
      </c>
      <c r="KN73" s="759" t="str">
        <f>IF(A73=FALSE,"",((KH73*TAXE)-(KH73*TAXE*KJ73))+IF(#REF!="N/A",0,IF(INDEX(LISTES!$F$105:$F$109,MATCH(#REF!,LISTES!$C$105:$C$109,0))="FIX",#REF!,#REF!*KM73)))</f>
        <v/>
      </c>
      <c r="LA73" s="432" t="str">
        <f>IF(A73=FALSE,"",Cotations!AT73)</f>
        <v/>
      </c>
      <c r="LB73" s="1234" t="str">
        <f>IF(A73=FALSE,"",IF(Detail!BR73="","N/A",YEAR(Detail!F73)&amp;Detail!BU73&amp;Detail!BR73&amp;"-"&amp;Detail!$BR$13&amp;Detail!BS73))</f>
        <v/>
      </c>
      <c r="LC73" s="431" t="str">
        <f>IF(A73=FALSE,"",IF(LISTES!$A$17=1,LB73,INDEX(colMOD4,MATCH(DA73,colchoice,0))))</f>
        <v/>
      </c>
      <c r="LD73" s="759" t="str">
        <f t="shared" si="333"/>
        <v/>
      </c>
      <c r="LE73" s="292"/>
      <c r="LF73" s="409" t="str">
        <f t="shared" si="334"/>
        <v/>
      </c>
      <c r="LG73" s="430" t="str">
        <f>IF(A73=FALSE,"",IF(LA73="POEA",Cotations!BK73,IF(LA73="FIXE",Cotations!BL73,IF(Cotations!BM73*Y73&lt;50000,Z73,Cotations!BM73*Y73))))</f>
        <v/>
      </c>
      <c r="LH73" s="292" t="str">
        <f t="shared" si="335"/>
        <v/>
      </c>
      <c r="LI73" s="446" t="str">
        <f>IF(A73=FALSE,"",IF(Cotations!AU73="monthly",LH73/12*L73,LH73/365*M73))</f>
        <v/>
      </c>
      <c r="LJ73" s="429" t="str">
        <f>IF(A73=FALSE,"",IF(Cotations!BN73="","",Cotations!BN73))</f>
        <v/>
      </c>
      <c r="LK73" s="292" t="str">
        <f t="shared" si="336"/>
        <v/>
      </c>
      <c r="LL73" s="292" t="str">
        <f t="shared" si="337"/>
        <v/>
      </c>
      <c r="LM73" s="759" t="str">
        <f t="shared" si="338"/>
        <v/>
      </c>
      <c r="LN73" s="759" t="str">
        <f>IF(A73=FALSE,"",((LH73*TAXE)-(LH73*TAXE*LJ73))+IF(#REF!="N/A",0,IF(INDEX(LISTES!$F$105:$F$109,MATCH(#REF!,LISTES!$C$105:$C$109,0))="FIX",#REF!,#REF!*LM73)))</f>
        <v/>
      </c>
      <c r="MA73" s="432" t="str">
        <f t="shared" si="339"/>
        <v/>
      </c>
      <c r="MB73" s="1234" t="str">
        <f>IF(A73=FALSE,"",IF(Detail!BZ73="","N/A",YEAR(Detail!F73)&amp;Detail!CC73&amp;Detail!BZ73&amp;"-"&amp;Detail!$BZ$13&amp;" (100%/"&amp;Detail!CD73&amp;"/"&amp;Detail!CE73&amp;")"))</f>
        <v/>
      </c>
      <c r="MC73" s="431" t="str">
        <f>IF(A73=FALSE,"",IF(LISTES!$A$17=1,MB73,INDEX(colMOD5,MATCH(DA73,colchoice,0))))</f>
        <v/>
      </c>
      <c r="MD73" s="759" t="str">
        <f t="shared" si="340"/>
        <v/>
      </c>
      <c r="ME73" s="292"/>
      <c r="MF73" s="409" t="str">
        <f t="shared" si="341"/>
        <v/>
      </c>
      <c r="MG73" s="430" t="str">
        <f>IF(A73=FALSE,"",Cotations!BQ73*AA73)</f>
        <v/>
      </c>
      <c r="MH73" s="292" t="str">
        <f t="shared" si="342"/>
        <v/>
      </c>
      <c r="MI73" s="446" t="str">
        <f>IF(A73=FALSE,"",IF(Cotations!AU73="monthly",MH73/12*L73,MH73/365*M73))</f>
        <v/>
      </c>
      <c r="MJ73" s="429" t="str">
        <f>IF(A73=FALSE,"",IF(Cotations!BR73="","",Cotations!BR73))</f>
        <v/>
      </c>
      <c r="MK73" s="292" t="str">
        <f t="shared" si="343"/>
        <v/>
      </c>
      <c r="ML73" s="292" t="str">
        <f t="shared" si="344"/>
        <v/>
      </c>
      <c r="MM73" s="759" t="str">
        <f t="shared" si="345"/>
        <v/>
      </c>
      <c r="MN73" s="759" t="str">
        <f>IF(A73=FALSE,"",((MH73*TAXE)-(MH73*TAXE*MJ73))+IF(#REF!="N/A",0,IF(INDEX(LISTES!$F$105:$F$109,MATCH(#REF!,LISTES!$C$105:$C$109,0))="FIX",#REF!,#REF!*MM73)))</f>
        <v/>
      </c>
      <c r="NA73" s="432" t="str">
        <f t="shared" si="346"/>
        <v/>
      </c>
      <c r="NB73" s="1234" t="str">
        <f>IF(A73=FALSE,"",IF(Detail!CH73="","N/A",YEAR(Detail!F73)&amp;Detail!CK73&amp;Detail!CH73&amp;"-"&amp;Detail!$CH$13&amp;" (100%/"&amp;Detail!CL73&amp;"/"&amp;Detail!CM73&amp;")"))</f>
        <v/>
      </c>
      <c r="NC73" s="431" t="str">
        <f>IF(A73=FALSE,"",IF(LISTES!$A$17=1,NB73,INDEX(colMOD6,MATCH(DA73,colchoice,0))))</f>
        <v/>
      </c>
      <c r="ND73" s="759" t="str">
        <f t="shared" si="347"/>
        <v/>
      </c>
      <c r="NE73" s="292"/>
      <c r="NF73" s="409" t="str">
        <f t="shared" si="348"/>
        <v/>
      </c>
      <c r="NG73" s="430" t="str">
        <f>IF(A73=FALSE,"",Cotations!BU73*AA73)</f>
        <v/>
      </c>
      <c r="NH73" s="292" t="str">
        <f t="shared" si="349"/>
        <v/>
      </c>
      <c r="NI73" s="446" t="str">
        <f>IF(A73=FALSE,"",IF(Cotations!AU73="monthly",NH73/12*L73,NH73/365*M73))</f>
        <v/>
      </c>
      <c r="NJ73" s="429" t="str">
        <f>IF(A73=FALSE,"",IF(Cotations!BV73="","",Cotations!BV73))</f>
        <v/>
      </c>
      <c r="NK73" s="292" t="str">
        <f t="shared" si="350"/>
        <v/>
      </c>
      <c r="NL73" s="292" t="str">
        <f t="shared" si="351"/>
        <v/>
      </c>
      <c r="NM73" s="759" t="str">
        <f t="shared" si="352"/>
        <v/>
      </c>
      <c r="NN73" s="759" t="str">
        <f>IF(A73=FALSE,"",((NH73*TAXE)-(NH73*TAXE*NJ73))+IF(#REF!="N/A",0,IF(INDEX(LISTES!$F$105:$F$109,MATCH(#REF!,LISTES!$C$105:$C$109,0))="FIX",#REF!,#REF!*NM73)))</f>
        <v/>
      </c>
      <c r="NZ73" s="1281" t="str">
        <f>IF(A73=FALSE,"",IF(Detail!CP73="","N/A",YEAR(Detail!F73)&amp;Detail!CS73&amp;Detail!CP73&amp;"-"&amp;Detail!CQ73))</f>
        <v/>
      </c>
      <c r="OA73" s="432" t="str">
        <f>IF(A73=FALSE,"",Cotations!CF73)</f>
        <v/>
      </c>
      <c r="OB73" s="1282" t="str">
        <f>IF(A73=FALSE,"",IF(Detail!CP73="","N/A",YEAR(Detail!F73)&amp;Detail!CS73&amp;Detail!CP73&amp;"-"&amp;Detail!$CP$13&amp;Detail!CQ73))</f>
        <v/>
      </c>
      <c r="OC73" s="1283" t="str">
        <f>IF(A73=FALSE,"",IF(LISTES!$A$17=1,OB73,INDEX(colMOD1,MATCH(Cotations!CE73,colchoice,0))))</f>
        <v/>
      </c>
      <c r="OD73" s="759" t="str">
        <f t="shared" si="353"/>
        <v/>
      </c>
      <c r="OE73" s="292" t="str">
        <f>IF(A73=FALSE,"",Detail!CQ73)</f>
        <v/>
      </c>
      <c r="OF73" s="409" t="str">
        <f t="shared" si="354"/>
        <v/>
      </c>
      <c r="OG73" s="430" t="str">
        <f>IF(A73=FALSE,"",IF(OA73="FIXE",Cotations!CM73,Cotations!CN73*AA73))</f>
        <v/>
      </c>
      <c r="OH73" s="292" t="str">
        <f t="shared" si="288"/>
        <v/>
      </c>
      <c r="OI73" s="446" t="str">
        <f>IF(A73=FALSE,"",IF(Cotations!CF73="monthly",OH73/12*L73,OH73/365*M73))</f>
        <v/>
      </c>
      <c r="OJ73" s="429" t="str">
        <f>IF(A73=FALSE,"",IF(Cotations!CO73="","",Cotations!CO73))</f>
        <v/>
      </c>
      <c r="OK73" s="292" t="str">
        <f t="shared" si="289"/>
        <v/>
      </c>
      <c r="OL73" s="292" t="str">
        <f t="shared" si="290"/>
        <v/>
      </c>
      <c r="OM73" s="759" t="str">
        <f t="shared" si="355"/>
        <v/>
      </c>
      <c r="ON73" s="759" t="str">
        <f>IF(A73=FALSE,"",((OH73*(1+TAXE)-(OH73*(1+TAXE)*OJ73))+IF(#REF!="N/A",0,IF(INDEX(LISTES!$F$105:$F$109,MATCH(#REF!,LISTES!$C$105:$C$109,0))="FIX",#REF!,#REF!*OM73))))</f>
        <v/>
      </c>
      <c r="PA73" s="432" t="str">
        <f>IF(A73=FALSE,"",Cotations!CF73)</f>
        <v/>
      </c>
      <c r="PB73" s="1282" t="str">
        <f>IF(A73=FALSE,"",IF(Detail!CX73="","N/A",YEAR(Detail!F73)&amp;Detail!DA73&amp;Detail!CX73&amp;"-"&amp;Detail!$CX$13&amp;Detail!CY73))</f>
        <v/>
      </c>
      <c r="PC73" s="1283" t="str">
        <f>IF(A73=FALSE,"",IF(LISTES!$A$17=1,PB73,INDEX(colMOD3,MATCH(Cotations!CE73,colchoice,0))))</f>
        <v/>
      </c>
      <c r="PD73" s="759" t="str">
        <f t="shared" si="356"/>
        <v/>
      </c>
      <c r="PE73" s="292" t="str">
        <f>IF(A73=FALSE,"",IF(Detail!CY73="","",Detail!CY73))</f>
        <v/>
      </c>
      <c r="PF73" s="409" t="str">
        <f t="shared" si="291"/>
        <v/>
      </c>
      <c r="PG73" s="430" t="str">
        <f>IF(A73=FALSE,"",IF(PA73="FIXE",Cotations!CP73,Cotations!CQ73*AA73))</f>
        <v/>
      </c>
      <c r="PH73" s="292" t="str">
        <f t="shared" si="292"/>
        <v/>
      </c>
      <c r="PI73" s="446" t="str">
        <f>IF(A73=FALSE,"",IF(Cotations!CG73="monthly",PH73/12*L73,PH73/365*M73))</f>
        <v/>
      </c>
      <c r="PJ73" s="429" t="str">
        <f>IF(A73=FALSE,"",IF(Cotations!DA73="",0,Cotations!DA73))</f>
        <v/>
      </c>
      <c r="PK73" s="292" t="str">
        <f t="shared" si="293"/>
        <v/>
      </c>
      <c r="PL73" s="292" t="str">
        <f t="shared" si="294"/>
        <v/>
      </c>
      <c r="PM73" s="759" t="str">
        <f t="shared" si="357"/>
        <v/>
      </c>
      <c r="PN73" s="759" t="str">
        <f>IF(A73=FALSE,"",((PH73*(1+TAXE)-(PH73*(1+TAXE)*PJ73))+IF(#REF!="N/A",0,IF(INDEX(LISTES!$F$105:$F$109,MATCH(#REF!,LISTES!$C$105:$C$109,0))="FIX",#REF!,#REF!*PM73))))</f>
        <v/>
      </c>
    </row>
    <row r="74" spans="1:430">
      <c r="A74" s="779" t="b">
        <f t="shared" si="295"/>
        <v>0</v>
      </c>
      <c r="B74" s="779" t="b">
        <f>IF(NAMES!$B$9=TRUE,TRUE,FALSE)</f>
        <v>1</v>
      </c>
      <c r="C74" s="779" t="b">
        <f t="shared" si="212"/>
        <v>0</v>
      </c>
      <c r="D74" s="779" t="b">
        <f t="shared" si="213"/>
        <v>0</v>
      </c>
      <c r="E74" s="267" t="b">
        <f>IF(Cotations!C74="","",Cotations!C74)</f>
        <v>0</v>
      </c>
      <c r="F74" s="267" t="str">
        <f>IF(Cotations!AT74="","",Cotations!AT74)</f>
        <v>PROP</v>
      </c>
      <c r="G74" s="267" t="str">
        <f>IF(Cotations!D74="","",Cotations!D74)</f>
        <v>2016-2017!</v>
      </c>
      <c r="H74" s="267" t="str">
        <f>IF(Cotations!E74="","",Cotations!E74)</f>
        <v>SINGLE</v>
      </c>
      <c r="I74" s="267" t="str">
        <f>IF(Cotations!F74="","",Cotations!F74)</f>
        <v/>
      </c>
      <c r="J74" s="267" t="str">
        <f>IF(Cotations!G74="","",Cotations!G74)</f>
        <v/>
      </c>
      <c r="K74" s="267" t="str">
        <f>IF(Cotations!H74="","",Cotations!H74)</f>
        <v/>
      </c>
      <c r="L74" s="267" t="str">
        <f>IF(A74=FALSE,"",IF(Cotations!M74="","",Cotations!M74))</f>
        <v/>
      </c>
      <c r="M74" s="267" t="str">
        <f>IF(Cotations!O74="","",Cotations!O74)</f>
        <v/>
      </c>
      <c r="N74" s="588" t="str">
        <f>IF(NAMES!$B$10=TRUE,Cotations!I74,Cotations!K74)</f>
        <v/>
      </c>
      <c r="O74" s="588" t="str">
        <f>IF(NAMES!$B$10=TRUE,Cotations!J74,Cotations!L74)</f>
        <v/>
      </c>
      <c r="P74" s="780" t="str">
        <f t="shared" si="214"/>
        <v/>
      </c>
      <c r="Q74" s="588" t="str">
        <f>IF(A74=FALSE,"",IF(Crewlist!Y74="","",Crewlist!Y74))</f>
        <v/>
      </c>
      <c r="R74" s="78" t="str">
        <f>IF(Cotations!T74="","",Cotations!T74)</f>
        <v/>
      </c>
      <c r="S74" s="780" t="str">
        <f t="shared" si="215"/>
        <v/>
      </c>
      <c r="T74" s="759" t="str">
        <f>IF(A74=FALSE,"",VLOOKUP($U$15:$U$120,Currency!$A$2:$D$10,4,0)*Crewlist!N74)</f>
        <v/>
      </c>
      <c r="U74" s="1097" t="str">
        <f>IF(A74=FALSE,"",IF(DP74=0,Crewlist!M74&amp;"/"&amp;CP74,Crewlist!M74&amp;"/"&amp;DP74))</f>
        <v/>
      </c>
      <c r="V74" s="759" t="str">
        <f>IF(A74=FALSE,"",VLOOKUP($U$15:$U$120,Currency!$A$2:$D$10,4,0)*Detail!Q74)</f>
        <v/>
      </c>
      <c r="W74" s="1097" t="str">
        <f>IF(A74=FALSE,"",IF(DP74=0,Detail!R74&amp;"/"&amp;CP74,Detail!R74&amp;"/"&amp;DP74))</f>
        <v/>
      </c>
      <c r="X74" s="759" t="str">
        <f>IF(A74=FALSE,"",IF(LISTES!$C$17="Crewlist",Calcul!T74,Calcul!V74))</f>
        <v/>
      </c>
      <c r="Y74" s="618" t="str">
        <f t="shared" si="216"/>
        <v/>
      </c>
      <c r="Z74" s="618" t="str">
        <f>IF(A74=FALSE,"",IF(X74=0,0,IF((Cotations!BA74*12*X74)&lt;50000,50000,(12*X74))))</f>
        <v/>
      </c>
      <c r="AA74" s="618" t="str">
        <f t="shared" si="217"/>
        <v/>
      </c>
      <c r="AB74" s="618" t="str">
        <f>IF(A74=FALSE,"",IF(Crewlist!O74=0,"",Crewlist!O74))</f>
        <v/>
      </c>
      <c r="AC74" s="618" t="str">
        <f>IF(I74="","",VLOOKUP($AB$15:$AB$120,Currency!$A$15:$B$34,2,0))</f>
        <v/>
      </c>
      <c r="AD74" s="618" t="str">
        <f t="shared" si="218"/>
        <v/>
      </c>
      <c r="AE74" s="618" t="str">
        <f t="shared" si="219"/>
        <v/>
      </c>
      <c r="AF74" s="618" t="str">
        <f t="shared" si="220"/>
        <v/>
      </c>
      <c r="AG74" s="618" t="str">
        <f t="shared" si="221"/>
        <v/>
      </c>
      <c r="AH74" s="1097" t="str">
        <f t="shared" si="296"/>
        <v/>
      </c>
      <c r="AI74" s="759" t="str">
        <f t="shared" si="222"/>
        <v/>
      </c>
      <c r="AJ74" s="1120" t="str">
        <f t="shared" si="223"/>
        <v/>
      </c>
      <c r="AK74" s="1120" t="str">
        <f t="shared" si="224"/>
        <v/>
      </c>
      <c r="AL74" s="236" t="str">
        <f t="shared" si="225"/>
        <v/>
      </c>
      <c r="AM74" s="236" t="str">
        <f t="shared" si="226"/>
        <v/>
      </c>
      <c r="AN74" s="1112" t="str">
        <f t="shared" si="227"/>
        <v/>
      </c>
      <c r="AO74" s="236" t="str">
        <f t="shared" si="228"/>
        <v/>
      </c>
      <c r="AP74" s="327" t="str">
        <f>IF(A74=FALSE,"",INDEX(Rates!$Q$1:$Q$278,MATCH(CA74,colchoice,0)))</f>
        <v/>
      </c>
      <c r="AQ74" s="236" t="str">
        <f t="shared" si="229"/>
        <v/>
      </c>
      <c r="AR74" s="236" t="str">
        <f t="shared" si="230"/>
        <v/>
      </c>
      <c r="AS74" s="236" t="str">
        <f t="shared" si="297"/>
        <v/>
      </c>
      <c r="AT74" s="236" t="str">
        <f t="shared" si="298"/>
        <v/>
      </c>
      <c r="AU74" s="236" t="str">
        <f t="shared" si="231"/>
        <v/>
      </c>
      <c r="AV74" s="236" t="str">
        <f t="shared" si="232"/>
        <v/>
      </c>
      <c r="AW74" s="236" t="str">
        <f t="shared" si="233"/>
        <v/>
      </c>
      <c r="AX74" s="236" t="str">
        <f t="shared" si="234"/>
        <v/>
      </c>
      <c r="AY74" s="236" t="str">
        <f t="shared" si="235"/>
        <v/>
      </c>
      <c r="AZ74" s="236" t="str">
        <f t="shared" si="236"/>
        <v/>
      </c>
      <c r="BA74" s="236" t="str">
        <f t="shared" si="237"/>
        <v/>
      </c>
      <c r="BB74" s="467" t="str">
        <f t="shared" si="238"/>
        <v/>
      </c>
      <c r="BC74" s="329" t="str">
        <f t="shared" si="239"/>
        <v/>
      </c>
      <c r="BD74" s="237" t="str">
        <f t="shared" si="240"/>
        <v/>
      </c>
      <c r="BE74" s="237" t="str">
        <f>IF(A74=FALSE,"",IF(ED74&lt;&gt;$BC$7,0,INDEX(EA74:EZ74,1,MATCH(Structure!$J$16,$EA$14:$EZ$14,0))))</f>
        <v/>
      </c>
      <c r="BF74" s="237" t="str">
        <f>IF(A74=FALSE,"",IF(FD74&lt;&gt;$BC$7,0,INDEX(FA74:FZ74,1,MATCH(Structure!$J$16,$FA$14:$FZ$14,0))))</f>
        <v/>
      </c>
      <c r="BG74" s="237" t="str">
        <f>IF(A74=FALSE,"",IF(GD74&lt;&gt;$BC$7,0,INDEX(GA74:GZ74,1,MATCH(Structure!$J$16,$GA$14:$GZ$14,0))))</f>
        <v/>
      </c>
      <c r="BH74" s="237" t="str">
        <f>IF(A74=FALSE,"",IF(HD74&lt;&gt;$BC$7,0,INDEX(HA74:HZ74,1,MATCH(Structure!$J$16,$HA$14:$HZ$14,0))))</f>
        <v/>
      </c>
      <c r="BI74" s="621" t="str">
        <f>IF(A74=FALSE,"",IF(ID74&lt;&gt;$BC$7,0,INDEX(IA74:IZ74,1,MATCH(Structure!$C$12,$IA$14:$IZ$14,0)))+OL74)</f>
        <v/>
      </c>
      <c r="BJ74" s="237" t="str">
        <f>IF(A74=FALSE,"",IF(JD74&lt;&gt;$BC$7,0,INDEX(JA74:JZ74,1,MATCH(Structure!$C$12,$JA$14:$JZ$14,0))))</f>
        <v/>
      </c>
      <c r="BK74" s="621" t="str">
        <f>IF(A74=FALSE,"",IF(KD74&lt;&gt;$BC$7,0,INDEX(KA74:KZ74,1,MATCH(Structure!$C$12,$KA$14:$KZ$14,0)))+PL74)</f>
        <v/>
      </c>
      <c r="BL74" s="237" t="str">
        <f>IF(A74=FALSE,"",IF(LD74&lt;&gt;$BC$7,0,INDEX(LA74:LZ74,1,MATCH(Structure!$C$12,$LA$14:$LZ$14,0))))</f>
        <v/>
      </c>
      <c r="BM74" s="237" t="str">
        <f>IF(A74=FALSE,"",IF(MD74&lt;&gt;$BC$7,0,INDEX(MA74:MZ74,1,MATCH(Structure!$C$12,$MA$14:$MZ$14,0))))</f>
        <v/>
      </c>
      <c r="BN74" s="326" t="str">
        <f>IF(A74=FALSE,"",IF(ND74&lt;&gt;$BC$7,0,INDEX(NA74:OC74,1,MATCH(Structure!$C$12,$NA$14:$OC$14,0))))</f>
        <v/>
      </c>
      <c r="BO74" s="435" t="str">
        <f t="shared" si="241"/>
        <v/>
      </c>
      <c r="BP74" s="237" t="str">
        <f t="shared" si="242"/>
        <v/>
      </c>
      <c r="BQ74" s="237" t="str">
        <f>IF(A74=FALSE,"",IF(ED74&lt;&gt;$BO$7,0,INDEX(EA74:EZ74,1,MATCH(Structure!$C$12,$EA$14:$EZ$14,0))))</f>
        <v/>
      </c>
      <c r="BR74" s="237" t="str">
        <f>IF(A74=FALSE,"",IF(FD74&lt;&gt;$BO$7,0,INDEX(FA74:FZ74,1,MATCH(Structure!$C$12,$FA$14:$FZ$14,0))))</f>
        <v/>
      </c>
      <c r="BS74" s="237" t="str">
        <f>IF(A74=FALSE,"",IF(ID74&lt;&gt;$BO$7,0,INDEX(IA74:IZ74,1,MATCH(Structure!$C$13,$IA$14:$IZ$14,0))))</f>
        <v/>
      </c>
      <c r="BT74" s="237" t="str">
        <f>IF(A74=FALSE,"",IF(JD74&lt;&gt;$BO$7,0,INDEX(JA74:JZ74,1,MATCH(Structure!$C$13,$JA$14:$JZ$14,0))))</f>
        <v/>
      </c>
      <c r="BU74" s="237" t="str">
        <f>IF(A74=FALSE,"",IF(KD74&lt;&gt;$BO$7,0,INDEX(KA74:KZ74,1,MATCH(Structure!$C$13,$KA$14:$KZ$14,0))))</f>
        <v/>
      </c>
      <c r="BV74" s="237" t="str">
        <f>IF(A74=FALSE,"",IF(LD74&lt;&gt;$BO$7,0,INDEX(LA74:LZ74,1,MATCH(Structure!$C$13,$LA$14:$LZ$14,0))))</f>
        <v/>
      </c>
      <c r="BW74" s="237" t="str">
        <f>IF(A74=FALSE,"",IF(MD74&lt;&gt;$BO$7,0,INDEX(MA74:MZ74,1,MATCH(Structure!$C$13,$MA$14:$MZ$14,0))))</f>
        <v/>
      </c>
      <c r="BX74" s="326" t="str">
        <f>IF(A74=FALSE,"",IF(ND74&lt;&gt;$BO$7,0,INDEX(NA74:OC74,1,MATCH(Structure!$C$13,$NA$14:$OC$14,0))))</f>
        <v/>
      </c>
      <c r="BY74" s="412"/>
      <c r="BZ74" s="412"/>
      <c r="CA74" s="1255" t="str">
        <f>IF(A74=FALSE,"",IF(LISTES!$A$17=1,Cotations!AG74,Cotations!AH74))</f>
        <v/>
      </c>
      <c r="CB74" s="1266" t="str">
        <f t="shared" si="243"/>
        <v/>
      </c>
      <c r="CC74" s="1120" t="str">
        <f t="shared" si="244"/>
        <v/>
      </c>
      <c r="CD74" s="1120" t="str">
        <f t="shared" si="245"/>
        <v/>
      </c>
      <c r="CE74" s="1120" t="str">
        <f t="shared" si="246"/>
        <v/>
      </c>
      <c r="CF74" s="1120" t="str">
        <f t="shared" si="247"/>
        <v/>
      </c>
      <c r="CG74" s="1267"/>
      <c r="CH74" s="1267"/>
      <c r="CI74" s="1268" t="str">
        <f t="shared" si="248"/>
        <v/>
      </c>
      <c r="CJ74" s="286" t="str">
        <f t="shared" si="249"/>
        <v/>
      </c>
      <c r="CK74" s="286" t="str">
        <f t="shared" si="250"/>
        <v/>
      </c>
      <c r="CL74" s="1263"/>
      <c r="CM74" s="1263"/>
      <c r="CN74" s="1263"/>
      <c r="CO74" s="1263"/>
      <c r="CP74" s="319" t="str">
        <f t="shared" si="251"/>
        <v/>
      </c>
      <c r="CQ74" s="443" t="str">
        <f>IF(A74=FALSE,"",Cotations!AM74)</f>
        <v/>
      </c>
      <c r="CR74" s="443" t="str">
        <f>IF(A74=FALSE,"",IF(Cotations!AN74="","",Cotations!AN74))</f>
        <v/>
      </c>
      <c r="CS74" s="433" t="str">
        <f>IF(A74=FALSE,"",Cotations!AO74)</f>
        <v/>
      </c>
      <c r="CT74" s="443" t="str">
        <f>IF(A74=FALSE,"",IF(CQ74="N/A",0,IF(INDEX(LISTES!$F$105:$F$109,MATCH(CQ74,LISTES!$C$105:$C$109,0))="FIX",IF(INDEX(LISTES!$E$105:$E$109,MATCH(CQ74,LISTES!$C$105:$C$109,0))=12,CR74/12*L74,CR74/365*M74),CS74*EQ74)))</f>
        <v/>
      </c>
      <c r="CU74" s="434" t="str">
        <f>IF(A74=FALSE,"",(CJ74+CK74)*Cotations!AP74)</f>
        <v/>
      </c>
      <c r="CV74" s="434" t="str">
        <f>IF(A74=FALSE,"",(CJ74+CK74)*Cotations!AQ74)</f>
        <v/>
      </c>
      <c r="DA74" s="1253" t="str">
        <f>IF(A74=FALSE,"",IF(LISTES!$A$17=1,Cotations!AV74,Cotations!AW74))</f>
        <v/>
      </c>
      <c r="DB74" s="1271" t="str">
        <f t="shared" si="252"/>
        <v/>
      </c>
      <c r="DC74" s="1270" t="str">
        <f t="shared" si="253"/>
        <v/>
      </c>
      <c r="DD74" s="1270" t="str">
        <f t="shared" si="254"/>
        <v/>
      </c>
      <c r="DE74" s="1270" t="str">
        <f t="shared" si="255"/>
        <v/>
      </c>
      <c r="DF74" s="1270" t="str">
        <f t="shared" si="256"/>
        <v/>
      </c>
      <c r="DG74" s="1270" t="str">
        <f t="shared" si="257"/>
        <v/>
      </c>
      <c r="DH74" s="1270" t="str">
        <f t="shared" si="258"/>
        <v/>
      </c>
      <c r="DI74" s="1271" t="str">
        <f t="shared" si="259"/>
        <v/>
      </c>
      <c r="DJ74" s="286" t="str">
        <f t="shared" si="260"/>
        <v/>
      </c>
      <c r="DK74" s="286" t="str">
        <f t="shared" si="261"/>
        <v/>
      </c>
      <c r="DL74" s="1264" t="str">
        <f t="shared" si="262"/>
        <v/>
      </c>
      <c r="DM74" s="1264" t="str">
        <f t="shared" si="263"/>
        <v/>
      </c>
      <c r="DN74" s="1264" t="str">
        <f t="shared" si="264"/>
        <v/>
      </c>
      <c r="DO74" s="1264" t="str">
        <f t="shared" si="265"/>
        <v/>
      </c>
      <c r="DP74" s="323" t="str">
        <f t="shared" si="299"/>
        <v/>
      </c>
      <c r="DQ74" s="444" t="str">
        <f>IF(A74=FALSE,"",Cotations!BW74)</f>
        <v/>
      </c>
      <c r="DR74" s="444" t="str">
        <f>IF(A74=FALSE,"",Cotations!BX74)</f>
        <v/>
      </c>
      <c r="DS74" s="433" t="str">
        <f>IF(A74=FALSE,"",Cotations!BY74)</f>
        <v/>
      </c>
      <c r="DT74" s="830" t="str">
        <f>IF(A74=FALSE,"",IF(DQ74="N/A",0,IF(INDEX(LISTES!$F$105:$F$109,MATCH(DQ74,LISTES!$C$105:$C$109,0))="FIX",IF(INDEX(LISTES!$E$105:$E$109,MATCH(DQ74,LISTES!$C$105:$C$109,0))=12,DR74/12*L74,DR74/365*M74),DS74*(DN74+DO74))))</f>
        <v/>
      </c>
      <c r="DU74" s="434" t="str">
        <f>IF(A74=FALSE,"",DJ74*Cotations!BZ74)</f>
        <v/>
      </c>
      <c r="DV74" s="434" t="str">
        <f>IF(A74=FALSE,"",DJ74*Cotations!CA74)</f>
        <v/>
      </c>
      <c r="EA74" s="432" t="str">
        <f>IF(A74=FALSE,"",Cotations!AT74)</f>
        <v/>
      </c>
      <c r="EB74" s="1234" t="str">
        <f>IF(A74=FALSE,"",YEAR(Detail!F74)&amp;Detail!AG74&amp;Detail!AD74&amp;"-"&amp;Detail!$AD$13&amp;Detail!AE74)</f>
        <v/>
      </c>
      <c r="EC74" s="434" t="str">
        <f>IF(A74=FALSE,"",IF(LISTES!$A$17=1,EB74,INDEX(colMOD1,MATCH(Cotations!AH74,colchoice,0))))</f>
        <v/>
      </c>
      <c r="ED74" s="277" t="str">
        <f t="shared" si="300"/>
        <v/>
      </c>
      <c r="EE74" s="277" t="str">
        <f t="shared" si="301"/>
        <v/>
      </c>
      <c r="EF74" s="277"/>
      <c r="EG74" s="277"/>
      <c r="EH74" s="277" t="str">
        <f t="shared" si="302"/>
        <v/>
      </c>
      <c r="EI74" s="1104" t="str">
        <f t="shared" si="303"/>
        <v/>
      </c>
      <c r="EJ74" s="1104" t="str">
        <f t="shared" si="304"/>
        <v/>
      </c>
      <c r="EK74" s="443" t="str">
        <f>IF(A74=FALSE,"",IF(Cotations!AF74="monthly",EH74/12*L74,EH74/365*M74))</f>
        <v/>
      </c>
      <c r="EL74" s="1103" t="str">
        <f>IF(A74=FALSE,"",IF(Cotations!AF74="monthly",EJ74/12*L74,EJ74/365*M74))</f>
        <v/>
      </c>
      <c r="EM74" s="433" t="str">
        <f>IF(A74=FALSE,"",IF(Cotations!AI74="","",Cotations!AI74))</f>
        <v/>
      </c>
      <c r="EN74" s="277" t="str">
        <f t="shared" si="305"/>
        <v/>
      </c>
      <c r="EO74" s="277" t="str">
        <f t="shared" si="306"/>
        <v/>
      </c>
      <c r="EP74" s="1104" t="str">
        <f t="shared" si="307"/>
        <v/>
      </c>
      <c r="EQ74" s="277" t="str">
        <f t="shared" si="308"/>
        <v/>
      </c>
      <c r="ER74" s="759" t="str">
        <f>IF(A74=FALSE,"",((EH74*TAXE)-(EH74*TAXE*EM74)+EI74)+IF(CQ74="N/A",0,IF(INDEX(LISTES!$F$105:$F$109,MATCH(CQ74,LISTES!$C$105:$C$109,0))="FIX",CR74,CS74*EQ74)))</f>
        <v/>
      </c>
      <c r="ET74" s="422"/>
      <c r="EU74" s="422"/>
      <c r="EV74" s="422"/>
      <c r="EW74" s="422"/>
      <c r="EX74" s="422"/>
      <c r="EY74" s="422"/>
      <c r="EZ74" s="422"/>
      <c r="FA74" s="432" t="str">
        <f>IF(A74=FALSE,"",Cotations!AT74)</f>
        <v/>
      </c>
      <c r="FB74" s="1235" t="str">
        <f>IF(A74=FALSE,"",IF(Detail!AL74="","N/A",YEAR(Detail!F74)&amp;Detail!AO74&amp;Detail!AL74&amp;"-"&amp;Detail!$AL$13&amp;Detail!AM74))</f>
        <v/>
      </c>
      <c r="FC74" s="434" t="str">
        <f>IF(A74=FALSE,"",IF(LISTES!$A$17=1,FB74,INDEX(colMOD2,MATCH(Cotations!AH74,colchoice,0))))</f>
        <v/>
      </c>
      <c r="FD74" s="277" t="str">
        <f t="shared" si="309"/>
        <v/>
      </c>
      <c r="FE74" s="443" t="str">
        <f>IF(A74=FALSE,"",IF(Detail!AM74="","",Detail!AM74))</f>
        <v/>
      </c>
      <c r="FF74" s="277"/>
      <c r="FG74" s="277"/>
      <c r="FH74" s="277" t="str">
        <f t="shared" si="310"/>
        <v/>
      </c>
      <c r="FI74" s="1104"/>
      <c r="FJ74" s="1104"/>
      <c r="FK74" s="443" t="str">
        <f>IF(A74=FALSE,"",IF(Cotations!AF74="monthly",FH74/12*L74,FH74/365*M74))</f>
        <v/>
      </c>
      <c r="FL74" s="1103" t="str">
        <f>IF(A74=FALSE,"",IF(Cotations!AF74="monthly",FJ74/12*L74,FJ74/365*M74))</f>
        <v/>
      </c>
      <c r="FM74" s="433" t="str">
        <f>IF(A74=FALSE,"",IF(Cotations!AJ74="","",Cotations!AJ74))</f>
        <v/>
      </c>
      <c r="FN74" s="277" t="str">
        <f t="shared" si="268"/>
        <v/>
      </c>
      <c r="FO74" s="277" t="str">
        <f t="shared" si="269"/>
        <v/>
      </c>
      <c r="FP74" s="1104"/>
      <c r="FQ74" s="277" t="str">
        <f t="shared" si="270"/>
        <v/>
      </c>
      <c r="FR74" s="759" t="str">
        <f>IF(A74=FALSE,"",((FH74*TAXE)-(FH74*TAXE*FM74))+IF(#REF!="N/A",0,IF(INDEX(LISTES!$F$105:$F$109,MATCH(#REF!,LISTES!$C$105:$C$109,0))="FIX",#REF!,#REF!*FQ74)))</f>
        <v/>
      </c>
      <c r="FS74" s="422"/>
      <c r="FT74" s="422"/>
      <c r="FU74" s="422"/>
      <c r="FV74" s="422"/>
      <c r="FW74" s="422"/>
      <c r="FX74" s="422"/>
      <c r="FY74" s="422"/>
      <c r="FZ74" s="422"/>
      <c r="GA74" s="432" t="str">
        <f t="shared" si="311"/>
        <v/>
      </c>
      <c r="GB74" s="1234" t="str">
        <f>IF(A74=FALSE,"",IF(Detail!DF74="","N/A",YEAR(Detail!F74)&amp;Detail!DI74&amp;Detail!DF74&amp;"-"&amp;Detail!$DF$13))</f>
        <v/>
      </c>
      <c r="GC74" s="434" t="str">
        <f>IF(A74=FALSE,"",IF(LISTES!$A$17=1,GB74,INDEX(colMOD3,MATCH(Cotations!AH74,colchoice,0))))</f>
        <v/>
      </c>
      <c r="GD74" s="277" t="str">
        <f t="shared" si="312"/>
        <v/>
      </c>
      <c r="GE74" s="277" t="str">
        <f t="shared" si="313"/>
        <v/>
      </c>
      <c r="GF74" s="277"/>
      <c r="GG74" s="277"/>
      <c r="GH74" s="277" t="str">
        <f t="shared" si="271"/>
        <v/>
      </c>
      <c r="GI74" s="1104" t="str">
        <f t="shared" si="272"/>
        <v/>
      </c>
      <c r="GJ74" s="1104" t="str">
        <f t="shared" si="273"/>
        <v/>
      </c>
      <c r="GK74" s="443" t="str">
        <f>IF(A74=FALSE,"",IF(Cotations!AF74="monthly",GH74/12*L74,GH74/365*M74))</f>
        <v/>
      </c>
      <c r="GL74" s="1103" t="str">
        <f>IF(A74=FALSE,"",IF(Cotations!AF74="monthly",GJ74/12*L74,GJ74/365*M74))</f>
        <v/>
      </c>
      <c r="GM74" s="433" t="str">
        <f>IF(A74=FALSE,"",IF(Cotations!AK74="","",Cotations!AK74))</f>
        <v/>
      </c>
      <c r="GN74" s="277" t="str">
        <f t="shared" si="274"/>
        <v/>
      </c>
      <c r="GO74" s="277" t="str">
        <f t="shared" si="275"/>
        <v/>
      </c>
      <c r="GP74" s="1104" t="str">
        <f t="shared" si="276"/>
        <v/>
      </c>
      <c r="GQ74" s="277" t="str">
        <f t="shared" si="277"/>
        <v/>
      </c>
      <c r="GR74" s="759" t="str">
        <f>IF(A74=FALSE,"",((GH74*TAXE)-(GH74*TAXE*GM74)+GI74)+IF(CQ74="N/A",0,IF(INDEX(LISTES!$F$105:$F$109,MATCH(CQ74,LISTES!$C$105:$C$109,0))="FIX",CR74,CS74*GQ74)))</f>
        <v/>
      </c>
      <c r="GS74" s="412"/>
      <c r="GT74" s="412"/>
      <c r="GU74" s="412"/>
      <c r="GV74" s="412"/>
      <c r="GW74" s="412"/>
      <c r="GX74" s="412"/>
      <c r="GY74" s="412"/>
      <c r="GZ74" s="412"/>
      <c r="HA74" s="432" t="str">
        <f t="shared" si="314"/>
        <v/>
      </c>
      <c r="HB74" s="1234" t="str">
        <f>IF(A74=FALSE,"",IF(Detail!DF74="","N/A",YEAR(Detail!F74)&amp;Detail!DI74&amp;Detail!DF74&amp;"-"&amp;Detail!$DF$13))</f>
        <v/>
      </c>
      <c r="HC74" s="434" t="str">
        <f>IF(A74=FALSE,"",IF(LISTES!$A$17=1,HB74,INDEX(colMOD4,MATCH(Cotations!AH74,colchoice,0))))</f>
        <v/>
      </c>
      <c r="HD74" s="277" t="str">
        <f t="shared" si="278"/>
        <v/>
      </c>
      <c r="HE74" s="277" t="str">
        <f t="shared" si="279"/>
        <v/>
      </c>
      <c r="HF74" s="277"/>
      <c r="HG74" s="277"/>
      <c r="HH74" s="277" t="str">
        <f t="shared" si="280"/>
        <v/>
      </c>
      <c r="HI74" s="1104" t="str">
        <f t="shared" si="281"/>
        <v/>
      </c>
      <c r="HJ74" s="1104" t="str">
        <f t="shared" si="282"/>
        <v/>
      </c>
      <c r="HK74" s="443" t="str">
        <f>IF(A74=FALSE,"",IF(Cotations!AF74="monthly",HH74/12*L74,HH74/365*M74))</f>
        <v/>
      </c>
      <c r="HL74" s="1103" t="str">
        <f>IF(A74=FALSE,"",IF(Cotations!AF74="monthly",HJ74/12*L74,HJ74/365*M74))</f>
        <v/>
      </c>
      <c r="HM74" s="433" t="str">
        <f>IF(A74=FALSE,"",IF(Cotations!AL74="","",Cotations!AL74))</f>
        <v/>
      </c>
      <c r="HN74" s="277" t="str">
        <f t="shared" si="283"/>
        <v/>
      </c>
      <c r="HO74" s="277" t="str">
        <f t="shared" si="284"/>
        <v/>
      </c>
      <c r="HP74" s="1104" t="str">
        <f t="shared" si="285"/>
        <v/>
      </c>
      <c r="HQ74" s="277" t="str">
        <f t="shared" si="286"/>
        <v/>
      </c>
      <c r="HR74" s="759" t="str">
        <f>IF(A74=FALSE,"",((HH74*TAXE)-(HH74*TAXE*HM74)+HI74)+IF(CQ74="N/A",0,IF(INDEX(LISTES!$F$105:$F$109,MATCH(CQ74,LISTES!$C$105:$C$109,0))="FIX",CR74,CS74*HQ74)))</f>
        <v/>
      </c>
      <c r="HS74" s="412"/>
      <c r="HT74" s="412"/>
      <c r="HU74" s="412"/>
      <c r="HV74" s="412"/>
      <c r="HW74" s="412"/>
      <c r="HX74" s="412"/>
      <c r="HY74" s="412"/>
      <c r="HZ74" s="1262"/>
      <c r="IA74" s="432" t="str">
        <f>IF(A74=FALSE,"",Cotations!AT74)</f>
        <v/>
      </c>
      <c r="IB74" s="1253" t="str">
        <f>IF(A74=FALSE,"",IF(Detail!AT74="","N/A",YEAR(Detail!F74)&amp;Detail!AW74&amp;Detail!AT74&amp;"-"&amp;Detail!$AT$13&amp;Detail!AU74))</f>
        <v/>
      </c>
      <c r="IC74" s="431" t="str">
        <f>IF(A74=FALSE,"",IF(LISTES!$A$17=1,IB74,INDEX(colMOD1,MATCH(DA74,colchoice,0))))</f>
        <v/>
      </c>
      <c r="ID74" s="759" t="str">
        <f t="shared" si="358"/>
        <v/>
      </c>
      <c r="IE74" s="292" t="str">
        <f>IF(A74=FALSE,"",IF(LISTES!$A$17=1,Detail!AU74,INDEX(Rates!$M$1:$M$270,MATCH(IC74,colMOD1,0))))</f>
        <v/>
      </c>
      <c r="IF74" s="409" t="str">
        <f t="shared" si="359"/>
        <v/>
      </c>
      <c r="IG74" s="430" t="str">
        <f>IF(A74=FALSE,"",IF(IA74="POEA",Cotations!AY74,IF(IA74="FIXE",Cotations!AZ74,IF(Cotations!BA74*Y74&lt;50000,Z74,Cotations!BA74*Y74))))</f>
        <v/>
      </c>
      <c r="IH74" s="292" t="str">
        <f t="shared" si="360"/>
        <v/>
      </c>
      <c r="II74" s="446" t="str">
        <f>IF(A74=FALSE,"",IF(Cotations!AU74="monthly",IH74/12*L74,IH74/365*M74))</f>
        <v/>
      </c>
      <c r="IJ74" s="429" t="str">
        <f>IF(A74=FALSE,"",IF(Cotations!BB74="","",Cotations!BB74))</f>
        <v/>
      </c>
      <c r="IK74" s="292" t="str">
        <f t="shared" si="361"/>
        <v/>
      </c>
      <c r="IL74" s="292" t="str">
        <f t="shared" si="362"/>
        <v/>
      </c>
      <c r="IM74" s="759" t="str">
        <f t="shared" si="363"/>
        <v/>
      </c>
      <c r="IN74" s="759" t="str">
        <f>IF(A74=FALSE,"",((IH74*TAXE)-(IH74*TAXE*IJ74))+IF(DQ74="N/A",0,IF(INDEX(LISTES!$F$105:$F$109,MATCH(DQ74,LISTES!$C$105:$C$109,0))="FIX",DR74,DS74*IM74)))</f>
        <v/>
      </c>
      <c r="JA74" s="432" t="str">
        <f>IF(A74=FALSE,"",Cotations!AT74)</f>
        <v/>
      </c>
      <c r="JB74" s="1234" t="str">
        <f>IF(A74=FALSE,"",IF(Detail!BB74="","N/A",YEAR(Detail!F74)&amp;Detail!BE74&amp;Detail!BB74&amp;"-"&amp;Detail!$BB$13&amp;Detail!BC74))</f>
        <v/>
      </c>
      <c r="JC74" s="431" t="str">
        <f>IF(A74=FALSE,"",IF(LISTES!$A$17=1,JB74,INDEX(colMOD2,MATCH(DA74,colchoice,0))))</f>
        <v/>
      </c>
      <c r="JD74" s="759" t="str">
        <f t="shared" si="321"/>
        <v/>
      </c>
      <c r="JE74" s="292"/>
      <c r="JF74" s="409" t="str">
        <f t="shared" si="322"/>
        <v/>
      </c>
      <c r="JG74" s="430" t="str">
        <f>IF(A74=FALSE,"",IF(JA74="POEA",Cotations!BC74,IF(JA74="FIXE",Cotations!BD74,IF(Cotations!BE74*Y74&lt;50000,Z74,Cotations!BE74*Y74))))</f>
        <v/>
      </c>
      <c r="JH74" s="292" t="str">
        <f t="shared" si="323"/>
        <v/>
      </c>
      <c r="JI74" s="446" t="str">
        <f>IF(A74=FALSE,"",IF(Cotations!AU74="monthly",JH74/12*L74,JH74/365*M74))</f>
        <v/>
      </c>
      <c r="JJ74" s="429" t="str">
        <f>IF(A74=FALSE,"",IF(Cotations!BF74="","",Cotations!BF74))</f>
        <v/>
      </c>
      <c r="JK74" s="292" t="str">
        <f t="shared" si="324"/>
        <v/>
      </c>
      <c r="JL74" s="292" t="str">
        <f t="shared" si="325"/>
        <v/>
      </c>
      <c r="JM74" s="759" t="str">
        <f t="shared" si="326"/>
        <v/>
      </c>
      <c r="JN74" s="759" t="str">
        <f>IF(A74=FALSE,"",((JH74*TAXE)-(JH74*TAXE*JJ74))+IF(#REF!="N/A",0,IF(INDEX(LISTES!$F$105:$F$109,MATCH(#REF!,LISTES!$C$105:$C$109,0))="FIX",#REF!,#REF!*JM74)))</f>
        <v/>
      </c>
      <c r="KA74" s="432" t="str">
        <f>IF(A74=FALSE,"",Cotations!AT74)</f>
        <v/>
      </c>
      <c r="KB74" s="1234" t="str">
        <f>IF(A74=FALSE,"",IF(Detail!BJ74="","N/A",YEAR(Detail!F74)&amp;Detail!BM74&amp;Detail!BJ74&amp;"-"&amp;Detail!$BJ$13&amp;Detail!BK74))</f>
        <v/>
      </c>
      <c r="KC74" s="431" t="str">
        <f>IF(A74=FALSE,"",IF(LISTES!$A$17=1,KB74,INDEX(colMOD3,MATCH(DA74,colchoice,0))))</f>
        <v/>
      </c>
      <c r="KD74" s="759" t="str">
        <f t="shared" si="327"/>
        <v/>
      </c>
      <c r="KE74" s="292"/>
      <c r="KF74" s="409" t="str">
        <f t="shared" si="328"/>
        <v/>
      </c>
      <c r="KG74" s="430" t="str">
        <f>IF(A74=FALSE,"",IF(KA74="POEA",Cotations!BG74,IF(KA74="FIXE",Cotations!BH74,IF(Cotations!BI74*Y74&lt;50000,Z74,Cotations!BI74*Y74))))</f>
        <v/>
      </c>
      <c r="KH74" s="292" t="str">
        <f t="shared" si="329"/>
        <v/>
      </c>
      <c r="KI74" s="446" t="str">
        <f>IF(A74=FALSE,"",IF(Cotations!AU74="monthly",KH74/12*L74,KH74/365*M74))</f>
        <v/>
      </c>
      <c r="KJ74" s="429" t="str">
        <f>IF(A74=FALSE,"",IF(Cotations!BJ74="","",Cotations!BJ74))</f>
        <v/>
      </c>
      <c r="KK74" s="292" t="str">
        <f t="shared" si="330"/>
        <v/>
      </c>
      <c r="KL74" s="292" t="str">
        <f t="shared" si="331"/>
        <v/>
      </c>
      <c r="KM74" s="759" t="str">
        <f t="shared" si="332"/>
        <v/>
      </c>
      <c r="KN74" s="759" t="str">
        <f>IF(A74=FALSE,"",((KH74*TAXE)-(KH74*TAXE*KJ74))+IF(#REF!="N/A",0,IF(INDEX(LISTES!$F$105:$F$109,MATCH(#REF!,LISTES!$C$105:$C$109,0))="FIX",#REF!,#REF!*KM74)))</f>
        <v/>
      </c>
      <c r="LA74" s="432" t="str">
        <f>IF(A74=FALSE,"",Cotations!AT74)</f>
        <v/>
      </c>
      <c r="LB74" s="1234" t="str">
        <f>IF(A74=FALSE,"",IF(Detail!BR74="","N/A",YEAR(Detail!F74)&amp;Detail!BU74&amp;Detail!BR74&amp;"-"&amp;Detail!$BR$13&amp;Detail!BS74))</f>
        <v/>
      </c>
      <c r="LC74" s="431" t="str">
        <f>IF(A74=FALSE,"",IF(LISTES!$A$17=1,LB74,INDEX(colMOD4,MATCH(DA74,colchoice,0))))</f>
        <v/>
      </c>
      <c r="LD74" s="759" t="str">
        <f t="shared" si="333"/>
        <v/>
      </c>
      <c r="LE74" s="292"/>
      <c r="LF74" s="409" t="str">
        <f t="shared" si="334"/>
        <v/>
      </c>
      <c r="LG74" s="430" t="str">
        <f>IF(A74=FALSE,"",IF(LA74="POEA",Cotations!BK74,IF(LA74="FIXE",Cotations!BL74,IF(Cotations!BM74*Y74&lt;50000,Z74,Cotations!BM74*Y74))))</f>
        <v/>
      </c>
      <c r="LH74" s="292" t="str">
        <f t="shared" si="335"/>
        <v/>
      </c>
      <c r="LI74" s="446" t="str">
        <f>IF(A74=FALSE,"",IF(Cotations!AU74="monthly",LH74/12*L74,LH74/365*M74))</f>
        <v/>
      </c>
      <c r="LJ74" s="429" t="str">
        <f>IF(A74=FALSE,"",IF(Cotations!BN74="","",Cotations!BN74))</f>
        <v/>
      </c>
      <c r="LK74" s="292" t="str">
        <f t="shared" si="336"/>
        <v/>
      </c>
      <c r="LL74" s="292" t="str">
        <f t="shared" si="337"/>
        <v/>
      </c>
      <c r="LM74" s="759" t="str">
        <f t="shared" si="338"/>
        <v/>
      </c>
      <c r="LN74" s="759" t="str">
        <f>IF(A74=FALSE,"",((LH74*TAXE)-(LH74*TAXE*LJ74))+IF(#REF!="N/A",0,IF(INDEX(LISTES!$F$105:$F$109,MATCH(#REF!,LISTES!$C$105:$C$109,0))="FIX",#REF!,#REF!*LM74)))</f>
        <v/>
      </c>
      <c r="MA74" s="432" t="str">
        <f t="shared" si="339"/>
        <v/>
      </c>
      <c r="MB74" s="1234" t="str">
        <f>IF(A74=FALSE,"",IF(Detail!BZ74="","N/A",YEAR(Detail!F74)&amp;Detail!CC74&amp;Detail!BZ74&amp;"-"&amp;Detail!$BZ$13&amp;" (100%/"&amp;Detail!CD74&amp;"/"&amp;Detail!CE74&amp;")"))</f>
        <v/>
      </c>
      <c r="MC74" s="431" t="str">
        <f>IF(A74=FALSE,"",IF(LISTES!$A$17=1,MB74,INDEX(colMOD5,MATCH(DA74,colchoice,0))))</f>
        <v/>
      </c>
      <c r="MD74" s="759" t="str">
        <f t="shared" si="340"/>
        <v/>
      </c>
      <c r="ME74" s="292"/>
      <c r="MF74" s="409" t="str">
        <f t="shared" si="341"/>
        <v/>
      </c>
      <c r="MG74" s="430" t="str">
        <f>IF(A74=FALSE,"",Cotations!BQ74*AA74)</f>
        <v/>
      </c>
      <c r="MH74" s="292" t="str">
        <f t="shared" si="342"/>
        <v/>
      </c>
      <c r="MI74" s="446" t="str">
        <f>IF(A74=FALSE,"",IF(Cotations!AU74="monthly",MH74/12*L74,MH74/365*M74))</f>
        <v/>
      </c>
      <c r="MJ74" s="429" t="str">
        <f>IF(A74=FALSE,"",IF(Cotations!BR74="","",Cotations!BR74))</f>
        <v/>
      </c>
      <c r="MK74" s="292" t="str">
        <f t="shared" si="343"/>
        <v/>
      </c>
      <c r="ML74" s="292" t="str">
        <f t="shared" si="344"/>
        <v/>
      </c>
      <c r="MM74" s="759" t="str">
        <f t="shared" si="345"/>
        <v/>
      </c>
      <c r="MN74" s="759" t="str">
        <f>IF(A74=FALSE,"",((MH74*TAXE)-(MH74*TAXE*MJ74))+IF(#REF!="N/A",0,IF(INDEX(LISTES!$F$105:$F$109,MATCH(#REF!,LISTES!$C$105:$C$109,0))="FIX",#REF!,#REF!*MM74)))</f>
        <v/>
      </c>
      <c r="NA74" s="432" t="str">
        <f t="shared" si="346"/>
        <v/>
      </c>
      <c r="NB74" s="1234" t="str">
        <f>IF(A74=FALSE,"",IF(Detail!CH74="","N/A",YEAR(Detail!F74)&amp;Detail!CK74&amp;Detail!CH74&amp;"-"&amp;Detail!$CH$13&amp;" (100%/"&amp;Detail!CL74&amp;"/"&amp;Detail!CM74&amp;")"))</f>
        <v/>
      </c>
      <c r="NC74" s="431" t="str">
        <f>IF(A74=FALSE,"",IF(LISTES!$A$17=1,NB74,INDEX(colMOD6,MATCH(DA74,colchoice,0))))</f>
        <v/>
      </c>
      <c r="ND74" s="759" t="str">
        <f t="shared" si="347"/>
        <v/>
      </c>
      <c r="NE74" s="292"/>
      <c r="NF74" s="409" t="str">
        <f t="shared" si="348"/>
        <v/>
      </c>
      <c r="NG74" s="430" t="str">
        <f>IF(A74=FALSE,"",Cotations!BU74*AA74)</f>
        <v/>
      </c>
      <c r="NH74" s="292" t="str">
        <f t="shared" si="349"/>
        <v/>
      </c>
      <c r="NI74" s="446" t="str">
        <f>IF(A74=FALSE,"",IF(Cotations!AU74="monthly",NH74/12*L74,NH74/365*M74))</f>
        <v/>
      </c>
      <c r="NJ74" s="429" t="str">
        <f>IF(A74=FALSE,"",IF(Cotations!BV74="","",Cotations!BV74))</f>
        <v/>
      </c>
      <c r="NK74" s="292" t="str">
        <f t="shared" si="350"/>
        <v/>
      </c>
      <c r="NL74" s="292" t="str">
        <f t="shared" si="351"/>
        <v/>
      </c>
      <c r="NM74" s="759" t="str">
        <f t="shared" si="352"/>
        <v/>
      </c>
      <c r="NN74" s="759" t="str">
        <f>IF(A74=FALSE,"",((NH74*TAXE)-(NH74*TAXE*NJ74))+IF(#REF!="N/A",0,IF(INDEX(LISTES!$F$105:$F$109,MATCH(#REF!,LISTES!$C$105:$C$109,0))="FIX",#REF!,#REF!*NM74)))</f>
        <v/>
      </c>
      <c r="NZ74" s="1281" t="str">
        <f>IF(A74=FALSE,"",IF(Detail!CP74="","N/A",YEAR(Detail!F74)&amp;Detail!CS74&amp;Detail!CP74&amp;"-"&amp;Detail!CQ74))</f>
        <v/>
      </c>
      <c r="OA74" s="432" t="str">
        <f>IF(A74=FALSE,"",Cotations!CF74)</f>
        <v/>
      </c>
      <c r="OB74" s="1282" t="str">
        <f>IF(A74=FALSE,"",IF(Detail!CP74="","N/A",YEAR(Detail!F74)&amp;Detail!CS74&amp;Detail!CP74&amp;"-"&amp;Detail!$CP$13&amp;Detail!CQ74))</f>
        <v/>
      </c>
      <c r="OC74" s="1283" t="str">
        <f>IF(A74=FALSE,"",IF(LISTES!$A$17=1,OB74,INDEX(colMOD1,MATCH(Cotations!CE74,colchoice,0))))</f>
        <v/>
      </c>
      <c r="OD74" s="759" t="str">
        <f t="shared" si="353"/>
        <v/>
      </c>
      <c r="OE74" s="292" t="str">
        <f>IF(A74=FALSE,"",Detail!CQ74)</f>
        <v/>
      </c>
      <c r="OF74" s="409" t="str">
        <f t="shared" si="354"/>
        <v/>
      </c>
      <c r="OG74" s="430" t="str">
        <f>IF(A74=FALSE,"",IF(OA74="FIXE",Cotations!CM74,Cotations!CN74*AA74))</f>
        <v/>
      </c>
      <c r="OH74" s="292" t="str">
        <f t="shared" si="288"/>
        <v/>
      </c>
      <c r="OI74" s="446" t="str">
        <f>IF(A74=FALSE,"",IF(Cotations!CF74="monthly",OH74/12*L74,OH74/365*M74))</f>
        <v/>
      </c>
      <c r="OJ74" s="429" t="str">
        <f>IF(A74=FALSE,"",IF(Cotations!CO74="","",Cotations!CO74))</f>
        <v/>
      </c>
      <c r="OK74" s="292" t="str">
        <f t="shared" si="289"/>
        <v/>
      </c>
      <c r="OL74" s="292" t="str">
        <f t="shared" si="290"/>
        <v/>
      </c>
      <c r="OM74" s="759" t="str">
        <f t="shared" si="355"/>
        <v/>
      </c>
      <c r="ON74" s="759" t="str">
        <f>IF(A74=FALSE,"",((OH74*(1+TAXE)-(OH74*(1+TAXE)*OJ74))+IF(#REF!="N/A",0,IF(INDEX(LISTES!$F$105:$F$109,MATCH(#REF!,LISTES!$C$105:$C$109,0))="FIX",#REF!,#REF!*OM74))))</f>
        <v/>
      </c>
      <c r="PA74" s="432" t="str">
        <f>IF(A74=FALSE,"",Cotations!CF74)</f>
        <v/>
      </c>
      <c r="PB74" s="1282" t="str">
        <f>IF(A74=FALSE,"",IF(Detail!CX74="","N/A",YEAR(Detail!F74)&amp;Detail!DA74&amp;Detail!CX74&amp;"-"&amp;Detail!$CX$13&amp;Detail!CY74))</f>
        <v/>
      </c>
      <c r="PC74" s="1283" t="str">
        <f>IF(A74=FALSE,"",IF(LISTES!$A$17=1,PB74,INDEX(colMOD3,MATCH(Cotations!CE74,colchoice,0))))</f>
        <v/>
      </c>
      <c r="PD74" s="759" t="str">
        <f t="shared" si="356"/>
        <v/>
      </c>
      <c r="PE74" s="292" t="str">
        <f>IF(A74=FALSE,"",IF(Detail!CY74="","",Detail!CY74))</f>
        <v/>
      </c>
      <c r="PF74" s="409" t="str">
        <f t="shared" si="291"/>
        <v/>
      </c>
      <c r="PG74" s="430" t="str">
        <f>IF(A74=FALSE,"",IF(PA74="FIXE",Cotations!CP74,Cotations!CQ74*AA74))</f>
        <v/>
      </c>
      <c r="PH74" s="292" t="str">
        <f t="shared" si="292"/>
        <v/>
      </c>
      <c r="PI74" s="446" t="str">
        <f>IF(A74=FALSE,"",IF(Cotations!CG74="monthly",PH74/12*L74,PH74/365*M74))</f>
        <v/>
      </c>
      <c r="PJ74" s="429" t="str">
        <f>IF(A74=FALSE,"",IF(Cotations!DA74="",0,Cotations!DA74))</f>
        <v/>
      </c>
      <c r="PK74" s="292" t="str">
        <f t="shared" si="293"/>
        <v/>
      </c>
      <c r="PL74" s="292" t="str">
        <f t="shared" si="294"/>
        <v/>
      </c>
      <c r="PM74" s="759" t="str">
        <f t="shared" si="357"/>
        <v/>
      </c>
      <c r="PN74" s="759" t="str">
        <f>IF(A74=FALSE,"",((PH74*(1+TAXE)-(PH74*(1+TAXE)*PJ74))+IF(#REF!="N/A",0,IF(INDEX(LISTES!$F$105:$F$109,MATCH(#REF!,LISTES!$C$105:$C$109,0))="FIX",#REF!,#REF!*PM74))))</f>
        <v/>
      </c>
    </row>
    <row r="75" spans="1:430">
      <c r="A75" s="779" t="b">
        <f t="shared" si="295"/>
        <v>0</v>
      </c>
      <c r="B75" s="779" t="b">
        <f>IF(NAMES!$B$9=TRUE,TRUE,FALSE)</f>
        <v>1</v>
      </c>
      <c r="C75" s="779" t="b">
        <f t="shared" si="212"/>
        <v>0</v>
      </c>
      <c r="D75" s="779" t="b">
        <f t="shared" si="213"/>
        <v>0</v>
      </c>
      <c r="E75" s="267" t="b">
        <f>IF(Cotations!C75="","",Cotations!C75)</f>
        <v>0</v>
      </c>
      <c r="F75" s="267" t="str">
        <f>IF(Cotations!AT75="","",Cotations!AT75)</f>
        <v>PROP</v>
      </c>
      <c r="G75" s="267" t="str">
        <f>IF(Cotations!D75="","",Cotations!D75)</f>
        <v>2016-2017!</v>
      </c>
      <c r="H75" s="267" t="str">
        <f>IF(Cotations!E75="","",Cotations!E75)</f>
        <v>SINGLE</v>
      </c>
      <c r="I75" s="267" t="str">
        <f>IF(Cotations!F75="","",Cotations!F75)</f>
        <v/>
      </c>
      <c r="J75" s="267" t="str">
        <f>IF(Cotations!G75="","",Cotations!G75)</f>
        <v/>
      </c>
      <c r="K75" s="267" t="str">
        <f>IF(Cotations!H75="","",Cotations!H75)</f>
        <v/>
      </c>
      <c r="L75" s="267" t="str">
        <f>IF(A75=FALSE,"",IF(Cotations!M75="","",Cotations!M75))</f>
        <v/>
      </c>
      <c r="M75" s="267" t="str">
        <f>IF(Cotations!O75="","",Cotations!O75)</f>
        <v/>
      </c>
      <c r="N75" s="588" t="str">
        <f>IF(NAMES!$B$10=TRUE,Cotations!I75,Cotations!K75)</f>
        <v/>
      </c>
      <c r="O75" s="588" t="str">
        <f>IF(NAMES!$B$10=TRUE,Cotations!J75,Cotations!L75)</f>
        <v/>
      </c>
      <c r="P75" s="780" t="str">
        <f t="shared" si="214"/>
        <v/>
      </c>
      <c r="Q75" s="588" t="str">
        <f>IF(A75=FALSE,"",IF(Crewlist!Y75="","",Crewlist!Y75))</f>
        <v/>
      </c>
      <c r="R75" s="78" t="str">
        <f>IF(Cotations!T75="","",Cotations!T75)</f>
        <v/>
      </c>
      <c r="S75" s="780" t="str">
        <f t="shared" si="215"/>
        <v/>
      </c>
      <c r="T75" s="759" t="str">
        <f>IF(A75=FALSE,"",VLOOKUP($U$15:$U$120,Currency!$A$2:$D$10,4,0)*Crewlist!N75)</f>
        <v/>
      </c>
      <c r="U75" s="1097" t="str">
        <f>IF(A75=FALSE,"",IF(DP75=0,Crewlist!M75&amp;"/"&amp;CP75,Crewlist!M75&amp;"/"&amp;DP75))</f>
        <v/>
      </c>
      <c r="V75" s="759" t="str">
        <f>IF(A75=FALSE,"",VLOOKUP($U$15:$U$120,Currency!$A$2:$D$10,4,0)*Detail!Q75)</f>
        <v/>
      </c>
      <c r="W75" s="1097" t="str">
        <f>IF(A75=FALSE,"",IF(DP75=0,Detail!R75&amp;"/"&amp;CP75,Detail!R75&amp;"/"&amp;DP75))</f>
        <v/>
      </c>
      <c r="X75" s="759" t="str">
        <f>IF(A75=FALSE,"",IF(LISTES!$C$17="Crewlist",Calcul!T75,Calcul!V75))</f>
        <v/>
      </c>
      <c r="Y75" s="618" t="str">
        <f t="shared" si="216"/>
        <v/>
      </c>
      <c r="Z75" s="618" t="str">
        <f>IF(A75=FALSE,"",IF(X75=0,0,IF((Cotations!BA75*12*X75)&lt;50000,50000,(12*X75))))</f>
        <v/>
      </c>
      <c r="AA75" s="618" t="str">
        <f t="shared" si="217"/>
        <v/>
      </c>
      <c r="AB75" s="618" t="str">
        <f>IF(A75=FALSE,"",IF(Crewlist!O75=0,"",Crewlist!O75))</f>
        <v/>
      </c>
      <c r="AC75" s="618" t="str">
        <f>IF(I75="","",VLOOKUP($AB$15:$AB$120,Currency!$A$15:$B$34,2,0))</f>
        <v/>
      </c>
      <c r="AD75" s="618" t="str">
        <f t="shared" si="218"/>
        <v/>
      </c>
      <c r="AE75" s="618" t="str">
        <f t="shared" si="219"/>
        <v/>
      </c>
      <c r="AF75" s="618" t="str">
        <f t="shared" si="220"/>
        <v/>
      </c>
      <c r="AG75" s="618" t="str">
        <f t="shared" si="221"/>
        <v/>
      </c>
      <c r="AH75" s="1097" t="str">
        <f t="shared" si="296"/>
        <v/>
      </c>
      <c r="AI75" s="759" t="str">
        <f t="shared" si="222"/>
        <v/>
      </c>
      <c r="AJ75" s="1120" t="str">
        <f t="shared" si="223"/>
        <v/>
      </c>
      <c r="AK75" s="1120" t="str">
        <f t="shared" si="224"/>
        <v/>
      </c>
      <c r="AL75" s="236" t="str">
        <f t="shared" si="225"/>
        <v/>
      </c>
      <c r="AM75" s="236" t="str">
        <f t="shared" si="226"/>
        <v/>
      </c>
      <c r="AN75" s="1112" t="str">
        <f t="shared" si="227"/>
        <v/>
      </c>
      <c r="AO75" s="236" t="str">
        <f t="shared" si="228"/>
        <v/>
      </c>
      <c r="AP75" s="327" t="str">
        <f>IF(A75=FALSE,"",INDEX(Rates!$Q$1:$Q$278,MATCH(CA75,colchoice,0)))</f>
        <v/>
      </c>
      <c r="AQ75" s="236" t="str">
        <f t="shared" si="229"/>
        <v/>
      </c>
      <c r="AR75" s="236" t="str">
        <f t="shared" si="230"/>
        <v/>
      </c>
      <c r="AS75" s="236" t="str">
        <f t="shared" si="297"/>
        <v/>
      </c>
      <c r="AT75" s="236" t="str">
        <f t="shared" si="298"/>
        <v/>
      </c>
      <c r="AU75" s="236" t="str">
        <f t="shared" si="231"/>
        <v/>
      </c>
      <c r="AV75" s="236" t="str">
        <f t="shared" si="232"/>
        <v/>
      </c>
      <c r="AW75" s="236" t="str">
        <f t="shared" si="233"/>
        <v/>
      </c>
      <c r="AX75" s="236" t="str">
        <f t="shared" si="234"/>
        <v/>
      </c>
      <c r="AY75" s="236" t="str">
        <f t="shared" si="235"/>
        <v/>
      </c>
      <c r="AZ75" s="236" t="str">
        <f t="shared" si="236"/>
        <v/>
      </c>
      <c r="BA75" s="236" t="str">
        <f t="shared" si="237"/>
        <v/>
      </c>
      <c r="BB75" s="467" t="str">
        <f t="shared" si="238"/>
        <v/>
      </c>
      <c r="BC75" s="329" t="str">
        <f t="shared" si="239"/>
        <v/>
      </c>
      <c r="BD75" s="237" t="str">
        <f t="shared" si="240"/>
        <v/>
      </c>
      <c r="BE75" s="237" t="str">
        <f>IF(A75=FALSE,"",IF(ED75&lt;&gt;$BC$7,0,INDEX(EA75:EZ75,1,MATCH(Structure!$J$16,$EA$14:$EZ$14,0))))</f>
        <v/>
      </c>
      <c r="BF75" s="237" t="str">
        <f>IF(A75=FALSE,"",IF(FD75&lt;&gt;$BC$7,0,INDEX(FA75:FZ75,1,MATCH(Structure!$J$16,$FA$14:$FZ$14,0))))</f>
        <v/>
      </c>
      <c r="BG75" s="237" t="str">
        <f>IF(A75=FALSE,"",IF(GD75&lt;&gt;$BC$7,0,INDEX(GA75:GZ75,1,MATCH(Structure!$J$16,$GA$14:$GZ$14,0))))</f>
        <v/>
      </c>
      <c r="BH75" s="237" t="str">
        <f>IF(A75=FALSE,"",IF(HD75&lt;&gt;$BC$7,0,INDEX(HA75:HZ75,1,MATCH(Structure!$J$16,$HA$14:$HZ$14,0))))</f>
        <v/>
      </c>
      <c r="BI75" s="621" t="str">
        <f>IF(A75=FALSE,"",IF(ID75&lt;&gt;$BC$7,0,INDEX(IA75:IZ75,1,MATCH(Structure!$C$12,$IA$14:$IZ$14,0)))+OL75)</f>
        <v/>
      </c>
      <c r="BJ75" s="237" t="str">
        <f>IF(A75=FALSE,"",IF(JD75&lt;&gt;$BC$7,0,INDEX(JA75:JZ75,1,MATCH(Structure!$C$12,$JA$14:$JZ$14,0))))</f>
        <v/>
      </c>
      <c r="BK75" s="621" t="str">
        <f>IF(A75=FALSE,"",IF(KD75&lt;&gt;$BC$7,0,INDEX(KA75:KZ75,1,MATCH(Structure!$C$12,$KA$14:$KZ$14,0)))+PL75)</f>
        <v/>
      </c>
      <c r="BL75" s="237" t="str">
        <f>IF(A75=FALSE,"",IF(LD75&lt;&gt;$BC$7,0,INDEX(LA75:LZ75,1,MATCH(Structure!$C$12,$LA$14:$LZ$14,0))))</f>
        <v/>
      </c>
      <c r="BM75" s="237" t="str">
        <f>IF(A75=FALSE,"",IF(MD75&lt;&gt;$BC$7,0,INDEX(MA75:MZ75,1,MATCH(Structure!$C$12,$MA$14:$MZ$14,0))))</f>
        <v/>
      </c>
      <c r="BN75" s="326" t="str">
        <f>IF(A75=FALSE,"",IF(ND75&lt;&gt;$BC$7,0,INDEX(NA75:OC75,1,MATCH(Structure!$C$12,$NA$14:$OC$14,0))))</f>
        <v/>
      </c>
      <c r="BO75" s="435" t="str">
        <f t="shared" si="241"/>
        <v/>
      </c>
      <c r="BP75" s="237" t="str">
        <f t="shared" si="242"/>
        <v/>
      </c>
      <c r="BQ75" s="237" t="str">
        <f>IF(A75=FALSE,"",IF(ED75&lt;&gt;$BO$7,0,INDEX(EA75:EZ75,1,MATCH(Structure!$C$12,$EA$14:$EZ$14,0))))</f>
        <v/>
      </c>
      <c r="BR75" s="237" t="str">
        <f>IF(A75=FALSE,"",IF(FD75&lt;&gt;$BO$7,0,INDEX(FA75:FZ75,1,MATCH(Structure!$C$12,$FA$14:$FZ$14,0))))</f>
        <v/>
      </c>
      <c r="BS75" s="237" t="str">
        <f>IF(A75=FALSE,"",IF(ID75&lt;&gt;$BO$7,0,INDEX(IA75:IZ75,1,MATCH(Structure!$C$13,$IA$14:$IZ$14,0))))</f>
        <v/>
      </c>
      <c r="BT75" s="237" t="str">
        <f>IF(A75=FALSE,"",IF(JD75&lt;&gt;$BO$7,0,INDEX(JA75:JZ75,1,MATCH(Structure!$C$13,$JA$14:$JZ$14,0))))</f>
        <v/>
      </c>
      <c r="BU75" s="237" t="str">
        <f>IF(A75=FALSE,"",IF(KD75&lt;&gt;$BO$7,0,INDEX(KA75:KZ75,1,MATCH(Structure!$C$13,$KA$14:$KZ$14,0))))</f>
        <v/>
      </c>
      <c r="BV75" s="237" t="str">
        <f>IF(A75=FALSE,"",IF(LD75&lt;&gt;$BO$7,0,INDEX(LA75:LZ75,1,MATCH(Structure!$C$13,$LA$14:$LZ$14,0))))</f>
        <v/>
      </c>
      <c r="BW75" s="237" t="str">
        <f>IF(A75=FALSE,"",IF(MD75&lt;&gt;$BO$7,0,INDEX(MA75:MZ75,1,MATCH(Structure!$C$13,$MA$14:$MZ$14,0))))</f>
        <v/>
      </c>
      <c r="BX75" s="326" t="str">
        <f>IF(A75=FALSE,"",IF(ND75&lt;&gt;$BO$7,0,INDEX(NA75:OC75,1,MATCH(Structure!$C$13,$NA$14:$OC$14,0))))</f>
        <v/>
      </c>
      <c r="BY75" s="412"/>
      <c r="BZ75" s="412"/>
      <c r="CA75" s="1255" t="str">
        <f>IF(A75=FALSE,"",IF(LISTES!$A$17=1,Cotations!AG75,Cotations!AH75))</f>
        <v/>
      </c>
      <c r="CB75" s="1266" t="str">
        <f t="shared" si="243"/>
        <v/>
      </c>
      <c r="CC75" s="1120" t="str">
        <f t="shared" si="244"/>
        <v/>
      </c>
      <c r="CD75" s="1120" t="str">
        <f t="shared" si="245"/>
        <v/>
      </c>
      <c r="CE75" s="1120" t="str">
        <f t="shared" si="246"/>
        <v/>
      </c>
      <c r="CF75" s="1120" t="str">
        <f t="shared" si="247"/>
        <v/>
      </c>
      <c r="CG75" s="1267"/>
      <c r="CH75" s="1267"/>
      <c r="CI75" s="1268" t="str">
        <f t="shared" si="248"/>
        <v/>
      </c>
      <c r="CJ75" s="286" t="str">
        <f t="shared" si="249"/>
        <v/>
      </c>
      <c r="CK75" s="286" t="str">
        <f t="shared" si="250"/>
        <v/>
      </c>
      <c r="CL75" s="1263"/>
      <c r="CM75" s="1263"/>
      <c r="CN75" s="1263"/>
      <c r="CO75" s="1263"/>
      <c r="CP75" s="319" t="str">
        <f t="shared" si="251"/>
        <v/>
      </c>
      <c r="CQ75" s="443" t="str">
        <f>IF(A75=FALSE,"",Cotations!AM75)</f>
        <v/>
      </c>
      <c r="CR75" s="443" t="str">
        <f>IF(A75=FALSE,"",IF(Cotations!AN75="","",Cotations!AN75))</f>
        <v/>
      </c>
      <c r="CS75" s="433" t="str">
        <f>IF(A75=FALSE,"",Cotations!AO75)</f>
        <v/>
      </c>
      <c r="CT75" s="443" t="str">
        <f>IF(A75=FALSE,"",IF(CQ75="N/A",0,IF(INDEX(LISTES!$F$105:$F$109,MATCH(CQ75,LISTES!$C$105:$C$109,0))="FIX",IF(INDEX(LISTES!$E$105:$E$109,MATCH(CQ75,LISTES!$C$105:$C$109,0))=12,CR75/12*L75,CR75/365*M75),CS75*EQ75)))</f>
        <v/>
      </c>
      <c r="CU75" s="434" t="str">
        <f>IF(A75=FALSE,"",(CJ75+CK75)*Cotations!AP75)</f>
        <v/>
      </c>
      <c r="CV75" s="434" t="str">
        <f>IF(A75=FALSE,"",(CJ75+CK75)*Cotations!AQ75)</f>
        <v/>
      </c>
      <c r="DA75" s="1253" t="str">
        <f>IF(A75=FALSE,"",IF(LISTES!$A$17=1,Cotations!AV75,Cotations!AW75))</f>
        <v/>
      </c>
      <c r="DB75" s="1271" t="str">
        <f t="shared" si="252"/>
        <v/>
      </c>
      <c r="DC75" s="1270" t="str">
        <f t="shared" si="253"/>
        <v/>
      </c>
      <c r="DD75" s="1270" t="str">
        <f t="shared" si="254"/>
        <v/>
      </c>
      <c r="DE75" s="1270" t="str">
        <f t="shared" si="255"/>
        <v/>
      </c>
      <c r="DF75" s="1270" t="str">
        <f t="shared" si="256"/>
        <v/>
      </c>
      <c r="DG75" s="1270" t="str">
        <f t="shared" si="257"/>
        <v/>
      </c>
      <c r="DH75" s="1270" t="str">
        <f t="shared" si="258"/>
        <v/>
      </c>
      <c r="DI75" s="1271" t="str">
        <f t="shared" si="259"/>
        <v/>
      </c>
      <c r="DJ75" s="286" t="str">
        <f t="shared" si="260"/>
        <v/>
      </c>
      <c r="DK75" s="286" t="str">
        <f t="shared" si="261"/>
        <v/>
      </c>
      <c r="DL75" s="1264" t="str">
        <f t="shared" si="262"/>
        <v/>
      </c>
      <c r="DM75" s="1264" t="str">
        <f t="shared" si="263"/>
        <v/>
      </c>
      <c r="DN75" s="1264" t="str">
        <f t="shared" si="264"/>
        <v/>
      </c>
      <c r="DO75" s="1264" t="str">
        <f t="shared" si="265"/>
        <v/>
      </c>
      <c r="DP75" s="323" t="str">
        <f t="shared" si="299"/>
        <v/>
      </c>
      <c r="DQ75" s="444" t="str">
        <f>IF(A75=FALSE,"",Cotations!BW75)</f>
        <v/>
      </c>
      <c r="DR75" s="444" t="str">
        <f>IF(A75=FALSE,"",Cotations!BX75)</f>
        <v/>
      </c>
      <c r="DS75" s="433" t="str">
        <f>IF(A75=FALSE,"",Cotations!BY75)</f>
        <v/>
      </c>
      <c r="DT75" s="830" t="str">
        <f>IF(A75=FALSE,"",IF(DQ75="N/A",0,IF(INDEX(LISTES!$F$105:$F$109,MATCH(DQ75,LISTES!$C$105:$C$109,0))="FIX",IF(INDEX(LISTES!$E$105:$E$109,MATCH(DQ75,LISTES!$C$105:$C$109,0))=12,DR75/12*L75,DR75/365*M75),DS75*(DN75+DO75))))</f>
        <v/>
      </c>
      <c r="DU75" s="434" t="str">
        <f>IF(A75=FALSE,"",DJ75*Cotations!BZ75)</f>
        <v/>
      </c>
      <c r="DV75" s="434" t="str">
        <f>IF(A75=FALSE,"",DJ75*Cotations!CA75)</f>
        <v/>
      </c>
      <c r="EA75" s="432" t="str">
        <f>IF(A75=FALSE,"",Cotations!AT75)</f>
        <v/>
      </c>
      <c r="EB75" s="1234" t="str">
        <f>IF(A75=FALSE,"",YEAR(Detail!F75)&amp;Detail!AG75&amp;Detail!AD75&amp;"-"&amp;Detail!$AD$13&amp;Detail!AE75)</f>
        <v/>
      </c>
      <c r="EC75" s="434" t="str">
        <f>IF(A75=FALSE,"",IF(LISTES!$A$17=1,EB75,INDEX(colMOD1,MATCH(Cotations!AH75,colchoice,0))))</f>
        <v/>
      </c>
      <c r="ED75" s="277" t="str">
        <f t="shared" si="300"/>
        <v/>
      </c>
      <c r="EE75" s="277" t="str">
        <f t="shared" si="301"/>
        <v/>
      </c>
      <c r="EF75" s="277"/>
      <c r="EG75" s="277"/>
      <c r="EH75" s="277" t="str">
        <f t="shared" si="302"/>
        <v/>
      </c>
      <c r="EI75" s="1104" t="str">
        <f t="shared" si="303"/>
        <v/>
      </c>
      <c r="EJ75" s="1104" t="str">
        <f t="shared" si="304"/>
        <v/>
      </c>
      <c r="EK75" s="443" t="str">
        <f>IF(A75=FALSE,"",IF(Cotations!AF75="monthly",EH75/12*L75,EH75/365*M75))</f>
        <v/>
      </c>
      <c r="EL75" s="1103" t="str">
        <f>IF(A75=FALSE,"",IF(Cotations!AF75="monthly",EJ75/12*L75,EJ75/365*M75))</f>
        <v/>
      </c>
      <c r="EM75" s="433" t="str">
        <f>IF(A75=FALSE,"",IF(Cotations!AI75="","",Cotations!AI75))</f>
        <v/>
      </c>
      <c r="EN75" s="277" t="str">
        <f t="shared" si="305"/>
        <v/>
      </c>
      <c r="EO75" s="277" t="str">
        <f t="shared" si="306"/>
        <v/>
      </c>
      <c r="EP75" s="1104" t="str">
        <f t="shared" si="307"/>
        <v/>
      </c>
      <c r="EQ75" s="277" t="str">
        <f t="shared" si="308"/>
        <v/>
      </c>
      <c r="ER75" s="759" t="str">
        <f>IF(A75=FALSE,"",((EH75*TAXE)-(EH75*TAXE*EM75)+EI75)+IF(CQ75="N/A",0,IF(INDEX(LISTES!$F$105:$F$109,MATCH(CQ75,LISTES!$C$105:$C$109,0))="FIX",CR75,CS75*EQ75)))</f>
        <v/>
      </c>
      <c r="ET75" s="422"/>
      <c r="EU75" s="422"/>
      <c r="EV75" s="422"/>
      <c r="EW75" s="422"/>
      <c r="EX75" s="422"/>
      <c r="EY75" s="422"/>
      <c r="EZ75" s="422"/>
      <c r="FA75" s="432" t="str">
        <f>IF(A75=FALSE,"",Cotations!AT75)</f>
        <v/>
      </c>
      <c r="FB75" s="1235" t="str">
        <f>IF(A75=FALSE,"",IF(Detail!AL75="","N/A",YEAR(Detail!F75)&amp;Detail!AO75&amp;Detail!AL75&amp;"-"&amp;Detail!$AL$13&amp;Detail!AM75))</f>
        <v/>
      </c>
      <c r="FC75" s="434" t="str">
        <f>IF(A75=FALSE,"",IF(LISTES!$A$17=1,FB75,INDEX(colMOD2,MATCH(Cotations!AH75,colchoice,0))))</f>
        <v/>
      </c>
      <c r="FD75" s="277" t="str">
        <f t="shared" si="309"/>
        <v/>
      </c>
      <c r="FE75" s="443" t="str">
        <f>IF(A75=FALSE,"",IF(Detail!AM75="","",Detail!AM75))</f>
        <v/>
      </c>
      <c r="FF75" s="277"/>
      <c r="FG75" s="277"/>
      <c r="FH75" s="277" t="str">
        <f t="shared" si="310"/>
        <v/>
      </c>
      <c r="FI75" s="1104"/>
      <c r="FJ75" s="1104"/>
      <c r="FK75" s="443" t="str">
        <f>IF(A75=FALSE,"",IF(Cotations!AF75="monthly",FH75/12*L75,FH75/365*M75))</f>
        <v/>
      </c>
      <c r="FL75" s="1103" t="str">
        <f>IF(A75=FALSE,"",IF(Cotations!AF75="monthly",FJ75/12*L75,FJ75/365*M75))</f>
        <v/>
      </c>
      <c r="FM75" s="433" t="str">
        <f>IF(A75=FALSE,"",IF(Cotations!AJ75="","",Cotations!AJ75))</f>
        <v/>
      </c>
      <c r="FN75" s="277" t="str">
        <f t="shared" si="268"/>
        <v/>
      </c>
      <c r="FO75" s="277" t="str">
        <f t="shared" si="269"/>
        <v/>
      </c>
      <c r="FP75" s="1104"/>
      <c r="FQ75" s="277" t="str">
        <f t="shared" si="270"/>
        <v/>
      </c>
      <c r="FR75" s="759" t="str">
        <f>IF(A75=FALSE,"",((FH75*TAXE)-(FH75*TAXE*FM75))+IF(#REF!="N/A",0,IF(INDEX(LISTES!$F$105:$F$109,MATCH(#REF!,LISTES!$C$105:$C$109,0))="FIX",#REF!,#REF!*FQ75)))</f>
        <v/>
      </c>
      <c r="FS75" s="422"/>
      <c r="FT75" s="422"/>
      <c r="FU75" s="422"/>
      <c r="FV75" s="422"/>
      <c r="FW75" s="422"/>
      <c r="FX75" s="422"/>
      <c r="FY75" s="422"/>
      <c r="FZ75" s="422"/>
      <c r="GA75" s="432" t="str">
        <f t="shared" si="311"/>
        <v/>
      </c>
      <c r="GB75" s="1234" t="str">
        <f>IF(A75=FALSE,"",IF(Detail!DF75="","N/A",YEAR(Detail!F75)&amp;Detail!DI75&amp;Detail!DF75&amp;"-"&amp;Detail!$DF$13))</f>
        <v/>
      </c>
      <c r="GC75" s="434" t="str">
        <f>IF(A75=FALSE,"",IF(LISTES!$A$17=1,GB75,INDEX(colMOD3,MATCH(Cotations!AH75,colchoice,0))))</f>
        <v/>
      </c>
      <c r="GD75" s="277" t="str">
        <f t="shared" si="312"/>
        <v/>
      </c>
      <c r="GE75" s="277" t="str">
        <f t="shared" si="313"/>
        <v/>
      </c>
      <c r="GF75" s="277"/>
      <c r="GG75" s="277"/>
      <c r="GH75" s="277" t="str">
        <f t="shared" si="271"/>
        <v/>
      </c>
      <c r="GI75" s="1104" t="str">
        <f t="shared" si="272"/>
        <v/>
      </c>
      <c r="GJ75" s="1104" t="str">
        <f t="shared" si="273"/>
        <v/>
      </c>
      <c r="GK75" s="443" t="str">
        <f>IF(A75=FALSE,"",IF(Cotations!AF75="monthly",GH75/12*L75,GH75/365*M75))</f>
        <v/>
      </c>
      <c r="GL75" s="1103" t="str">
        <f>IF(A75=FALSE,"",IF(Cotations!AF75="monthly",GJ75/12*L75,GJ75/365*M75))</f>
        <v/>
      </c>
      <c r="GM75" s="433" t="str">
        <f>IF(A75=FALSE,"",IF(Cotations!AK75="","",Cotations!AK75))</f>
        <v/>
      </c>
      <c r="GN75" s="277" t="str">
        <f t="shared" si="274"/>
        <v/>
      </c>
      <c r="GO75" s="277" t="str">
        <f t="shared" si="275"/>
        <v/>
      </c>
      <c r="GP75" s="1104" t="str">
        <f t="shared" si="276"/>
        <v/>
      </c>
      <c r="GQ75" s="277" t="str">
        <f t="shared" si="277"/>
        <v/>
      </c>
      <c r="GR75" s="759" t="str">
        <f>IF(A75=FALSE,"",((GH75*TAXE)-(GH75*TAXE*GM75)+GI75)+IF(CQ75="N/A",0,IF(INDEX(LISTES!$F$105:$F$109,MATCH(CQ75,LISTES!$C$105:$C$109,0))="FIX",CR75,CS75*GQ75)))</f>
        <v/>
      </c>
      <c r="GS75" s="412"/>
      <c r="GT75" s="412"/>
      <c r="GU75" s="412"/>
      <c r="GV75" s="412"/>
      <c r="GW75" s="412"/>
      <c r="GX75" s="412"/>
      <c r="GY75" s="412"/>
      <c r="GZ75" s="412"/>
      <c r="HA75" s="432" t="str">
        <f t="shared" si="314"/>
        <v/>
      </c>
      <c r="HB75" s="1234" t="str">
        <f>IF(A75=FALSE,"",IF(Detail!DF75="","N/A",YEAR(Detail!F75)&amp;Detail!DI75&amp;Detail!DF75&amp;"-"&amp;Detail!$DF$13))</f>
        <v/>
      </c>
      <c r="HC75" s="434" t="str">
        <f>IF(A75=FALSE,"",IF(LISTES!$A$17=1,HB75,INDEX(colMOD4,MATCH(Cotations!AH75,colchoice,0))))</f>
        <v/>
      </c>
      <c r="HD75" s="277" t="str">
        <f t="shared" si="278"/>
        <v/>
      </c>
      <c r="HE75" s="277" t="str">
        <f t="shared" si="279"/>
        <v/>
      </c>
      <c r="HF75" s="277"/>
      <c r="HG75" s="277"/>
      <c r="HH75" s="277" t="str">
        <f t="shared" si="280"/>
        <v/>
      </c>
      <c r="HI75" s="1104" t="str">
        <f t="shared" si="281"/>
        <v/>
      </c>
      <c r="HJ75" s="1104" t="str">
        <f t="shared" si="282"/>
        <v/>
      </c>
      <c r="HK75" s="443" t="str">
        <f>IF(A75=FALSE,"",IF(Cotations!AF75="monthly",HH75/12*L75,HH75/365*M75))</f>
        <v/>
      </c>
      <c r="HL75" s="1103" t="str">
        <f>IF(A75=FALSE,"",IF(Cotations!AF75="monthly",HJ75/12*L75,HJ75/365*M75))</f>
        <v/>
      </c>
      <c r="HM75" s="433" t="str">
        <f>IF(A75=FALSE,"",IF(Cotations!AL75="","",Cotations!AL75))</f>
        <v/>
      </c>
      <c r="HN75" s="277" t="str">
        <f t="shared" si="283"/>
        <v/>
      </c>
      <c r="HO75" s="277" t="str">
        <f t="shared" si="284"/>
        <v/>
      </c>
      <c r="HP75" s="1104" t="str">
        <f t="shared" si="285"/>
        <v/>
      </c>
      <c r="HQ75" s="277" t="str">
        <f t="shared" si="286"/>
        <v/>
      </c>
      <c r="HR75" s="759" t="str">
        <f>IF(A75=FALSE,"",((HH75*TAXE)-(HH75*TAXE*HM75)+HI75)+IF(CQ75="N/A",0,IF(INDEX(LISTES!$F$105:$F$109,MATCH(CQ75,LISTES!$C$105:$C$109,0))="FIX",CR75,CS75*HQ75)))</f>
        <v/>
      </c>
      <c r="HS75" s="412"/>
      <c r="HT75" s="412"/>
      <c r="HU75" s="412"/>
      <c r="HV75" s="412"/>
      <c r="HW75" s="412"/>
      <c r="HX75" s="412"/>
      <c r="HY75" s="412"/>
      <c r="HZ75" s="1262"/>
      <c r="IA75" s="432" t="str">
        <f>IF(A75=FALSE,"",Cotations!AT75)</f>
        <v/>
      </c>
      <c r="IB75" s="1253" t="str">
        <f>IF(A75=FALSE,"",IF(Detail!AT75="","N/A",YEAR(Detail!F75)&amp;Detail!AW75&amp;Detail!AT75&amp;"-"&amp;Detail!$AT$13&amp;Detail!AU75))</f>
        <v/>
      </c>
      <c r="IC75" s="431" t="str">
        <f>IF(A75=FALSE,"",IF(LISTES!$A$17=1,IB75,INDEX(colMOD1,MATCH(DA75,colchoice,0))))</f>
        <v/>
      </c>
      <c r="ID75" s="759" t="str">
        <f t="shared" si="358"/>
        <v/>
      </c>
      <c r="IE75" s="292" t="str">
        <f>IF(A75=FALSE,"",IF(LISTES!$A$17=1,Detail!AU75,INDEX(Rates!$M$1:$M$270,MATCH(IC75,colMOD1,0))))</f>
        <v/>
      </c>
      <c r="IF75" s="409" t="str">
        <f t="shared" si="359"/>
        <v/>
      </c>
      <c r="IG75" s="430" t="str">
        <f>IF(A75=FALSE,"",IF(IA75="POEA",Cotations!AY75,IF(IA75="FIXE",Cotations!AZ75,IF(Cotations!BA75*Y75&lt;50000,Z75,Cotations!BA75*Y75))))</f>
        <v/>
      </c>
      <c r="IH75" s="292" t="str">
        <f t="shared" si="360"/>
        <v/>
      </c>
      <c r="II75" s="446" t="str">
        <f>IF(A75=FALSE,"",IF(Cotations!AU75="monthly",IH75/12*L75,IH75/365*M75))</f>
        <v/>
      </c>
      <c r="IJ75" s="429" t="str">
        <f>IF(A75=FALSE,"",IF(Cotations!BB75="","",Cotations!BB75))</f>
        <v/>
      </c>
      <c r="IK75" s="292" t="str">
        <f t="shared" si="361"/>
        <v/>
      </c>
      <c r="IL75" s="292" t="str">
        <f t="shared" si="362"/>
        <v/>
      </c>
      <c r="IM75" s="759" t="str">
        <f t="shared" si="363"/>
        <v/>
      </c>
      <c r="IN75" s="759" t="str">
        <f>IF(A75=FALSE,"",((IH75*TAXE)-(IH75*TAXE*IJ75))+IF(DQ75="N/A",0,IF(INDEX(LISTES!$F$105:$F$109,MATCH(DQ75,LISTES!$C$105:$C$109,0))="FIX",DR75,DS75*IM75)))</f>
        <v/>
      </c>
      <c r="JA75" s="432" t="str">
        <f>IF(A75=FALSE,"",Cotations!AT75)</f>
        <v/>
      </c>
      <c r="JB75" s="1234" t="str">
        <f>IF(A75=FALSE,"",IF(Detail!BB75="","N/A",YEAR(Detail!F75)&amp;Detail!BE75&amp;Detail!BB75&amp;"-"&amp;Detail!$BB$13&amp;Detail!BC75))</f>
        <v/>
      </c>
      <c r="JC75" s="431" t="str">
        <f>IF(A75=FALSE,"",IF(LISTES!$A$17=1,JB75,INDEX(colMOD2,MATCH(DA75,colchoice,0))))</f>
        <v/>
      </c>
      <c r="JD75" s="759" t="str">
        <f t="shared" si="321"/>
        <v/>
      </c>
      <c r="JE75" s="292"/>
      <c r="JF75" s="409" t="str">
        <f t="shared" si="322"/>
        <v/>
      </c>
      <c r="JG75" s="430" t="str">
        <f>IF(A75=FALSE,"",IF(JA75="POEA",Cotations!BC75,IF(JA75="FIXE",Cotations!BD75,IF(Cotations!BE75*Y75&lt;50000,Z75,Cotations!BE75*Y75))))</f>
        <v/>
      </c>
      <c r="JH75" s="292" t="str">
        <f t="shared" si="323"/>
        <v/>
      </c>
      <c r="JI75" s="446" t="str">
        <f>IF(A75=FALSE,"",IF(Cotations!AU75="monthly",JH75/12*L75,JH75/365*M75))</f>
        <v/>
      </c>
      <c r="JJ75" s="429" t="str">
        <f>IF(A75=FALSE,"",IF(Cotations!BF75="","",Cotations!BF75))</f>
        <v/>
      </c>
      <c r="JK75" s="292" t="str">
        <f t="shared" si="324"/>
        <v/>
      </c>
      <c r="JL75" s="292" t="str">
        <f t="shared" si="325"/>
        <v/>
      </c>
      <c r="JM75" s="759" t="str">
        <f t="shared" si="326"/>
        <v/>
      </c>
      <c r="JN75" s="759" t="str">
        <f>IF(A75=FALSE,"",((JH75*TAXE)-(JH75*TAXE*JJ75))+IF(#REF!="N/A",0,IF(INDEX(LISTES!$F$105:$F$109,MATCH(#REF!,LISTES!$C$105:$C$109,0))="FIX",#REF!,#REF!*JM75)))</f>
        <v/>
      </c>
      <c r="KA75" s="432" t="str">
        <f>IF(A75=FALSE,"",Cotations!AT75)</f>
        <v/>
      </c>
      <c r="KB75" s="1234" t="str">
        <f>IF(A75=FALSE,"",IF(Detail!BJ75="","N/A",YEAR(Detail!F75)&amp;Detail!BM75&amp;Detail!BJ75&amp;"-"&amp;Detail!$BJ$13&amp;Detail!BK75))</f>
        <v/>
      </c>
      <c r="KC75" s="431" t="str">
        <f>IF(A75=FALSE,"",IF(LISTES!$A$17=1,KB75,INDEX(colMOD3,MATCH(DA75,colchoice,0))))</f>
        <v/>
      </c>
      <c r="KD75" s="759" t="str">
        <f t="shared" si="327"/>
        <v/>
      </c>
      <c r="KE75" s="292"/>
      <c r="KF75" s="409" t="str">
        <f t="shared" si="328"/>
        <v/>
      </c>
      <c r="KG75" s="430" t="str">
        <f>IF(A75=FALSE,"",IF(KA75="POEA",Cotations!BG75,IF(KA75="FIXE",Cotations!BH75,IF(Cotations!BI75*Y75&lt;50000,Z75,Cotations!BI75*Y75))))</f>
        <v/>
      </c>
      <c r="KH75" s="292" t="str">
        <f t="shared" si="329"/>
        <v/>
      </c>
      <c r="KI75" s="446" t="str">
        <f>IF(A75=FALSE,"",IF(Cotations!AU75="monthly",KH75/12*L75,KH75/365*M75))</f>
        <v/>
      </c>
      <c r="KJ75" s="429" t="str">
        <f>IF(A75=FALSE,"",IF(Cotations!BJ75="","",Cotations!BJ75))</f>
        <v/>
      </c>
      <c r="KK75" s="292" t="str">
        <f t="shared" si="330"/>
        <v/>
      </c>
      <c r="KL75" s="292" t="str">
        <f t="shared" si="331"/>
        <v/>
      </c>
      <c r="KM75" s="759" t="str">
        <f t="shared" si="332"/>
        <v/>
      </c>
      <c r="KN75" s="759" t="str">
        <f>IF(A75=FALSE,"",((KH75*TAXE)-(KH75*TAXE*KJ75))+IF(#REF!="N/A",0,IF(INDEX(LISTES!$F$105:$F$109,MATCH(#REF!,LISTES!$C$105:$C$109,0))="FIX",#REF!,#REF!*KM75)))</f>
        <v/>
      </c>
      <c r="LA75" s="432" t="str">
        <f>IF(A75=FALSE,"",Cotations!AT75)</f>
        <v/>
      </c>
      <c r="LB75" s="1234" t="str">
        <f>IF(A75=FALSE,"",IF(Detail!BR75="","N/A",YEAR(Detail!F75)&amp;Detail!BU75&amp;Detail!BR75&amp;"-"&amp;Detail!$BR$13&amp;Detail!BS75))</f>
        <v/>
      </c>
      <c r="LC75" s="431" t="str">
        <f>IF(A75=FALSE,"",IF(LISTES!$A$17=1,LB75,INDEX(colMOD4,MATCH(DA75,colchoice,0))))</f>
        <v/>
      </c>
      <c r="LD75" s="759" t="str">
        <f t="shared" si="333"/>
        <v/>
      </c>
      <c r="LE75" s="292"/>
      <c r="LF75" s="409" t="str">
        <f t="shared" si="334"/>
        <v/>
      </c>
      <c r="LG75" s="430" t="str">
        <f>IF(A75=FALSE,"",IF(LA75="POEA",Cotations!BK75,IF(LA75="FIXE",Cotations!BL75,IF(Cotations!BM75*Y75&lt;50000,Z75,Cotations!BM75*Y75))))</f>
        <v/>
      </c>
      <c r="LH75" s="292" t="str">
        <f t="shared" si="335"/>
        <v/>
      </c>
      <c r="LI75" s="446" t="str">
        <f>IF(A75=FALSE,"",IF(Cotations!AU75="monthly",LH75/12*L75,LH75/365*M75))</f>
        <v/>
      </c>
      <c r="LJ75" s="429" t="str">
        <f>IF(A75=FALSE,"",IF(Cotations!BN75="","",Cotations!BN75))</f>
        <v/>
      </c>
      <c r="LK75" s="292" t="str">
        <f t="shared" si="336"/>
        <v/>
      </c>
      <c r="LL75" s="292" t="str">
        <f t="shared" si="337"/>
        <v/>
      </c>
      <c r="LM75" s="759" t="str">
        <f t="shared" si="338"/>
        <v/>
      </c>
      <c r="LN75" s="759" t="str">
        <f>IF(A75=FALSE,"",((LH75*TAXE)-(LH75*TAXE*LJ75))+IF(#REF!="N/A",0,IF(INDEX(LISTES!$F$105:$F$109,MATCH(#REF!,LISTES!$C$105:$C$109,0))="FIX",#REF!,#REF!*LM75)))</f>
        <v/>
      </c>
      <c r="MA75" s="432" t="str">
        <f t="shared" si="339"/>
        <v/>
      </c>
      <c r="MB75" s="1234" t="str">
        <f>IF(A75=FALSE,"",IF(Detail!BZ75="","N/A",YEAR(Detail!F75)&amp;Detail!CC75&amp;Detail!BZ75&amp;"-"&amp;Detail!$BZ$13&amp;" (100%/"&amp;Detail!CD75&amp;"/"&amp;Detail!CE75&amp;")"))</f>
        <v/>
      </c>
      <c r="MC75" s="431" t="str">
        <f>IF(A75=FALSE,"",IF(LISTES!$A$17=1,MB75,INDEX(colMOD5,MATCH(DA75,colchoice,0))))</f>
        <v/>
      </c>
      <c r="MD75" s="759" t="str">
        <f t="shared" si="340"/>
        <v/>
      </c>
      <c r="ME75" s="292"/>
      <c r="MF75" s="409" t="str">
        <f t="shared" si="341"/>
        <v/>
      </c>
      <c r="MG75" s="430" t="str">
        <f>IF(A75=FALSE,"",Cotations!BQ75*AA75)</f>
        <v/>
      </c>
      <c r="MH75" s="292" t="str">
        <f t="shared" si="342"/>
        <v/>
      </c>
      <c r="MI75" s="446" t="str">
        <f>IF(A75=FALSE,"",IF(Cotations!AU75="monthly",MH75/12*L75,MH75/365*M75))</f>
        <v/>
      </c>
      <c r="MJ75" s="429" t="str">
        <f>IF(A75=FALSE,"",IF(Cotations!BR75="","",Cotations!BR75))</f>
        <v/>
      </c>
      <c r="MK75" s="292" t="str">
        <f t="shared" si="343"/>
        <v/>
      </c>
      <c r="ML75" s="292" t="str">
        <f t="shared" si="344"/>
        <v/>
      </c>
      <c r="MM75" s="759" t="str">
        <f t="shared" si="345"/>
        <v/>
      </c>
      <c r="MN75" s="759" t="str">
        <f>IF(A75=FALSE,"",((MH75*TAXE)-(MH75*TAXE*MJ75))+IF(#REF!="N/A",0,IF(INDEX(LISTES!$F$105:$F$109,MATCH(#REF!,LISTES!$C$105:$C$109,0))="FIX",#REF!,#REF!*MM75)))</f>
        <v/>
      </c>
      <c r="NA75" s="432" t="str">
        <f t="shared" si="346"/>
        <v/>
      </c>
      <c r="NB75" s="1234" t="str">
        <f>IF(A75=FALSE,"",IF(Detail!CH75="","N/A",YEAR(Detail!F75)&amp;Detail!CK75&amp;Detail!CH75&amp;"-"&amp;Detail!$CH$13&amp;" (100%/"&amp;Detail!CL75&amp;"/"&amp;Detail!CM75&amp;")"))</f>
        <v/>
      </c>
      <c r="NC75" s="431" t="str">
        <f>IF(A75=FALSE,"",IF(LISTES!$A$17=1,NB75,INDEX(colMOD6,MATCH(DA75,colchoice,0))))</f>
        <v/>
      </c>
      <c r="ND75" s="759" t="str">
        <f t="shared" si="347"/>
        <v/>
      </c>
      <c r="NE75" s="292"/>
      <c r="NF75" s="409" t="str">
        <f t="shared" si="348"/>
        <v/>
      </c>
      <c r="NG75" s="430" t="str">
        <f>IF(A75=FALSE,"",Cotations!BU75*AA75)</f>
        <v/>
      </c>
      <c r="NH75" s="292" t="str">
        <f t="shared" si="349"/>
        <v/>
      </c>
      <c r="NI75" s="446" t="str">
        <f>IF(A75=FALSE,"",IF(Cotations!AU75="monthly",NH75/12*L75,NH75/365*M75))</f>
        <v/>
      </c>
      <c r="NJ75" s="429" t="str">
        <f>IF(A75=FALSE,"",IF(Cotations!BV75="","",Cotations!BV75))</f>
        <v/>
      </c>
      <c r="NK75" s="292" t="str">
        <f t="shared" si="350"/>
        <v/>
      </c>
      <c r="NL75" s="292" t="str">
        <f t="shared" si="351"/>
        <v/>
      </c>
      <c r="NM75" s="759" t="str">
        <f t="shared" si="352"/>
        <v/>
      </c>
      <c r="NN75" s="759" t="str">
        <f>IF(A75=FALSE,"",((NH75*TAXE)-(NH75*TAXE*NJ75))+IF(#REF!="N/A",0,IF(INDEX(LISTES!$F$105:$F$109,MATCH(#REF!,LISTES!$C$105:$C$109,0))="FIX",#REF!,#REF!*NM75)))</f>
        <v/>
      </c>
      <c r="NZ75" s="1281" t="str">
        <f>IF(A75=FALSE,"",IF(Detail!CP75="","N/A",YEAR(Detail!F75)&amp;Detail!CS75&amp;Detail!CP75&amp;"-"&amp;Detail!CQ75))</f>
        <v/>
      </c>
      <c r="OA75" s="432" t="str">
        <f>IF(A75=FALSE,"",Cotations!CF75)</f>
        <v/>
      </c>
      <c r="OB75" s="1282" t="str">
        <f>IF(A75=FALSE,"",IF(Detail!CP75="","N/A",YEAR(Detail!F75)&amp;Detail!CS75&amp;Detail!CP75&amp;"-"&amp;Detail!$CP$13&amp;Detail!CQ75))</f>
        <v/>
      </c>
      <c r="OC75" s="1283" t="str">
        <f>IF(A75=FALSE,"",IF(LISTES!$A$17=1,OB75,INDEX(colMOD1,MATCH(Cotations!CE75,colchoice,0))))</f>
        <v/>
      </c>
      <c r="OD75" s="759" t="str">
        <f t="shared" si="353"/>
        <v/>
      </c>
      <c r="OE75" s="292" t="str">
        <f>IF(A75=FALSE,"",Detail!CQ75)</f>
        <v/>
      </c>
      <c r="OF75" s="409" t="str">
        <f t="shared" si="354"/>
        <v/>
      </c>
      <c r="OG75" s="430" t="str">
        <f>IF(A75=FALSE,"",IF(OA75="FIXE",Cotations!CM75,Cotations!CN75*AA75))</f>
        <v/>
      </c>
      <c r="OH75" s="292" t="str">
        <f t="shared" si="288"/>
        <v/>
      </c>
      <c r="OI75" s="446" t="str">
        <f>IF(A75=FALSE,"",IF(Cotations!CF75="monthly",OH75/12*L75,OH75/365*M75))</f>
        <v/>
      </c>
      <c r="OJ75" s="429" t="str">
        <f>IF(A75=FALSE,"",IF(Cotations!CO75="","",Cotations!CO75))</f>
        <v/>
      </c>
      <c r="OK75" s="292" t="str">
        <f t="shared" si="289"/>
        <v/>
      </c>
      <c r="OL75" s="292" t="str">
        <f t="shared" si="290"/>
        <v/>
      </c>
      <c r="OM75" s="759" t="str">
        <f t="shared" si="355"/>
        <v/>
      </c>
      <c r="ON75" s="759" t="str">
        <f>IF(A75=FALSE,"",((OH75*(1+TAXE)-(OH75*(1+TAXE)*OJ75))+IF(#REF!="N/A",0,IF(INDEX(LISTES!$F$105:$F$109,MATCH(#REF!,LISTES!$C$105:$C$109,0))="FIX",#REF!,#REF!*OM75))))</f>
        <v/>
      </c>
      <c r="PA75" s="432" t="str">
        <f>IF(A75=FALSE,"",Cotations!CF75)</f>
        <v/>
      </c>
      <c r="PB75" s="1282" t="str">
        <f>IF(A75=FALSE,"",IF(Detail!CX75="","N/A",YEAR(Detail!F75)&amp;Detail!DA75&amp;Detail!CX75&amp;"-"&amp;Detail!$CX$13&amp;Detail!CY75))</f>
        <v/>
      </c>
      <c r="PC75" s="1283" t="str">
        <f>IF(A75=FALSE,"",IF(LISTES!$A$17=1,PB75,INDEX(colMOD3,MATCH(Cotations!CE75,colchoice,0))))</f>
        <v/>
      </c>
      <c r="PD75" s="759" t="str">
        <f t="shared" si="356"/>
        <v/>
      </c>
      <c r="PE75" s="292" t="str">
        <f>IF(A75=FALSE,"",IF(Detail!CY75="","",Detail!CY75))</f>
        <v/>
      </c>
      <c r="PF75" s="409" t="str">
        <f t="shared" si="291"/>
        <v/>
      </c>
      <c r="PG75" s="430" t="str">
        <f>IF(A75=FALSE,"",IF(PA75="FIXE",Cotations!CP75,Cotations!CQ75*AA75))</f>
        <v/>
      </c>
      <c r="PH75" s="292" t="str">
        <f t="shared" si="292"/>
        <v/>
      </c>
      <c r="PI75" s="446" t="str">
        <f>IF(A75=FALSE,"",IF(Cotations!CG75="monthly",PH75/12*L75,PH75/365*M75))</f>
        <v/>
      </c>
      <c r="PJ75" s="429" t="str">
        <f>IF(A75=FALSE,"",IF(Cotations!DA75="",0,Cotations!DA75))</f>
        <v/>
      </c>
      <c r="PK75" s="292" t="str">
        <f t="shared" si="293"/>
        <v/>
      </c>
      <c r="PL75" s="292" t="str">
        <f t="shared" si="294"/>
        <v/>
      </c>
      <c r="PM75" s="759" t="str">
        <f t="shared" si="357"/>
        <v/>
      </c>
      <c r="PN75" s="759" t="str">
        <f>IF(A75=FALSE,"",((PH75*(1+TAXE)-(PH75*(1+TAXE)*PJ75))+IF(#REF!="N/A",0,IF(INDEX(LISTES!$F$105:$F$109,MATCH(#REF!,LISTES!$C$105:$C$109,0))="FIX",#REF!,#REF!*PM75))))</f>
        <v/>
      </c>
    </row>
    <row r="76" spans="1:430">
      <c r="A76" s="779" t="b">
        <f t="shared" si="295"/>
        <v>0</v>
      </c>
      <c r="B76" s="779" t="b">
        <f>IF(NAMES!$B$9=TRUE,TRUE,FALSE)</f>
        <v>1</v>
      </c>
      <c r="C76" s="779" t="b">
        <f t="shared" si="212"/>
        <v>0</v>
      </c>
      <c r="D76" s="779" t="b">
        <f t="shared" si="213"/>
        <v>0</v>
      </c>
      <c r="E76" s="267" t="b">
        <f>IF(Cotations!C76="","",Cotations!C76)</f>
        <v>0</v>
      </c>
      <c r="F76" s="267" t="str">
        <f>IF(Cotations!AT76="","",Cotations!AT76)</f>
        <v>PROP</v>
      </c>
      <c r="G76" s="267" t="str">
        <f>IF(Cotations!D76="","",Cotations!D76)</f>
        <v>2016-2017!</v>
      </c>
      <c r="H76" s="267" t="str">
        <f>IF(Cotations!E76="","",Cotations!E76)</f>
        <v>SINGLE</v>
      </c>
      <c r="I76" s="267" t="str">
        <f>IF(Cotations!F76="","",Cotations!F76)</f>
        <v/>
      </c>
      <c r="J76" s="267" t="str">
        <f>IF(Cotations!G76="","",Cotations!G76)</f>
        <v/>
      </c>
      <c r="K76" s="267" t="str">
        <f>IF(Cotations!H76="","",Cotations!H76)</f>
        <v/>
      </c>
      <c r="L76" s="267" t="str">
        <f>IF(A76=FALSE,"",IF(Cotations!M76="","",Cotations!M76))</f>
        <v/>
      </c>
      <c r="M76" s="267" t="str">
        <f>IF(Cotations!O76="","",Cotations!O76)</f>
        <v/>
      </c>
      <c r="N76" s="588" t="str">
        <f>IF(NAMES!$B$10=TRUE,Cotations!I76,Cotations!K76)</f>
        <v/>
      </c>
      <c r="O76" s="588" t="str">
        <f>IF(NAMES!$B$10=TRUE,Cotations!J76,Cotations!L76)</f>
        <v/>
      </c>
      <c r="P76" s="780" t="str">
        <f t="shared" si="214"/>
        <v/>
      </c>
      <c r="Q76" s="588" t="str">
        <f>IF(A76=FALSE,"",IF(Crewlist!Y76="","",Crewlist!Y76))</f>
        <v/>
      </c>
      <c r="R76" s="78" t="str">
        <f>IF(Cotations!T76="","",Cotations!T76)</f>
        <v/>
      </c>
      <c r="S76" s="780" t="str">
        <f t="shared" si="215"/>
        <v/>
      </c>
      <c r="T76" s="759" t="str">
        <f>IF(A76=FALSE,"",VLOOKUP($U$15:$U$120,Currency!$A$2:$D$10,4,0)*Crewlist!N76)</f>
        <v/>
      </c>
      <c r="U76" s="1097" t="str">
        <f>IF(A76=FALSE,"",IF(DP76=0,Crewlist!M76&amp;"/"&amp;CP76,Crewlist!M76&amp;"/"&amp;DP76))</f>
        <v/>
      </c>
      <c r="V76" s="759" t="str">
        <f>IF(A76=FALSE,"",VLOOKUP($U$15:$U$120,Currency!$A$2:$D$10,4,0)*Detail!Q76)</f>
        <v/>
      </c>
      <c r="W76" s="1097" t="str">
        <f>IF(A76=FALSE,"",IF(DP76=0,Detail!R76&amp;"/"&amp;CP76,Detail!R76&amp;"/"&amp;DP76))</f>
        <v/>
      </c>
      <c r="X76" s="759" t="str">
        <f>IF(A76=FALSE,"",IF(LISTES!$C$17="Crewlist",Calcul!T76,Calcul!V76))</f>
        <v/>
      </c>
      <c r="Y76" s="618" t="str">
        <f t="shared" si="216"/>
        <v/>
      </c>
      <c r="Z76" s="618" t="str">
        <f>IF(A76=FALSE,"",IF(X76=0,0,IF((Cotations!BA76*12*X76)&lt;50000,50000,(12*X76))))</f>
        <v/>
      </c>
      <c r="AA76" s="618" t="str">
        <f t="shared" si="217"/>
        <v/>
      </c>
      <c r="AB76" s="618" t="str">
        <f>IF(A76=FALSE,"",IF(Crewlist!O76=0,"",Crewlist!O76))</f>
        <v/>
      </c>
      <c r="AC76" s="618" t="str">
        <f>IF(I76="","",VLOOKUP($AB$15:$AB$120,Currency!$A$15:$B$34,2,0))</f>
        <v/>
      </c>
      <c r="AD76" s="618" t="str">
        <f t="shared" si="218"/>
        <v/>
      </c>
      <c r="AE76" s="618" t="str">
        <f t="shared" si="219"/>
        <v/>
      </c>
      <c r="AF76" s="618" t="str">
        <f t="shared" si="220"/>
        <v/>
      </c>
      <c r="AG76" s="618" t="str">
        <f t="shared" si="221"/>
        <v/>
      </c>
      <c r="AH76" s="1097" t="str">
        <f t="shared" si="296"/>
        <v/>
      </c>
      <c r="AI76" s="759" t="str">
        <f t="shared" si="222"/>
        <v/>
      </c>
      <c r="AJ76" s="1120" t="str">
        <f t="shared" si="223"/>
        <v/>
      </c>
      <c r="AK76" s="1120" t="str">
        <f t="shared" si="224"/>
        <v/>
      </c>
      <c r="AL76" s="236" t="str">
        <f t="shared" si="225"/>
        <v/>
      </c>
      <c r="AM76" s="236" t="str">
        <f t="shared" si="226"/>
        <v/>
      </c>
      <c r="AN76" s="1112" t="str">
        <f t="shared" si="227"/>
        <v/>
      </c>
      <c r="AO76" s="236" t="str">
        <f t="shared" si="228"/>
        <v/>
      </c>
      <c r="AP76" s="327" t="str">
        <f>IF(A76=FALSE,"",INDEX(Rates!$Q$1:$Q$278,MATCH(CA76,colchoice,0)))</f>
        <v/>
      </c>
      <c r="AQ76" s="236" t="str">
        <f t="shared" si="229"/>
        <v/>
      </c>
      <c r="AR76" s="236" t="str">
        <f t="shared" si="230"/>
        <v/>
      </c>
      <c r="AS76" s="236" t="str">
        <f t="shared" si="297"/>
        <v/>
      </c>
      <c r="AT76" s="236" t="str">
        <f t="shared" si="298"/>
        <v/>
      </c>
      <c r="AU76" s="236" t="str">
        <f t="shared" si="231"/>
        <v/>
      </c>
      <c r="AV76" s="236" t="str">
        <f t="shared" si="232"/>
        <v/>
      </c>
      <c r="AW76" s="236" t="str">
        <f t="shared" si="233"/>
        <v/>
      </c>
      <c r="AX76" s="236" t="str">
        <f t="shared" si="234"/>
        <v/>
      </c>
      <c r="AY76" s="236" t="str">
        <f t="shared" si="235"/>
        <v/>
      </c>
      <c r="AZ76" s="236" t="str">
        <f t="shared" si="236"/>
        <v/>
      </c>
      <c r="BA76" s="236" t="str">
        <f t="shared" si="237"/>
        <v/>
      </c>
      <c r="BB76" s="467" t="str">
        <f t="shared" si="238"/>
        <v/>
      </c>
      <c r="BC76" s="329" t="str">
        <f t="shared" si="239"/>
        <v/>
      </c>
      <c r="BD76" s="237" t="str">
        <f t="shared" si="240"/>
        <v/>
      </c>
      <c r="BE76" s="237" t="str">
        <f>IF(A76=FALSE,"",IF(ED76&lt;&gt;$BC$7,0,INDEX(EA76:EZ76,1,MATCH(Structure!$J$16,$EA$14:$EZ$14,0))))</f>
        <v/>
      </c>
      <c r="BF76" s="237" t="str">
        <f>IF(A76=FALSE,"",IF(FD76&lt;&gt;$BC$7,0,INDEX(FA76:FZ76,1,MATCH(Structure!$J$16,$FA$14:$FZ$14,0))))</f>
        <v/>
      </c>
      <c r="BG76" s="237" t="str">
        <f>IF(A76=FALSE,"",IF(GD76&lt;&gt;$BC$7,0,INDEX(GA76:GZ76,1,MATCH(Structure!$J$16,$GA$14:$GZ$14,0))))</f>
        <v/>
      </c>
      <c r="BH76" s="237" t="str">
        <f>IF(A76=FALSE,"",IF(HD76&lt;&gt;$BC$7,0,INDEX(HA76:HZ76,1,MATCH(Structure!$J$16,$HA$14:$HZ$14,0))))</f>
        <v/>
      </c>
      <c r="BI76" s="621" t="str">
        <f>IF(A76=FALSE,"",IF(ID76&lt;&gt;$BC$7,0,INDEX(IA76:IZ76,1,MATCH(Structure!$C$12,$IA$14:$IZ$14,0)))+OL76)</f>
        <v/>
      </c>
      <c r="BJ76" s="237" t="str">
        <f>IF(A76=FALSE,"",IF(JD76&lt;&gt;$BC$7,0,INDEX(JA76:JZ76,1,MATCH(Structure!$C$12,$JA$14:$JZ$14,0))))</f>
        <v/>
      </c>
      <c r="BK76" s="621" t="str">
        <f>IF(A76=FALSE,"",IF(KD76&lt;&gt;$BC$7,0,INDEX(KA76:KZ76,1,MATCH(Structure!$C$12,$KA$14:$KZ$14,0)))+PL76)</f>
        <v/>
      </c>
      <c r="BL76" s="237" t="str">
        <f>IF(A76=FALSE,"",IF(LD76&lt;&gt;$BC$7,0,INDEX(LA76:LZ76,1,MATCH(Structure!$C$12,$LA$14:$LZ$14,0))))</f>
        <v/>
      </c>
      <c r="BM76" s="237" t="str">
        <f>IF(A76=FALSE,"",IF(MD76&lt;&gt;$BC$7,0,INDEX(MA76:MZ76,1,MATCH(Structure!$C$12,$MA$14:$MZ$14,0))))</f>
        <v/>
      </c>
      <c r="BN76" s="326" t="str">
        <f>IF(A76=FALSE,"",IF(ND76&lt;&gt;$BC$7,0,INDEX(NA76:OC76,1,MATCH(Structure!$C$12,$NA$14:$OC$14,0))))</f>
        <v/>
      </c>
      <c r="BO76" s="435" t="str">
        <f t="shared" si="241"/>
        <v/>
      </c>
      <c r="BP76" s="237" t="str">
        <f t="shared" si="242"/>
        <v/>
      </c>
      <c r="BQ76" s="237" t="str">
        <f>IF(A76=FALSE,"",IF(ED76&lt;&gt;$BO$7,0,INDEX(EA76:EZ76,1,MATCH(Structure!$C$12,$EA$14:$EZ$14,0))))</f>
        <v/>
      </c>
      <c r="BR76" s="237" t="str">
        <f>IF(A76=FALSE,"",IF(FD76&lt;&gt;$BO$7,0,INDEX(FA76:FZ76,1,MATCH(Structure!$C$12,$FA$14:$FZ$14,0))))</f>
        <v/>
      </c>
      <c r="BS76" s="237" t="str">
        <f>IF(A76=FALSE,"",IF(ID76&lt;&gt;$BO$7,0,INDEX(IA76:IZ76,1,MATCH(Structure!$C$13,$IA$14:$IZ$14,0))))</f>
        <v/>
      </c>
      <c r="BT76" s="237" t="str">
        <f>IF(A76=FALSE,"",IF(JD76&lt;&gt;$BO$7,0,INDEX(JA76:JZ76,1,MATCH(Structure!$C$13,$JA$14:$JZ$14,0))))</f>
        <v/>
      </c>
      <c r="BU76" s="237" t="str">
        <f>IF(A76=FALSE,"",IF(KD76&lt;&gt;$BO$7,0,INDEX(KA76:KZ76,1,MATCH(Structure!$C$13,$KA$14:$KZ$14,0))))</f>
        <v/>
      </c>
      <c r="BV76" s="237" t="str">
        <f>IF(A76=FALSE,"",IF(LD76&lt;&gt;$BO$7,0,INDEX(LA76:LZ76,1,MATCH(Structure!$C$13,$LA$14:$LZ$14,0))))</f>
        <v/>
      </c>
      <c r="BW76" s="237" t="str">
        <f>IF(A76=FALSE,"",IF(MD76&lt;&gt;$BO$7,0,INDEX(MA76:MZ76,1,MATCH(Structure!$C$13,$MA$14:$MZ$14,0))))</f>
        <v/>
      </c>
      <c r="BX76" s="326" t="str">
        <f>IF(A76=FALSE,"",IF(ND76&lt;&gt;$BO$7,0,INDEX(NA76:OC76,1,MATCH(Structure!$C$13,$NA$14:$OC$14,0))))</f>
        <v/>
      </c>
      <c r="BY76" s="412"/>
      <c r="BZ76" s="412"/>
      <c r="CA76" s="1255" t="str">
        <f>IF(A76=FALSE,"",IF(LISTES!$A$17=1,Cotations!AG76,Cotations!AH76))</f>
        <v/>
      </c>
      <c r="CB76" s="1266" t="str">
        <f t="shared" si="243"/>
        <v/>
      </c>
      <c r="CC76" s="1120" t="str">
        <f t="shared" si="244"/>
        <v/>
      </c>
      <c r="CD76" s="1120" t="str">
        <f t="shared" si="245"/>
        <v/>
      </c>
      <c r="CE76" s="1120" t="str">
        <f t="shared" si="246"/>
        <v/>
      </c>
      <c r="CF76" s="1120" t="str">
        <f t="shared" si="247"/>
        <v/>
      </c>
      <c r="CG76" s="1267"/>
      <c r="CH76" s="1267"/>
      <c r="CI76" s="1268" t="str">
        <f t="shared" si="248"/>
        <v/>
      </c>
      <c r="CJ76" s="286" t="str">
        <f t="shared" si="249"/>
        <v/>
      </c>
      <c r="CK76" s="286" t="str">
        <f t="shared" si="250"/>
        <v/>
      </c>
      <c r="CL76" s="1263"/>
      <c r="CM76" s="1263"/>
      <c r="CN76" s="1263"/>
      <c r="CO76" s="1263"/>
      <c r="CP76" s="319" t="str">
        <f t="shared" si="251"/>
        <v/>
      </c>
      <c r="CQ76" s="443" t="str">
        <f>IF(A76=FALSE,"",Cotations!AM76)</f>
        <v/>
      </c>
      <c r="CR76" s="443" t="str">
        <f>IF(A76=FALSE,"",IF(Cotations!AN76="","",Cotations!AN76))</f>
        <v/>
      </c>
      <c r="CS76" s="433" t="str">
        <f>IF(A76=FALSE,"",Cotations!AO76)</f>
        <v/>
      </c>
      <c r="CT76" s="443" t="str">
        <f>IF(A76=FALSE,"",IF(CQ76="N/A",0,IF(INDEX(LISTES!$F$105:$F$109,MATCH(CQ76,LISTES!$C$105:$C$109,0))="FIX",IF(INDEX(LISTES!$E$105:$E$109,MATCH(CQ76,LISTES!$C$105:$C$109,0))=12,CR76/12*L76,CR76/365*M76),CS76*EQ76)))</f>
        <v/>
      </c>
      <c r="CU76" s="434" t="str">
        <f>IF(A76=FALSE,"",(CJ76+CK76)*Cotations!AP76)</f>
        <v/>
      </c>
      <c r="CV76" s="434" t="str">
        <f>IF(A76=FALSE,"",(CJ76+CK76)*Cotations!AQ76)</f>
        <v/>
      </c>
      <c r="DA76" s="1253" t="str">
        <f>IF(A76=FALSE,"",IF(LISTES!$A$17=1,Cotations!AV76,Cotations!AW76))</f>
        <v/>
      </c>
      <c r="DB76" s="1271" t="str">
        <f t="shared" si="252"/>
        <v/>
      </c>
      <c r="DC76" s="1270" t="str">
        <f t="shared" si="253"/>
        <v/>
      </c>
      <c r="DD76" s="1270" t="str">
        <f t="shared" si="254"/>
        <v/>
      </c>
      <c r="DE76" s="1270" t="str">
        <f t="shared" si="255"/>
        <v/>
      </c>
      <c r="DF76" s="1270" t="str">
        <f t="shared" si="256"/>
        <v/>
      </c>
      <c r="DG76" s="1270" t="str">
        <f t="shared" si="257"/>
        <v/>
      </c>
      <c r="DH76" s="1270" t="str">
        <f t="shared" si="258"/>
        <v/>
      </c>
      <c r="DI76" s="1271" t="str">
        <f t="shared" si="259"/>
        <v/>
      </c>
      <c r="DJ76" s="286" t="str">
        <f t="shared" si="260"/>
        <v/>
      </c>
      <c r="DK76" s="286" t="str">
        <f t="shared" si="261"/>
        <v/>
      </c>
      <c r="DL76" s="1264" t="str">
        <f t="shared" si="262"/>
        <v/>
      </c>
      <c r="DM76" s="1264" t="str">
        <f t="shared" si="263"/>
        <v/>
      </c>
      <c r="DN76" s="1264" t="str">
        <f t="shared" si="264"/>
        <v/>
      </c>
      <c r="DO76" s="1264" t="str">
        <f t="shared" si="265"/>
        <v/>
      </c>
      <c r="DP76" s="323" t="str">
        <f t="shared" si="299"/>
        <v/>
      </c>
      <c r="DQ76" s="444" t="str">
        <f>IF(A76=FALSE,"",Cotations!BW76)</f>
        <v/>
      </c>
      <c r="DR76" s="444" t="str">
        <f>IF(A76=FALSE,"",Cotations!BX76)</f>
        <v/>
      </c>
      <c r="DS76" s="433" t="str">
        <f>IF(A76=FALSE,"",Cotations!BY76)</f>
        <v/>
      </c>
      <c r="DT76" s="830" t="str">
        <f>IF(A76=FALSE,"",IF(DQ76="N/A",0,IF(INDEX(LISTES!$F$105:$F$109,MATCH(DQ76,LISTES!$C$105:$C$109,0))="FIX",IF(INDEX(LISTES!$E$105:$E$109,MATCH(DQ76,LISTES!$C$105:$C$109,0))=12,DR76/12*L76,DR76/365*M76),DS76*(DN76+DO76))))</f>
        <v/>
      </c>
      <c r="DU76" s="434" t="str">
        <f>IF(A76=FALSE,"",DJ76*Cotations!BZ76)</f>
        <v/>
      </c>
      <c r="DV76" s="434" t="str">
        <f>IF(A76=FALSE,"",DJ76*Cotations!CA76)</f>
        <v/>
      </c>
      <c r="EA76" s="432" t="str">
        <f>IF(A76=FALSE,"",Cotations!AT76)</f>
        <v/>
      </c>
      <c r="EB76" s="1234" t="str">
        <f>IF(A76=FALSE,"",YEAR(Detail!F76)&amp;Detail!AG76&amp;Detail!AD76&amp;"-"&amp;Detail!$AD$13&amp;Detail!AE76)</f>
        <v/>
      </c>
      <c r="EC76" s="434" t="str">
        <f>IF(A76=FALSE,"",IF(LISTES!$A$17=1,EB76,INDEX(colMOD1,MATCH(Cotations!AH76,colchoice,0))))</f>
        <v/>
      </c>
      <c r="ED76" s="277" t="str">
        <f t="shared" si="300"/>
        <v/>
      </c>
      <c r="EE76" s="277" t="str">
        <f t="shared" si="301"/>
        <v/>
      </c>
      <c r="EF76" s="277"/>
      <c r="EG76" s="277"/>
      <c r="EH76" s="277" t="str">
        <f t="shared" si="302"/>
        <v/>
      </c>
      <c r="EI76" s="1104" t="str">
        <f t="shared" si="303"/>
        <v/>
      </c>
      <c r="EJ76" s="1104" t="str">
        <f t="shared" si="304"/>
        <v/>
      </c>
      <c r="EK76" s="443" t="str">
        <f>IF(A76=FALSE,"",IF(Cotations!AF76="monthly",EH76/12*L76,EH76/365*M76))</f>
        <v/>
      </c>
      <c r="EL76" s="1103" t="str">
        <f>IF(A76=FALSE,"",IF(Cotations!AF76="monthly",EJ76/12*L76,EJ76/365*M76))</f>
        <v/>
      </c>
      <c r="EM76" s="433" t="str">
        <f>IF(A76=FALSE,"",IF(Cotations!AI76="","",Cotations!AI76))</f>
        <v/>
      </c>
      <c r="EN76" s="277" t="str">
        <f t="shared" si="305"/>
        <v/>
      </c>
      <c r="EO76" s="277" t="str">
        <f t="shared" si="306"/>
        <v/>
      </c>
      <c r="EP76" s="1104" t="str">
        <f t="shared" si="307"/>
        <v/>
      </c>
      <c r="EQ76" s="277" t="str">
        <f t="shared" si="308"/>
        <v/>
      </c>
      <c r="ER76" s="759" t="str">
        <f>IF(A76=FALSE,"",((EH76*TAXE)-(EH76*TAXE*EM76)+EI76)+IF(CQ76="N/A",0,IF(INDEX(LISTES!$F$105:$F$109,MATCH(CQ76,LISTES!$C$105:$C$109,0))="FIX",CR76,CS76*EQ76)))</f>
        <v/>
      </c>
      <c r="ET76" s="422"/>
      <c r="EU76" s="422"/>
      <c r="EV76" s="422"/>
      <c r="EW76" s="422"/>
      <c r="EX76" s="422"/>
      <c r="EY76" s="422"/>
      <c r="EZ76" s="422"/>
      <c r="FA76" s="432" t="str">
        <f>IF(A76=FALSE,"",Cotations!AT76)</f>
        <v/>
      </c>
      <c r="FB76" s="1235" t="str">
        <f>IF(A76=FALSE,"",IF(Detail!AL76="","N/A",YEAR(Detail!F76)&amp;Detail!AO76&amp;Detail!AL76&amp;"-"&amp;Detail!$AL$13&amp;Detail!AM76))</f>
        <v/>
      </c>
      <c r="FC76" s="434" t="str">
        <f>IF(A76=FALSE,"",IF(LISTES!$A$17=1,FB76,INDEX(colMOD2,MATCH(Cotations!AH76,colchoice,0))))</f>
        <v/>
      </c>
      <c r="FD76" s="277" t="str">
        <f t="shared" si="309"/>
        <v/>
      </c>
      <c r="FE76" s="443" t="str">
        <f>IF(A76=FALSE,"",IF(Detail!AM76="","",Detail!AM76))</f>
        <v/>
      </c>
      <c r="FF76" s="277"/>
      <c r="FG76" s="277"/>
      <c r="FH76" s="277" t="str">
        <f t="shared" si="310"/>
        <v/>
      </c>
      <c r="FI76" s="1104"/>
      <c r="FJ76" s="1104"/>
      <c r="FK76" s="443" t="str">
        <f>IF(A76=FALSE,"",IF(Cotations!AF76="monthly",FH76/12*L76,FH76/365*M76))</f>
        <v/>
      </c>
      <c r="FL76" s="1103" t="str">
        <f>IF(A76=FALSE,"",IF(Cotations!AF76="monthly",FJ76/12*L76,FJ76/365*M76))</f>
        <v/>
      </c>
      <c r="FM76" s="433" t="str">
        <f>IF(A76=FALSE,"",IF(Cotations!AJ76="","",Cotations!AJ76))</f>
        <v/>
      </c>
      <c r="FN76" s="277" t="str">
        <f t="shared" si="268"/>
        <v/>
      </c>
      <c r="FO76" s="277" t="str">
        <f t="shared" si="269"/>
        <v/>
      </c>
      <c r="FP76" s="1104"/>
      <c r="FQ76" s="277" t="str">
        <f t="shared" si="270"/>
        <v/>
      </c>
      <c r="FR76" s="759" t="str">
        <f>IF(A76=FALSE,"",((FH76*TAXE)-(FH76*TAXE*FM76))+IF(#REF!="N/A",0,IF(INDEX(LISTES!$F$105:$F$109,MATCH(#REF!,LISTES!$C$105:$C$109,0))="FIX",#REF!,#REF!*FQ76)))</f>
        <v/>
      </c>
      <c r="FS76" s="422"/>
      <c r="FT76" s="422"/>
      <c r="FU76" s="422"/>
      <c r="FV76" s="422"/>
      <c r="FW76" s="422"/>
      <c r="FX76" s="422"/>
      <c r="FY76" s="422"/>
      <c r="FZ76" s="422"/>
      <c r="GA76" s="432" t="str">
        <f t="shared" si="311"/>
        <v/>
      </c>
      <c r="GB76" s="1234" t="str">
        <f>IF(A76=FALSE,"",IF(Detail!DF76="","N/A",YEAR(Detail!F76)&amp;Detail!DI76&amp;Detail!DF76&amp;"-"&amp;Detail!$DF$13))</f>
        <v/>
      </c>
      <c r="GC76" s="434" t="str">
        <f>IF(A76=FALSE,"",IF(LISTES!$A$17=1,GB76,INDEX(colMOD3,MATCH(Cotations!AH76,colchoice,0))))</f>
        <v/>
      </c>
      <c r="GD76" s="277" t="str">
        <f t="shared" si="312"/>
        <v/>
      </c>
      <c r="GE76" s="277" t="str">
        <f t="shared" si="313"/>
        <v/>
      </c>
      <c r="GF76" s="277"/>
      <c r="GG76" s="277"/>
      <c r="GH76" s="277" t="str">
        <f t="shared" si="271"/>
        <v/>
      </c>
      <c r="GI76" s="1104" t="str">
        <f t="shared" si="272"/>
        <v/>
      </c>
      <c r="GJ76" s="1104" t="str">
        <f t="shared" si="273"/>
        <v/>
      </c>
      <c r="GK76" s="443" t="str">
        <f>IF(A76=FALSE,"",IF(Cotations!AF76="monthly",GH76/12*L76,GH76/365*M76))</f>
        <v/>
      </c>
      <c r="GL76" s="1103" t="str">
        <f>IF(A76=FALSE,"",IF(Cotations!AF76="monthly",GJ76/12*L76,GJ76/365*M76))</f>
        <v/>
      </c>
      <c r="GM76" s="433" t="str">
        <f>IF(A76=FALSE,"",IF(Cotations!AK76="","",Cotations!AK76))</f>
        <v/>
      </c>
      <c r="GN76" s="277" t="str">
        <f t="shared" si="274"/>
        <v/>
      </c>
      <c r="GO76" s="277" t="str">
        <f t="shared" si="275"/>
        <v/>
      </c>
      <c r="GP76" s="1104" t="str">
        <f t="shared" si="276"/>
        <v/>
      </c>
      <c r="GQ76" s="277" t="str">
        <f t="shared" si="277"/>
        <v/>
      </c>
      <c r="GR76" s="759" t="str">
        <f>IF(A76=FALSE,"",((GH76*TAXE)-(GH76*TAXE*GM76)+GI76)+IF(CQ76="N/A",0,IF(INDEX(LISTES!$F$105:$F$109,MATCH(CQ76,LISTES!$C$105:$C$109,0))="FIX",CR76,CS76*GQ76)))</f>
        <v/>
      </c>
      <c r="GS76" s="412"/>
      <c r="GT76" s="412"/>
      <c r="GU76" s="412"/>
      <c r="GV76" s="412"/>
      <c r="GW76" s="412"/>
      <c r="GX76" s="412"/>
      <c r="GY76" s="412"/>
      <c r="GZ76" s="412"/>
      <c r="HA76" s="432" t="str">
        <f t="shared" si="314"/>
        <v/>
      </c>
      <c r="HB76" s="1234" t="str">
        <f>IF(A76=FALSE,"",IF(Detail!DF76="","N/A",YEAR(Detail!F76)&amp;Detail!DI76&amp;Detail!DF76&amp;"-"&amp;Detail!$DF$13))</f>
        <v/>
      </c>
      <c r="HC76" s="434" t="str">
        <f>IF(A76=FALSE,"",IF(LISTES!$A$17=1,HB76,INDEX(colMOD4,MATCH(Cotations!AH76,colchoice,0))))</f>
        <v/>
      </c>
      <c r="HD76" s="277" t="str">
        <f t="shared" si="278"/>
        <v/>
      </c>
      <c r="HE76" s="277" t="str">
        <f t="shared" si="279"/>
        <v/>
      </c>
      <c r="HF76" s="277"/>
      <c r="HG76" s="277"/>
      <c r="HH76" s="277" t="str">
        <f t="shared" si="280"/>
        <v/>
      </c>
      <c r="HI76" s="1104" t="str">
        <f t="shared" si="281"/>
        <v/>
      </c>
      <c r="HJ76" s="1104" t="str">
        <f t="shared" si="282"/>
        <v/>
      </c>
      <c r="HK76" s="443" t="str">
        <f>IF(A76=FALSE,"",IF(Cotations!AF76="monthly",HH76/12*L76,HH76/365*M76))</f>
        <v/>
      </c>
      <c r="HL76" s="1103" t="str">
        <f>IF(A76=FALSE,"",IF(Cotations!AF76="monthly",HJ76/12*L76,HJ76/365*M76))</f>
        <v/>
      </c>
      <c r="HM76" s="433" t="str">
        <f>IF(A76=FALSE,"",IF(Cotations!AL76="","",Cotations!AL76))</f>
        <v/>
      </c>
      <c r="HN76" s="277" t="str">
        <f t="shared" si="283"/>
        <v/>
      </c>
      <c r="HO76" s="277" t="str">
        <f t="shared" si="284"/>
        <v/>
      </c>
      <c r="HP76" s="1104" t="str">
        <f t="shared" si="285"/>
        <v/>
      </c>
      <c r="HQ76" s="277" t="str">
        <f t="shared" si="286"/>
        <v/>
      </c>
      <c r="HR76" s="759" t="str">
        <f>IF(A76=FALSE,"",((HH76*TAXE)-(HH76*TAXE*HM76)+HI76)+IF(CQ76="N/A",0,IF(INDEX(LISTES!$F$105:$F$109,MATCH(CQ76,LISTES!$C$105:$C$109,0))="FIX",CR76,CS76*HQ76)))</f>
        <v/>
      </c>
      <c r="HS76" s="412"/>
      <c r="HT76" s="412"/>
      <c r="HU76" s="412"/>
      <c r="HV76" s="412"/>
      <c r="HW76" s="412"/>
      <c r="HX76" s="412"/>
      <c r="HY76" s="412"/>
      <c r="HZ76" s="1262"/>
      <c r="IA76" s="432" t="str">
        <f>IF(A76=FALSE,"",Cotations!AT76)</f>
        <v/>
      </c>
      <c r="IB76" s="1253" t="str">
        <f>IF(A76=FALSE,"",IF(Detail!AT76="","N/A",YEAR(Detail!F76)&amp;Detail!AW76&amp;Detail!AT76&amp;"-"&amp;Detail!$AT$13&amp;Detail!AU76))</f>
        <v/>
      </c>
      <c r="IC76" s="431" t="str">
        <f>IF(A76=FALSE,"",IF(LISTES!$A$17=1,IB76,INDEX(colMOD1,MATCH(DA76,colchoice,0))))</f>
        <v/>
      </c>
      <c r="ID76" s="759" t="str">
        <f t="shared" si="358"/>
        <v/>
      </c>
      <c r="IE76" s="292" t="str">
        <f>IF(A76=FALSE,"",IF(LISTES!$A$17=1,Detail!AU76,INDEX(Rates!$M$1:$M$270,MATCH(IC76,colMOD1,0))))</f>
        <v/>
      </c>
      <c r="IF76" s="409" t="str">
        <f t="shared" si="359"/>
        <v/>
      </c>
      <c r="IG76" s="430" t="str">
        <f>IF(A76=FALSE,"",IF(IA76="POEA",Cotations!AY76,IF(IA76="FIXE",Cotations!AZ76,IF(Cotations!BA76*Y76&lt;50000,Z76,Cotations!BA76*Y76))))</f>
        <v/>
      </c>
      <c r="IH76" s="292" t="str">
        <f t="shared" si="360"/>
        <v/>
      </c>
      <c r="II76" s="446" t="str">
        <f>IF(A76=FALSE,"",IF(Cotations!AU76="monthly",IH76/12*L76,IH76/365*M76))</f>
        <v/>
      </c>
      <c r="IJ76" s="429" t="str">
        <f>IF(A76=FALSE,"",IF(Cotations!BB76="","",Cotations!BB76))</f>
        <v/>
      </c>
      <c r="IK76" s="292" t="str">
        <f t="shared" si="361"/>
        <v/>
      </c>
      <c r="IL76" s="292" t="str">
        <f t="shared" si="362"/>
        <v/>
      </c>
      <c r="IM76" s="759" t="str">
        <f t="shared" si="363"/>
        <v/>
      </c>
      <c r="IN76" s="759" t="str">
        <f>IF(A76=FALSE,"",((IH76*TAXE)-(IH76*TAXE*IJ76))+IF(DQ76="N/A",0,IF(INDEX(LISTES!$F$105:$F$109,MATCH(DQ76,LISTES!$C$105:$C$109,0))="FIX",DR76,DS76*IM76)))</f>
        <v/>
      </c>
      <c r="JA76" s="432" t="str">
        <f>IF(A76=FALSE,"",Cotations!AT76)</f>
        <v/>
      </c>
      <c r="JB76" s="1234" t="str">
        <f>IF(A76=FALSE,"",IF(Detail!BB76="","N/A",YEAR(Detail!F76)&amp;Detail!BE76&amp;Detail!BB76&amp;"-"&amp;Detail!$BB$13&amp;Detail!BC76))</f>
        <v/>
      </c>
      <c r="JC76" s="431" t="str">
        <f>IF(A76=FALSE,"",IF(LISTES!$A$17=1,JB76,INDEX(colMOD2,MATCH(DA76,colchoice,0))))</f>
        <v/>
      </c>
      <c r="JD76" s="759" t="str">
        <f t="shared" si="321"/>
        <v/>
      </c>
      <c r="JE76" s="292"/>
      <c r="JF76" s="409" t="str">
        <f t="shared" si="322"/>
        <v/>
      </c>
      <c r="JG76" s="430" t="str">
        <f>IF(A76=FALSE,"",IF(JA76="POEA",Cotations!BC76,IF(JA76="FIXE",Cotations!BD76,IF(Cotations!BE76*Y76&lt;50000,Z76,Cotations!BE76*Y76))))</f>
        <v/>
      </c>
      <c r="JH76" s="292" t="str">
        <f t="shared" si="323"/>
        <v/>
      </c>
      <c r="JI76" s="446" t="str">
        <f>IF(A76=FALSE,"",IF(Cotations!AU76="monthly",JH76/12*L76,JH76/365*M76))</f>
        <v/>
      </c>
      <c r="JJ76" s="429" t="str">
        <f>IF(A76=FALSE,"",IF(Cotations!BF76="","",Cotations!BF76))</f>
        <v/>
      </c>
      <c r="JK76" s="292" t="str">
        <f t="shared" si="324"/>
        <v/>
      </c>
      <c r="JL76" s="292" t="str">
        <f t="shared" si="325"/>
        <v/>
      </c>
      <c r="JM76" s="759" t="str">
        <f t="shared" si="326"/>
        <v/>
      </c>
      <c r="JN76" s="759" t="str">
        <f>IF(A76=FALSE,"",((JH76*TAXE)-(JH76*TAXE*JJ76))+IF(#REF!="N/A",0,IF(INDEX(LISTES!$F$105:$F$109,MATCH(#REF!,LISTES!$C$105:$C$109,0))="FIX",#REF!,#REF!*JM76)))</f>
        <v/>
      </c>
      <c r="KA76" s="432" t="str">
        <f>IF(A76=FALSE,"",Cotations!AT76)</f>
        <v/>
      </c>
      <c r="KB76" s="1234" t="str">
        <f>IF(A76=FALSE,"",IF(Detail!BJ76="","N/A",YEAR(Detail!F76)&amp;Detail!BM76&amp;Detail!BJ76&amp;"-"&amp;Detail!$BJ$13&amp;Detail!BK76))</f>
        <v/>
      </c>
      <c r="KC76" s="431" t="str">
        <f>IF(A76=FALSE,"",IF(LISTES!$A$17=1,KB76,INDEX(colMOD3,MATCH(DA76,colchoice,0))))</f>
        <v/>
      </c>
      <c r="KD76" s="759" t="str">
        <f t="shared" si="327"/>
        <v/>
      </c>
      <c r="KE76" s="292"/>
      <c r="KF76" s="409" t="str">
        <f t="shared" si="328"/>
        <v/>
      </c>
      <c r="KG76" s="430" t="str">
        <f>IF(A76=FALSE,"",IF(KA76="POEA",Cotations!BG76,IF(KA76="FIXE",Cotations!BH76,IF(Cotations!BI76*Y76&lt;50000,Z76,Cotations!BI76*Y76))))</f>
        <v/>
      </c>
      <c r="KH76" s="292" t="str">
        <f t="shared" si="329"/>
        <v/>
      </c>
      <c r="KI76" s="446" t="str">
        <f>IF(A76=FALSE,"",IF(Cotations!AU76="monthly",KH76/12*L76,KH76/365*M76))</f>
        <v/>
      </c>
      <c r="KJ76" s="429" t="str">
        <f>IF(A76=FALSE,"",IF(Cotations!BJ76="","",Cotations!BJ76))</f>
        <v/>
      </c>
      <c r="KK76" s="292" t="str">
        <f t="shared" si="330"/>
        <v/>
      </c>
      <c r="KL76" s="292" t="str">
        <f t="shared" si="331"/>
        <v/>
      </c>
      <c r="KM76" s="759" t="str">
        <f t="shared" si="332"/>
        <v/>
      </c>
      <c r="KN76" s="759" t="str">
        <f>IF(A76=FALSE,"",((KH76*TAXE)-(KH76*TAXE*KJ76))+IF(#REF!="N/A",0,IF(INDEX(LISTES!$F$105:$F$109,MATCH(#REF!,LISTES!$C$105:$C$109,0))="FIX",#REF!,#REF!*KM76)))</f>
        <v/>
      </c>
      <c r="LA76" s="432" t="str">
        <f>IF(A76=FALSE,"",Cotations!AT76)</f>
        <v/>
      </c>
      <c r="LB76" s="1234" t="str">
        <f>IF(A76=FALSE,"",IF(Detail!BR76="","N/A",YEAR(Detail!F76)&amp;Detail!BU76&amp;Detail!BR76&amp;"-"&amp;Detail!$BR$13&amp;Detail!BS76))</f>
        <v/>
      </c>
      <c r="LC76" s="431" t="str">
        <f>IF(A76=FALSE,"",IF(LISTES!$A$17=1,LB76,INDEX(colMOD4,MATCH(DA76,colchoice,0))))</f>
        <v/>
      </c>
      <c r="LD76" s="759" t="str">
        <f t="shared" si="333"/>
        <v/>
      </c>
      <c r="LE76" s="292"/>
      <c r="LF76" s="409" t="str">
        <f t="shared" si="334"/>
        <v/>
      </c>
      <c r="LG76" s="430" t="str">
        <f>IF(A76=FALSE,"",IF(LA76="POEA",Cotations!BK76,IF(LA76="FIXE",Cotations!BL76,IF(Cotations!BM76*Y76&lt;50000,Z76,Cotations!BM76*Y76))))</f>
        <v/>
      </c>
      <c r="LH76" s="292" t="str">
        <f t="shared" si="335"/>
        <v/>
      </c>
      <c r="LI76" s="446" t="str">
        <f>IF(A76=FALSE,"",IF(Cotations!AU76="monthly",LH76/12*L76,LH76/365*M76))</f>
        <v/>
      </c>
      <c r="LJ76" s="429" t="str">
        <f>IF(A76=FALSE,"",IF(Cotations!BN76="","",Cotations!BN76))</f>
        <v/>
      </c>
      <c r="LK76" s="292" t="str">
        <f t="shared" si="336"/>
        <v/>
      </c>
      <c r="LL76" s="292" t="str">
        <f t="shared" si="337"/>
        <v/>
      </c>
      <c r="LM76" s="759" t="str">
        <f t="shared" si="338"/>
        <v/>
      </c>
      <c r="LN76" s="759" t="str">
        <f>IF(A76=FALSE,"",((LH76*TAXE)-(LH76*TAXE*LJ76))+IF(#REF!="N/A",0,IF(INDEX(LISTES!$F$105:$F$109,MATCH(#REF!,LISTES!$C$105:$C$109,0))="FIX",#REF!,#REF!*LM76)))</f>
        <v/>
      </c>
      <c r="MA76" s="432" t="str">
        <f t="shared" si="339"/>
        <v/>
      </c>
      <c r="MB76" s="1234" t="str">
        <f>IF(A76=FALSE,"",IF(Detail!BZ76="","N/A",YEAR(Detail!F76)&amp;Detail!CC76&amp;Detail!BZ76&amp;"-"&amp;Detail!$BZ$13&amp;" (100%/"&amp;Detail!CD76&amp;"/"&amp;Detail!CE76&amp;")"))</f>
        <v/>
      </c>
      <c r="MC76" s="431" t="str">
        <f>IF(A76=FALSE,"",IF(LISTES!$A$17=1,MB76,INDEX(colMOD5,MATCH(DA76,colchoice,0))))</f>
        <v/>
      </c>
      <c r="MD76" s="759" t="str">
        <f t="shared" si="340"/>
        <v/>
      </c>
      <c r="ME76" s="292"/>
      <c r="MF76" s="409" t="str">
        <f t="shared" si="341"/>
        <v/>
      </c>
      <c r="MG76" s="430" t="str">
        <f>IF(A76=FALSE,"",Cotations!BQ76*AA76)</f>
        <v/>
      </c>
      <c r="MH76" s="292" t="str">
        <f t="shared" si="342"/>
        <v/>
      </c>
      <c r="MI76" s="446" t="str">
        <f>IF(A76=FALSE,"",IF(Cotations!AU76="monthly",MH76/12*L76,MH76/365*M76))</f>
        <v/>
      </c>
      <c r="MJ76" s="429" t="str">
        <f>IF(A76=FALSE,"",IF(Cotations!BR76="","",Cotations!BR76))</f>
        <v/>
      </c>
      <c r="MK76" s="292" t="str">
        <f t="shared" si="343"/>
        <v/>
      </c>
      <c r="ML76" s="292" t="str">
        <f t="shared" si="344"/>
        <v/>
      </c>
      <c r="MM76" s="759" t="str">
        <f t="shared" si="345"/>
        <v/>
      </c>
      <c r="MN76" s="759" t="str">
        <f>IF(A76=FALSE,"",((MH76*TAXE)-(MH76*TAXE*MJ76))+IF(#REF!="N/A",0,IF(INDEX(LISTES!$F$105:$F$109,MATCH(#REF!,LISTES!$C$105:$C$109,0))="FIX",#REF!,#REF!*MM76)))</f>
        <v/>
      </c>
      <c r="NA76" s="432" t="str">
        <f t="shared" si="346"/>
        <v/>
      </c>
      <c r="NB76" s="1234" t="str">
        <f>IF(A76=FALSE,"",IF(Detail!CH76="","N/A",YEAR(Detail!F76)&amp;Detail!CK76&amp;Detail!CH76&amp;"-"&amp;Detail!$CH$13&amp;" (100%/"&amp;Detail!CL76&amp;"/"&amp;Detail!CM76&amp;")"))</f>
        <v/>
      </c>
      <c r="NC76" s="431" t="str">
        <f>IF(A76=FALSE,"",IF(LISTES!$A$17=1,NB76,INDEX(colMOD6,MATCH(DA76,colchoice,0))))</f>
        <v/>
      </c>
      <c r="ND76" s="759" t="str">
        <f t="shared" si="347"/>
        <v/>
      </c>
      <c r="NE76" s="292"/>
      <c r="NF76" s="409" t="str">
        <f t="shared" si="348"/>
        <v/>
      </c>
      <c r="NG76" s="430" t="str">
        <f>IF(A76=FALSE,"",Cotations!BU76*AA76)</f>
        <v/>
      </c>
      <c r="NH76" s="292" t="str">
        <f t="shared" si="349"/>
        <v/>
      </c>
      <c r="NI76" s="446" t="str">
        <f>IF(A76=FALSE,"",IF(Cotations!AU76="monthly",NH76/12*L76,NH76/365*M76))</f>
        <v/>
      </c>
      <c r="NJ76" s="429" t="str">
        <f>IF(A76=FALSE,"",IF(Cotations!BV76="","",Cotations!BV76))</f>
        <v/>
      </c>
      <c r="NK76" s="292" t="str">
        <f t="shared" si="350"/>
        <v/>
      </c>
      <c r="NL76" s="292" t="str">
        <f t="shared" si="351"/>
        <v/>
      </c>
      <c r="NM76" s="759" t="str">
        <f t="shared" si="352"/>
        <v/>
      </c>
      <c r="NN76" s="759" t="str">
        <f>IF(A76=FALSE,"",((NH76*TAXE)-(NH76*TAXE*NJ76))+IF(#REF!="N/A",0,IF(INDEX(LISTES!$F$105:$F$109,MATCH(#REF!,LISTES!$C$105:$C$109,0))="FIX",#REF!,#REF!*NM76)))</f>
        <v/>
      </c>
      <c r="NZ76" s="1281" t="str">
        <f>IF(A76=FALSE,"",IF(Detail!CP76="","N/A",YEAR(Detail!F76)&amp;Detail!CS76&amp;Detail!CP76&amp;"-"&amp;Detail!CQ76))</f>
        <v/>
      </c>
      <c r="OA76" s="432" t="str">
        <f>IF(A76=FALSE,"",Cotations!CF76)</f>
        <v/>
      </c>
      <c r="OB76" s="1282" t="str">
        <f>IF(A76=FALSE,"",IF(Detail!CP76="","N/A",YEAR(Detail!F76)&amp;Detail!CS76&amp;Detail!CP76&amp;"-"&amp;Detail!$CP$13&amp;Detail!CQ76))</f>
        <v/>
      </c>
      <c r="OC76" s="1283" t="str">
        <f>IF(A76=FALSE,"",IF(LISTES!$A$17=1,OB76,INDEX(colMOD1,MATCH(Cotations!CE76,colchoice,0))))</f>
        <v/>
      </c>
      <c r="OD76" s="759" t="str">
        <f t="shared" si="353"/>
        <v/>
      </c>
      <c r="OE76" s="292" t="str">
        <f>IF(A76=FALSE,"",Detail!CQ76)</f>
        <v/>
      </c>
      <c r="OF76" s="409" t="str">
        <f t="shared" si="354"/>
        <v/>
      </c>
      <c r="OG76" s="430" t="str">
        <f>IF(A76=FALSE,"",IF(OA76="FIXE",Cotations!CM76,Cotations!CN76*AA76))</f>
        <v/>
      </c>
      <c r="OH76" s="292" t="str">
        <f t="shared" si="288"/>
        <v/>
      </c>
      <c r="OI76" s="446" t="str">
        <f>IF(A76=FALSE,"",IF(Cotations!CF76="monthly",OH76/12*L76,OH76/365*M76))</f>
        <v/>
      </c>
      <c r="OJ76" s="429" t="str">
        <f>IF(A76=FALSE,"",IF(Cotations!CO76="","",Cotations!CO76))</f>
        <v/>
      </c>
      <c r="OK76" s="292" t="str">
        <f t="shared" si="289"/>
        <v/>
      </c>
      <c r="OL76" s="292" t="str">
        <f t="shared" si="290"/>
        <v/>
      </c>
      <c r="OM76" s="759" t="str">
        <f t="shared" si="355"/>
        <v/>
      </c>
      <c r="ON76" s="759" t="str">
        <f>IF(A76=FALSE,"",((OH76*(1+TAXE)-(OH76*(1+TAXE)*OJ76))+IF(#REF!="N/A",0,IF(INDEX(LISTES!$F$105:$F$109,MATCH(#REF!,LISTES!$C$105:$C$109,0))="FIX",#REF!,#REF!*OM76))))</f>
        <v/>
      </c>
      <c r="PA76" s="432" t="str">
        <f>IF(A76=FALSE,"",Cotations!CF76)</f>
        <v/>
      </c>
      <c r="PB76" s="1282" t="str">
        <f>IF(A76=FALSE,"",IF(Detail!CX76="","N/A",YEAR(Detail!F76)&amp;Detail!DA76&amp;Detail!CX76&amp;"-"&amp;Detail!$CX$13&amp;Detail!CY76))</f>
        <v/>
      </c>
      <c r="PC76" s="1283" t="str">
        <f>IF(A76=FALSE,"",IF(LISTES!$A$17=1,PB76,INDEX(colMOD3,MATCH(Cotations!CE76,colchoice,0))))</f>
        <v/>
      </c>
      <c r="PD76" s="759" t="str">
        <f t="shared" si="356"/>
        <v/>
      </c>
      <c r="PE76" s="292" t="str">
        <f>IF(A76=FALSE,"",IF(Detail!CY76="","",Detail!CY76))</f>
        <v/>
      </c>
      <c r="PF76" s="409" t="str">
        <f t="shared" si="291"/>
        <v/>
      </c>
      <c r="PG76" s="430" t="str">
        <f>IF(A76=FALSE,"",IF(PA76="FIXE",Cotations!CP76,Cotations!CQ76*AA76))</f>
        <v/>
      </c>
      <c r="PH76" s="292" t="str">
        <f t="shared" si="292"/>
        <v/>
      </c>
      <c r="PI76" s="446" t="str">
        <f>IF(A76=FALSE,"",IF(Cotations!CG76="monthly",PH76/12*L76,PH76/365*M76))</f>
        <v/>
      </c>
      <c r="PJ76" s="429" t="str">
        <f>IF(A76=FALSE,"",IF(Cotations!DA76="",0,Cotations!DA76))</f>
        <v/>
      </c>
      <c r="PK76" s="292" t="str">
        <f t="shared" si="293"/>
        <v/>
      </c>
      <c r="PL76" s="292" t="str">
        <f t="shared" si="294"/>
        <v/>
      </c>
      <c r="PM76" s="759" t="str">
        <f t="shared" si="357"/>
        <v/>
      </c>
      <c r="PN76" s="759" t="str">
        <f>IF(A76=FALSE,"",((PH76*(1+TAXE)-(PH76*(1+TAXE)*PJ76))+IF(#REF!="N/A",0,IF(INDEX(LISTES!$F$105:$F$109,MATCH(#REF!,LISTES!$C$105:$C$109,0))="FIX",#REF!,#REF!*PM76))))</f>
        <v/>
      </c>
    </row>
    <row r="77" spans="1:430">
      <c r="A77" s="779" t="b">
        <f t="shared" si="295"/>
        <v>0</v>
      </c>
      <c r="B77" s="779" t="b">
        <f>IF(NAMES!$B$9=TRUE,TRUE,FALSE)</f>
        <v>1</v>
      </c>
      <c r="C77" s="779" t="b">
        <f t="shared" si="212"/>
        <v>0</v>
      </c>
      <c r="D77" s="779" t="b">
        <f t="shared" si="213"/>
        <v>0</v>
      </c>
      <c r="E77" s="267" t="b">
        <f>IF(Cotations!C77="","",Cotations!C77)</f>
        <v>0</v>
      </c>
      <c r="F77" s="267" t="str">
        <f>IF(Cotations!AT77="","",Cotations!AT77)</f>
        <v>PROP</v>
      </c>
      <c r="G77" s="267" t="str">
        <f>IF(Cotations!D77="","",Cotations!D77)</f>
        <v>2016-2017!</v>
      </c>
      <c r="H77" s="267" t="str">
        <f>IF(Cotations!E77="","",Cotations!E77)</f>
        <v>SINGLE</v>
      </c>
      <c r="I77" s="267" t="str">
        <f>IF(Cotations!F77="","",Cotations!F77)</f>
        <v/>
      </c>
      <c r="J77" s="267" t="str">
        <f>IF(Cotations!G77="","",Cotations!G77)</f>
        <v/>
      </c>
      <c r="K77" s="267" t="str">
        <f>IF(Cotations!H77="","",Cotations!H77)</f>
        <v/>
      </c>
      <c r="L77" s="267" t="str">
        <f>IF(A77=FALSE,"",IF(Cotations!M77="","",Cotations!M77))</f>
        <v/>
      </c>
      <c r="M77" s="267" t="str">
        <f>IF(Cotations!O77="","",Cotations!O77)</f>
        <v/>
      </c>
      <c r="N77" s="588" t="str">
        <f>IF(NAMES!$B$10=TRUE,Cotations!I77,Cotations!K77)</f>
        <v/>
      </c>
      <c r="O77" s="588" t="str">
        <f>IF(NAMES!$B$10=TRUE,Cotations!J77,Cotations!L77)</f>
        <v/>
      </c>
      <c r="P77" s="780" t="str">
        <f t="shared" si="214"/>
        <v/>
      </c>
      <c r="Q77" s="588" t="str">
        <f>IF(A77=FALSE,"",IF(Crewlist!Y77="","",Crewlist!Y77))</f>
        <v/>
      </c>
      <c r="R77" s="78" t="str">
        <f>IF(Cotations!T77="","",Cotations!T77)</f>
        <v/>
      </c>
      <c r="S77" s="780" t="str">
        <f t="shared" si="215"/>
        <v/>
      </c>
      <c r="T77" s="759" t="str">
        <f>IF(A77=FALSE,"",VLOOKUP($U$15:$U$120,Currency!$A$2:$D$10,4,0)*Crewlist!N77)</f>
        <v/>
      </c>
      <c r="U77" s="1097" t="str">
        <f>IF(A77=FALSE,"",IF(DP77=0,Crewlist!M77&amp;"/"&amp;CP77,Crewlist!M77&amp;"/"&amp;DP77))</f>
        <v/>
      </c>
      <c r="V77" s="759" t="str">
        <f>IF(A77=FALSE,"",VLOOKUP($U$15:$U$120,Currency!$A$2:$D$10,4,0)*Detail!Q77)</f>
        <v/>
      </c>
      <c r="W77" s="1097" t="str">
        <f>IF(A77=FALSE,"",IF(DP77=0,Detail!R77&amp;"/"&amp;CP77,Detail!R77&amp;"/"&amp;DP77))</f>
        <v/>
      </c>
      <c r="X77" s="759" t="str">
        <f>IF(A77=FALSE,"",IF(LISTES!$C$17="Crewlist",Calcul!T77,Calcul!V77))</f>
        <v/>
      </c>
      <c r="Y77" s="618" t="str">
        <f t="shared" si="216"/>
        <v/>
      </c>
      <c r="Z77" s="618" t="str">
        <f>IF(A77=FALSE,"",IF(X77=0,0,IF((Cotations!BA77*12*X77)&lt;50000,50000,(12*X77))))</f>
        <v/>
      </c>
      <c r="AA77" s="618" t="str">
        <f t="shared" si="217"/>
        <v/>
      </c>
      <c r="AB77" s="618" t="str">
        <f>IF(A77=FALSE,"",IF(Crewlist!O77=0,"",Crewlist!O77))</f>
        <v/>
      </c>
      <c r="AC77" s="618" t="str">
        <f>IF(I77="","",VLOOKUP($AB$15:$AB$120,Currency!$A$15:$B$34,2,0))</f>
        <v/>
      </c>
      <c r="AD77" s="618" t="str">
        <f t="shared" si="218"/>
        <v/>
      </c>
      <c r="AE77" s="618" t="str">
        <f t="shared" si="219"/>
        <v/>
      </c>
      <c r="AF77" s="618" t="str">
        <f t="shared" si="220"/>
        <v/>
      </c>
      <c r="AG77" s="618" t="str">
        <f t="shared" si="221"/>
        <v/>
      </c>
      <c r="AH77" s="1097" t="str">
        <f t="shared" si="296"/>
        <v/>
      </c>
      <c r="AI77" s="759" t="str">
        <f t="shared" si="222"/>
        <v/>
      </c>
      <c r="AJ77" s="1120" t="str">
        <f t="shared" si="223"/>
        <v/>
      </c>
      <c r="AK77" s="1120" t="str">
        <f t="shared" si="224"/>
        <v/>
      </c>
      <c r="AL77" s="236" t="str">
        <f t="shared" si="225"/>
        <v/>
      </c>
      <c r="AM77" s="236" t="str">
        <f t="shared" si="226"/>
        <v/>
      </c>
      <c r="AN77" s="1112" t="str">
        <f t="shared" si="227"/>
        <v/>
      </c>
      <c r="AO77" s="236" t="str">
        <f t="shared" si="228"/>
        <v/>
      </c>
      <c r="AP77" s="327" t="str">
        <f>IF(A77=FALSE,"",INDEX(Rates!$Q$1:$Q$278,MATCH(CA77,colchoice,0)))</f>
        <v/>
      </c>
      <c r="AQ77" s="236" t="str">
        <f t="shared" si="229"/>
        <v/>
      </c>
      <c r="AR77" s="236" t="str">
        <f t="shared" si="230"/>
        <v/>
      </c>
      <c r="AS77" s="236" t="str">
        <f t="shared" si="297"/>
        <v/>
      </c>
      <c r="AT77" s="236" t="str">
        <f t="shared" si="298"/>
        <v/>
      </c>
      <c r="AU77" s="236" t="str">
        <f t="shared" si="231"/>
        <v/>
      </c>
      <c r="AV77" s="236" t="str">
        <f t="shared" si="232"/>
        <v/>
      </c>
      <c r="AW77" s="236" t="str">
        <f t="shared" si="233"/>
        <v/>
      </c>
      <c r="AX77" s="236" t="str">
        <f t="shared" si="234"/>
        <v/>
      </c>
      <c r="AY77" s="236" t="str">
        <f t="shared" si="235"/>
        <v/>
      </c>
      <c r="AZ77" s="236" t="str">
        <f t="shared" si="236"/>
        <v/>
      </c>
      <c r="BA77" s="236" t="str">
        <f t="shared" si="237"/>
        <v/>
      </c>
      <c r="BB77" s="467" t="str">
        <f t="shared" si="238"/>
        <v/>
      </c>
      <c r="BC77" s="329" t="str">
        <f t="shared" si="239"/>
        <v/>
      </c>
      <c r="BD77" s="237" t="str">
        <f t="shared" si="240"/>
        <v/>
      </c>
      <c r="BE77" s="237" t="str">
        <f>IF(A77=FALSE,"",IF(ED77&lt;&gt;$BC$7,0,INDEX(EA77:EZ77,1,MATCH(Structure!$J$16,$EA$14:$EZ$14,0))))</f>
        <v/>
      </c>
      <c r="BF77" s="237" t="str">
        <f>IF(A77=FALSE,"",IF(FD77&lt;&gt;$BC$7,0,INDEX(FA77:FZ77,1,MATCH(Structure!$J$16,$FA$14:$FZ$14,0))))</f>
        <v/>
      </c>
      <c r="BG77" s="237" t="str">
        <f>IF(A77=FALSE,"",IF(GD77&lt;&gt;$BC$7,0,INDEX(GA77:GZ77,1,MATCH(Structure!$J$16,$GA$14:$GZ$14,0))))</f>
        <v/>
      </c>
      <c r="BH77" s="237" t="str">
        <f>IF(A77=FALSE,"",IF(HD77&lt;&gt;$BC$7,0,INDEX(HA77:HZ77,1,MATCH(Structure!$J$16,$HA$14:$HZ$14,0))))</f>
        <v/>
      </c>
      <c r="BI77" s="621" t="str">
        <f>IF(A77=FALSE,"",IF(ID77&lt;&gt;$BC$7,0,INDEX(IA77:IZ77,1,MATCH(Structure!$C$12,$IA$14:$IZ$14,0)))+OL77)</f>
        <v/>
      </c>
      <c r="BJ77" s="237" t="str">
        <f>IF(A77=FALSE,"",IF(JD77&lt;&gt;$BC$7,0,INDEX(JA77:JZ77,1,MATCH(Structure!$C$12,$JA$14:$JZ$14,0))))</f>
        <v/>
      </c>
      <c r="BK77" s="621" t="str">
        <f>IF(A77=FALSE,"",IF(KD77&lt;&gt;$BC$7,0,INDEX(KA77:KZ77,1,MATCH(Structure!$C$12,$KA$14:$KZ$14,0)))+PL77)</f>
        <v/>
      </c>
      <c r="BL77" s="237" t="str">
        <f>IF(A77=FALSE,"",IF(LD77&lt;&gt;$BC$7,0,INDEX(LA77:LZ77,1,MATCH(Structure!$C$12,$LA$14:$LZ$14,0))))</f>
        <v/>
      </c>
      <c r="BM77" s="237" t="str">
        <f>IF(A77=FALSE,"",IF(MD77&lt;&gt;$BC$7,0,INDEX(MA77:MZ77,1,MATCH(Structure!$C$12,$MA$14:$MZ$14,0))))</f>
        <v/>
      </c>
      <c r="BN77" s="326" t="str">
        <f>IF(A77=FALSE,"",IF(ND77&lt;&gt;$BC$7,0,INDEX(NA77:OC77,1,MATCH(Structure!$C$12,$NA$14:$OC$14,0))))</f>
        <v/>
      </c>
      <c r="BO77" s="435" t="str">
        <f t="shared" si="241"/>
        <v/>
      </c>
      <c r="BP77" s="237" t="str">
        <f t="shared" si="242"/>
        <v/>
      </c>
      <c r="BQ77" s="237" t="str">
        <f>IF(A77=FALSE,"",IF(ED77&lt;&gt;$BO$7,0,INDEX(EA77:EZ77,1,MATCH(Structure!$C$12,$EA$14:$EZ$14,0))))</f>
        <v/>
      </c>
      <c r="BR77" s="237" t="str">
        <f>IF(A77=FALSE,"",IF(FD77&lt;&gt;$BO$7,0,INDEX(FA77:FZ77,1,MATCH(Structure!$C$12,$FA$14:$FZ$14,0))))</f>
        <v/>
      </c>
      <c r="BS77" s="237" t="str">
        <f>IF(A77=FALSE,"",IF(ID77&lt;&gt;$BO$7,0,INDEX(IA77:IZ77,1,MATCH(Structure!$C$13,$IA$14:$IZ$14,0))))</f>
        <v/>
      </c>
      <c r="BT77" s="237" t="str">
        <f>IF(A77=FALSE,"",IF(JD77&lt;&gt;$BO$7,0,INDEX(JA77:JZ77,1,MATCH(Structure!$C$13,$JA$14:$JZ$14,0))))</f>
        <v/>
      </c>
      <c r="BU77" s="237" t="str">
        <f>IF(A77=FALSE,"",IF(KD77&lt;&gt;$BO$7,0,INDEX(KA77:KZ77,1,MATCH(Structure!$C$13,$KA$14:$KZ$14,0))))</f>
        <v/>
      </c>
      <c r="BV77" s="237" t="str">
        <f>IF(A77=FALSE,"",IF(LD77&lt;&gt;$BO$7,0,INDEX(LA77:LZ77,1,MATCH(Structure!$C$13,$LA$14:$LZ$14,0))))</f>
        <v/>
      </c>
      <c r="BW77" s="237" t="str">
        <f>IF(A77=FALSE,"",IF(MD77&lt;&gt;$BO$7,0,INDEX(MA77:MZ77,1,MATCH(Structure!$C$13,$MA$14:$MZ$14,0))))</f>
        <v/>
      </c>
      <c r="BX77" s="326" t="str">
        <f>IF(A77=FALSE,"",IF(ND77&lt;&gt;$BO$7,0,INDEX(NA77:OC77,1,MATCH(Structure!$C$13,$NA$14:$OC$14,0))))</f>
        <v/>
      </c>
      <c r="BY77" s="412"/>
      <c r="BZ77" s="412"/>
      <c r="CA77" s="1255" t="str">
        <f>IF(A77=FALSE,"",IF(LISTES!$A$17=1,Cotations!AG77,Cotations!AH77))</f>
        <v/>
      </c>
      <c r="CB77" s="1266" t="str">
        <f t="shared" si="243"/>
        <v/>
      </c>
      <c r="CC77" s="1120" t="str">
        <f t="shared" si="244"/>
        <v/>
      </c>
      <c r="CD77" s="1120" t="str">
        <f t="shared" si="245"/>
        <v/>
      </c>
      <c r="CE77" s="1120" t="str">
        <f t="shared" si="246"/>
        <v/>
      </c>
      <c r="CF77" s="1120" t="str">
        <f t="shared" si="247"/>
        <v/>
      </c>
      <c r="CG77" s="1267"/>
      <c r="CH77" s="1267"/>
      <c r="CI77" s="1268" t="str">
        <f t="shared" si="248"/>
        <v/>
      </c>
      <c r="CJ77" s="286" t="str">
        <f t="shared" si="249"/>
        <v/>
      </c>
      <c r="CK77" s="286" t="str">
        <f t="shared" si="250"/>
        <v/>
      </c>
      <c r="CL77" s="1263"/>
      <c r="CM77" s="1263"/>
      <c r="CN77" s="1263"/>
      <c r="CO77" s="1263"/>
      <c r="CP77" s="319" t="str">
        <f t="shared" si="251"/>
        <v/>
      </c>
      <c r="CQ77" s="443" t="str">
        <f>IF(A77=FALSE,"",Cotations!AM77)</f>
        <v/>
      </c>
      <c r="CR77" s="443" t="str">
        <f>IF(A77=FALSE,"",IF(Cotations!AN77="","",Cotations!AN77))</f>
        <v/>
      </c>
      <c r="CS77" s="433" t="str">
        <f>IF(A77=FALSE,"",Cotations!AO77)</f>
        <v/>
      </c>
      <c r="CT77" s="443" t="str">
        <f>IF(A77=FALSE,"",IF(CQ77="N/A",0,IF(INDEX(LISTES!$F$105:$F$109,MATCH(CQ77,LISTES!$C$105:$C$109,0))="FIX",IF(INDEX(LISTES!$E$105:$E$109,MATCH(CQ77,LISTES!$C$105:$C$109,0))=12,CR77/12*L77,CR77/365*M77),CS77*EQ77)))</f>
        <v/>
      </c>
      <c r="CU77" s="434" t="str">
        <f>IF(A77=FALSE,"",(CJ77+CK77)*Cotations!AP77)</f>
        <v/>
      </c>
      <c r="CV77" s="434" t="str">
        <f>IF(A77=FALSE,"",(CJ77+CK77)*Cotations!AQ77)</f>
        <v/>
      </c>
      <c r="DA77" s="1253" t="str">
        <f>IF(A77=FALSE,"",IF(LISTES!$A$17=1,Cotations!AV77,Cotations!AW77))</f>
        <v/>
      </c>
      <c r="DB77" s="1271" t="str">
        <f t="shared" si="252"/>
        <v/>
      </c>
      <c r="DC77" s="1270" t="str">
        <f t="shared" si="253"/>
        <v/>
      </c>
      <c r="DD77" s="1270" t="str">
        <f t="shared" si="254"/>
        <v/>
      </c>
      <c r="DE77" s="1270" t="str">
        <f t="shared" si="255"/>
        <v/>
      </c>
      <c r="DF77" s="1270" t="str">
        <f t="shared" si="256"/>
        <v/>
      </c>
      <c r="DG77" s="1270" t="str">
        <f t="shared" si="257"/>
        <v/>
      </c>
      <c r="DH77" s="1270" t="str">
        <f t="shared" si="258"/>
        <v/>
      </c>
      <c r="DI77" s="1271" t="str">
        <f t="shared" si="259"/>
        <v/>
      </c>
      <c r="DJ77" s="286" t="str">
        <f t="shared" si="260"/>
        <v/>
      </c>
      <c r="DK77" s="286" t="str">
        <f t="shared" si="261"/>
        <v/>
      </c>
      <c r="DL77" s="1264" t="str">
        <f t="shared" si="262"/>
        <v/>
      </c>
      <c r="DM77" s="1264" t="str">
        <f t="shared" si="263"/>
        <v/>
      </c>
      <c r="DN77" s="1264" t="str">
        <f t="shared" si="264"/>
        <v/>
      </c>
      <c r="DO77" s="1264" t="str">
        <f t="shared" si="265"/>
        <v/>
      </c>
      <c r="DP77" s="323" t="str">
        <f t="shared" si="299"/>
        <v/>
      </c>
      <c r="DQ77" s="444" t="str">
        <f>IF(A77=FALSE,"",Cotations!BW77)</f>
        <v/>
      </c>
      <c r="DR77" s="444" t="str">
        <f>IF(A77=FALSE,"",Cotations!BX77)</f>
        <v/>
      </c>
      <c r="DS77" s="433" t="str">
        <f>IF(A77=FALSE,"",Cotations!BY77)</f>
        <v/>
      </c>
      <c r="DT77" s="830" t="str">
        <f>IF(A77=FALSE,"",IF(DQ77="N/A",0,IF(INDEX(LISTES!$F$105:$F$109,MATCH(DQ77,LISTES!$C$105:$C$109,0))="FIX",IF(INDEX(LISTES!$E$105:$E$109,MATCH(DQ77,LISTES!$C$105:$C$109,0))=12,DR77/12*L77,DR77/365*M77),DS77*(DN77+DO77))))</f>
        <v/>
      </c>
      <c r="DU77" s="434" t="str">
        <f>IF(A77=FALSE,"",DJ77*Cotations!BZ77)</f>
        <v/>
      </c>
      <c r="DV77" s="434" t="str">
        <f>IF(A77=FALSE,"",DJ77*Cotations!CA77)</f>
        <v/>
      </c>
      <c r="EA77" s="432" t="str">
        <f>IF(A77=FALSE,"",Cotations!AT77)</f>
        <v/>
      </c>
      <c r="EB77" s="1234" t="str">
        <f>IF(A77=FALSE,"",YEAR(Detail!F77)&amp;Detail!AG77&amp;Detail!AD77&amp;"-"&amp;Detail!$AD$13&amp;Detail!AE77)</f>
        <v/>
      </c>
      <c r="EC77" s="434" t="str">
        <f>IF(A77=FALSE,"",IF(LISTES!$A$17=1,EB77,INDEX(colMOD1,MATCH(Cotations!AH77,colchoice,0))))</f>
        <v/>
      </c>
      <c r="ED77" s="277" t="str">
        <f t="shared" si="300"/>
        <v/>
      </c>
      <c r="EE77" s="277" t="str">
        <f t="shared" si="301"/>
        <v/>
      </c>
      <c r="EF77" s="277"/>
      <c r="EG77" s="277"/>
      <c r="EH77" s="277" t="str">
        <f t="shared" si="302"/>
        <v/>
      </c>
      <c r="EI77" s="1104" t="str">
        <f t="shared" si="303"/>
        <v/>
      </c>
      <c r="EJ77" s="1104" t="str">
        <f t="shared" si="304"/>
        <v/>
      </c>
      <c r="EK77" s="443" t="str">
        <f>IF(A77=FALSE,"",IF(Cotations!AF77="monthly",EH77/12*L77,EH77/365*M77))</f>
        <v/>
      </c>
      <c r="EL77" s="1103" t="str">
        <f>IF(A77=FALSE,"",IF(Cotations!AF77="monthly",EJ77/12*L77,EJ77/365*M77))</f>
        <v/>
      </c>
      <c r="EM77" s="433" t="str">
        <f>IF(A77=FALSE,"",IF(Cotations!AI77="","",Cotations!AI77))</f>
        <v/>
      </c>
      <c r="EN77" s="277" t="str">
        <f t="shared" si="305"/>
        <v/>
      </c>
      <c r="EO77" s="277" t="str">
        <f t="shared" si="306"/>
        <v/>
      </c>
      <c r="EP77" s="1104" t="str">
        <f t="shared" si="307"/>
        <v/>
      </c>
      <c r="EQ77" s="277" t="str">
        <f t="shared" si="308"/>
        <v/>
      </c>
      <c r="ER77" s="759" t="str">
        <f>IF(A77=FALSE,"",((EH77*TAXE)-(EH77*TAXE*EM77)+EI77)+IF(CQ77="N/A",0,IF(INDEX(LISTES!$F$105:$F$109,MATCH(CQ77,LISTES!$C$105:$C$109,0))="FIX",CR77,CS77*EQ77)))</f>
        <v/>
      </c>
      <c r="ET77" s="422"/>
      <c r="EU77" s="422"/>
      <c r="EV77" s="422"/>
      <c r="EW77" s="422"/>
      <c r="EX77" s="422"/>
      <c r="EY77" s="422"/>
      <c r="EZ77" s="422"/>
      <c r="FA77" s="432" t="str">
        <f>IF(A77=FALSE,"",Cotations!AT77)</f>
        <v/>
      </c>
      <c r="FB77" s="1235" t="str">
        <f>IF(A77=FALSE,"",IF(Detail!AL77="","N/A",YEAR(Detail!F77)&amp;Detail!AO77&amp;Detail!AL77&amp;"-"&amp;Detail!$AL$13&amp;Detail!AM77))</f>
        <v/>
      </c>
      <c r="FC77" s="434" t="str">
        <f>IF(A77=FALSE,"",IF(LISTES!$A$17=1,FB77,INDEX(colMOD2,MATCH(Cotations!AH77,colchoice,0))))</f>
        <v/>
      </c>
      <c r="FD77" s="277" t="str">
        <f t="shared" si="309"/>
        <v/>
      </c>
      <c r="FE77" s="443" t="str">
        <f>IF(A77=FALSE,"",IF(Detail!AM77="","",Detail!AM77))</f>
        <v/>
      </c>
      <c r="FF77" s="277"/>
      <c r="FG77" s="277"/>
      <c r="FH77" s="277" t="str">
        <f t="shared" si="310"/>
        <v/>
      </c>
      <c r="FI77" s="1104"/>
      <c r="FJ77" s="1104"/>
      <c r="FK77" s="443" t="str">
        <f>IF(A77=FALSE,"",IF(Cotations!AF77="monthly",FH77/12*L77,FH77/365*M77))</f>
        <v/>
      </c>
      <c r="FL77" s="1103" t="str">
        <f>IF(A77=FALSE,"",IF(Cotations!AF77="monthly",FJ77/12*L77,FJ77/365*M77))</f>
        <v/>
      </c>
      <c r="FM77" s="433" t="str">
        <f>IF(A77=FALSE,"",IF(Cotations!AJ77="","",Cotations!AJ77))</f>
        <v/>
      </c>
      <c r="FN77" s="277" t="str">
        <f t="shared" si="268"/>
        <v/>
      </c>
      <c r="FO77" s="277" t="str">
        <f t="shared" si="269"/>
        <v/>
      </c>
      <c r="FP77" s="1104"/>
      <c r="FQ77" s="277" t="str">
        <f t="shared" si="270"/>
        <v/>
      </c>
      <c r="FR77" s="759" t="str">
        <f>IF(A77=FALSE,"",((FH77*TAXE)-(FH77*TAXE*FM77))+IF(#REF!="N/A",0,IF(INDEX(LISTES!$F$105:$F$109,MATCH(#REF!,LISTES!$C$105:$C$109,0))="FIX",#REF!,#REF!*FQ77)))</f>
        <v/>
      </c>
      <c r="FS77" s="422"/>
      <c r="FT77" s="422"/>
      <c r="FU77" s="422"/>
      <c r="FV77" s="422"/>
      <c r="FW77" s="422"/>
      <c r="FX77" s="422"/>
      <c r="FY77" s="422"/>
      <c r="FZ77" s="422"/>
      <c r="GA77" s="432" t="str">
        <f t="shared" si="311"/>
        <v/>
      </c>
      <c r="GB77" s="1234" t="str">
        <f>IF(A77=FALSE,"",IF(Detail!DF77="","N/A",YEAR(Detail!F77)&amp;Detail!DI77&amp;Detail!DF77&amp;"-"&amp;Detail!$DF$13))</f>
        <v/>
      </c>
      <c r="GC77" s="434" t="str">
        <f>IF(A77=FALSE,"",IF(LISTES!$A$17=1,GB77,INDEX(colMOD3,MATCH(Cotations!AH77,colchoice,0))))</f>
        <v/>
      </c>
      <c r="GD77" s="277" t="str">
        <f t="shared" si="312"/>
        <v/>
      </c>
      <c r="GE77" s="277" t="str">
        <f t="shared" si="313"/>
        <v/>
      </c>
      <c r="GF77" s="277"/>
      <c r="GG77" s="277"/>
      <c r="GH77" s="277" t="str">
        <f t="shared" si="271"/>
        <v/>
      </c>
      <c r="GI77" s="1104" t="str">
        <f t="shared" si="272"/>
        <v/>
      </c>
      <c r="GJ77" s="1104" t="str">
        <f t="shared" si="273"/>
        <v/>
      </c>
      <c r="GK77" s="443" t="str">
        <f>IF(A77=FALSE,"",IF(Cotations!AF77="monthly",GH77/12*L77,GH77/365*M77))</f>
        <v/>
      </c>
      <c r="GL77" s="1103" t="str">
        <f>IF(A77=FALSE,"",IF(Cotations!AF77="monthly",GJ77/12*L77,GJ77/365*M77))</f>
        <v/>
      </c>
      <c r="GM77" s="433" t="str">
        <f>IF(A77=FALSE,"",IF(Cotations!AK77="","",Cotations!AK77))</f>
        <v/>
      </c>
      <c r="GN77" s="277" t="str">
        <f t="shared" si="274"/>
        <v/>
      </c>
      <c r="GO77" s="277" t="str">
        <f t="shared" si="275"/>
        <v/>
      </c>
      <c r="GP77" s="1104" t="str">
        <f t="shared" si="276"/>
        <v/>
      </c>
      <c r="GQ77" s="277" t="str">
        <f t="shared" si="277"/>
        <v/>
      </c>
      <c r="GR77" s="759" t="str">
        <f>IF(A77=FALSE,"",((GH77*TAXE)-(GH77*TAXE*GM77)+GI77)+IF(CQ77="N/A",0,IF(INDEX(LISTES!$F$105:$F$109,MATCH(CQ77,LISTES!$C$105:$C$109,0))="FIX",CR77,CS77*GQ77)))</f>
        <v/>
      </c>
      <c r="GS77" s="412"/>
      <c r="GT77" s="412"/>
      <c r="GU77" s="412"/>
      <c r="GV77" s="412"/>
      <c r="GW77" s="412"/>
      <c r="GX77" s="412"/>
      <c r="GY77" s="412"/>
      <c r="GZ77" s="412"/>
      <c r="HA77" s="432" t="str">
        <f t="shared" si="314"/>
        <v/>
      </c>
      <c r="HB77" s="1234" t="str">
        <f>IF(A77=FALSE,"",IF(Detail!DF77="","N/A",YEAR(Detail!F77)&amp;Detail!DI77&amp;Detail!DF77&amp;"-"&amp;Detail!$DF$13))</f>
        <v/>
      </c>
      <c r="HC77" s="434" t="str">
        <f>IF(A77=FALSE,"",IF(LISTES!$A$17=1,HB77,INDEX(colMOD4,MATCH(Cotations!AH77,colchoice,0))))</f>
        <v/>
      </c>
      <c r="HD77" s="277" t="str">
        <f t="shared" si="278"/>
        <v/>
      </c>
      <c r="HE77" s="277" t="str">
        <f t="shared" si="279"/>
        <v/>
      </c>
      <c r="HF77" s="277"/>
      <c r="HG77" s="277"/>
      <c r="HH77" s="277" t="str">
        <f t="shared" si="280"/>
        <v/>
      </c>
      <c r="HI77" s="1104" t="str">
        <f t="shared" si="281"/>
        <v/>
      </c>
      <c r="HJ77" s="1104" t="str">
        <f t="shared" si="282"/>
        <v/>
      </c>
      <c r="HK77" s="443" t="str">
        <f>IF(A77=FALSE,"",IF(Cotations!AF77="monthly",HH77/12*L77,HH77/365*M77))</f>
        <v/>
      </c>
      <c r="HL77" s="1103" t="str">
        <f>IF(A77=FALSE,"",IF(Cotations!AF77="monthly",HJ77/12*L77,HJ77/365*M77))</f>
        <v/>
      </c>
      <c r="HM77" s="433" t="str">
        <f>IF(A77=FALSE,"",IF(Cotations!AL77="","",Cotations!AL77))</f>
        <v/>
      </c>
      <c r="HN77" s="277" t="str">
        <f t="shared" si="283"/>
        <v/>
      </c>
      <c r="HO77" s="277" t="str">
        <f t="shared" si="284"/>
        <v/>
      </c>
      <c r="HP77" s="1104" t="str">
        <f t="shared" si="285"/>
        <v/>
      </c>
      <c r="HQ77" s="277" t="str">
        <f t="shared" si="286"/>
        <v/>
      </c>
      <c r="HR77" s="759" t="str">
        <f>IF(A77=FALSE,"",((HH77*TAXE)-(HH77*TAXE*HM77)+HI77)+IF(CQ77="N/A",0,IF(INDEX(LISTES!$F$105:$F$109,MATCH(CQ77,LISTES!$C$105:$C$109,0))="FIX",CR77,CS77*HQ77)))</f>
        <v/>
      </c>
      <c r="HS77" s="412"/>
      <c r="HT77" s="412"/>
      <c r="HU77" s="412"/>
      <c r="HV77" s="412"/>
      <c r="HW77" s="412"/>
      <c r="HX77" s="412"/>
      <c r="HY77" s="412"/>
      <c r="HZ77" s="1262"/>
      <c r="IA77" s="432" t="str">
        <f>IF(A77=FALSE,"",Cotations!AT77)</f>
        <v/>
      </c>
      <c r="IB77" s="1253" t="str">
        <f>IF(A77=FALSE,"",IF(Detail!AT77="","N/A",YEAR(Detail!F77)&amp;Detail!AW77&amp;Detail!AT77&amp;"-"&amp;Detail!$AT$13&amp;Detail!AU77))</f>
        <v/>
      </c>
      <c r="IC77" s="431" t="str">
        <f>IF(A77=FALSE,"",IF(LISTES!$A$17=1,IB77,INDEX(colMOD1,MATCH(DA77,colchoice,0))))</f>
        <v/>
      </c>
      <c r="ID77" s="759" t="str">
        <f t="shared" si="358"/>
        <v/>
      </c>
      <c r="IE77" s="292" t="str">
        <f>IF(A77=FALSE,"",IF(LISTES!$A$17=1,Detail!AU77,INDEX(Rates!$M$1:$M$270,MATCH(IC77,colMOD1,0))))</f>
        <v/>
      </c>
      <c r="IF77" s="409" t="str">
        <f t="shared" si="359"/>
        <v/>
      </c>
      <c r="IG77" s="430" t="str">
        <f>IF(A77=FALSE,"",IF(IA77="POEA",Cotations!AY77,IF(IA77="FIXE",Cotations!AZ77,IF(Cotations!BA77*Y77&lt;50000,Z77,Cotations!BA77*Y77))))</f>
        <v/>
      </c>
      <c r="IH77" s="292" t="str">
        <f t="shared" si="360"/>
        <v/>
      </c>
      <c r="II77" s="446" t="str">
        <f>IF(A77=FALSE,"",IF(Cotations!AU77="monthly",IH77/12*L77,IH77/365*M77))</f>
        <v/>
      </c>
      <c r="IJ77" s="429" t="str">
        <f>IF(A77=FALSE,"",IF(Cotations!BB77="","",Cotations!BB77))</f>
        <v/>
      </c>
      <c r="IK77" s="292" t="str">
        <f t="shared" si="361"/>
        <v/>
      </c>
      <c r="IL77" s="292" t="str">
        <f t="shared" si="362"/>
        <v/>
      </c>
      <c r="IM77" s="759" t="str">
        <f t="shared" si="363"/>
        <v/>
      </c>
      <c r="IN77" s="759" t="str">
        <f>IF(A77=FALSE,"",((IH77*TAXE)-(IH77*TAXE*IJ77))+IF(DQ77="N/A",0,IF(INDEX(LISTES!$F$105:$F$109,MATCH(DQ77,LISTES!$C$105:$C$109,0))="FIX",DR77,DS77*IM77)))</f>
        <v/>
      </c>
      <c r="JA77" s="432" t="str">
        <f>IF(A77=FALSE,"",Cotations!AT77)</f>
        <v/>
      </c>
      <c r="JB77" s="1234" t="str">
        <f>IF(A77=FALSE,"",IF(Detail!BB77="","N/A",YEAR(Detail!F77)&amp;Detail!BE77&amp;Detail!BB77&amp;"-"&amp;Detail!$BB$13&amp;Detail!BC77))</f>
        <v/>
      </c>
      <c r="JC77" s="431" t="str">
        <f>IF(A77=FALSE,"",IF(LISTES!$A$17=1,JB77,INDEX(colMOD2,MATCH(DA77,colchoice,0))))</f>
        <v/>
      </c>
      <c r="JD77" s="759" t="str">
        <f t="shared" si="321"/>
        <v/>
      </c>
      <c r="JE77" s="292"/>
      <c r="JF77" s="409" t="str">
        <f t="shared" si="322"/>
        <v/>
      </c>
      <c r="JG77" s="430" t="str">
        <f>IF(A77=FALSE,"",IF(JA77="POEA",Cotations!BC77,IF(JA77="FIXE",Cotations!BD77,IF(Cotations!BE77*Y77&lt;50000,Z77,Cotations!BE77*Y77))))</f>
        <v/>
      </c>
      <c r="JH77" s="292" t="str">
        <f t="shared" si="323"/>
        <v/>
      </c>
      <c r="JI77" s="446" t="str">
        <f>IF(A77=FALSE,"",IF(Cotations!AU77="monthly",JH77/12*L77,JH77/365*M77))</f>
        <v/>
      </c>
      <c r="JJ77" s="429" t="str">
        <f>IF(A77=FALSE,"",IF(Cotations!BF77="","",Cotations!BF77))</f>
        <v/>
      </c>
      <c r="JK77" s="292" t="str">
        <f t="shared" si="324"/>
        <v/>
      </c>
      <c r="JL77" s="292" t="str">
        <f t="shared" si="325"/>
        <v/>
      </c>
      <c r="JM77" s="759" t="str">
        <f t="shared" si="326"/>
        <v/>
      </c>
      <c r="JN77" s="759" t="str">
        <f>IF(A77=FALSE,"",((JH77*TAXE)-(JH77*TAXE*JJ77))+IF(#REF!="N/A",0,IF(INDEX(LISTES!$F$105:$F$109,MATCH(#REF!,LISTES!$C$105:$C$109,0))="FIX",#REF!,#REF!*JM77)))</f>
        <v/>
      </c>
      <c r="KA77" s="432" t="str">
        <f>IF(A77=FALSE,"",Cotations!AT77)</f>
        <v/>
      </c>
      <c r="KB77" s="1234" t="str">
        <f>IF(A77=FALSE,"",IF(Detail!BJ77="","N/A",YEAR(Detail!F77)&amp;Detail!BM77&amp;Detail!BJ77&amp;"-"&amp;Detail!$BJ$13&amp;Detail!BK77))</f>
        <v/>
      </c>
      <c r="KC77" s="431" t="str">
        <f>IF(A77=FALSE,"",IF(LISTES!$A$17=1,KB77,INDEX(colMOD3,MATCH(DA77,colchoice,0))))</f>
        <v/>
      </c>
      <c r="KD77" s="759" t="str">
        <f t="shared" si="327"/>
        <v/>
      </c>
      <c r="KE77" s="292"/>
      <c r="KF77" s="409" t="str">
        <f t="shared" si="328"/>
        <v/>
      </c>
      <c r="KG77" s="430" t="str">
        <f>IF(A77=FALSE,"",IF(KA77="POEA",Cotations!BG77,IF(KA77="FIXE",Cotations!BH77,IF(Cotations!BI77*Y77&lt;50000,Z77,Cotations!BI77*Y77))))</f>
        <v/>
      </c>
      <c r="KH77" s="292" t="str">
        <f t="shared" si="329"/>
        <v/>
      </c>
      <c r="KI77" s="446" t="str">
        <f>IF(A77=FALSE,"",IF(Cotations!AU77="monthly",KH77/12*L77,KH77/365*M77))</f>
        <v/>
      </c>
      <c r="KJ77" s="429" t="str">
        <f>IF(A77=FALSE,"",IF(Cotations!BJ77="","",Cotations!BJ77))</f>
        <v/>
      </c>
      <c r="KK77" s="292" t="str">
        <f t="shared" si="330"/>
        <v/>
      </c>
      <c r="KL77" s="292" t="str">
        <f t="shared" si="331"/>
        <v/>
      </c>
      <c r="KM77" s="759" t="str">
        <f t="shared" si="332"/>
        <v/>
      </c>
      <c r="KN77" s="759" t="str">
        <f>IF(A77=FALSE,"",((KH77*TAXE)-(KH77*TAXE*KJ77))+IF(#REF!="N/A",0,IF(INDEX(LISTES!$F$105:$F$109,MATCH(#REF!,LISTES!$C$105:$C$109,0))="FIX",#REF!,#REF!*KM77)))</f>
        <v/>
      </c>
      <c r="LA77" s="432" t="str">
        <f>IF(A77=FALSE,"",Cotations!AT77)</f>
        <v/>
      </c>
      <c r="LB77" s="1234" t="str">
        <f>IF(A77=FALSE,"",IF(Detail!BR77="","N/A",YEAR(Detail!F77)&amp;Detail!BU77&amp;Detail!BR77&amp;"-"&amp;Detail!$BR$13&amp;Detail!BS77))</f>
        <v/>
      </c>
      <c r="LC77" s="431" t="str">
        <f>IF(A77=FALSE,"",IF(LISTES!$A$17=1,LB77,INDEX(colMOD4,MATCH(DA77,colchoice,0))))</f>
        <v/>
      </c>
      <c r="LD77" s="759" t="str">
        <f t="shared" si="333"/>
        <v/>
      </c>
      <c r="LE77" s="292"/>
      <c r="LF77" s="409" t="str">
        <f t="shared" si="334"/>
        <v/>
      </c>
      <c r="LG77" s="430" t="str">
        <f>IF(A77=FALSE,"",IF(LA77="POEA",Cotations!BK77,IF(LA77="FIXE",Cotations!BL77,IF(Cotations!BM77*Y77&lt;50000,Z77,Cotations!BM77*Y77))))</f>
        <v/>
      </c>
      <c r="LH77" s="292" t="str">
        <f t="shared" si="335"/>
        <v/>
      </c>
      <c r="LI77" s="446" t="str">
        <f>IF(A77=FALSE,"",IF(Cotations!AU77="monthly",LH77/12*L77,LH77/365*M77))</f>
        <v/>
      </c>
      <c r="LJ77" s="429" t="str">
        <f>IF(A77=FALSE,"",IF(Cotations!BN77="","",Cotations!BN77))</f>
        <v/>
      </c>
      <c r="LK77" s="292" t="str">
        <f t="shared" si="336"/>
        <v/>
      </c>
      <c r="LL77" s="292" t="str">
        <f t="shared" si="337"/>
        <v/>
      </c>
      <c r="LM77" s="759" t="str">
        <f t="shared" si="338"/>
        <v/>
      </c>
      <c r="LN77" s="759" t="str">
        <f>IF(A77=FALSE,"",((LH77*TAXE)-(LH77*TAXE*LJ77))+IF(#REF!="N/A",0,IF(INDEX(LISTES!$F$105:$F$109,MATCH(#REF!,LISTES!$C$105:$C$109,0))="FIX",#REF!,#REF!*LM77)))</f>
        <v/>
      </c>
      <c r="MA77" s="432" t="str">
        <f t="shared" si="339"/>
        <v/>
      </c>
      <c r="MB77" s="1234" t="str">
        <f>IF(A77=FALSE,"",IF(Detail!BZ77="","N/A",YEAR(Detail!F77)&amp;Detail!CC77&amp;Detail!BZ77&amp;"-"&amp;Detail!$BZ$13&amp;" (100%/"&amp;Detail!CD77&amp;"/"&amp;Detail!CE77&amp;")"))</f>
        <v/>
      </c>
      <c r="MC77" s="431" t="str">
        <f>IF(A77=FALSE,"",IF(LISTES!$A$17=1,MB77,INDEX(colMOD5,MATCH(DA77,colchoice,0))))</f>
        <v/>
      </c>
      <c r="MD77" s="759" t="str">
        <f t="shared" si="340"/>
        <v/>
      </c>
      <c r="ME77" s="292"/>
      <c r="MF77" s="409" t="str">
        <f t="shared" si="341"/>
        <v/>
      </c>
      <c r="MG77" s="430" t="str">
        <f>IF(A77=FALSE,"",Cotations!BQ77*AA77)</f>
        <v/>
      </c>
      <c r="MH77" s="292" t="str">
        <f t="shared" si="342"/>
        <v/>
      </c>
      <c r="MI77" s="446" t="str">
        <f>IF(A77=FALSE,"",IF(Cotations!AU77="monthly",MH77/12*L77,MH77/365*M77))</f>
        <v/>
      </c>
      <c r="MJ77" s="429" t="str">
        <f>IF(A77=FALSE,"",IF(Cotations!BR77="","",Cotations!BR77))</f>
        <v/>
      </c>
      <c r="MK77" s="292" t="str">
        <f t="shared" si="343"/>
        <v/>
      </c>
      <c r="ML77" s="292" t="str">
        <f t="shared" si="344"/>
        <v/>
      </c>
      <c r="MM77" s="759" t="str">
        <f t="shared" si="345"/>
        <v/>
      </c>
      <c r="MN77" s="759" t="str">
        <f>IF(A77=FALSE,"",((MH77*TAXE)-(MH77*TAXE*MJ77))+IF(#REF!="N/A",0,IF(INDEX(LISTES!$F$105:$F$109,MATCH(#REF!,LISTES!$C$105:$C$109,0))="FIX",#REF!,#REF!*MM77)))</f>
        <v/>
      </c>
      <c r="NA77" s="432" t="str">
        <f t="shared" si="346"/>
        <v/>
      </c>
      <c r="NB77" s="1234" t="str">
        <f>IF(A77=FALSE,"",IF(Detail!CH77="","N/A",YEAR(Detail!F77)&amp;Detail!CK77&amp;Detail!CH77&amp;"-"&amp;Detail!$CH$13&amp;" (100%/"&amp;Detail!CL77&amp;"/"&amp;Detail!CM77&amp;")"))</f>
        <v/>
      </c>
      <c r="NC77" s="431" t="str">
        <f>IF(A77=FALSE,"",IF(LISTES!$A$17=1,NB77,INDEX(colMOD6,MATCH(DA77,colchoice,0))))</f>
        <v/>
      </c>
      <c r="ND77" s="759" t="str">
        <f t="shared" si="347"/>
        <v/>
      </c>
      <c r="NE77" s="292"/>
      <c r="NF77" s="409" t="str">
        <f t="shared" si="348"/>
        <v/>
      </c>
      <c r="NG77" s="430" t="str">
        <f>IF(A77=FALSE,"",Cotations!BU77*AA77)</f>
        <v/>
      </c>
      <c r="NH77" s="292" t="str">
        <f t="shared" si="349"/>
        <v/>
      </c>
      <c r="NI77" s="446" t="str">
        <f>IF(A77=FALSE,"",IF(Cotations!AU77="monthly",NH77/12*L77,NH77/365*M77))</f>
        <v/>
      </c>
      <c r="NJ77" s="429" t="str">
        <f>IF(A77=FALSE,"",IF(Cotations!BV77="","",Cotations!BV77))</f>
        <v/>
      </c>
      <c r="NK77" s="292" t="str">
        <f t="shared" si="350"/>
        <v/>
      </c>
      <c r="NL77" s="292" t="str">
        <f t="shared" si="351"/>
        <v/>
      </c>
      <c r="NM77" s="759" t="str">
        <f t="shared" si="352"/>
        <v/>
      </c>
      <c r="NN77" s="759" t="str">
        <f>IF(A77=FALSE,"",((NH77*TAXE)-(NH77*TAXE*NJ77))+IF(#REF!="N/A",0,IF(INDEX(LISTES!$F$105:$F$109,MATCH(#REF!,LISTES!$C$105:$C$109,0))="FIX",#REF!,#REF!*NM77)))</f>
        <v/>
      </c>
      <c r="NZ77" s="1281" t="str">
        <f>IF(A77=FALSE,"",IF(Detail!CP77="","N/A",YEAR(Detail!F77)&amp;Detail!CS77&amp;Detail!CP77&amp;"-"&amp;Detail!CQ77))</f>
        <v/>
      </c>
      <c r="OA77" s="432" t="str">
        <f>IF(A77=FALSE,"",Cotations!CF77)</f>
        <v/>
      </c>
      <c r="OB77" s="1282" t="str">
        <f>IF(A77=FALSE,"",IF(Detail!CP77="","N/A",YEAR(Detail!F77)&amp;Detail!CS77&amp;Detail!CP77&amp;"-"&amp;Detail!$CP$13&amp;Detail!CQ77))</f>
        <v/>
      </c>
      <c r="OC77" s="1283" t="str">
        <f>IF(A77=FALSE,"",IF(LISTES!$A$17=1,OB77,INDEX(colMOD1,MATCH(Cotations!CE77,colchoice,0))))</f>
        <v/>
      </c>
      <c r="OD77" s="759" t="str">
        <f t="shared" si="353"/>
        <v/>
      </c>
      <c r="OE77" s="292" t="str">
        <f>IF(A77=FALSE,"",Detail!CQ77)</f>
        <v/>
      </c>
      <c r="OF77" s="409" t="str">
        <f t="shared" si="354"/>
        <v/>
      </c>
      <c r="OG77" s="430" t="str">
        <f>IF(A77=FALSE,"",IF(OA77="FIXE",Cotations!CM77,Cotations!CN77*AA77))</f>
        <v/>
      </c>
      <c r="OH77" s="292" t="str">
        <f t="shared" si="288"/>
        <v/>
      </c>
      <c r="OI77" s="446" t="str">
        <f>IF(A77=FALSE,"",IF(Cotations!CF77="monthly",OH77/12*L77,OH77/365*M77))</f>
        <v/>
      </c>
      <c r="OJ77" s="429" t="str">
        <f>IF(A77=FALSE,"",IF(Cotations!CO77="","",Cotations!CO77))</f>
        <v/>
      </c>
      <c r="OK77" s="292" t="str">
        <f t="shared" si="289"/>
        <v/>
      </c>
      <c r="OL77" s="292" t="str">
        <f t="shared" si="290"/>
        <v/>
      </c>
      <c r="OM77" s="759" t="str">
        <f t="shared" si="355"/>
        <v/>
      </c>
      <c r="ON77" s="759" t="str">
        <f>IF(A77=FALSE,"",((OH77*(1+TAXE)-(OH77*(1+TAXE)*OJ77))+IF(#REF!="N/A",0,IF(INDEX(LISTES!$F$105:$F$109,MATCH(#REF!,LISTES!$C$105:$C$109,0))="FIX",#REF!,#REF!*OM77))))</f>
        <v/>
      </c>
      <c r="PA77" s="432" t="str">
        <f>IF(A77=FALSE,"",Cotations!CF77)</f>
        <v/>
      </c>
      <c r="PB77" s="1282" t="str">
        <f>IF(A77=FALSE,"",IF(Detail!CX77="","N/A",YEAR(Detail!F77)&amp;Detail!DA77&amp;Detail!CX77&amp;"-"&amp;Detail!$CX$13&amp;Detail!CY77))</f>
        <v/>
      </c>
      <c r="PC77" s="1283" t="str">
        <f>IF(A77=FALSE,"",IF(LISTES!$A$17=1,PB77,INDEX(colMOD3,MATCH(Cotations!CE77,colchoice,0))))</f>
        <v/>
      </c>
      <c r="PD77" s="759" t="str">
        <f t="shared" si="356"/>
        <v/>
      </c>
      <c r="PE77" s="292" t="str">
        <f>IF(A77=FALSE,"",IF(Detail!CY77="","",Detail!CY77))</f>
        <v/>
      </c>
      <c r="PF77" s="409" t="str">
        <f t="shared" si="291"/>
        <v/>
      </c>
      <c r="PG77" s="430" t="str">
        <f>IF(A77=FALSE,"",IF(PA77="FIXE",Cotations!CP77,Cotations!CQ77*AA77))</f>
        <v/>
      </c>
      <c r="PH77" s="292" t="str">
        <f t="shared" si="292"/>
        <v/>
      </c>
      <c r="PI77" s="446" t="str">
        <f>IF(A77=FALSE,"",IF(Cotations!CG77="monthly",PH77/12*L77,PH77/365*M77))</f>
        <v/>
      </c>
      <c r="PJ77" s="429" t="str">
        <f>IF(A77=FALSE,"",IF(Cotations!DA77="",0,Cotations!DA77))</f>
        <v/>
      </c>
      <c r="PK77" s="292" t="str">
        <f t="shared" si="293"/>
        <v/>
      </c>
      <c r="PL77" s="292" t="str">
        <f t="shared" si="294"/>
        <v/>
      </c>
      <c r="PM77" s="759" t="str">
        <f t="shared" si="357"/>
        <v/>
      </c>
      <c r="PN77" s="759" t="str">
        <f>IF(A77=FALSE,"",((PH77*(1+TAXE)-(PH77*(1+TAXE)*PJ77))+IF(#REF!="N/A",0,IF(INDEX(LISTES!$F$105:$F$109,MATCH(#REF!,LISTES!$C$105:$C$109,0))="FIX",#REF!,#REF!*PM77))))</f>
        <v/>
      </c>
    </row>
    <row r="78" spans="1:430">
      <c r="A78" s="779" t="b">
        <f t="shared" si="295"/>
        <v>0</v>
      </c>
      <c r="B78" s="779" t="b">
        <f>IF(NAMES!$B$9=TRUE,TRUE,FALSE)</f>
        <v>1</v>
      </c>
      <c r="C78" s="779" t="b">
        <f t="shared" si="212"/>
        <v>0</v>
      </c>
      <c r="D78" s="779" t="b">
        <f t="shared" si="213"/>
        <v>0</v>
      </c>
      <c r="E78" s="267" t="b">
        <f>IF(Cotations!C78="","",Cotations!C78)</f>
        <v>0</v>
      </c>
      <c r="F78" s="267" t="str">
        <f>IF(Cotations!AT78="","",Cotations!AT78)</f>
        <v>PROP</v>
      </c>
      <c r="G78" s="267" t="str">
        <f>IF(Cotations!D78="","",Cotations!D78)</f>
        <v>2016-2017!</v>
      </c>
      <c r="H78" s="267" t="str">
        <f>IF(Cotations!E78="","",Cotations!E78)</f>
        <v>SINGLE</v>
      </c>
      <c r="I78" s="267" t="str">
        <f>IF(Cotations!F78="","",Cotations!F78)</f>
        <v/>
      </c>
      <c r="J78" s="267" t="str">
        <f>IF(Cotations!G78="","",Cotations!G78)</f>
        <v/>
      </c>
      <c r="K78" s="267" t="str">
        <f>IF(Cotations!H78="","",Cotations!H78)</f>
        <v/>
      </c>
      <c r="L78" s="267" t="str">
        <f>IF(A78=FALSE,"",IF(Cotations!M78="","",Cotations!M78))</f>
        <v/>
      </c>
      <c r="M78" s="267" t="str">
        <f>IF(Cotations!O78="","",Cotations!O78)</f>
        <v/>
      </c>
      <c r="N78" s="588" t="str">
        <f>IF(NAMES!$B$10=TRUE,Cotations!I78,Cotations!K78)</f>
        <v/>
      </c>
      <c r="O78" s="588" t="str">
        <f>IF(NAMES!$B$10=TRUE,Cotations!J78,Cotations!L78)</f>
        <v/>
      </c>
      <c r="P78" s="780" t="str">
        <f t="shared" si="214"/>
        <v/>
      </c>
      <c r="Q78" s="588" t="str">
        <f>IF(A78=FALSE,"",IF(Crewlist!Y78="","",Crewlist!Y78))</f>
        <v/>
      </c>
      <c r="R78" s="78" t="str">
        <f>IF(Cotations!T78="","",Cotations!T78)</f>
        <v/>
      </c>
      <c r="S78" s="780" t="str">
        <f t="shared" si="215"/>
        <v/>
      </c>
      <c r="T78" s="759" t="str">
        <f>IF(A78=FALSE,"",VLOOKUP($U$15:$U$120,Currency!$A$2:$D$10,4,0)*Crewlist!N78)</f>
        <v/>
      </c>
      <c r="U78" s="1097" t="str">
        <f>IF(A78=FALSE,"",IF(DP78=0,Crewlist!M78&amp;"/"&amp;CP78,Crewlist!M78&amp;"/"&amp;DP78))</f>
        <v/>
      </c>
      <c r="V78" s="759" t="str">
        <f>IF(A78=FALSE,"",VLOOKUP($U$15:$U$120,Currency!$A$2:$D$10,4,0)*Detail!Q78)</f>
        <v/>
      </c>
      <c r="W78" s="1097" t="str">
        <f>IF(A78=FALSE,"",IF(DP78=0,Detail!R78&amp;"/"&amp;CP78,Detail!R78&amp;"/"&amp;DP78))</f>
        <v/>
      </c>
      <c r="X78" s="759" t="str">
        <f>IF(A78=FALSE,"",IF(LISTES!$C$17="Crewlist",Calcul!T78,Calcul!V78))</f>
        <v/>
      </c>
      <c r="Y78" s="618" t="str">
        <f t="shared" si="216"/>
        <v/>
      </c>
      <c r="Z78" s="618" t="str">
        <f>IF(A78=FALSE,"",IF(X78=0,0,IF((Cotations!BA78*12*X78)&lt;50000,50000,(12*X78))))</f>
        <v/>
      </c>
      <c r="AA78" s="618" t="str">
        <f t="shared" si="217"/>
        <v/>
      </c>
      <c r="AB78" s="618" t="str">
        <f>IF(A78=FALSE,"",IF(Crewlist!O78=0,"",Crewlist!O78))</f>
        <v/>
      </c>
      <c r="AC78" s="618" t="str">
        <f>IF(I78="","",VLOOKUP($AB$15:$AB$120,Currency!$A$15:$B$34,2,0))</f>
        <v/>
      </c>
      <c r="AD78" s="618" t="str">
        <f t="shared" si="218"/>
        <v/>
      </c>
      <c r="AE78" s="618" t="str">
        <f t="shared" si="219"/>
        <v/>
      </c>
      <c r="AF78" s="618" t="str">
        <f t="shared" si="220"/>
        <v/>
      </c>
      <c r="AG78" s="618" t="str">
        <f t="shared" si="221"/>
        <v/>
      </c>
      <c r="AH78" s="1097" t="str">
        <f t="shared" si="296"/>
        <v/>
      </c>
      <c r="AI78" s="759" t="str">
        <f t="shared" si="222"/>
        <v/>
      </c>
      <c r="AJ78" s="1120" t="str">
        <f t="shared" si="223"/>
        <v/>
      </c>
      <c r="AK78" s="1120" t="str">
        <f t="shared" si="224"/>
        <v/>
      </c>
      <c r="AL78" s="236" t="str">
        <f t="shared" si="225"/>
        <v/>
      </c>
      <c r="AM78" s="236" t="str">
        <f t="shared" si="226"/>
        <v/>
      </c>
      <c r="AN78" s="1112" t="str">
        <f t="shared" si="227"/>
        <v/>
      </c>
      <c r="AO78" s="236" t="str">
        <f t="shared" si="228"/>
        <v/>
      </c>
      <c r="AP78" s="327" t="str">
        <f>IF(A78=FALSE,"",INDEX(Rates!$Q$1:$Q$278,MATCH(CA78,colchoice,0)))</f>
        <v/>
      </c>
      <c r="AQ78" s="236" t="str">
        <f t="shared" si="229"/>
        <v/>
      </c>
      <c r="AR78" s="236" t="str">
        <f t="shared" si="230"/>
        <v/>
      </c>
      <c r="AS78" s="236" t="str">
        <f t="shared" si="297"/>
        <v/>
      </c>
      <c r="AT78" s="236" t="str">
        <f t="shared" si="298"/>
        <v/>
      </c>
      <c r="AU78" s="236" t="str">
        <f t="shared" si="231"/>
        <v/>
      </c>
      <c r="AV78" s="236" t="str">
        <f t="shared" si="232"/>
        <v/>
      </c>
      <c r="AW78" s="236" t="str">
        <f t="shared" si="233"/>
        <v/>
      </c>
      <c r="AX78" s="236" t="str">
        <f t="shared" si="234"/>
        <v/>
      </c>
      <c r="AY78" s="236" t="str">
        <f t="shared" si="235"/>
        <v/>
      </c>
      <c r="AZ78" s="236" t="str">
        <f t="shared" si="236"/>
        <v/>
      </c>
      <c r="BA78" s="236" t="str">
        <f t="shared" si="237"/>
        <v/>
      </c>
      <c r="BB78" s="467" t="str">
        <f t="shared" si="238"/>
        <v/>
      </c>
      <c r="BC78" s="329" t="str">
        <f t="shared" si="239"/>
        <v/>
      </c>
      <c r="BD78" s="237" t="str">
        <f t="shared" si="240"/>
        <v/>
      </c>
      <c r="BE78" s="237" t="str">
        <f>IF(A78=FALSE,"",IF(ED78&lt;&gt;$BC$7,0,INDEX(EA78:EZ78,1,MATCH(Structure!$J$16,$EA$14:$EZ$14,0))))</f>
        <v/>
      </c>
      <c r="BF78" s="237" t="str">
        <f>IF(A78=FALSE,"",IF(FD78&lt;&gt;$BC$7,0,INDEX(FA78:FZ78,1,MATCH(Structure!$J$16,$FA$14:$FZ$14,0))))</f>
        <v/>
      </c>
      <c r="BG78" s="237" t="str">
        <f>IF(A78=FALSE,"",IF(GD78&lt;&gt;$BC$7,0,INDEX(GA78:GZ78,1,MATCH(Structure!$J$16,$GA$14:$GZ$14,0))))</f>
        <v/>
      </c>
      <c r="BH78" s="237" t="str">
        <f>IF(A78=FALSE,"",IF(HD78&lt;&gt;$BC$7,0,INDEX(HA78:HZ78,1,MATCH(Structure!$J$16,$HA$14:$HZ$14,0))))</f>
        <v/>
      </c>
      <c r="BI78" s="621" t="str">
        <f>IF(A78=FALSE,"",IF(ID78&lt;&gt;$BC$7,0,INDEX(IA78:IZ78,1,MATCH(Structure!$C$12,$IA$14:$IZ$14,0)))+OL78)</f>
        <v/>
      </c>
      <c r="BJ78" s="237" t="str">
        <f>IF(A78=FALSE,"",IF(JD78&lt;&gt;$BC$7,0,INDEX(JA78:JZ78,1,MATCH(Structure!$C$12,$JA$14:$JZ$14,0))))</f>
        <v/>
      </c>
      <c r="BK78" s="621" t="str">
        <f>IF(A78=FALSE,"",IF(KD78&lt;&gt;$BC$7,0,INDEX(KA78:KZ78,1,MATCH(Structure!$C$12,$KA$14:$KZ$14,0)))+PL78)</f>
        <v/>
      </c>
      <c r="BL78" s="237" t="str">
        <f>IF(A78=FALSE,"",IF(LD78&lt;&gt;$BC$7,0,INDEX(LA78:LZ78,1,MATCH(Structure!$C$12,$LA$14:$LZ$14,0))))</f>
        <v/>
      </c>
      <c r="BM78" s="237" t="str">
        <f>IF(A78=FALSE,"",IF(MD78&lt;&gt;$BC$7,0,INDEX(MA78:MZ78,1,MATCH(Structure!$C$12,$MA$14:$MZ$14,0))))</f>
        <v/>
      </c>
      <c r="BN78" s="326" t="str">
        <f>IF(A78=FALSE,"",IF(ND78&lt;&gt;$BC$7,0,INDEX(NA78:OC78,1,MATCH(Structure!$C$12,$NA$14:$OC$14,0))))</f>
        <v/>
      </c>
      <c r="BO78" s="435" t="str">
        <f t="shared" si="241"/>
        <v/>
      </c>
      <c r="BP78" s="237" t="str">
        <f t="shared" si="242"/>
        <v/>
      </c>
      <c r="BQ78" s="237" t="str">
        <f>IF(A78=FALSE,"",IF(ED78&lt;&gt;$BO$7,0,INDEX(EA78:EZ78,1,MATCH(Structure!$C$12,$EA$14:$EZ$14,0))))</f>
        <v/>
      </c>
      <c r="BR78" s="237" t="str">
        <f>IF(A78=FALSE,"",IF(FD78&lt;&gt;$BO$7,0,INDEX(FA78:FZ78,1,MATCH(Structure!$C$12,$FA$14:$FZ$14,0))))</f>
        <v/>
      </c>
      <c r="BS78" s="237" t="str">
        <f>IF(A78=FALSE,"",IF(ID78&lt;&gt;$BO$7,0,INDEX(IA78:IZ78,1,MATCH(Structure!$C$13,$IA$14:$IZ$14,0))))</f>
        <v/>
      </c>
      <c r="BT78" s="237" t="str">
        <f>IF(A78=FALSE,"",IF(JD78&lt;&gt;$BO$7,0,INDEX(JA78:JZ78,1,MATCH(Structure!$C$13,$JA$14:$JZ$14,0))))</f>
        <v/>
      </c>
      <c r="BU78" s="237" t="str">
        <f>IF(A78=FALSE,"",IF(KD78&lt;&gt;$BO$7,0,INDEX(KA78:KZ78,1,MATCH(Structure!$C$13,$KA$14:$KZ$14,0))))</f>
        <v/>
      </c>
      <c r="BV78" s="237" t="str">
        <f>IF(A78=FALSE,"",IF(LD78&lt;&gt;$BO$7,0,INDEX(LA78:LZ78,1,MATCH(Structure!$C$13,$LA$14:$LZ$14,0))))</f>
        <v/>
      </c>
      <c r="BW78" s="237" t="str">
        <f>IF(A78=FALSE,"",IF(MD78&lt;&gt;$BO$7,0,INDEX(MA78:MZ78,1,MATCH(Structure!$C$13,$MA$14:$MZ$14,0))))</f>
        <v/>
      </c>
      <c r="BX78" s="326" t="str">
        <f>IF(A78=FALSE,"",IF(ND78&lt;&gt;$BO$7,0,INDEX(NA78:OC78,1,MATCH(Structure!$C$13,$NA$14:$OC$14,0))))</f>
        <v/>
      </c>
      <c r="BY78" s="412"/>
      <c r="BZ78" s="412"/>
      <c r="CA78" s="1255" t="str">
        <f>IF(A78=FALSE,"",IF(LISTES!$A$17=1,Cotations!AG78,Cotations!AH78))</f>
        <v/>
      </c>
      <c r="CB78" s="1266" t="str">
        <f t="shared" si="243"/>
        <v/>
      </c>
      <c r="CC78" s="1120" t="str">
        <f t="shared" si="244"/>
        <v/>
      </c>
      <c r="CD78" s="1120" t="str">
        <f t="shared" si="245"/>
        <v/>
      </c>
      <c r="CE78" s="1120" t="str">
        <f t="shared" si="246"/>
        <v/>
      </c>
      <c r="CF78" s="1120" t="str">
        <f t="shared" si="247"/>
        <v/>
      </c>
      <c r="CG78" s="1267"/>
      <c r="CH78" s="1267"/>
      <c r="CI78" s="1268" t="str">
        <f t="shared" si="248"/>
        <v/>
      </c>
      <c r="CJ78" s="286" t="str">
        <f t="shared" si="249"/>
        <v/>
      </c>
      <c r="CK78" s="286" t="str">
        <f t="shared" si="250"/>
        <v/>
      </c>
      <c r="CL78" s="1263"/>
      <c r="CM78" s="1263"/>
      <c r="CN78" s="1263"/>
      <c r="CO78" s="1263"/>
      <c r="CP78" s="319" t="str">
        <f t="shared" si="251"/>
        <v/>
      </c>
      <c r="CQ78" s="443" t="str">
        <f>IF(A78=FALSE,"",Cotations!AM78)</f>
        <v/>
      </c>
      <c r="CR78" s="443" t="str">
        <f>IF(A78=FALSE,"",IF(Cotations!AN78="","",Cotations!AN78))</f>
        <v/>
      </c>
      <c r="CS78" s="433" t="str">
        <f>IF(A78=FALSE,"",Cotations!AO78)</f>
        <v/>
      </c>
      <c r="CT78" s="443" t="str">
        <f>IF(A78=FALSE,"",IF(CQ78="N/A",0,IF(INDEX(LISTES!$F$105:$F$109,MATCH(CQ78,LISTES!$C$105:$C$109,0))="FIX",IF(INDEX(LISTES!$E$105:$E$109,MATCH(CQ78,LISTES!$C$105:$C$109,0))=12,CR78/12*L78,CR78/365*M78),CS78*EQ78)))</f>
        <v/>
      </c>
      <c r="CU78" s="434" t="str">
        <f>IF(A78=FALSE,"",(CJ78+CK78)*Cotations!AP78)</f>
        <v/>
      </c>
      <c r="CV78" s="434" t="str">
        <f>IF(A78=FALSE,"",(CJ78+CK78)*Cotations!AQ78)</f>
        <v/>
      </c>
      <c r="DA78" s="1253" t="str">
        <f>IF(A78=FALSE,"",IF(LISTES!$A$17=1,Cotations!AV78,Cotations!AW78))</f>
        <v/>
      </c>
      <c r="DB78" s="1271" t="str">
        <f t="shared" si="252"/>
        <v/>
      </c>
      <c r="DC78" s="1270" t="str">
        <f t="shared" si="253"/>
        <v/>
      </c>
      <c r="DD78" s="1270" t="str">
        <f t="shared" si="254"/>
        <v/>
      </c>
      <c r="DE78" s="1270" t="str">
        <f t="shared" si="255"/>
        <v/>
      </c>
      <c r="DF78" s="1270" t="str">
        <f t="shared" si="256"/>
        <v/>
      </c>
      <c r="DG78" s="1270" t="str">
        <f t="shared" si="257"/>
        <v/>
      </c>
      <c r="DH78" s="1270" t="str">
        <f t="shared" si="258"/>
        <v/>
      </c>
      <c r="DI78" s="1271" t="str">
        <f t="shared" si="259"/>
        <v/>
      </c>
      <c r="DJ78" s="286" t="str">
        <f t="shared" si="260"/>
        <v/>
      </c>
      <c r="DK78" s="286" t="str">
        <f t="shared" si="261"/>
        <v/>
      </c>
      <c r="DL78" s="1264" t="str">
        <f t="shared" si="262"/>
        <v/>
      </c>
      <c r="DM78" s="1264" t="str">
        <f t="shared" si="263"/>
        <v/>
      </c>
      <c r="DN78" s="1264" t="str">
        <f t="shared" si="264"/>
        <v/>
      </c>
      <c r="DO78" s="1264" t="str">
        <f t="shared" si="265"/>
        <v/>
      </c>
      <c r="DP78" s="323" t="str">
        <f t="shared" si="299"/>
        <v/>
      </c>
      <c r="DQ78" s="444" t="str">
        <f>IF(A78=FALSE,"",Cotations!BW78)</f>
        <v/>
      </c>
      <c r="DR78" s="444" t="str">
        <f>IF(A78=FALSE,"",Cotations!BX78)</f>
        <v/>
      </c>
      <c r="DS78" s="433" t="str">
        <f>IF(A78=FALSE,"",Cotations!BY78)</f>
        <v/>
      </c>
      <c r="DT78" s="830" t="str">
        <f>IF(A78=FALSE,"",IF(DQ78="N/A",0,IF(INDEX(LISTES!$F$105:$F$109,MATCH(DQ78,LISTES!$C$105:$C$109,0))="FIX",IF(INDEX(LISTES!$E$105:$E$109,MATCH(DQ78,LISTES!$C$105:$C$109,0))=12,DR78/12*L78,DR78/365*M78),DS78*(DN78+DO78))))</f>
        <v/>
      </c>
      <c r="DU78" s="434" t="str">
        <f>IF(A78=FALSE,"",DJ78*Cotations!BZ78)</f>
        <v/>
      </c>
      <c r="DV78" s="434" t="str">
        <f>IF(A78=FALSE,"",DJ78*Cotations!CA78)</f>
        <v/>
      </c>
      <c r="EA78" s="432" t="str">
        <f>IF(A78=FALSE,"",Cotations!AT78)</f>
        <v/>
      </c>
      <c r="EB78" s="1234" t="str">
        <f>IF(A78=FALSE,"",YEAR(Detail!F78)&amp;Detail!AG78&amp;Detail!AD78&amp;"-"&amp;Detail!$AD$13&amp;Detail!AE78)</f>
        <v/>
      </c>
      <c r="EC78" s="434" t="str">
        <f>IF(A78=FALSE,"",IF(LISTES!$A$17=1,EB78,INDEX(colMOD1,MATCH(Cotations!AH78,colchoice,0))))</f>
        <v/>
      </c>
      <c r="ED78" s="277" t="str">
        <f t="shared" si="300"/>
        <v/>
      </c>
      <c r="EE78" s="277" t="str">
        <f t="shared" si="301"/>
        <v/>
      </c>
      <c r="EF78" s="277"/>
      <c r="EG78" s="277"/>
      <c r="EH78" s="277" t="str">
        <f t="shared" si="302"/>
        <v/>
      </c>
      <c r="EI78" s="1104" t="str">
        <f t="shared" si="303"/>
        <v/>
      </c>
      <c r="EJ78" s="1104" t="str">
        <f t="shared" si="304"/>
        <v/>
      </c>
      <c r="EK78" s="443" t="str">
        <f>IF(A78=FALSE,"",IF(Cotations!AF78="monthly",EH78/12*L78,EH78/365*M78))</f>
        <v/>
      </c>
      <c r="EL78" s="1103" t="str">
        <f>IF(A78=FALSE,"",IF(Cotations!AF78="monthly",EJ78/12*L78,EJ78/365*M78))</f>
        <v/>
      </c>
      <c r="EM78" s="433" t="str">
        <f>IF(A78=FALSE,"",IF(Cotations!AI78="","",Cotations!AI78))</f>
        <v/>
      </c>
      <c r="EN78" s="277" t="str">
        <f t="shared" si="305"/>
        <v/>
      </c>
      <c r="EO78" s="277" t="str">
        <f t="shared" si="306"/>
        <v/>
      </c>
      <c r="EP78" s="1104" t="str">
        <f t="shared" si="307"/>
        <v/>
      </c>
      <c r="EQ78" s="277" t="str">
        <f t="shared" si="308"/>
        <v/>
      </c>
      <c r="ER78" s="759" t="str">
        <f>IF(A78=FALSE,"",((EH78*TAXE)-(EH78*TAXE*EM78)+EI78)+IF(CQ78="N/A",0,IF(INDEX(LISTES!$F$105:$F$109,MATCH(CQ78,LISTES!$C$105:$C$109,0))="FIX",CR78,CS78*EQ78)))</f>
        <v/>
      </c>
      <c r="ET78" s="422"/>
      <c r="EU78" s="422"/>
      <c r="EV78" s="422"/>
      <c r="EW78" s="422"/>
      <c r="EX78" s="422"/>
      <c r="EY78" s="422"/>
      <c r="EZ78" s="422"/>
      <c r="FA78" s="432" t="str">
        <f>IF(A78=FALSE,"",Cotations!AT78)</f>
        <v/>
      </c>
      <c r="FB78" s="1235" t="str">
        <f>IF(A78=FALSE,"",IF(Detail!AL78="","N/A",YEAR(Detail!F78)&amp;Detail!AO78&amp;Detail!AL78&amp;"-"&amp;Detail!$AL$13&amp;Detail!AM78))</f>
        <v/>
      </c>
      <c r="FC78" s="434" t="str">
        <f>IF(A78=FALSE,"",IF(LISTES!$A$17=1,FB78,INDEX(colMOD2,MATCH(Cotations!AH78,colchoice,0))))</f>
        <v/>
      </c>
      <c r="FD78" s="277" t="str">
        <f t="shared" si="309"/>
        <v/>
      </c>
      <c r="FE78" s="443" t="str">
        <f>IF(A78=FALSE,"",IF(Detail!AM78="","",Detail!AM78))</f>
        <v/>
      </c>
      <c r="FF78" s="277"/>
      <c r="FG78" s="277"/>
      <c r="FH78" s="277" t="str">
        <f t="shared" si="310"/>
        <v/>
      </c>
      <c r="FI78" s="1104"/>
      <c r="FJ78" s="1104"/>
      <c r="FK78" s="443" t="str">
        <f>IF(A78=FALSE,"",IF(Cotations!AF78="monthly",FH78/12*L78,FH78/365*M78))</f>
        <v/>
      </c>
      <c r="FL78" s="1103" t="str">
        <f>IF(A78=FALSE,"",IF(Cotations!AF78="monthly",FJ78/12*L78,FJ78/365*M78))</f>
        <v/>
      </c>
      <c r="FM78" s="433" t="str">
        <f>IF(A78=FALSE,"",IF(Cotations!AJ78="","",Cotations!AJ78))</f>
        <v/>
      </c>
      <c r="FN78" s="277" t="str">
        <f t="shared" si="268"/>
        <v/>
      </c>
      <c r="FO78" s="277" t="str">
        <f t="shared" si="269"/>
        <v/>
      </c>
      <c r="FP78" s="1104"/>
      <c r="FQ78" s="277" t="str">
        <f t="shared" si="270"/>
        <v/>
      </c>
      <c r="FR78" s="759" t="str">
        <f>IF(A78=FALSE,"",((FH78*TAXE)-(FH78*TAXE*FM78))+IF(#REF!="N/A",0,IF(INDEX(LISTES!$F$105:$F$109,MATCH(#REF!,LISTES!$C$105:$C$109,0))="FIX",#REF!,#REF!*FQ78)))</f>
        <v/>
      </c>
      <c r="FS78" s="422"/>
      <c r="FT78" s="422"/>
      <c r="FU78" s="422"/>
      <c r="FV78" s="422"/>
      <c r="FW78" s="422"/>
      <c r="FX78" s="422"/>
      <c r="FY78" s="422"/>
      <c r="FZ78" s="422"/>
      <c r="GA78" s="432" t="str">
        <f t="shared" si="311"/>
        <v/>
      </c>
      <c r="GB78" s="1234" t="str">
        <f>IF(A78=FALSE,"",IF(Detail!DF78="","N/A",YEAR(Detail!F78)&amp;Detail!DI78&amp;Detail!DF78&amp;"-"&amp;Detail!$DF$13))</f>
        <v/>
      </c>
      <c r="GC78" s="434" t="str">
        <f>IF(A78=FALSE,"",IF(LISTES!$A$17=1,GB78,INDEX(colMOD3,MATCH(Cotations!AH78,colchoice,0))))</f>
        <v/>
      </c>
      <c r="GD78" s="277" t="str">
        <f t="shared" si="312"/>
        <v/>
      </c>
      <c r="GE78" s="277" t="str">
        <f t="shared" si="313"/>
        <v/>
      </c>
      <c r="GF78" s="277"/>
      <c r="GG78" s="277"/>
      <c r="GH78" s="277" t="str">
        <f t="shared" si="271"/>
        <v/>
      </c>
      <c r="GI78" s="1104" t="str">
        <f t="shared" si="272"/>
        <v/>
      </c>
      <c r="GJ78" s="1104" t="str">
        <f t="shared" si="273"/>
        <v/>
      </c>
      <c r="GK78" s="443" t="str">
        <f>IF(A78=FALSE,"",IF(Cotations!AF78="monthly",GH78/12*L78,GH78/365*M78))</f>
        <v/>
      </c>
      <c r="GL78" s="1103" t="str">
        <f>IF(A78=FALSE,"",IF(Cotations!AF78="monthly",GJ78/12*L78,GJ78/365*M78))</f>
        <v/>
      </c>
      <c r="GM78" s="433" t="str">
        <f>IF(A78=FALSE,"",IF(Cotations!AK78="","",Cotations!AK78))</f>
        <v/>
      </c>
      <c r="GN78" s="277" t="str">
        <f t="shared" si="274"/>
        <v/>
      </c>
      <c r="GO78" s="277" t="str">
        <f t="shared" si="275"/>
        <v/>
      </c>
      <c r="GP78" s="1104" t="str">
        <f t="shared" si="276"/>
        <v/>
      </c>
      <c r="GQ78" s="277" t="str">
        <f t="shared" si="277"/>
        <v/>
      </c>
      <c r="GR78" s="759" t="str">
        <f>IF(A78=FALSE,"",((GH78*TAXE)-(GH78*TAXE*GM78)+GI78)+IF(CQ78="N/A",0,IF(INDEX(LISTES!$F$105:$F$109,MATCH(CQ78,LISTES!$C$105:$C$109,0))="FIX",CR78,CS78*GQ78)))</f>
        <v/>
      </c>
      <c r="GS78" s="412"/>
      <c r="GT78" s="412"/>
      <c r="GU78" s="412"/>
      <c r="GV78" s="412"/>
      <c r="GW78" s="412"/>
      <c r="GX78" s="412"/>
      <c r="GY78" s="412"/>
      <c r="GZ78" s="412"/>
      <c r="HA78" s="432" t="str">
        <f t="shared" si="314"/>
        <v/>
      </c>
      <c r="HB78" s="1234" t="str">
        <f>IF(A78=FALSE,"",IF(Detail!DF78="","N/A",YEAR(Detail!F78)&amp;Detail!DI78&amp;Detail!DF78&amp;"-"&amp;Detail!$DF$13))</f>
        <v/>
      </c>
      <c r="HC78" s="434" t="str">
        <f>IF(A78=FALSE,"",IF(LISTES!$A$17=1,HB78,INDEX(colMOD4,MATCH(Cotations!AH78,colchoice,0))))</f>
        <v/>
      </c>
      <c r="HD78" s="277" t="str">
        <f t="shared" si="278"/>
        <v/>
      </c>
      <c r="HE78" s="277" t="str">
        <f t="shared" si="279"/>
        <v/>
      </c>
      <c r="HF78" s="277"/>
      <c r="HG78" s="277"/>
      <c r="HH78" s="277" t="str">
        <f t="shared" si="280"/>
        <v/>
      </c>
      <c r="HI78" s="1104" t="str">
        <f t="shared" si="281"/>
        <v/>
      </c>
      <c r="HJ78" s="1104" t="str">
        <f t="shared" si="282"/>
        <v/>
      </c>
      <c r="HK78" s="443" t="str">
        <f>IF(A78=FALSE,"",IF(Cotations!AF78="monthly",HH78/12*L78,HH78/365*M78))</f>
        <v/>
      </c>
      <c r="HL78" s="1103" t="str">
        <f>IF(A78=FALSE,"",IF(Cotations!AF78="monthly",HJ78/12*L78,HJ78/365*M78))</f>
        <v/>
      </c>
      <c r="HM78" s="433" t="str">
        <f>IF(A78=FALSE,"",IF(Cotations!AL78="","",Cotations!AL78))</f>
        <v/>
      </c>
      <c r="HN78" s="277" t="str">
        <f t="shared" si="283"/>
        <v/>
      </c>
      <c r="HO78" s="277" t="str">
        <f t="shared" si="284"/>
        <v/>
      </c>
      <c r="HP78" s="1104" t="str">
        <f t="shared" si="285"/>
        <v/>
      </c>
      <c r="HQ78" s="277" t="str">
        <f t="shared" si="286"/>
        <v/>
      </c>
      <c r="HR78" s="759" t="str">
        <f>IF(A78=FALSE,"",((HH78*TAXE)-(HH78*TAXE*HM78)+HI78)+IF(CQ78="N/A",0,IF(INDEX(LISTES!$F$105:$F$109,MATCH(CQ78,LISTES!$C$105:$C$109,0))="FIX",CR78,CS78*HQ78)))</f>
        <v/>
      </c>
      <c r="HS78" s="412"/>
      <c r="HT78" s="412"/>
      <c r="HU78" s="412"/>
      <c r="HV78" s="412"/>
      <c r="HW78" s="412"/>
      <c r="HX78" s="412"/>
      <c r="HY78" s="412"/>
      <c r="HZ78" s="1262"/>
      <c r="IA78" s="432" t="str">
        <f>IF(A78=FALSE,"",Cotations!AT78)</f>
        <v/>
      </c>
      <c r="IB78" s="1253" t="str">
        <f>IF(A78=FALSE,"",IF(Detail!AT78="","N/A",YEAR(Detail!F78)&amp;Detail!AW78&amp;Detail!AT78&amp;"-"&amp;Detail!$AT$13&amp;Detail!AU78))</f>
        <v/>
      </c>
      <c r="IC78" s="431" t="str">
        <f>IF(A78=FALSE,"",IF(LISTES!$A$17=1,IB78,INDEX(colMOD1,MATCH(DA78,colchoice,0))))</f>
        <v/>
      </c>
      <c r="ID78" s="759" t="str">
        <f t="shared" si="358"/>
        <v/>
      </c>
      <c r="IE78" s="292" t="str">
        <f>IF(A78=FALSE,"",IF(LISTES!$A$17=1,Detail!AU78,INDEX(Rates!$M$1:$M$270,MATCH(IC78,colMOD1,0))))</f>
        <v/>
      </c>
      <c r="IF78" s="409" t="str">
        <f t="shared" si="359"/>
        <v/>
      </c>
      <c r="IG78" s="430" t="str">
        <f>IF(A78=FALSE,"",IF(IA78="POEA",Cotations!AY78,IF(IA78="FIXE",Cotations!AZ78,IF(Cotations!BA78*Y78&lt;50000,Z78,Cotations!BA78*Y78))))</f>
        <v/>
      </c>
      <c r="IH78" s="292" t="str">
        <f t="shared" si="360"/>
        <v/>
      </c>
      <c r="II78" s="446" t="str">
        <f>IF(A78=FALSE,"",IF(Cotations!AU78="monthly",IH78/12*L78,IH78/365*M78))</f>
        <v/>
      </c>
      <c r="IJ78" s="429" t="str">
        <f>IF(A78=FALSE,"",IF(Cotations!BB78="","",Cotations!BB78))</f>
        <v/>
      </c>
      <c r="IK78" s="292" t="str">
        <f t="shared" si="361"/>
        <v/>
      </c>
      <c r="IL78" s="292" t="str">
        <f t="shared" si="362"/>
        <v/>
      </c>
      <c r="IM78" s="759" t="str">
        <f t="shared" si="363"/>
        <v/>
      </c>
      <c r="IN78" s="759" t="str">
        <f>IF(A78=FALSE,"",((IH78*TAXE)-(IH78*TAXE*IJ78))+IF(DQ78="N/A",0,IF(INDEX(LISTES!$F$105:$F$109,MATCH(DQ78,LISTES!$C$105:$C$109,0))="FIX",DR78,DS78*IM78)))</f>
        <v/>
      </c>
      <c r="JA78" s="432" t="str">
        <f>IF(A78=FALSE,"",Cotations!AT78)</f>
        <v/>
      </c>
      <c r="JB78" s="1234" t="str">
        <f>IF(A78=FALSE,"",IF(Detail!BB78="","N/A",YEAR(Detail!F78)&amp;Detail!BE78&amp;Detail!BB78&amp;"-"&amp;Detail!$BB$13&amp;Detail!BC78))</f>
        <v/>
      </c>
      <c r="JC78" s="431" t="str">
        <f>IF(A78=FALSE,"",IF(LISTES!$A$17=1,JB78,INDEX(colMOD2,MATCH(DA78,colchoice,0))))</f>
        <v/>
      </c>
      <c r="JD78" s="759" t="str">
        <f t="shared" si="321"/>
        <v/>
      </c>
      <c r="JE78" s="292"/>
      <c r="JF78" s="409" t="str">
        <f t="shared" si="322"/>
        <v/>
      </c>
      <c r="JG78" s="430" t="str">
        <f>IF(A78=FALSE,"",IF(JA78="POEA",Cotations!BC78,IF(JA78="FIXE",Cotations!BD78,IF(Cotations!BE78*Y78&lt;50000,Z78,Cotations!BE78*Y78))))</f>
        <v/>
      </c>
      <c r="JH78" s="292" t="str">
        <f t="shared" si="323"/>
        <v/>
      </c>
      <c r="JI78" s="446" t="str">
        <f>IF(A78=FALSE,"",IF(Cotations!AU78="monthly",JH78/12*L78,JH78/365*M78))</f>
        <v/>
      </c>
      <c r="JJ78" s="429" t="str">
        <f>IF(A78=FALSE,"",IF(Cotations!BF78="","",Cotations!BF78))</f>
        <v/>
      </c>
      <c r="JK78" s="292" t="str">
        <f t="shared" si="324"/>
        <v/>
      </c>
      <c r="JL78" s="292" t="str">
        <f t="shared" si="325"/>
        <v/>
      </c>
      <c r="JM78" s="759" t="str">
        <f t="shared" si="326"/>
        <v/>
      </c>
      <c r="JN78" s="759" t="str">
        <f>IF(A78=FALSE,"",((JH78*TAXE)-(JH78*TAXE*JJ78))+IF(#REF!="N/A",0,IF(INDEX(LISTES!$F$105:$F$109,MATCH(#REF!,LISTES!$C$105:$C$109,0))="FIX",#REF!,#REF!*JM78)))</f>
        <v/>
      </c>
      <c r="KA78" s="432" t="str">
        <f>IF(A78=FALSE,"",Cotations!AT78)</f>
        <v/>
      </c>
      <c r="KB78" s="1234" t="str">
        <f>IF(A78=FALSE,"",IF(Detail!BJ78="","N/A",YEAR(Detail!F78)&amp;Detail!BM78&amp;Detail!BJ78&amp;"-"&amp;Detail!$BJ$13&amp;Detail!BK78))</f>
        <v/>
      </c>
      <c r="KC78" s="431" t="str">
        <f>IF(A78=FALSE,"",IF(LISTES!$A$17=1,KB78,INDEX(colMOD3,MATCH(DA78,colchoice,0))))</f>
        <v/>
      </c>
      <c r="KD78" s="759" t="str">
        <f t="shared" si="327"/>
        <v/>
      </c>
      <c r="KE78" s="292"/>
      <c r="KF78" s="409" t="str">
        <f t="shared" si="328"/>
        <v/>
      </c>
      <c r="KG78" s="430" t="str">
        <f>IF(A78=FALSE,"",IF(KA78="POEA",Cotations!BG78,IF(KA78="FIXE",Cotations!BH78,IF(Cotations!BI78*Y78&lt;50000,Z78,Cotations!BI78*Y78))))</f>
        <v/>
      </c>
      <c r="KH78" s="292" t="str">
        <f t="shared" si="329"/>
        <v/>
      </c>
      <c r="KI78" s="446" t="str">
        <f>IF(A78=FALSE,"",IF(Cotations!AU78="monthly",KH78/12*L78,KH78/365*M78))</f>
        <v/>
      </c>
      <c r="KJ78" s="429" t="str">
        <f>IF(A78=FALSE,"",IF(Cotations!BJ78="","",Cotations!BJ78))</f>
        <v/>
      </c>
      <c r="KK78" s="292" t="str">
        <f t="shared" si="330"/>
        <v/>
      </c>
      <c r="KL78" s="292" t="str">
        <f t="shared" si="331"/>
        <v/>
      </c>
      <c r="KM78" s="759" t="str">
        <f t="shared" si="332"/>
        <v/>
      </c>
      <c r="KN78" s="759" t="str">
        <f>IF(A78=FALSE,"",((KH78*TAXE)-(KH78*TAXE*KJ78))+IF(#REF!="N/A",0,IF(INDEX(LISTES!$F$105:$F$109,MATCH(#REF!,LISTES!$C$105:$C$109,0))="FIX",#REF!,#REF!*KM78)))</f>
        <v/>
      </c>
      <c r="LA78" s="432" t="str">
        <f>IF(A78=FALSE,"",Cotations!AT78)</f>
        <v/>
      </c>
      <c r="LB78" s="1234" t="str">
        <f>IF(A78=FALSE,"",IF(Detail!BR78="","N/A",YEAR(Detail!F78)&amp;Detail!BU78&amp;Detail!BR78&amp;"-"&amp;Detail!$BR$13&amp;Detail!BS78))</f>
        <v/>
      </c>
      <c r="LC78" s="431" t="str">
        <f>IF(A78=FALSE,"",IF(LISTES!$A$17=1,LB78,INDEX(colMOD4,MATCH(DA78,colchoice,0))))</f>
        <v/>
      </c>
      <c r="LD78" s="759" t="str">
        <f t="shared" si="333"/>
        <v/>
      </c>
      <c r="LE78" s="292"/>
      <c r="LF78" s="409" t="str">
        <f t="shared" si="334"/>
        <v/>
      </c>
      <c r="LG78" s="430" t="str">
        <f>IF(A78=FALSE,"",IF(LA78="POEA",Cotations!BK78,IF(LA78="FIXE",Cotations!BL78,IF(Cotations!BM78*Y78&lt;50000,Z78,Cotations!BM78*Y78))))</f>
        <v/>
      </c>
      <c r="LH78" s="292" t="str">
        <f t="shared" si="335"/>
        <v/>
      </c>
      <c r="LI78" s="446" t="str">
        <f>IF(A78=FALSE,"",IF(Cotations!AU78="monthly",LH78/12*L78,LH78/365*M78))</f>
        <v/>
      </c>
      <c r="LJ78" s="429" t="str">
        <f>IF(A78=FALSE,"",IF(Cotations!BN78="","",Cotations!BN78))</f>
        <v/>
      </c>
      <c r="LK78" s="292" t="str">
        <f t="shared" si="336"/>
        <v/>
      </c>
      <c r="LL78" s="292" t="str">
        <f t="shared" si="337"/>
        <v/>
      </c>
      <c r="LM78" s="759" t="str">
        <f t="shared" si="338"/>
        <v/>
      </c>
      <c r="LN78" s="759" t="str">
        <f>IF(A78=FALSE,"",((LH78*TAXE)-(LH78*TAXE*LJ78))+IF(#REF!="N/A",0,IF(INDEX(LISTES!$F$105:$F$109,MATCH(#REF!,LISTES!$C$105:$C$109,0))="FIX",#REF!,#REF!*LM78)))</f>
        <v/>
      </c>
      <c r="MA78" s="432" t="str">
        <f t="shared" si="339"/>
        <v/>
      </c>
      <c r="MB78" s="1234" t="str">
        <f>IF(A78=FALSE,"",IF(Detail!BZ78="","N/A",YEAR(Detail!F78)&amp;Detail!CC78&amp;Detail!BZ78&amp;"-"&amp;Detail!$BZ$13&amp;" (100%/"&amp;Detail!CD78&amp;"/"&amp;Detail!CE78&amp;")"))</f>
        <v/>
      </c>
      <c r="MC78" s="431" t="str">
        <f>IF(A78=FALSE,"",IF(LISTES!$A$17=1,MB78,INDEX(colMOD5,MATCH(DA78,colchoice,0))))</f>
        <v/>
      </c>
      <c r="MD78" s="759" t="str">
        <f t="shared" si="340"/>
        <v/>
      </c>
      <c r="ME78" s="292"/>
      <c r="MF78" s="409" t="str">
        <f t="shared" si="341"/>
        <v/>
      </c>
      <c r="MG78" s="430" t="str">
        <f>IF(A78=FALSE,"",Cotations!BQ78*AA78)</f>
        <v/>
      </c>
      <c r="MH78" s="292" t="str">
        <f t="shared" si="342"/>
        <v/>
      </c>
      <c r="MI78" s="446" t="str">
        <f>IF(A78=FALSE,"",IF(Cotations!AU78="monthly",MH78/12*L78,MH78/365*M78))</f>
        <v/>
      </c>
      <c r="MJ78" s="429" t="str">
        <f>IF(A78=FALSE,"",IF(Cotations!BR78="","",Cotations!BR78))</f>
        <v/>
      </c>
      <c r="MK78" s="292" t="str">
        <f t="shared" si="343"/>
        <v/>
      </c>
      <c r="ML78" s="292" t="str">
        <f t="shared" si="344"/>
        <v/>
      </c>
      <c r="MM78" s="759" t="str">
        <f t="shared" si="345"/>
        <v/>
      </c>
      <c r="MN78" s="759" t="str">
        <f>IF(A78=FALSE,"",((MH78*TAXE)-(MH78*TAXE*MJ78))+IF(#REF!="N/A",0,IF(INDEX(LISTES!$F$105:$F$109,MATCH(#REF!,LISTES!$C$105:$C$109,0))="FIX",#REF!,#REF!*MM78)))</f>
        <v/>
      </c>
      <c r="NA78" s="432" t="str">
        <f t="shared" si="346"/>
        <v/>
      </c>
      <c r="NB78" s="1234" t="str">
        <f>IF(A78=FALSE,"",IF(Detail!CH78="","N/A",YEAR(Detail!F78)&amp;Detail!CK78&amp;Detail!CH78&amp;"-"&amp;Detail!$CH$13&amp;" (100%/"&amp;Detail!CL78&amp;"/"&amp;Detail!CM78&amp;")"))</f>
        <v/>
      </c>
      <c r="NC78" s="431" t="str">
        <f>IF(A78=FALSE,"",IF(LISTES!$A$17=1,NB78,INDEX(colMOD6,MATCH(DA78,colchoice,0))))</f>
        <v/>
      </c>
      <c r="ND78" s="759" t="str">
        <f t="shared" si="347"/>
        <v/>
      </c>
      <c r="NE78" s="292"/>
      <c r="NF78" s="409" t="str">
        <f t="shared" si="348"/>
        <v/>
      </c>
      <c r="NG78" s="430" t="str">
        <f>IF(A78=FALSE,"",Cotations!BU78*AA78)</f>
        <v/>
      </c>
      <c r="NH78" s="292" t="str">
        <f t="shared" si="349"/>
        <v/>
      </c>
      <c r="NI78" s="446" t="str">
        <f>IF(A78=FALSE,"",IF(Cotations!AU78="monthly",NH78/12*L78,NH78/365*M78))</f>
        <v/>
      </c>
      <c r="NJ78" s="429" t="str">
        <f>IF(A78=FALSE,"",IF(Cotations!BV78="","",Cotations!BV78))</f>
        <v/>
      </c>
      <c r="NK78" s="292" t="str">
        <f t="shared" si="350"/>
        <v/>
      </c>
      <c r="NL78" s="292" t="str">
        <f t="shared" si="351"/>
        <v/>
      </c>
      <c r="NM78" s="759" t="str">
        <f t="shared" si="352"/>
        <v/>
      </c>
      <c r="NN78" s="759" t="str">
        <f>IF(A78=FALSE,"",((NH78*TAXE)-(NH78*TAXE*NJ78))+IF(#REF!="N/A",0,IF(INDEX(LISTES!$F$105:$F$109,MATCH(#REF!,LISTES!$C$105:$C$109,0))="FIX",#REF!,#REF!*NM78)))</f>
        <v/>
      </c>
      <c r="NZ78" s="1281" t="str">
        <f>IF(A78=FALSE,"",IF(Detail!CP78="","N/A",YEAR(Detail!F78)&amp;Detail!CS78&amp;Detail!CP78&amp;"-"&amp;Detail!CQ78))</f>
        <v/>
      </c>
      <c r="OA78" s="432" t="str">
        <f>IF(A78=FALSE,"",Cotations!CF78)</f>
        <v/>
      </c>
      <c r="OB78" s="1282" t="str">
        <f>IF(A78=FALSE,"",IF(Detail!CP78="","N/A",YEAR(Detail!F78)&amp;Detail!CS78&amp;Detail!CP78&amp;"-"&amp;Detail!$CP$13&amp;Detail!CQ78))</f>
        <v/>
      </c>
      <c r="OC78" s="1283" t="str">
        <f>IF(A78=FALSE,"",IF(LISTES!$A$17=1,OB78,INDEX(colMOD1,MATCH(Cotations!CE78,colchoice,0))))</f>
        <v/>
      </c>
      <c r="OD78" s="759" t="str">
        <f t="shared" si="353"/>
        <v/>
      </c>
      <c r="OE78" s="292" t="str">
        <f>IF(A78=FALSE,"",Detail!CQ78)</f>
        <v/>
      </c>
      <c r="OF78" s="409" t="str">
        <f t="shared" si="354"/>
        <v/>
      </c>
      <c r="OG78" s="430" t="str">
        <f>IF(A78=FALSE,"",IF(OA78="FIXE",Cotations!CM78,Cotations!CN78*AA78))</f>
        <v/>
      </c>
      <c r="OH78" s="292" t="str">
        <f t="shared" si="288"/>
        <v/>
      </c>
      <c r="OI78" s="446" t="str">
        <f>IF(A78=FALSE,"",IF(Cotations!CF78="monthly",OH78/12*L78,OH78/365*M78))</f>
        <v/>
      </c>
      <c r="OJ78" s="429" t="str">
        <f>IF(A78=FALSE,"",IF(Cotations!CO78="","",Cotations!CO78))</f>
        <v/>
      </c>
      <c r="OK78" s="292" t="str">
        <f t="shared" si="289"/>
        <v/>
      </c>
      <c r="OL78" s="292" t="str">
        <f t="shared" si="290"/>
        <v/>
      </c>
      <c r="OM78" s="759" t="str">
        <f t="shared" si="355"/>
        <v/>
      </c>
      <c r="ON78" s="759" t="str">
        <f>IF(A78=FALSE,"",((OH78*(1+TAXE)-(OH78*(1+TAXE)*OJ78))+IF(#REF!="N/A",0,IF(INDEX(LISTES!$F$105:$F$109,MATCH(#REF!,LISTES!$C$105:$C$109,0))="FIX",#REF!,#REF!*OM78))))</f>
        <v/>
      </c>
      <c r="PA78" s="432" t="str">
        <f>IF(A78=FALSE,"",Cotations!CF78)</f>
        <v/>
      </c>
      <c r="PB78" s="1282" t="str">
        <f>IF(A78=FALSE,"",IF(Detail!CX78="","N/A",YEAR(Detail!F78)&amp;Detail!DA78&amp;Detail!CX78&amp;"-"&amp;Detail!$CX$13&amp;Detail!CY78))</f>
        <v/>
      </c>
      <c r="PC78" s="1283" t="str">
        <f>IF(A78=FALSE,"",IF(LISTES!$A$17=1,PB78,INDEX(colMOD3,MATCH(Cotations!CE78,colchoice,0))))</f>
        <v/>
      </c>
      <c r="PD78" s="759" t="str">
        <f t="shared" si="356"/>
        <v/>
      </c>
      <c r="PE78" s="292" t="str">
        <f>IF(A78=FALSE,"",IF(Detail!CY78="","",Detail!CY78))</f>
        <v/>
      </c>
      <c r="PF78" s="409" t="str">
        <f t="shared" si="291"/>
        <v/>
      </c>
      <c r="PG78" s="430" t="str">
        <f>IF(A78=FALSE,"",IF(PA78="FIXE",Cotations!CP78,Cotations!CQ78*AA78))</f>
        <v/>
      </c>
      <c r="PH78" s="292" t="str">
        <f t="shared" si="292"/>
        <v/>
      </c>
      <c r="PI78" s="446" t="str">
        <f>IF(A78=FALSE,"",IF(Cotations!CG78="monthly",PH78/12*L78,PH78/365*M78))</f>
        <v/>
      </c>
      <c r="PJ78" s="429" t="str">
        <f>IF(A78=FALSE,"",IF(Cotations!DA78="",0,Cotations!DA78))</f>
        <v/>
      </c>
      <c r="PK78" s="292" t="str">
        <f t="shared" si="293"/>
        <v/>
      </c>
      <c r="PL78" s="292" t="str">
        <f t="shared" si="294"/>
        <v/>
      </c>
      <c r="PM78" s="759" t="str">
        <f t="shared" si="357"/>
        <v/>
      </c>
      <c r="PN78" s="759" t="str">
        <f>IF(A78=FALSE,"",((PH78*(1+TAXE)-(PH78*(1+TAXE)*PJ78))+IF(#REF!="N/A",0,IF(INDEX(LISTES!$F$105:$F$109,MATCH(#REF!,LISTES!$C$105:$C$109,0))="FIX",#REF!,#REF!*PM78))))</f>
        <v/>
      </c>
    </row>
    <row r="79" spans="1:430">
      <c r="A79" s="779" t="b">
        <f t="shared" ref="A79:A110" si="364">IF(B79=FALSE,FALSE,IF(C79=FALSE,FALSE,IF(D79=FALSE,FALSE,TRUE)))</f>
        <v>0</v>
      </c>
      <c r="B79" s="779" t="b">
        <f>IF(NAMES!$B$9=TRUE,TRUE,FALSE)</f>
        <v>1</v>
      </c>
      <c r="C79" s="779" t="b">
        <f t="shared" si="212"/>
        <v>0</v>
      </c>
      <c r="D79" s="779" t="b">
        <f t="shared" si="213"/>
        <v>0</v>
      </c>
      <c r="E79" s="267" t="b">
        <f>IF(Cotations!C79="","",Cotations!C79)</f>
        <v>0</v>
      </c>
      <c r="F79" s="267" t="str">
        <f>IF(Cotations!AT79="","",Cotations!AT79)</f>
        <v>PROP</v>
      </c>
      <c r="G79" s="267" t="str">
        <f>IF(Cotations!D79="","",Cotations!D79)</f>
        <v>2016-2017!</v>
      </c>
      <c r="H79" s="267" t="str">
        <f>IF(Cotations!E79="","",Cotations!E79)</f>
        <v>SINGLE</v>
      </c>
      <c r="I79" s="267" t="str">
        <f>IF(Cotations!F79="","",Cotations!F79)</f>
        <v/>
      </c>
      <c r="J79" s="267" t="str">
        <f>IF(Cotations!G79="","",Cotations!G79)</f>
        <v/>
      </c>
      <c r="K79" s="267" t="str">
        <f>IF(Cotations!H79="","",Cotations!H79)</f>
        <v/>
      </c>
      <c r="L79" s="267" t="str">
        <f>IF(A79=FALSE,"",IF(Cotations!M79="","",Cotations!M79))</f>
        <v/>
      </c>
      <c r="M79" s="267" t="str">
        <f>IF(Cotations!O79="","",Cotations!O79)</f>
        <v/>
      </c>
      <c r="N79" s="588" t="str">
        <f>IF(NAMES!$B$10=TRUE,Cotations!I79,Cotations!K79)</f>
        <v/>
      </c>
      <c r="O79" s="588" t="str">
        <f>IF(NAMES!$B$10=TRUE,Cotations!J79,Cotations!L79)</f>
        <v/>
      </c>
      <c r="P79" s="780" t="str">
        <f t="shared" si="214"/>
        <v/>
      </c>
      <c r="Q79" s="588" t="str">
        <f>IF(A79=FALSE,"",IF(Crewlist!Y79="","",Crewlist!Y79))</f>
        <v/>
      </c>
      <c r="R79" s="78" t="str">
        <f>IF(Cotations!T79="","",Cotations!T79)</f>
        <v/>
      </c>
      <c r="S79" s="780" t="str">
        <f t="shared" si="215"/>
        <v/>
      </c>
      <c r="T79" s="759" t="str">
        <f>IF(A79=FALSE,"",VLOOKUP($U$15:$U$120,Currency!$A$2:$D$10,4,0)*Crewlist!N79)</f>
        <v/>
      </c>
      <c r="U79" s="1097" t="str">
        <f>IF(A79=FALSE,"",IF(DP79=0,Crewlist!M79&amp;"/"&amp;CP79,Crewlist!M79&amp;"/"&amp;DP79))</f>
        <v/>
      </c>
      <c r="V79" s="759" t="str">
        <f>IF(A79=FALSE,"",VLOOKUP($U$15:$U$120,Currency!$A$2:$D$10,4,0)*Detail!Q79)</f>
        <v/>
      </c>
      <c r="W79" s="1097" t="str">
        <f>IF(A79=FALSE,"",IF(DP79=0,Detail!R79&amp;"/"&amp;CP79,Detail!R79&amp;"/"&amp;DP79))</f>
        <v/>
      </c>
      <c r="X79" s="759" t="str">
        <f>IF(A79=FALSE,"",IF(LISTES!$C$17="Crewlist",Calcul!T79,Calcul!V79))</f>
        <v/>
      </c>
      <c r="Y79" s="618" t="str">
        <f t="shared" si="216"/>
        <v/>
      </c>
      <c r="Z79" s="618" t="str">
        <f>IF(A79=FALSE,"",IF(X79=0,0,IF((Cotations!BA79*12*X79)&lt;50000,50000,(12*X79))))</f>
        <v/>
      </c>
      <c r="AA79" s="618" t="str">
        <f t="shared" si="217"/>
        <v/>
      </c>
      <c r="AB79" s="618" t="str">
        <f>IF(A79=FALSE,"",IF(Crewlist!O79=0,"",Crewlist!O79))</f>
        <v/>
      </c>
      <c r="AC79" s="618" t="str">
        <f>IF(I79="","",VLOOKUP($AB$15:$AB$120,Currency!$A$15:$B$34,2,0))</f>
        <v/>
      </c>
      <c r="AD79" s="618" t="str">
        <f t="shared" si="218"/>
        <v/>
      </c>
      <c r="AE79" s="618" t="str">
        <f t="shared" si="219"/>
        <v/>
      </c>
      <c r="AF79" s="618" t="str">
        <f t="shared" si="220"/>
        <v/>
      </c>
      <c r="AG79" s="618" t="str">
        <f t="shared" si="221"/>
        <v/>
      </c>
      <c r="AH79" s="1097" t="str">
        <f t="shared" ref="AH79:AH110" si="365">IF(A79=FALSE,"",CP79)</f>
        <v/>
      </c>
      <c r="AI79" s="759" t="str">
        <f t="shared" si="222"/>
        <v/>
      </c>
      <c r="AJ79" s="1120" t="str">
        <f t="shared" si="223"/>
        <v/>
      </c>
      <c r="AK79" s="1120" t="str">
        <f t="shared" si="224"/>
        <v/>
      </c>
      <c r="AL79" s="236" t="str">
        <f t="shared" si="225"/>
        <v/>
      </c>
      <c r="AM79" s="236" t="str">
        <f t="shared" si="226"/>
        <v/>
      </c>
      <c r="AN79" s="1112" t="str">
        <f t="shared" si="227"/>
        <v/>
      </c>
      <c r="AO79" s="236" t="str">
        <f t="shared" si="228"/>
        <v/>
      </c>
      <c r="AP79" s="327" t="str">
        <f>IF(A79=FALSE,"",INDEX(Rates!$Q$1:$Q$278,MATCH(CA79,colchoice,0)))</f>
        <v/>
      </c>
      <c r="AQ79" s="236" t="str">
        <f t="shared" si="229"/>
        <v/>
      </c>
      <c r="AR79" s="236" t="str">
        <f t="shared" si="230"/>
        <v/>
      </c>
      <c r="AS79" s="236" t="str">
        <f t="shared" ref="AS79:AS110" si="366">IF(A79=FALSE,"",SUM(AU79:AV79)*TAXE)</f>
        <v/>
      </c>
      <c r="AT79" s="236" t="str">
        <f t="shared" ref="AT79:AT110" si="367">IF(A79=FALSE,"",SUM(AW79:BB79)*TAXE)</f>
        <v/>
      </c>
      <c r="AU79" s="236" t="str">
        <f t="shared" si="231"/>
        <v/>
      </c>
      <c r="AV79" s="236" t="str">
        <f t="shared" si="232"/>
        <v/>
      </c>
      <c r="AW79" s="236" t="str">
        <f t="shared" si="233"/>
        <v/>
      </c>
      <c r="AX79" s="236" t="str">
        <f t="shared" si="234"/>
        <v/>
      </c>
      <c r="AY79" s="236" t="str">
        <f t="shared" si="235"/>
        <v/>
      </c>
      <c r="AZ79" s="236" t="str">
        <f t="shared" si="236"/>
        <v/>
      </c>
      <c r="BA79" s="236" t="str">
        <f t="shared" si="237"/>
        <v/>
      </c>
      <c r="BB79" s="467" t="str">
        <f t="shared" si="238"/>
        <v/>
      </c>
      <c r="BC79" s="329" t="str">
        <f t="shared" si="239"/>
        <v/>
      </c>
      <c r="BD79" s="237" t="str">
        <f t="shared" si="240"/>
        <v/>
      </c>
      <c r="BE79" s="237" t="str">
        <f>IF(A79=FALSE,"",IF(ED79&lt;&gt;$BC$7,0,INDEX(EA79:EZ79,1,MATCH(Structure!$J$16,$EA$14:$EZ$14,0))))</f>
        <v/>
      </c>
      <c r="BF79" s="237" t="str">
        <f>IF(A79=FALSE,"",IF(FD79&lt;&gt;$BC$7,0,INDEX(FA79:FZ79,1,MATCH(Structure!$J$16,$FA$14:$FZ$14,0))))</f>
        <v/>
      </c>
      <c r="BG79" s="237" t="str">
        <f>IF(A79=FALSE,"",IF(GD79&lt;&gt;$BC$7,0,INDEX(GA79:GZ79,1,MATCH(Structure!$J$16,$GA$14:$GZ$14,0))))</f>
        <v/>
      </c>
      <c r="BH79" s="237" t="str">
        <f>IF(A79=FALSE,"",IF(HD79&lt;&gt;$BC$7,0,INDEX(HA79:HZ79,1,MATCH(Structure!$J$16,$HA$14:$HZ$14,0))))</f>
        <v/>
      </c>
      <c r="BI79" s="621" t="str">
        <f>IF(A79=FALSE,"",IF(ID79&lt;&gt;$BC$7,0,INDEX(IA79:IZ79,1,MATCH(Structure!$C$12,$IA$14:$IZ$14,0)))+OL79)</f>
        <v/>
      </c>
      <c r="BJ79" s="237" t="str">
        <f>IF(A79=FALSE,"",IF(JD79&lt;&gt;$BC$7,0,INDEX(JA79:JZ79,1,MATCH(Structure!$C$12,$JA$14:$JZ$14,0))))</f>
        <v/>
      </c>
      <c r="BK79" s="621" t="str">
        <f>IF(A79=FALSE,"",IF(KD79&lt;&gt;$BC$7,0,INDEX(KA79:KZ79,1,MATCH(Structure!$C$12,$KA$14:$KZ$14,0)))+PL79)</f>
        <v/>
      </c>
      <c r="BL79" s="237" t="str">
        <f>IF(A79=FALSE,"",IF(LD79&lt;&gt;$BC$7,0,INDEX(LA79:LZ79,1,MATCH(Structure!$C$12,$LA$14:$LZ$14,0))))</f>
        <v/>
      </c>
      <c r="BM79" s="237" t="str">
        <f>IF(A79=FALSE,"",IF(MD79&lt;&gt;$BC$7,0,INDEX(MA79:MZ79,1,MATCH(Structure!$C$12,$MA$14:$MZ$14,0))))</f>
        <v/>
      </c>
      <c r="BN79" s="326" t="str">
        <f>IF(A79=FALSE,"",IF(ND79&lt;&gt;$BC$7,0,INDEX(NA79:OC79,1,MATCH(Structure!$C$12,$NA$14:$OC$14,0))))</f>
        <v/>
      </c>
      <c r="BO79" s="435" t="str">
        <f t="shared" si="241"/>
        <v/>
      </c>
      <c r="BP79" s="237" t="str">
        <f t="shared" si="242"/>
        <v/>
      </c>
      <c r="BQ79" s="237" t="str">
        <f>IF(A79=FALSE,"",IF(ED79&lt;&gt;$BO$7,0,INDEX(EA79:EZ79,1,MATCH(Structure!$C$12,$EA$14:$EZ$14,0))))</f>
        <v/>
      </c>
      <c r="BR79" s="237" t="str">
        <f>IF(A79=FALSE,"",IF(FD79&lt;&gt;$BO$7,0,INDEX(FA79:FZ79,1,MATCH(Structure!$C$12,$FA$14:$FZ$14,0))))</f>
        <v/>
      </c>
      <c r="BS79" s="237" t="str">
        <f>IF(A79=FALSE,"",IF(ID79&lt;&gt;$BO$7,0,INDEX(IA79:IZ79,1,MATCH(Structure!$C$13,$IA$14:$IZ$14,0))))</f>
        <v/>
      </c>
      <c r="BT79" s="237" t="str">
        <f>IF(A79=FALSE,"",IF(JD79&lt;&gt;$BO$7,0,INDEX(JA79:JZ79,1,MATCH(Structure!$C$13,$JA$14:$JZ$14,0))))</f>
        <v/>
      </c>
      <c r="BU79" s="237" t="str">
        <f>IF(A79=FALSE,"",IF(KD79&lt;&gt;$BO$7,0,INDEX(KA79:KZ79,1,MATCH(Structure!$C$13,$KA$14:$KZ$14,0))))</f>
        <v/>
      </c>
      <c r="BV79" s="237" t="str">
        <f>IF(A79=FALSE,"",IF(LD79&lt;&gt;$BO$7,0,INDEX(LA79:LZ79,1,MATCH(Structure!$C$13,$LA$14:$LZ$14,0))))</f>
        <v/>
      </c>
      <c r="BW79" s="237" t="str">
        <f>IF(A79=FALSE,"",IF(MD79&lt;&gt;$BO$7,0,INDEX(MA79:MZ79,1,MATCH(Structure!$C$13,$MA$14:$MZ$14,0))))</f>
        <v/>
      </c>
      <c r="BX79" s="326" t="str">
        <f>IF(A79=FALSE,"",IF(ND79&lt;&gt;$BO$7,0,INDEX(NA79:OC79,1,MATCH(Structure!$C$13,$NA$14:$OC$14,0))))</f>
        <v/>
      </c>
      <c r="BY79" s="412"/>
      <c r="BZ79" s="412"/>
      <c r="CA79" s="1255" t="str">
        <f>IF(A79=FALSE,"",IF(LISTES!$A$17=1,Cotations!AG79,Cotations!AH79))</f>
        <v/>
      </c>
      <c r="CB79" s="1266" t="str">
        <f t="shared" si="243"/>
        <v/>
      </c>
      <c r="CC79" s="1120" t="str">
        <f t="shared" si="244"/>
        <v/>
      </c>
      <c r="CD79" s="1120" t="str">
        <f t="shared" si="245"/>
        <v/>
      </c>
      <c r="CE79" s="1120" t="str">
        <f t="shared" si="246"/>
        <v/>
      </c>
      <c r="CF79" s="1120" t="str">
        <f t="shared" si="247"/>
        <v/>
      </c>
      <c r="CG79" s="1267"/>
      <c r="CH79" s="1267"/>
      <c r="CI79" s="1268" t="str">
        <f t="shared" si="248"/>
        <v/>
      </c>
      <c r="CJ79" s="286" t="str">
        <f t="shared" si="249"/>
        <v/>
      </c>
      <c r="CK79" s="286" t="str">
        <f t="shared" si="250"/>
        <v/>
      </c>
      <c r="CL79" s="1263"/>
      <c r="CM79" s="1263"/>
      <c r="CN79" s="1263"/>
      <c r="CO79" s="1263"/>
      <c r="CP79" s="319" t="str">
        <f t="shared" si="251"/>
        <v/>
      </c>
      <c r="CQ79" s="443" t="str">
        <f>IF(A79=FALSE,"",Cotations!AM79)</f>
        <v/>
      </c>
      <c r="CR79" s="443" t="str">
        <f>IF(A79=FALSE,"",IF(Cotations!AN79="","",Cotations!AN79))</f>
        <v/>
      </c>
      <c r="CS79" s="433" t="str">
        <f>IF(A79=FALSE,"",Cotations!AO79)</f>
        <v/>
      </c>
      <c r="CT79" s="443" t="str">
        <f>IF(A79=FALSE,"",IF(CQ79="N/A",0,IF(INDEX(LISTES!$F$105:$F$109,MATCH(CQ79,LISTES!$C$105:$C$109,0))="FIX",IF(INDEX(LISTES!$E$105:$E$109,MATCH(CQ79,LISTES!$C$105:$C$109,0))=12,CR79/12*L79,CR79/365*M79),CS79*EQ79)))</f>
        <v/>
      </c>
      <c r="CU79" s="434" t="str">
        <f>IF(A79=FALSE,"",(CJ79+CK79)*Cotations!AP79)</f>
        <v/>
      </c>
      <c r="CV79" s="434" t="str">
        <f>IF(A79=FALSE,"",(CJ79+CK79)*Cotations!AQ79)</f>
        <v/>
      </c>
      <c r="DA79" s="1253" t="str">
        <f>IF(A79=FALSE,"",IF(LISTES!$A$17=1,Cotations!AV79,Cotations!AW79))</f>
        <v/>
      </c>
      <c r="DB79" s="1271" t="str">
        <f t="shared" si="252"/>
        <v/>
      </c>
      <c r="DC79" s="1270" t="str">
        <f t="shared" si="253"/>
        <v/>
      </c>
      <c r="DD79" s="1270" t="str">
        <f t="shared" si="254"/>
        <v/>
      </c>
      <c r="DE79" s="1270" t="str">
        <f t="shared" si="255"/>
        <v/>
      </c>
      <c r="DF79" s="1270" t="str">
        <f t="shared" si="256"/>
        <v/>
      </c>
      <c r="DG79" s="1270" t="str">
        <f t="shared" si="257"/>
        <v/>
      </c>
      <c r="DH79" s="1270" t="str">
        <f t="shared" si="258"/>
        <v/>
      </c>
      <c r="DI79" s="1271" t="str">
        <f t="shared" si="259"/>
        <v/>
      </c>
      <c r="DJ79" s="286" t="str">
        <f t="shared" si="260"/>
        <v/>
      </c>
      <c r="DK79" s="286" t="str">
        <f t="shared" si="261"/>
        <v/>
      </c>
      <c r="DL79" s="1264" t="str">
        <f t="shared" si="262"/>
        <v/>
      </c>
      <c r="DM79" s="1264" t="str">
        <f t="shared" si="263"/>
        <v/>
      </c>
      <c r="DN79" s="1264" t="str">
        <f t="shared" si="264"/>
        <v/>
      </c>
      <c r="DO79" s="1264" t="str">
        <f t="shared" si="265"/>
        <v/>
      </c>
      <c r="DP79" s="323" t="str">
        <f t="shared" ref="DP79:DP110" si="368">IF(A79=FALSE,"",INDEX(colCurrency,MATCH(IC79,colMOD1,0)))</f>
        <v/>
      </c>
      <c r="DQ79" s="444" t="str">
        <f>IF(A79=FALSE,"",Cotations!BW79)</f>
        <v/>
      </c>
      <c r="DR79" s="444" t="str">
        <f>IF(A79=FALSE,"",Cotations!BX79)</f>
        <v/>
      </c>
      <c r="DS79" s="433" t="str">
        <f>IF(A79=FALSE,"",Cotations!BY79)</f>
        <v/>
      </c>
      <c r="DT79" s="830" t="str">
        <f>IF(A79=FALSE,"",IF(DQ79="N/A",0,IF(INDEX(LISTES!$F$105:$F$109,MATCH(DQ79,LISTES!$C$105:$C$109,0))="FIX",IF(INDEX(LISTES!$E$105:$E$109,MATCH(DQ79,LISTES!$C$105:$C$109,0))=12,DR79/12*L79,DR79/365*M79),DS79*(DN79+DO79))))</f>
        <v/>
      </c>
      <c r="DU79" s="434" t="str">
        <f>IF(A79=FALSE,"",DJ79*Cotations!BZ79)</f>
        <v/>
      </c>
      <c r="DV79" s="434" t="str">
        <f>IF(A79=FALSE,"",DJ79*Cotations!CA79)</f>
        <v/>
      </c>
      <c r="EA79" s="432" t="str">
        <f>IF(A79=FALSE,"",Cotations!AT79)</f>
        <v/>
      </c>
      <c r="EB79" s="1234" t="str">
        <f>IF(A79=FALSE,"",YEAR(Detail!F79)&amp;Detail!AG79&amp;Detail!AD79&amp;"-"&amp;Detail!$AD$13&amp;Detail!AE79)</f>
        <v/>
      </c>
      <c r="EC79" s="434" t="str">
        <f>IF(A79=FALSE,"",IF(LISTES!$A$17=1,EB79,INDEX(colMOD1,MATCH(Cotations!AH79,colchoice,0))))</f>
        <v/>
      </c>
      <c r="ED79" s="277" t="str">
        <f t="shared" ref="ED79:ED110" si="369">IF(A79=FALSE,"",INDEX(colAssureur,MATCH(EC79,colMOD1,0)))</f>
        <v/>
      </c>
      <c r="EE79" s="277" t="str">
        <f t="shared" ref="EE79:EE110" si="370">IF(A79=FALSE,"",IF(N79="","",INDEX(colProduct,MATCH(EC79,colMOD1,0))))</f>
        <v/>
      </c>
      <c r="EF79" s="277"/>
      <c r="EG79" s="277"/>
      <c r="EH79" s="277" t="str">
        <f t="shared" ref="EH79:EH110" si="371">IF(A79=FALSE,"",INDEX(colMOD1HT,MATCH(EC79,colMOD1,0)))</f>
        <v/>
      </c>
      <c r="EI79" s="1104" t="str">
        <f t="shared" ref="EI79:EI110" si="372">IF(A79=FALSE,"",INDEX(colSURCOM,MATCH(EC79,colMOD1,0)))</f>
        <v/>
      </c>
      <c r="EJ79" s="1104" t="str">
        <f t="shared" ref="EJ79:EJ110" si="373">IF(A79=FALSE,"",INDEX(colRatesHTsurcom,MATCH(EC79,colMOD1,0)))</f>
        <v/>
      </c>
      <c r="EK79" s="443" t="str">
        <f>IF(A79=FALSE,"",IF(Cotations!AF79="monthly",EH79/12*L79,EH79/365*M79))</f>
        <v/>
      </c>
      <c r="EL79" s="1103" t="str">
        <f>IF(A79=FALSE,"",IF(Cotations!AF79="monthly",EJ79/12*L79,EJ79/365*M79))</f>
        <v/>
      </c>
      <c r="EM79" s="433" t="str">
        <f>IF(A79=FALSE,"",IF(Cotations!AI79="","",Cotations!AI79))</f>
        <v/>
      </c>
      <c r="EN79" s="277" t="str">
        <f t="shared" ref="EN79:EN110" si="374">IF(A79=FALSE,"",EK79*EM79)</f>
        <v/>
      </c>
      <c r="EO79" s="277" t="str">
        <f t="shared" ref="EO79:EO110" si="375">IF(A79=FALSE,"",EK79-EN79)</f>
        <v/>
      </c>
      <c r="EP79" s="1104" t="str">
        <f t="shared" ref="EP79:EP110" si="376">IF(A79=FALSE,"",IF(EI79=0,0,EL79-(EK79-EN79)))</f>
        <v/>
      </c>
      <c r="EQ79" s="277" t="str">
        <f t="shared" ref="EQ79:EQ110" si="377">IF(A79=FALSE,"",(EO79*TAXE)+EP79)</f>
        <v/>
      </c>
      <c r="ER79" s="759" t="str">
        <f>IF(A79=FALSE,"",((EH79*TAXE)-(EH79*TAXE*EM79)+EI79)+IF(CQ79="N/A",0,IF(INDEX(LISTES!$F$105:$F$109,MATCH(CQ79,LISTES!$C$105:$C$109,0))="FIX",CR79,CS79*EQ79)))</f>
        <v/>
      </c>
      <c r="ET79" s="422"/>
      <c r="EU79" s="422"/>
      <c r="EV79" s="422"/>
      <c r="EW79" s="422"/>
      <c r="EX79" s="422"/>
      <c r="EY79" s="422"/>
      <c r="EZ79" s="422"/>
      <c r="FA79" s="432" t="str">
        <f>IF(A79=FALSE,"",Cotations!AT79)</f>
        <v/>
      </c>
      <c r="FB79" s="1235" t="str">
        <f>IF(A79=FALSE,"",IF(Detail!AL79="","N/A",YEAR(Detail!F79)&amp;Detail!AO79&amp;Detail!AL79&amp;"-"&amp;Detail!$AL$13&amp;Detail!AM79))</f>
        <v/>
      </c>
      <c r="FC79" s="434" t="str">
        <f>IF(A79=FALSE,"",IF(LISTES!$A$17=1,FB79,INDEX(colMOD2,MATCH(Cotations!AH79,colchoice,0))))</f>
        <v/>
      </c>
      <c r="FD79" s="277" t="str">
        <f t="shared" ref="FD79:FD110" si="378">IF(A79=FALSE,"",INDEX(colAssureur,MATCH(FC79,colMOD2,0)))</f>
        <v/>
      </c>
      <c r="FE79" s="443" t="str">
        <f>IF(A79=FALSE,"",IF(Detail!AM79="","",Detail!AM79))</f>
        <v/>
      </c>
      <c r="FF79" s="277"/>
      <c r="FG79" s="277"/>
      <c r="FH79" s="277" t="str">
        <f t="shared" ref="FH79:FH110" si="379">IF(A79=FALSE,"",INDEX(colMOD2HT,MATCH(FC79,colMOD2,0)))</f>
        <v/>
      </c>
      <c r="FI79" s="1104"/>
      <c r="FJ79" s="1104"/>
      <c r="FK79" s="443" t="str">
        <f>IF(A79=FALSE,"",IF(Cotations!AF79="monthly",FH79/12*L79,FH79/365*M79))</f>
        <v/>
      </c>
      <c r="FL79" s="1103" t="str">
        <f>IF(A79=FALSE,"",IF(Cotations!AF79="monthly",FJ79/12*L79,FJ79/365*M79))</f>
        <v/>
      </c>
      <c r="FM79" s="433" t="str">
        <f>IF(A79=FALSE,"",IF(Cotations!AJ79="","",Cotations!AJ79))</f>
        <v/>
      </c>
      <c r="FN79" s="277" t="str">
        <f t="shared" si="268"/>
        <v/>
      </c>
      <c r="FO79" s="277" t="str">
        <f t="shared" si="269"/>
        <v/>
      </c>
      <c r="FP79" s="1104"/>
      <c r="FQ79" s="277" t="str">
        <f t="shared" si="270"/>
        <v/>
      </c>
      <c r="FR79" s="759" t="str">
        <f>IF(A79=FALSE,"",((FH79*TAXE)-(FH79*TAXE*FM79))+IF(#REF!="N/A",0,IF(INDEX(LISTES!$F$105:$F$109,MATCH(#REF!,LISTES!$C$105:$C$109,0))="FIX",#REF!,#REF!*FQ79)))</f>
        <v/>
      </c>
      <c r="FS79" s="422"/>
      <c r="FT79" s="422"/>
      <c r="FU79" s="422"/>
      <c r="FV79" s="422"/>
      <c r="FW79" s="422"/>
      <c r="FX79" s="422"/>
      <c r="FY79" s="422"/>
      <c r="FZ79" s="422"/>
      <c r="GA79" s="432" t="str">
        <f t="shared" ref="GA79:GA110" si="380">IF(A79=FALSE,"",EA79)</f>
        <v/>
      </c>
      <c r="GB79" s="1234" t="str">
        <f>IF(A79=FALSE,"",IF(Detail!DF79="","N/A",YEAR(Detail!F79)&amp;Detail!DI79&amp;Detail!DF79&amp;"-"&amp;Detail!$DF$13))</f>
        <v/>
      </c>
      <c r="GC79" s="434" t="str">
        <f>IF(A79=FALSE,"",IF(LISTES!$A$17=1,GB79,INDEX(colMOD3,MATCH(Cotations!AH79,colchoice,0))))</f>
        <v/>
      </c>
      <c r="GD79" s="277" t="str">
        <f t="shared" ref="GD79:GD110" si="381">IF(A79=FALSE,"",INDEX(colAssureur,MATCH(GC79,colMOD3,0)))</f>
        <v/>
      </c>
      <c r="GE79" s="277" t="str">
        <f t="shared" ref="GE79:GE110" si="382">IF(A79=FALSE,"",INDEX(colProduct,MATCH(GC79,colMOD3,0)))</f>
        <v/>
      </c>
      <c r="GF79" s="277"/>
      <c r="GG79" s="277"/>
      <c r="GH79" s="277" t="str">
        <f t="shared" si="271"/>
        <v/>
      </c>
      <c r="GI79" s="1104" t="str">
        <f t="shared" si="272"/>
        <v/>
      </c>
      <c r="GJ79" s="1104" t="str">
        <f t="shared" si="273"/>
        <v/>
      </c>
      <c r="GK79" s="443" t="str">
        <f>IF(A79=FALSE,"",IF(Cotations!AF79="monthly",GH79/12*L79,GH79/365*M79))</f>
        <v/>
      </c>
      <c r="GL79" s="1103" t="str">
        <f>IF(A79=FALSE,"",IF(Cotations!AF79="monthly",GJ79/12*L79,GJ79/365*M79))</f>
        <v/>
      </c>
      <c r="GM79" s="433" t="str">
        <f>IF(A79=FALSE,"",IF(Cotations!AK79="","",Cotations!AK79))</f>
        <v/>
      </c>
      <c r="GN79" s="277" t="str">
        <f t="shared" si="274"/>
        <v/>
      </c>
      <c r="GO79" s="277" t="str">
        <f t="shared" si="275"/>
        <v/>
      </c>
      <c r="GP79" s="1104" t="str">
        <f t="shared" si="276"/>
        <v/>
      </c>
      <c r="GQ79" s="277" t="str">
        <f t="shared" si="277"/>
        <v/>
      </c>
      <c r="GR79" s="759" t="str">
        <f>IF(A79=FALSE,"",((GH79*TAXE)-(GH79*TAXE*GM79)+GI79)+IF(CQ79="N/A",0,IF(INDEX(LISTES!$F$105:$F$109,MATCH(CQ79,LISTES!$C$105:$C$109,0))="FIX",CR79,CS79*GQ79)))</f>
        <v/>
      </c>
      <c r="GS79" s="412"/>
      <c r="GT79" s="412"/>
      <c r="GU79" s="412"/>
      <c r="GV79" s="412"/>
      <c r="GW79" s="412"/>
      <c r="GX79" s="412"/>
      <c r="GY79" s="412"/>
      <c r="GZ79" s="412"/>
      <c r="HA79" s="432" t="str">
        <f t="shared" ref="HA79:HA110" si="383">IF(A79=FALSE,"",EA79)</f>
        <v/>
      </c>
      <c r="HB79" s="1234" t="str">
        <f>IF(A79=FALSE,"",IF(Detail!DF79="","N/A",YEAR(Detail!F79)&amp;Detail!DI79&amp;Detail!DF79&amp;"-"&amp;Detail!$DF$13))</f>
        <v/>
      </c>
      <c r="HC79" s="434" t="str">
        <f>IF(A79=FALSE,"",IF(LISTES!$A$17=1,HB79,INDEX(colMOD4,MATCH(Cotations!AH79,colchoice,0))))</f>
        <v/>
      </c>
      <c r="HD79" s="277" t="str">
        <f t="shared" si="278"/>
        <v/>
      </c>
      <c r="HE79" s="277" t="str">
        <f t="shared" si="279"/>
        <v/>
      </c>
      <c r="HF79" s="277"/>
      <c r="HG79" s="277"/>
      <c r="HH79" s="277" t="str">
        <f t="shared" si="280"/>
        <v/>
      </c>
      <c r="HI79" s="1104" t="str">
        <f t="shared" si="281"/>
        <v/>
      </c>
      <c r="HJ79" s="1104" t="str">
        <f t="shared" si="282"/>
        <v/>
      </c>
      <c r="HK79" s="443" t="str">
        <f>IF(A79=FALSE,"",IF(Cotations!AF79="monthly",HH79/12*L79,HH79/365*M79))</f>
        <v/>
      </c>
      <c r="HL79" s="1103" t="str">
        <f>IF(A79=FALSE,"",IF(Cotations!AF79="monthly",HJ79/12*L79,HJ79/365*M79))</f>
        <v/>
      </c>
      <c r="HM79" s="433" t="str">
        <f>IF(A79=FALSE,"",IF(Cotations!AL79="","",Cotations!AL79))</f>
        <v/>
      </c>
      <c r="HN79" s="277" t="str">
        <f t="shared" si="283"/>
        <v/>
      </c>
      <c r="HO79" s="277" t="str">
        <f t="shared" si="284"/>
        <v/>
      </c>
      <c r="HP79" s="1104" t="str">
        <f t="shared" si="285"/>
        <v/>
      </c>
      <c r="HQ79" s="277" t="str">
        <f t="shared" si="286"/>
        <v/>
      </c>
      <c r="HR79" s="759" t="str">
        <f>IF(A79=FALSE,"",((HH79*TAXE)-(HH79*TAXE*HM79)+HI79)+IF(CQ79="N/A",0,IF(INDEX(LISTES!$F$105:$F$109,MATCH(CQ79,LISTES!$C$105:$C$109,0))="FIX",CR79,CS79*HQ79)))</f>
        <v/>
      </c>
      <c r="HS79" s="412"/>
      <c r="HT79" s="412"/>
      <c r="HU79" s="412"/>
      <c r="HV79" s="412"/>
      <c r="HW79" s="412"/>
      <c r="HX79" s="412"/>
      <c r="HY79" s="412"/>
      <c r="HZ79" s="1262"/>
      <c r="IA79" s="432" t="str">
        <f>IF(A79=FALSE,"",Cotations!AT79)</f>
        <v/>
      </c>
      <c r="IB79" s="1253" t="str">
        <f>IF(A79=FALSE,"",IF(Detail!AT79="","N/A",YEAR(Detail!F79)&amp;Detail!AW79&amp;Detail!AT79&amp;"-"&amp;Detail!$AT$13&amp;Detail!AU79))</f>
        <v/>
      </c>
      <c r="IC79" s="431" t="str">
        <f>IF(A79=FALSE,"",IF(LISTES!$A$17=1,IB79,INDEX(colMOD1,MATCH(DA79,colchoice,0))))</f>
        <v/>
      </c>
      <c r="ID79" s="759" t="str">
        <f t="shared" si="358"/>
        <v/>
      </c>
      <c r="IE79" s="292" t="str">
        <f>IF(A79=FALSE,"",IF(LISTES!$A$17=1,Detail!AU79,INDEX(Rates!$M$1:$M$270,MATCH(IC79,colMOD1,0))))</f>
        <v/>
      </c>
      <c r="IF79" s="409" t="str">
        <f t="shared" si="359"/>
        <v/>
      </c>
      <c r="IG79" s="430" t="str">
        <f>IF(A79=FALSE,"",IF(IA79="POEA",Cotations!AY79,IF(IA79="FIXE",Cotations!AZ79,IF(Cotations!BA79*Y79&lt;50000,Z79,Cotations!BA79*Y79))))</f>
        <v/>
      </c>
      <c r="IH79" s="292" t="str">
        <f t="shared" si="360"/>
        <v/>
      </c>
      <c r="II79" s="446" t="str">
        <f>IF(A79=FALSE,"",IF(Cotations!AU79="monthly",IH79/12*L79,IH79/365*M79))</f>
        <v/>
      </c>
      <c r="IJ79" s="429" t="str">
        <f>IF(A79=FALSE,"",IF(Cotations!BB79="","",Cotations!BB79))</f>
        <v/>
      </c>
      <c r="IK79" s="292" t="str">
        <f t="shared" si="361"/>
        <v/>
      </c>
      <c r="IL79" s="292" t="str">
        <f t="shared" si="362"/>
        <v/>
      </c>
      <c r="IM79" s="759" t="str">
        <f t="shared" si="363"/>
        <v/>
      </c>
      <c r="IN79" s="759" t="str">
        <f>IF(A79=FALSE,"",((IH79*TAXE)-(IH79*TAXE*IJ79))+IF(DQ79="N/A",0,IF(INDEX(LISTES!$F$105:$F$109,MATCH(DQ79,LISTES!$C$105:$C$109,0))="FIX",DR79,DS79*IM79)))</f>
        <v/>
      </c>
      <c r="JA79" s="432" t="str">
        <f>IF(A79=FALSE,"",Cotations!AT79)</f>
        <v/>
      </c>
      <c r="JB79" s="1234" t="str">
        <f>IF(A79=FALSE,"",IF(Detail!BB79="","N/A",YEAR(Detail!F79)&amp;Detail!BE79&amp;Detail!BB79&amp;"-"&amp;Detail!$BB$13&amp;Detail!BC79))</f>
        <v/>
      </c>
      <c r="JC79" s="431" t="str">
        <f>IF(A79=FALSE,"",IF(LISTES!$A$17=1,JB79,INDEX(colMOD2,MATCH(DA79,colchoice,0))))</f>
        <v/>
      </c>
      <c r="JD79" s="759" t="str">
        <f t="shared" ref="JD79:JD110" si="384">IF(A79=FALSE,"",INDEX(colAssureur,MATCH(JC79,colMOD2,0)))</f>
        <v/>
      </c>
      <c r="JE79" s="292"/>
      <c r="JF79" s="409" t="str">
        <f t="shared" ref="JF79:JF110" si="385">IF(A79=FALSE,"",IF(JA79="POEA",$JA$2,INDEX(colMOD2HT,MATCH(JC79,colMOD2,0))))</f>
        <v/>
      </c>
      <c r="JG79" s="430" t="str">
        <f>IF(A79=FALSE,"",IF(JA79="POEA",Cotations!BC79,IF(JA79="FIXE",Cotations!BD79,IF(Cotations!BE79*Y79&lt;50000,Z79,Cotations!BE79*Y79))))</f>
        <v/>
      </c>
      <c r="JH79" s="292" t="str">
        <f t="shared" ref="JH79:JH110" si="386">IF(A79=FALSE,"",IF(JC79="N/A",0,JG79*INDEX(colMOD2HT,MATCH(JC79,colMOD2,0))))</f>
        <v/>
      </c>
      <c r="JI79" s="446" t="str">
        <f>IF(A79=FALSE,"",IF(Cotations!AU79="monthly",JH79/12*L79,JH79/365*M79))</f>
        <v/>
      </c>
      <c r="JJ79" s="429" t="str">
        <f>IF(A79=FALSE,"",IF(Cotations!BF79="","",Cotations!BF79))</f>
        <v/>
      </c>
      <c r="JK79" s="292" t="str">
        <f t="shared" ref="JK79:JK110" si="387">IF(A79=FALSE,"",JI79*JJ79)</f>
        <v/>
      </c>
      <c r="JL79" s="292" t="str">
        <f t="shared" ref="JL79:JL110" si="388">IF(A79=FALSE,"",JI79-JK79)</f>
        <v/>
      </c>
      <c r="JM79" s="759" t="str">
        <f t="shared" ref="JM79:JM110" si="389">IF(A79=FALSE,"",JL79*TAXE)</f>
        <v/>
      </c>
      <c r="JN79" s="759" t="str">
        <f>IF(A79=FALSE,"",((JH79*TAXE)-(JH79*TAXE*JJ79))+IF(#REF!="N/A",0,IF(INDEX(LISTES!$F$105:$F$109,MATCH(#REF!,LISTES!$C$105:$C$109,0))="FIX",#REF!,#REF!*JM79)))</f>
        <v/>
      </c>
      <c r="KA79" s="432" t="str">
        <f>IF(A79=FALSE,"",Cotations!AT79)</f>
        <v/>
      </c>
      <c r="KB79" s="1234" t="str">
        <f>IF(A79=FALSE,"",IF(Detail!BJ79="","N/A",YEAR(Detail!F79)&amp;Detail!BM79&amp;Detail!BJ79&amp;"-"&amp;Detail!$BJ$13&amp;Detail!BK79))</f>
        <v/>
      </c>
      <c r="KC79" s="431" t="str">
        <f>IF(A79=FALSE,"",IF(LISTES!$A$17=1,KB79,INDEX(colMOD3,MATCH(DA79,colchoice,0))))</f>
        <v/>
      </c>
      <c r="KD79" s="759" t="str">
        <f t="shared" ref="KD79:KD110" si="390">IF(A79=FALSE,"",INDEX(colAssureur,MATCH(KC79,colMOD3,0)))</f>
        <v/>
      </c>
      <c r="KE79" s="292"/>
      <c r="KF79" s="409" t="str">
        <f t="shared" ref="KF79:KF110" si="391">IF(A79=FALSE,"",IF(KA79="POEA",$KA$2,INDEX(colMOD1HT,MATCH(KC79,colMOD3,0))))</f>
        <v/>
      </c>
      <c r="KG79" s="430" t="str">
        <f>IF(A79=FALSE,"",IF(KA79="POEA",Cotations!BG79,IF(KA79="FIXE",Cotations!BH79,IF(Cotations!BI79*Y79&lt;50000,Z79,Cotations!BI79*Y79))))</f>
        <v/>
      </c>
      <c r="KH79" s="292" t="str">
        <f t="shared" ref="KH79:KH110" si="392">IF(A79=FALSE,"",IF(KC79="N/A",0,KG79*INDEX(colMOD3HT,MATCH(KC79,colMOD3,0))))</f>
        <v/>
      </c>
      <c r="KI79" s="446" t="str">
        <f>IF(A79=FALSE,"",IF(Cotations!AU79="monthly",KH79/12*L79,KH79/365*M79))</f>
        <v/>
      </c>
      <c r="KJ79" s="429" t="str">
        <f>IF(A79=FALSE,"",IF(Cotations!BJ79="","",Cotations!BJ79))</f>
        <v/>
      </c>
      <c r="KK79" s="292" t="str">
        <f t="shared" ref="KK79:KK110" si="393">IF(A79=FALSE,"",KI79*KJ79)</f>
        <v/>
      </c>
      <c r="KL79" s="292" t="str">
        <f t="shared" ref="KL79:KL110" si="394">IF(A79=FALSE,"",KI79-KK79)</f>
        <v/>
      </c>
      <c r="KM79" s="759" t="str">
        <f t="shared" ref="KM79:KM110" si="395">IF(A79=FALSE,"",KL79*TAXE)</f>
        <v/>
      </c>
      <c r="KN79" s="759" t="str">
        <f>IF(A79=FALSE,"",((KH79*TAXE)-(KH79*TAXE*KJ79))+IF(#REF!="N/A",0,IF(INDEX(LISTES!$F$105:$F$109,MATCH(#REF!,LISTES!$C$105:$C$109,0))="FIX",#REF!,#REF!*KM79)))</f>
        <v/>
      </c>
      <c r="LA79" s="432" t="str">
        <f>IF(A79=FALSE,"",Cotations!AT79)</f>
        <v/>
      </c>
      <c r="LB79" s="1234" t="str">
        <f>IF(A79=FALSE,"",IF(Detail!BR79="","N/A",YEAR(Detail!F79)&amp;Detail!BU79&amp;Detail!BR79&amp;"-"&amp;Detail!$BR$13&amp;Detail!BS79))</f>
        <v/>
      </c>
      <c r="LC79" s="431" t="str">
        <f>IF(A79=FALSE,"",IF(LISTES!$A$17=1,LB79,INDEX(colMOD4,MATCH(DA79,colchoice,0))))</f>
        <v/>
      </c>
      <c r="LD79" s="759" t="str">
        <f t="shared" ref="LD79:LD110" si="396">IF(A79=FALSE,"",INDEX(colAssureur,MATCH(LC79,colMOD4,0)))</f>
        <v/>
      </c>
      <c r="LE79" s="292"/>
      <c r="LF79" s="409" t="str">
        <f t="shared" ref="LF79:LF110" si="397">IF(A79=FALSE,"",IF(LA79="POEA",$LA$2,INDEX(colMOD4HT,MATCH(LC79,colMOD4,0))))</f>
        <v/>
      </c>
      <c r="LG79" s="430" t="str">
        <f>IF(A79=FALSE,"",IF(LA79="POEA",Cotations!BK79,IF(LA79="FIXE",Cotations!BL79,IF(Cotations!BM79*Y79&lt;50000,Z79,Cotations!BM79*Y79))))</f>
        <v/>
      </c>
      <c r="LH79" s="292" t="str">
        <f t="shared" ref="LH79:LH110" si="398">IF(A79=FALSE,"",IF(LC79="N/A",0,LG79*INDEX(colMOD4HT,MATCH(LC79,colMOD4,0))))</f>
        <v/>
      </c>
      <c r="LI79" s="446" t="str">
        <f>IF(A79=FALSE,"",IF(Cotations!AU79="monthly",LH79/12*L79,LH79/365*M79))</f>
        <v/>
      </c>
      <c r="LJ79" s="429" t="str">
        <f>IF(A79=FALSE,"",IF(Cotations!BN79="","",Cotations!BN79))</f>
        <v/>
      </c>
      <c r="LK79" s="292" t="str">
        <f t="shared" ref="LK79:LK110" si="399">IF(A79=FALSE,"",LI79*LJ79)</f>
        <v/>
      </c>
      <c r="LL79" s="292" t="str">
        <f t="shared" ref="LL79:LL110" si="400">IF(A79=FALSE,"",LI79-LK79)</f>
        <v/>
      </c>
      <c r="LM79" s="759" t="str">
        <f t="shared" ref="LM79:LM110" si="401">IF(A79=FALSE,"",LL79*TAXE)</f>
        <v/>
      </c>
      <c r="LN79" s="759" t="str">
        <f>IF(A79=FALSE,"",((LH79*TAXE)-(LH79*TAXE*LJ79))+IF(#REF!="N/A",0,IF(INDEX(LISTES!$F$105:$F$109,MATCH(#REF!,LISTES!$C$105:$C$109,0))="FIX",#REF!,#REF!*LM79)))</f>
        <v/>
      </c>
      <c r="MA79" s="432" t="str">
        <f t="shared" ref="MA79:MA110" si="402">IF(A79=FALSE,"","PROP")</f>
        <v/>
      </c>
      <c r="MB79" s="1234" t="str">
        <f>IF(A79=FALSE,"",IF(Detail!BZ79="","N/A",YEAR(Detail!F79)&amp;Detail!CC79&amp;Detail!BZ79&amp;"-"&amp;Detail!$BZ$13&amp;" (100%/"&amp;Detail!CD79&amp;"/"&amp;Detail!CE79&amp;")"))</f>
        <v/>
      </c>
      <c r="MC79" s="431" t="str">
        <f>IF(A79=FALSE,"",IF(LISTES!$A$17=1,MB79,INDEX(colMOD5,MATCH(DA79,colchoice,0))))</f>
        <v/>
      </c>
      <c r="MD79" s="759" t="str">
        <f t="shared" ref="MD79:MD110" si="403">IF(A79=FALSE,"",INDEX(colAssureur,MATCH(MC79,colMOD5,0)))</f>
        <v/>
      </c>
      <c r="ME79" s="292"/>
      <c r="MF79" s="409" t="str">
        <f t="shared" ref="MF79:MF110" si="404">IF(A79=FALSE,"",IF(MA79="POEA",$MA$2,INDEX(colMOD5HT,MATCH(MC79,colMOD5,0))))</f>
        <v/>
      </c>
      <c r="MG79" s="430" t="str">
        <f>IF(A79=FALSE,"",Cotations!BQ79*AA79)</f>
        <v/>
      </c>
      <c r="MH79" s="292" t="str">
        <f t="shared" ref="MH79:MH110" si="405">IF(A79=FALSE,"",IF(MC79="N/A",0,MG79*INDEX(colMOD5HT,MATCH(MC79,colMOD5,0))))</f>
        <v/>
      </c>
      <c r="MI79" s="446" t="str">
        <f>IF(A79=FALSE,"",IF(Cotations!AU79="monthly",MH79/12*L79,MH79/365*M79))</f>
        <v/>
      </c>
      <c r="MJ79" s="429" t="str">
        <f>IF(A79=FALSE,"",IF(Cotations!BR79="","",Cotations!BR79))</f>
        <v/>
      </c>
      <c r="MK79" s="292" t="str">
        <f t="shared" ref="MK79:MK110" si="406">IF(A79=FALSE,"",MI79*MJ79)</f>
        <v/>
      </c>
      <c r="ML79" s="292" t="str">
        <f t="shared" ref="ML79:ML110" si="407">IF(A79=FALSE,"",MI79-MK79)</f>
        <v/>
      </c>
      <c r="MM79" s="759" t="str">
        <f t="shared" ref="MM79:MM110" si="408">IF(A79=FALSE,"",ML79*TAXE)</f>
        <v/>
      </c>
      <c r="MN79" s="759" t="str">
        <f>IF(A79=FALSE,"",((MH79*TAXE)-(MH79*TAXE*MJ79))+IF(#REF!="N/A",0,IF(INDEX(LISTES!$F$105:$F$109,MATCH(#REF!,LISTES!$C$105:$C$109,0))="FIX",#REF!,#REF!*MM79)))</f>
        <v/>
      </c>
      <c r="NA79" s="432" t="str">
        <f t="shared" ref="NA79:NA110" si="409">IF(A79=FALSE,"","PROP")</f>
        <v/>
      </c>
      <c r="NB79" s="1234" t="str">
        <f>IF(A79=FALSE,"",IF(Detail!CH79="","N/A",YEAR(Detail!F79)&amp;Detail!CK79&amp;Detail!CH79&amp;"-"&amp;Detail!$CH$13&amp;" (100%/"&amp;Detail!CL79&amp;"/"&amp;Detail!CM79&amp;")"))</f>
        <v/>
      </c>
      <c r="NC79" s="431" t="str">
        <f>IF(A79=FALSE,"",IF(LISTES!$A$17=1,NB79,INDEX(colMOD6,MATCH(DA79,colchoice,0))))</f>
        <v/>
      </c>
      <c r="ND79" s="759" t="str">
        <f t="shared" ref="ND79:ND110" si="410">IF(A79=FALSE,"",INDEX(colAssureur,MATCH(NC79,colMOD6,0)))</f>
        <v/>
      </c>
      <c r="NE79" s="292"/>
      <c r="NF79" s="409" t="str">
        <f t="shared" ref="NF79:NF110" si="411">IF(A79=FALSE,"",IF(NA79="POEA",$NA$2,INDEX(colMOD5HT,MATCH(NC79,colMOD6,0))))</f>
        <v/>
      </c>
      <c r="NG79" s="430" t="str">
        <f>IF(A79=FALSE,"",Cotations!BU79*AA79)</f>
        <v/>
      </c>
      <c r="NH79" s="292" t="str">
        <f t="shared" ref="NH79:NH110" si="412">IF(A79=FALSE,"",IF(NC79="N/A",0,NG79*INDEX(colMOD6HT,MATCH(NC79,colMOD6,0))))</f>
        <v/>
      </c>
      <c r="NI79" s="446" t="str">
        <f>IF(A79=FALSE,"",IF(Cotations!AU79="monthly",NH79/12*L79,NH79/365*M79))</f>
        <v/>
      </c>
      <c r="NJ79" s="429" t="str">
        <f>IF(A79=FALSE,"",IF(Cotations!BV79="","",Cotations!BV79))</f>
        <v/>
      </c>
      <c r="NK79" s="292" t="str">
        <f t="shared" ref="NK79:NK110" si="413">IF(A79=FALSE,"",NI79*NJ79)</f>
        <v/>
      </c>
      <c r="NL79" s="292" t="str">
        <f t="shared" ref="NL79:NL110" si="414">IF(A79=FALSE,"",NI79-NK79)</f>
        <v/>
      </c>
      <c r="NM79" s="759" t="str">
        <f t="shared" ref="NM79:NM110" si="415">IF(A79=FALSE,"",NL79*TAXE)</f>
        <v/>
      </c>
      <c r="NN79" s="759" t="str">
        <f>IF(A79=FALSE,"",((NH79*TAXE)-(NH79*TAXE*NJ79))+IF(#REF!="N/A",0,IF(INDEX(LISTES!$F$105:$F$109,MATCH(#REF!,LISTES!$C$105:$C$109,0))="FIX",#REF!,#REF!*NM79)))</f>
        <v/>
      </c>
      <c r="NZ79" s="1281" t="str">
        <f>IF(A79=FALSE,"",IF(Detail!CP79="","N/A",YEAR(Detail!F79)&amp;Detail!CS79&amp;Detail!CP79&amp;"-"&amp;Detail!CQ79))</f>
        <v/>
      </c>
      <c r="OA79" s="432" t="str">
        <f>IF(A79=FALSE,"",Cotations!CF79)</f>
        <v/>
      </c>
      <c r="OB79" s="1282" t="str">
        <f>IF(A79=FALSE,"",IF(Detail!CP79="","N/A",YEAR(Detail!F79)&amp;Detail!CS79&amp;Detail!CP79&amp;"-"&amp;Detail!$CP$13&amp;Detail!CQ79))</f>
        <v/>
      </c>
      <c r="OC79" s="1283" t="str">
        <f>IF(A79=FALSE,"",IF(LISTES!$A$17=1,OB79,INDEX(colMOD1,MATCH(Cotations!CE79,colchoice,0))))</f>
        <v/>
      </c>
      <c r="OD79" s="759" t="str">
        <f t="shared" ref="OD79:OD110" si="416">IF(A79=FALSE,"",INDEX(colAssureur,MATCH(OC79,colMOD1,0)))</f>
        <v/>
      </c>
      <c r="OE79" s="292" t="str">
        <f>IF(A79=FALSE,"",Detail!CQ79)</f>
        <v/>
      </c>
      <c r="OF79" s="409" t="str">
        <f t="shared" ref="OF79:OF110" si="417">IF(A79=FALSE,"",IF(OC79="",0,INDEX(colMOD1HT,MATCH(OC79,colMOD1,0))))</f>
        <v/>
      </c>
      <c r="OG79" s="430" t="str">
        <f>IF(A79=FALSE,"",IF(OA79="FIXE",Cotations!CM79,Cotations!CN79*AA79))</f>
        <v/>
      </c>
      <c r="OH79" s="292" t="str">
        <f t="shared" si="288"/>
        <v/>
      </c>
      <c r="OI79" s="446" t="str">
        <f>IF(A79=FALSE,"",IF(Cotations!CF79="monthly",OH79/12*L79,OH79/365*M79))</f>
        <v/>
      </c>
      <c r="OJ79" s="429" t="str">
        <f>IF(A79=FALSE,"",IF(Cotations!CO79="","",Cotations!CO79))</f>
        <v/>
      </c>
      <c r="OK79" s="292" t="str">
        <f t="shared" si="289"/>
        <v/>
      </c>
      <c r="OL79" s="292" t="str">
        <f t="shared" si="290"/>
        <v/>
      </c>
      <c r="OM79" s="759" t="str">
        <f t="shared" ref="OM79:OM110" si="418">IF(A79=FALSE,"",OL79*TAXE)</f>
        <v/>
      </c>
      <c r="ON79" s="759" t="str">
        <f>IF(A79=FALSE,"",((OH79*(1+TAXE)-(OH79*(1+TAXE)*OJ79))+IF(#REF!="N/A",0,IF(INDEX(LISTES!$F$105:$F$109,MATCH(#REF!,LISTES!$C$105:$C$109,0))="FIX",#REF!,#REF!*OM79))))</f>
        <v/>
      </c>
      <c r="PA79" s="432" t="str">
        <f>IF(A79=FALSE,"",Cotations!CF79)</f>
        <v/>
      </c>
      <c r="PB79" s="1282" t="str">
        <f>IF(A79=FALSE,"",IF(Detail!CX79="","N/A",YEAR(Detail!F79)&amp;Detail!DA79&amp;Detail!CX79&amp;"-"&amp;Detail!$CX$13&amp;Detail!CY79))</f>
        <v/>
      </c>
      <c r="PC79" s="1283" t="str">
        <f>IF(A79=FALSE,"",IF(LISTES!$A$17=1,PB79,INDEX(colMOD3,MATCH(Cotations!CE79,colchoice,0))))</f>
        <v/>
      </c>
      <c r="PD79" s="759" t="str">
        <f t="shared" ref="PD79:PD110" si="419">IF(A79=FALSE,"",INDEX(colAssureur,MATCH(PC79,colMOD3,0)))</f>
        <v/>
      </c>
      <c r="PE79" s="292" t="str">
        <f>IF(A79=FALSE,"",IF(Detail!CY79="","",Detail!CY79))</f>
        <v/>
      </c>
      <c r="PF79" s="409" t="str">
        <f t="shared" si="291"/>
        <v/>
      </c>
      <c r="PG79" s="430" t="str">
        <f>IF(A79=FALSE,"",IF(PA79="FIXE",Cotations!CP79,Cotations!CQ79*AA79))</f>
        <v/>
      </c>
      <c r="PH79" s="292" t="str">
        <f t="shared" si="292"/>
        <v/>
      </c>
      <c r="PI79" s="446" t="str">
        <f>IF(A79=FALSE,"",IF(Cotations!CG79="monthly",PH79/12*L79,PH79/365*M79))</f>
        <v/>
      </c>
      <c r="PJ79" s="429" t="str">
        <f>IF(A79=FALSE,"",IF(Cotations!DA79="",0,Cotations!DA79))</f>
        <v/>
      </c>
      <c r="PK79" s="292" t="str">
        <f t="shared" si="293"/>
        <v/>
      </c>
      <c r="PL79" s="292" t="str">
        <f t="shared" si="294"/>
        <v/>
      </c>
      <c r="PM79" s="759" t="str">
        <f t="shared" ref="PM79:PM110" si="420">IF(A79=FALSE,"",PL79*TAXE)</f>
        <v/>
      </c>
      <c r="PN79" s="759" t="str">
        <f>IF(A79=FALSE,"",((PH79*(1+TAXE)-(PH79*(1+TAXE)*PJ79))+IF(#REF!="N/A",0,IF(INDEX(LISTES!$F$105:$F$109,MATCH(#REF!,LISTES!$C$105:$C$109,0))="FIX",#REF!,#REF!*PM79))))</f>
        <v/>
      </c>
    </row>
    <row r="80" spans="1:430">
      <c r="A80" s="779" t="b">
        <f t="shared" si="364"/>
        <v>0</v>
      </c>
      <c r="B80" s="779" t="b">
        <f>IF(NAMES!$B$9=TRUE,TRUE,FALSE)</f>
        <v>1</v>
      </c>
      <c r="C80" s="779" t="b">
        <f t="shared" ref="C80:C120" si="421">E80</f>
        <v>0</v>
      </c>
      <c r="D80" s="779" t="b">
        <f t="shared" ref="D80:D120" si="422">IF(N80="",FALSE,TRUE)</f>
        <v>0</v>
      </c>
      <c r="E80" s="267" t="b">
        <f>IF(Cotations!C80="","",Cotations!C80)</f>
        <v>0</v>
      </c>
      <c r="F80" s="267" t="str">
        <f>IF(Cotations!AT80="","",Cotations!AT80)</f>
        <v>PROP</v>
      </c>
      <c r="G80" s="267" t="str">
        <f>IF(Cotations!D80="","",Cotations!D80)</f>
        <v>2016-2017!</v>
      </c>
      <c r="H80" s="267" t="str">
        <f>IF(Cotations!E80="","",Cotations!E80)</f>
        <v>SINGLE</v>
      </c>
      <c r="I80" s="267" t="str">
        <f>IF(Cotations!F80="","",Cotations!F80)</f>
        <v/>
      </c>
      <c r="J80" s="267" t="str">
        <f>IF(Cotations!G80="","",Cotations!G80)</f>
        <v/>
      </c>
      <c r="K80" s="267" t="str">
        <f>IF(Cotations!H80="","",Cotations!H80)</f>
        <v/>
      </c>
      <c r="L80" s="267" t="str">
        <f>IF(A80=FALSE,"",IF(Cotations!M80="","",Cotations!M80))</f>
        <v/>
      </c>
      <c r="M80" s="267" t="str">
        <f>IF(Cotations!O80="","",Cotations!O80)</f>
        <v/>
      </c>
      <c r="N80" s="588" t="str">
        <f>IF(NAMES!$B$10=TRUE,Cotations!I80,Cotations!K80)</f>
        <v/>
      </c>
      <c r="O80" s="588" t="str">
        <f>IF(NAMES!$B$10=TRUE,Cotations!J80,Cotations!L80)</f>
        <v/>
      </c>
      <c r="P80" s="780" t="str">
        <f t="shared" ref="P80:P120" si="423">TEXT(N80,"mmmm")</f>
        <v/>
      </c>
      <c r="Q80" s="588" t="str">
        <f>IF(A80=FALSE,"",IF(Crewlist!Y80="","",Crewlist!Y80))</f>
        <v/>
      </c>
      <c r="R80" s="78" t="str">
        <f>IF(Cotations!T80="","",Cotations!T80)</f>
        <v/>
      </c>
      <c r="S80" s="780" t="str">
        <f t="shared" ref="S80:S120" si="424">IF(A80=FALSE,"",CONCATENATE(E80,I80,P80,N80))</f>
        <v/>
      </c>
      <c r="T80" s="759" t="str">
        <f>IF(A80=FALSE,"",VLOOKUP($U$15:$U$120,Currency!$A$2:$D$10,4,0)*Crewlist!N80)</f>
        <v/>
      </c>
      <c r="U80" s="1097" t="str">
        <f>IF(A80=FALSE,"",IF(DP80=0,Crewlist!M80&amp;"/"&amp;CP80,Crewlist!M80&amp;"/"&amp;DP80))</f>
        <v/>
      </c>
      <c r="V80" s="759" t="str">
        <f>IF(A80=FALSE,"",VLOOKUP($U$15:$U$120,Currency!$A$2:$D$10,4,0)*Detail!Q80)</f>
        <v/>
      </c>
      <c r="W80" s="1097" t="str">
        <f>IF(A80=FALSE,"",IF(DP80=0,Detail!R80&amp;"/"&amp;CP80,Detail!R80&amp;"/"&amp;DP80))</f>
        <v/>
      </c>
      <c r="X80" s="759" t="str">
        <f>IF(A80=FALSE,"",IF(LISTES!$C$17="Crewlist",Calcul!T80,Calcul!V80))</f>
        <v/>
      </c>
      <c r="Y80" s="618" t="str">
        <f t="shared" ref="Y80:Y120" si="425">IF(A80=FALSE,"",12*X80)</f>
        <v/>
      </c>
      <c r="Z80" s="618" t="str">
        <f>IF(A80=FALSE,"",IF(X80=0,0,IF((Cotations!BA80*12*X80)&lt;50000,50000,(12*X80))))</f>
        <v/>
      </c>
      <c r="AA80" s="618" t="str">
        <f t="shared" ref="AA80:AA120" si="426">IF(A80=FALSE,"",IF(X80=0,0,IF((12*X80)&lt;125000,(12*X80),125000)))</f>
        <v/>
      </c>
      <c r="AB80" s="618" t="str">
        <f>IF(A80=FALSE,"",IF(Crewlist!O80=0,"",Crewlist!O80))</f>
        <v/>
      </c>
      <c r="AC80" s="618" t="str">
        <f>IF(I80="","",VLOOKUP($AB$15:$AB$120,Currency!$A$15:$B$34,2,0))</f>
        <v/>
      </c>
      <c r="AD80" s="618" t="str">
        <f t="shared" ref="AD80:AD120" si="427">IF(I80="","",Y80-AC80)</f>
        <v/>
      </c>
      <c r="AE80" s="618" t="str">
        <f t="shared" ref="AE80:AE120" si="428">IF(I80="","",IF(AC80&gt;Y80,1/3*AC80,(AD80+AC80)*1/3))</f>
        <v/>
      </c>
      <c r="AF80" s="618" t="str">
        <f t="shared" ref="AF80:AF120" si="429">IF(I80="","",AE80/12)</f>
        <v/>
      </c>
      <c r="AG80" s="618" t="str">
        <f t="shared" ref="AG80:AG120" si="430">IF(A80=FALSE,"",X80*12/365*M80)</f>
        <v/>
      </c>
      <c r="AH80" s="1097" t="str">
        <f t="shared" si="365"/>
        <v/>
      </c>
      <c r="AI80" s="759" t="str">
        <f t="shared" ref="AI80:AI120" si="431">IF(A80=FALSE,"",BD80+BP80+(AN80+AO80+AQ80))</f>
        <v/>
      </c>
      <c r="AJ80" s="1120" t="str">
        <f t="shared" ref="AJ80:AJ120" si="432">IF(A80=FALSE,"",AS80+AL80+AN80)</f>
        <v/>
      </c>
      <c r="AK80" s="1120" t="str">
        <f t="shared" ref="AK80:AK120" si="433">IF(A80=FALSE,"",AT80)</f>
        <v/>
      </c>
      <c r="AL80" s="236" t="str">
        <f t="shared" ref="AL80:AL120" si="434">IF(A80=FALSE,"",CT80+DT80)</f>
        <v/>
      </c>
      <c r="AM80" s="236" t="str">
        <f t="shared" ref="AM80:AM120" si="435">IF(A80=FALSE,"",AR80*(TAXE-1))</f>
        <v/>
      </c>
      <c r="AN80" s="1112" t="str">
        <f t="shared" ref="AN80:AN120" si="436">IF(A80=FALSE,"",EP80)</f>
        <v/>
      </c>
      <c r="AO80" s="236" t="str">
        <f t="shared" ref="AO80:AO120" si="437">IF(A80=FALSE,"",AL80+AM80)</f>
        <v/>
      </c>
      <c r="AP80" s="327" t="str">
        <f>IF(A80=FALSE,"",INDEX(Rates!$Q$1:$Q$278,MATCH(CA80,colchoice,0)))</f>
        <v/>
      </c>
      <c r="AQ80" s="236" t="str">
        <f t="shared" ref="AQ80:AQ120" si="438">IF(A80=FALSE,"",IF(AP80="NO",0,IF(AP80="WCA",L80,15/12*L80)))</f>
        <v/>
      </c>
      <c r="AR80" s="236" t="str">
        <f t="shared" ref="AR80:AR120" si="439">IF(A80=FALSE,"",BD80+BP80)</f>
        <v/>
      </c>
      <c r="AS80" s="236" t="str">
        <f t="shared" si="366"/>
        <v/>
      </c>
      <c r="AT80" s="236" t="str">
        <f t="shared" si="367"/>
        <v/>
      </c>
      <c r="AU80" s="236" t="str">
        <f t="shared" ref="AU80:AU120" si="440">IF(A80=FALSE,"",BE80+BQ80)</f>
        <v/>
      </c>
      <c r="AV80" s="236" t="str">
        <f t="shared" ref="AV80:AV120" si="441">IF(A80=FALSE,"",BF80+BR80+BG80+BH80)</f>
        <v/>
      </c>
      <c r="AW80" s="236" t="str">
        <f t="shared" ref="AW80:AW120" si="442">IF(A80=FALSE,"",BI80+BS80)</f>
        <v/>
      </c>
      <c r="AX80" s="236" t="str">
        <f t="shared" ref="AX80:AX120" si="443">IF(A80=FALSE,"",BJ80+BT80)</f>
        <v/>
      </c>
      <c r="AY80" s="236" t="str">
        <f t="shared" ref="AY80:AY120" si="444">IF(A80=FALSE,"",BK80+BU80)</f>
        <v/>
      </c>
      <c r="AZ80" s="236" t="str">
        <f t="shared" ref="AZ80:AZ120" si="445">IF(A80=FALSE,"",BL80+BV80)</f>
        <v/>
      </c>
      <c r="BA80" s="236" t="str">
        <f t="shared" ref="BA80:BA120" si="446">IF(A80=FALSE,"",BM80+BW80)</f>
        <v/>
      </c>
      <c r="BB80" s="467" t="str">
        <f t="shared" ref="BB80:BB120" si="447">IF(A80=FALSE,"",BN80+BX80)</f>
        <v/>
      </c>
      <c r="BC80" s="329" t="str">
        <f t="shared" ref="BC80:BC120" si="448">IF(A80=FALSE,"",BD80*TAXE)</f>
        <v/>
      </c>
      <c r="BD80" s="237" t="str">
        <f t="shared" ref="BD80:BD120" si="449">IF(A80=FALSE,"",SUM(BE80:BN80))</f>
        <v/>
      </c>
      <c r="BE80" s="237" t="str">
        <f>IF(A80=FALSE,"",IF(ED80&lt;&gt;$BC$7,0,INDEX(EA80:EZ80,1,MATCH(Structure!$J$16,$EA$14:$EZ$14,0))))</f>
        <v/>
      </c>
      <c r="BF80" s="237" t="str">
        <f>IF(A80=FALSE,"",IF(FD80&lt;&gt;$BC$7,0,INDEX(FA80:FZ80,1,MATCH(Structure!$J$16,$FA$14:$FZ$14,0))))</f>
        <v/>
      </c>
      <c r="BG80" s="237" t="str">
        <f>IF(A80=FALSE,"",IF(GD80&lt;&gt;$BC$7,0,INDEX(GA80:GZ80,1,MATCH(Structure!$J$16,$GA$14:$GZ$14,0))))</f>
        <v/>
      </c>
      <c r="BH80" s="237" t="str">
        <f>IF(A80=FALSE,"",IF(HD80&lt;&gt;$BC$7,0,INDEX(HA80:HZ80,1,MATCH(Structure!$J$16,$HA$14:$HZ$14,0))))</f>
        <v/>
      </c>
      <c r="BI80" s="621" t="str">
        <f>IF(A80=FALSE,"",IF(ID80&lt;&gt;$BC$7,0,INDEX(IA80:IZ80,1,MATCH(Structure!$C$12,$IA$14:$IZ$14,0)))+OL80)</f>
        <v/>
      </c>
      <c r="BJ80" s="237" t="str">
        <f>IF(A80=FALSE,"",IF(JD80&lt;&gt;$BC$7,0,INDEX(JA80:JZ80,1,MATCH(Structure!$C$12,$JA$14:$JZ$14,0))))</f>
        <v/>
      </c>
      <c r="BK80" s="621" t="str">
        <f>IF(A80=FALSE,"",IF(KD80&lt;&gt;$BC$7,0,INDEX(KA80:KZ80,1,MATCH(Structure!$C$12,$KA$14:$KZ$14,0)))+PL80)</f>
        <v/>
      </c>
      <c r="BL80" s="237" t="str">
        <f>IF(A80=FALSE,"",IF(LD80&lt;&gt;$BC$7,0,INDEX(LA80:LZ80,1,MATCH(Structure!$C$12,$LA$14:$LZ$14,0))))</f>
        <v/>
      </c>
      <c r="BM80" s="237" t="str">
        <f>IF(A80=FALSE,"",IF(MD80&lt;&gt;$BC$7,0,INDEX(MA80:MZ80,1,MATCH(Structure!$C$12,$MA$14:$MZ$14,0))))</f>
        <v/>
      </c>
      <c r="BN80" s="326" t="str">
        <f>IF(A80=FALSE,"",IF(ND80&lt;&gt;$BC$7,0,INDEX(NA80:OC80,1,MATCH(Structure!$C$12,$NA$14:$OC$14,0))))</f>
        <v/>
      </c>
      <c r="BO80" s="435" t="str">
        <f t="shared" ref="BO80:BO120" si="450">IF(A80=FALSE,"",BP80*TAXE)</f>
        <v/>
      </c>
      <c r="BP80" s="237" t="str">
        <f t="shared" ref="BP80:BP120" si="451">IF(A80=FALSE,"",SUM(BQ80:BX80))</f>
        <v/>
      </c>
      <c r="BQ80" s="237" t="str">
        <f>IF(A80=FALSE,"",IF(ED80&lt;&gt;$BO$7,0,INDEX(EA80:EZ80,1,MATCH(Structure!$C$12,$EA$14:$EZ$14,0))))</f>
        <v/>
      </c>
      <c r="BR80" s="237" t="str">
        <f>IF(A80=FALSE,"",IF(FD80&lt;&gt;$BO$7,0,INDEX(FA80:FZ80,1,MATCH(Structure!$C$12,$FA$14:$FZ$14,0))))</f>
        <v/>
      </c>
      <c r="BS80" s="237" t="str">
        <f>IF(A80=FALSE,"",IF(ID80&lt;&gt;$BO$7,0,INDEX(IA80:IZ80,1,MATCH(Structure!$C$13,$IA$14:$IZ$14,0))))</f>
        <v/>
      </c>
      <c r="BT80" s="237" t="str">
        <f>IF(A80=FALSE,"",IF(JD80&lt;&gt;$BO$7,0,INDEX(JA80:JZ80,1,MATCH(Structure!$C$13,$JA$14:$JZ$14,0))))</f>
        <v/>
      </c>
      <c r="BU80" s="237" t="str">
        <f>IF(A80=FALSE,"",IF(KD80&lt;&gt;$BO$7,0,INDEX(KA80:KZ80,1,MATCH(Structure!$C$13,$KA$14:$KZ$14,0))))</f>
        <v/>
      </c>
      <c r="BV80" s="237" t="str">
        <f>IF(A80=FALSE,"",IF(LD80&lt;&gt;$BO$7,0,INDEX(LA80:LZ80,1,MATCH(Structure!$C$13,$LA$14:$LZ$14,0))))</f>
        <v/>
      </c>
      <c r="BW80" s="237" t="str">
        <f>IF(A80=FALSE,"",IF(MD80&lt;&gt;$BO$7,0,INDEX(MA80:MZ80,1,MATCH(Structure!$C$13,$MA$14:$MZ$14,0))))</f>
        <v/>
      </c>
      <c r="BX80" s="326" t="str">
        <f>IF(A80=FALSE,"",IF(ND80&lt;&gt;$BO$7,0,INDEX(NA80:OC80,1,MATCH(Structure!$C$13,$NA$14:$OC$14,0))))</f>
        <v/>
      </c>
      <c r="BY80" s="412"/>
      <c r="BZ80" s="412"/>
      <c r="CA80" s="1255" t="str">
        <f>IF(A80=FALSE,"",IF(LISTES!$A$17=1,Cotations!AG80,Cotations!AH80))</f>
        <v/>
      </c>
      <c r="CB80" s="1266" t="str">
        <f t="shared" ref="CB80:CB120" si="452">IF(A80=FALSE,"",SUM(CC80:CH80))</f>
        <v/>
      </c>
      <c r="CC80" s="1120" t="str">
        <f t="shared" ref="CC80:CC120" si="453">IF(A80=FALSE,"",EO80)</f>
        <v/>
      </c>
      <c r="CD80" s="1120" t="str">
        <f t="shared" ref="CD80:CD120" si="454">IF(A80=FALSE,"",FO80)</f>
        <v/>
      </c>
      <c r="CE80" s="1120" t="str">
        <f t="shared" ref="CE80:CE120" si="455">IF(A80=FALSE,"",GO80)</f>
        <v/>
      </c>
      <c r="CF80" s="1120" t="str">
        <f t="shared" ref="CF80:CF120" si="456">IF(A80=FALSE,"",HO80)</f>
        <v/>
      </c>
      <c r="CG80" s="1267"/>
      <c r="CH80" s="1267"/>
      <c r="CI80" s="1268" t="str">
        <f t="shared" ref="CI80:CI120" si="457">IF(A80=FALSE,"",SUM(CJ80:CO80))</f>
        <v/>
      </c>
      <c r="CJ80" s="286" t="str">
        <f t="shared" ref="CJ80:CJ120" si="458">IF(A80=FALSE,"",EQ80)</f>
        <v/>
      </c>
      <c r="CK80" s="286" t="str">
        <f t="shared" ref="CK80:CK120" si="459">IF(A80=FALSE,"",FQ80)</f>
        <v/>
      </c>
      <c r="CL80" s="1263"/>
      <c r="CM80" s="1263"/>
      <c r="CN80" s="1263"/>
      <c r="CO80" s="1263"/>
      <c r="CP80" s="319" t="str">
        <f t="shared" ref="CP80:CP120" si="460">IF(A80=FALSE,"",INDEX(colCurrency,MATCH(EC80,colMOD1,0)))</f>
        <v/>
      </c>
      <c r="CQ80" s="443" t="str">
        <f>IF(A80=FALSE,"",Cotations!AM80)</f>
        <v/>
      </c>
      <c r="CR80" s="443" t="str">
        <f>IF(A80=FALSE,"",IF(Cotations!AN80="","",Cotations!AN80))</f>
        <v/>
      </c>
      <c r="CS80" s="433" t="str">
        <f>IF(A80=FALSE,"",Cotations!AO80)</f>
        <v/>
      </c>
      <c r="CT80" s="443" t="str">
        <f>IF(A80=FALSE,"",IF(CQ80="N/A",0,IF(INDEX(LISTES!$F$105:$F$109,MATCH(CQ80,LISTES!$C$105:$C$109,0))="FIX",IF(INDEX(LISTES!$E$105:$E$109,MATCH(CQ80,LISTES!$C$105:$C$109,0))=12,CR80/12*L80,CR80/365*M80),CS80*EQ80)))</f>
        <v/>
      </c>
      <c r="CU80" s="434" t="str">
        <f>IF(A80=FALSE,"",(CJ80+CK80)*Cotations!AP80)</f>
        <v/>
      </c>
      <c r="CV80" s="434" t="str">
        <f>IF(A80=FALSE,"",(CJ80+CK80)*Cotations!AQ80)</f>
        <v/>
      </c>
      <c r="DA80" s="1253" t="str">
        <f>IF(A80=FALSE,"",IF(LISTES!$A$17=1,Cotations!AV80,Cotations!AW80))</f>
        <v/>
      </c>
      <c r="DB80" s="1271" t="str">
        <f t="shared" ref="DB80:DB120" si="461">IF(A80=FALSE,"",SUM(DC80:DH80))</f>
        <v/>
      </c>
      <c r="DC80" s="1270" t="str">
        <f t="shared" ref="DC80:DC120" si="462">IF(A80=FALSE,"",IL80+OL80)</f>
        <v/>
      </c>
      <c r="DD80" s="1270" t="str">
        <f t="shared" ref="DD80:DD120" si="463">IF(A80=FALSE,"",JL80)</f>
        <v/>
      </c>
      <c r="DE80" s="1270" t="str">
        <f t="shared" ref="DE80:DE120" si="464">IF(A80=FALSE,"",KL80+PL80)</f>
        <v/>
      </c>
      <c r="DF80" s="1270" t="str">
        <f t="shared" ref="DF80:DF120" si="465">IF(A80=FALSE,"",LL80)</f>
        <v/>
      </c>
      <c r="DG80" s="1270" t="str">
        <f t="shared" ref="DG80:DG120" si="466">IF(A80=FALSE,"",ML80)</f>
        <v/>
      </c>
      <c r="DH80" s="1270" t="str">
        <f t="shared" ref="DH80:DH120" si="467">IF(A80=FALSE,"",NL80)</f>
        <v/>
      </c>
      <c r="DI80" s="1271" t="str">
        <f t="shared" ref="DI80:DI120" si="468">IF(A80=FALSE,"",SUM(DJ80:DO80))</f>
        <v/>
      </c>
      <c r="DJ80" s="286" t="str">
        <f t="shared" ref="DJ80:DJ120" si="469">IF(A80=FALSE,"",IM80)</f>
        <v/>
      </c>
      <c r="DK80" s="286" t="str">
        <f t="shared" ref="DK80:DK120" si="470">IF(A80=FALSE,"",JM80)</f>
        <v/>
      </c>
      <c r="DL80" s="1264" t="str">
        <f t="shared" ref="DL80:DL120" si="471">IF(A80=FALSE,"",KM80)</f>
        <v/>
      </c>
      <c r="DM80" s="1264" t="str">
        <f t="shared" ref="DM80:DM120" si="472">IF(A80=FALSE,"",LM80)</f>
        <v/>
      </c>
      <c r="DN80" s="1264" t="str">
        <f t="shared" ref="DN80:DN120" si="473">IF(A80=FALSE,"",MM80)</f>
        <v/>
      </c>
      <c r="DO80" s="1264" t="str">
        <f t="shared" ref="DO80:DO120" si="474">IF(A80=FALSE,"",NM80)</f>
        <v/>
      </c>
      <c r="DP80" s="323" t="str">
        <f t="shared" si="368"/>
        <v/>
      </c>
      <c r="DQ80" s="444" t="str">
        <f>IF(A80=FALSE,"",Cotations!BW80)</f>
        <v/>
      </c>
      <c r="DR80" s="444" t="str">
        <f>IF(A80=FALSE,"",Cotations!BX80)</f>
        <v/>
      </c>
      <c r="DS80" s="433" t="str">
        <f>IF(A80=FALSE,"",Cotations!BY80)</f>
        <v/>
      </c>
      <c r="DT80" s="830" t="str">
        <f>IF(A80=FALSE,"",IF(DQ80="N/A",0,IF(INDEX(LISTES!$F$105:$F$109,MATCH(DQ80,LISTES!$C$105:$C$109,0))="FIX",IF(INDEX(LISTES!$E$105:$E$109,MATCH(DQ80,LISTES!$C$105:$C$109,0))=12,DR80/12*L80,DR80/365*M80),DS80*(DN80+DO80))))</f>
        <v/>
      </c>
      <c r="DU80" s="434" t="str">
        <f>IF(A80=FALSE,"",DJ80*Cotations!BZ80)</f>
        <v/>
      </c>
      <c r="DV80" s="434" t="str">
        <f>IF(A80=FALSE,"",DJ80*Cotations!CA80)</f>
        <v/>
      </c>
      <c r="EA80" s="432" t="str">
        <f>IF(A80=FALSE,"",Cotations!AT80)</f>
        <v/>
      </c>
      <c r="EB80" s="1234" t="str">
        <f>IF(A80=FALSE,"",YEAR(Detail!F80)&amp;Detail!AG80&amp;Detail!AD80&amp;"-"&amp;Detail!$AD$13&amp;Detail!AE80)</f>
        <v/>
      </c>
      <c r="EC80" s="434" t="str">
        <f>IF(A80=FALSE,"",IF(LISTES!$A$17=1,EB80,INDEX(colMOD1,MATCH(Cotations!AH80,colchoice,0))))</f>
        <v/>
      </c>
      <c r="ED80" s="277" t="str">
        <f t="shared" si="369"/>
        <v/>
      </c>
      <c r="EE80" s="277" t="str">
        <f t="shared" si="370"/>
        <v/>
      </c>
      <c r="EF80" s="277"/>
      <c r="EG80" s="277"/>
      <c r="EH80" s="277" t="str">
        <f t="shared" si="371"/>
        <v/>
      </c>
      <c r="EI80" s="1104" t="str">
        <f t="shared" si="372"/>
        <v/>
      </c>
      <c r="EJ80" s="1104" t="str">
        <f t="shared" si="373"/>
        <v/>
      </c>
      <c r="EK80" s="443" t="str">
        <f>IF(A80=FALSE,"",IF(Cotations!AF80="monthly",EH80/12*L80,EH80/365*M80))</f>
        <v/>
      </c>
      <c r="EL80" s="1103" t="str">
        <f>IF(A80=FALSE,"",IF(Cotations!AF80="monthly",EJ80/12*L80,EJ80/365*M80))</f>
        <v/>
      </c>
      <c r="EM80" s="433" t="str">
        <f>IF(A80=FALSE,"",IF(Cotations!AI80="","",Cotations!AI80))</f>
        <v/>
      </c>
      <c r="EN80" s="277" t="str">
        <f t="shared" si="374"/>
        <v/>
      </c>
      <c r="EO80" s="277" t="str">
        <f t="shared" si="375"/>
        <v/>
      </c>
      <c r="EP80" s="1104" t="str">
        <f t="shared" si="376"/>
        <v/>
      </c>
      <c r="EQ80" s="277" t="str">
        <f t="shared" si="377"/>
        <v/>
      </c>
      <c r="ER80" s="759" t="str">
        <f>IF(A80=FALSE,"",((EH80*TAXE)-(EH80*TAXE*EM80)+EI80)+IF(CQ80="N/A",0,IF(INDEX(LISTES!$F$105:$F$109,MATCH(CQ80,LISTES!$C$105:$C$109,0))="FIX",CR80,CS80*EQ80)))</f>
        <v/>
      </c>
      <c r="ET80" s="422"/>
      <c r="EU80" s="422"/>
      <c r="EV80" s="422"/>
      <c r="EW80" s="422"/>
      <c r="EX80" s="422"/>
      <c r="EY80" s="422"/>
      <c r="EZ80" s="422"/>
      <c r="FA80" s="432" t="str">
        <f>IF(A80=FALSE,"",Cotations!AT80)</f>
        <v/>
      </c>
      <c r="FB80" s="1235" t="str">
        <f>IF(A80=FALSE,"",IF(Detail!AL80="","N/A",YEAR(Detail!F80)&amp;Detail!AO80&amp;Detail!AL80&amp;"-"&amp;Detail!$AL$13&amp;Detail!AM80))</f>
        <v/>
      </c>
      <c r="FC80" s="434" t="str">
        <f>IF(A80=FALSE,"",IF(LISTES!$A$17=1,FB80,INDEX(colMOD2,MATCH(Cotations!AH80,colchoice,0))))</f>
        <v/>
      </c>
      <c r="FD80" s="277" t="str">
        <f t="shared" si="378"/>
        <v/>
      </c>
      <c r="FE80" s="443" t="str">
        <f>IF(A80=FALSE,"",IF(Detail!AM80="","",Detail!AM80))</f>
        <v/>
      </c>
      <c r="FF80" s="277"/>
      <c r="FG80" s="277"/>
      <c r="FH80" s="277" t="str">
        <f t="shared" si="379"/>
        <v/>
      </c>
      <c r="FI80" s="1104"/>
      <c r="FJ80" s="1104"/>
      <c r="FK80" s="443" t="str">
        <f>IF(A80=FALSE,"",IF(Cotations!AF80="monthly",FH80/12*L80,FH80/365*M80))</f>
        <v/>
      </c>
      <c r="FL80" s="1103" t="str">
        <f>IF(A80=FALSE,"",IF(Cotations!AF80="monthly",FJ80/12*L80,FJ80/365*M80))</f>
        <v/>
      </c>
      <c r="FM80" s="433" t="str">
        <f>IF(A80=FALSE,"",IF(Cotations!AJ80="","",Cotations!AJ80))</f>
        <v/>
      </c>
      <c r="FN80" s="277" t="str">
        <f t="shared" ref="FN80:FN120" si="475">IF(A80=FALSE,"",FK80*FM80)</f>
        <v/>
      </c>
      <c r="FO80" s="277" t="str">
        <f t="shared" ref="FO80:FO120" si="476">IF(A80=FALSE,"",FK80-FN80)</f>
        <v/>
      </c>
      <c r="FP80" s="1104"/>
      <c r="FQ80" s="277" t="str">
        <f t="shared" ref="FQ80:FQ120" si="477">IF(A80=FALSE,"",FO80*TAXE)</f>
        <v/>
      </c>
      <c r="FR80" s="759" t="str">
        <f>IF(A80=FALSE,"",((FH80*TAXE)-(FH80*TAXE*FM80))+IF(#REF!="N/A",0,IF(INDEX(LISTES!$F$105:$F$109,MATCH(#REF!,LISTES!$C$105:$C$109,0))="FIX",#REF!,#REF!*FQ80)))</f>
        <v/>
      </c>
      <c r="FS80" s="422"/>
      <c r="FT80" s="422"/>
      <c r="FU80" s="422"/>
      <c r="FV80" s="422"/>
      <c r="FW80" s="422"/>
      <c r="FX80" s="422"/>
      <c r="FY80" s="422"/>
      <c r="FZ80" s="422"/>
      <c r="GA80" s="432" t="str">
        <f t="shared" si="380"/>
        <v/>
      </c>
      <c r="GB80" s="1234" t="str">
        <f>IF(A80=FALSE,"",IF(Detail!DF80="","N/A",YEAR(Detail!F80)&amp;Detail!DI80&amp;Detail!DF80&amp;"-"&amp;Detail!$DF$13))</f>
        <v/>
      </c>
      <c r="GC80" s="434" t="str">
        <f>IF(A80=FALSE,"",IF(LISTES!$A$17=1,GB80,INDEX(colMOD3,MATCH(Cotations!AH80,colchoice,0))))</f>
        <v/>
      </c>
      <c r="GD80" s="277" t="str">
        <f t="shared" si="381"/>
        <v/>
      </c>
      <c r="GE80" s="277" t="str">
        <f t="shared" si="382"/>
        <v/>
      </c>
      <c r="GF80" s="277"/>
      <c r="GG80" s="277"/>
      <c r="GH80" s="277" t="str">
        <f t="shared" ref="GH80:GH120" si="478">IF(A80=FALSE,"",IF(GC80="N/A",0,INDEX(colMOD3HT,MATCH(GC80,colMOD3,0))))</f>
        <v/>
      </c>
      <c r="GI80" s="1104" t="str">
        <f t="shared" ref="GI80:GI120" si="479">IF(A80=FALSE,"",INDEX(colSURCOM,MATCH(GC80,colMOD3,0)))</f>
        <v/>
      </c>
      <c r="GJ80" s="1104" t="str">
        <f t="shared" ref="GJ80:GJ120" si="480">IF(A80=FALSE,"",INDEX(colRatesHTsurcom,MATCH(GC80,colMOD3,0)))</f>
        <v/>
      </c>
      <c r="GK80" s="443" t="str">
        <f>IF(A80=FALSE,"",IF(Cotations!AF80="monthly",GH80/12*L80,GH80/365*M80))</f>
        <v/>
      </c>
      <c r="GL80" s="1103" t="str">
        <f>IF(A80=FALSE,"",IF(Cotations!AF80="monthly",GJ80/12*L80,GJ80/365*M80))</f>
        <v/>
      </c>
      <c r="GM80" s="433" t="str">
        <f>IF(A80=FALSE,"",IF(Cotations!AK80="","",Cotations!AK80))</f>
        <v/>
      </c>
      <c r="GN80" s="277" t="str">
        <f t="shared" ref="GN80:GN120" si="481">IF(A80=FALSE,"",GK80*GM80)</f>
        <v/>
      </c>
      <c r="GO80" s="277" t="str">
        <f t="shared" ref="GO80:GO120" si="482">IF(A80=FALSE,"",GK80-GN80)</f>
        <v/>
      </c>
      <c r="GP80" s="1104" t="str">
        <f t="shared" ref="GP80:GP120" si="483">IF(A80=FALSE,"",IF(GI80=0,0,GL80-(GK80-GN80)))</f>
        <v/>
      </c>
      <c r="GQ80" s="277" t="str">
        <f t="shared" ref="GQ80:GQ120" si="484">IF(A80=FALSE,"",(GO80*TAXE)+GP80)</f>
        <v/>
      </c>
      <c r="GR80" s="759" t="str">
        <f>IF(A80=FALSE,"",((GH80*TAXE)-(GH80*TAXE*GM80)+GI80)+IF(CQ80="N/A",0,IF(INDEX(LISTES!$F$105:$F$109,MATCH(CQ80,LISTES!$C$105:$C$109,0))="FIX",CR80,CS80*GQ80)))</f>
        <v/>
      </c>
      <c r="GS80" s="412"/>
      <c r="GT80" s="412"/>
      <c r="GU80" s="412"/>
      <c r="GV80" s="412"/>
      <c r="GW80" s="412"/>
      <c r="GX80" s="412"/>
      <c r="GY80" s="412"/>
      <c r="GZ80" s="412"/>
      <c r="HA80" s="432" t="str">
        <f t="shared" si="383"/>
        <v/>
      </c>
      <c r="HB80" s="1234" t="str">
        <f>IF(A80=FALSE,"",IF(Detail!DF80="","N/A",YEAR(Detail!F80)&amp;Detail!DI80&amp;Detail!DF80&amp;"-"&amp;Detail!$DF$13))</f>
        <v/>
      </c>
      <c r="HC80" s="434" t="str">
        <f>IF(A80=FALSE,"",IF(LISTES!$A$17=1,HB80,INDEX(colMOD4,MATCH(Cotations!AH80,colchoice,0))))</f>
        <v/>
      </c>
      <c r="HD80" s="277" t="str">
        <f t="shared" ref="HD80:HD120" si="485">IF(A80=FALSE,"",INDEX(colAssureur,MATCH(HC80,colMOD4,0)))</f>
        <v/>
      </c>
      <c r="HE80" s="277" t="str">
        <f t="shared" ref="HE80:HE120" si="486">IF(A80=FALSE,"",INDEX(colProduct,MATCH(HC80,colMOD4,0)))</f>
        <v/>
      </c>
      <c r="HF80" s="277"/>
      <c r="HG80" s="277"/>
      <c r="HH80" s="277" t="str">
        <f t="shared" ref="HH80:HH120" si="487">IF(A80=FALSE,"",IF(HC80="N/A",0,INDEX(colMOD4HT,MATCH(HC80,colMOD4,0))))</f>
        <v/>
      </c>
      <c r="HI80" s="1104" t="str">
        <f t="shared" ref="HI80:HI120" si="488">IF(A80=FALSE,"",INDEX(colSURCOM,MATCH(HC80,colMOD4,0)))</f>
        <v/>
      </c>
      <c r="HJ80" s="1104" t="str">
        <f t="shared" ref="HJ80:HJ120" si="489">IF(A80=FALSE,"",INDEX(colRatesHTsurcom,MATCH(HC80,colMOD4,0)))</f>
        <v/>
      </c>
      <c r="HK80" s="443" t="str">
        <f>IF(A80=FALSE,"",IF(Cotations!AF80="monthly",HH80/12*L80,HH80/365*M80))</f>
        <v/>
      </c>
      <c r="HL80" s="1103" t="str">
        <f>IF(A80=FALSE,"",IF(Cotations!AF80="monthly",HJ80/12*L80,HJ80/365*M80))</f>
        <v/>
      </c>
      <c r="HM80" s="433" t="str">
        <f>IF(A80=FALSE,"",IF(Cotations!AL80="","",Cotations!AL80))</f>
        <v/>
      </c>
      <c r="HN80" s="277" t="str">
        <f t="shared" ref="HN80:HN120" si="490">IF(A80=FALSE,"",HK80*HM80)</f>
        <v/>
      </c>
      <c r="HO80" s="277" t="str">
        <f t="shared" ref="HO80:HO120" si="491">IF(A80=FALSE,"",HK80-HN80)</f>
        <v/>
      </c>
      <c r="HP80" s="1104" t="str">
        <f t="shared" ref="HP80:HP120" si="492">IF(A80=FALSE,"",IF(HI80=0,0,HL80-(HK80-HN80)))</f>
        <v/>
      </c>
      <c r="HQ80" s="277" t="str">
        <f t="shared" ref="HQ80:HQ120" si="493">IF(A80=FALSE,"",(HO80*TAXE)+HP80)</f>
        <v/>
      </c>
      <c r="HR80" s="759" t="str">
        <f>IF(A80=FALSE,"",((HH80*TAXE)-(HH80*TAXE*HM80)+HI80)+IF(CQ80="N/A",0,IF(INDEX(LISTES!$F$105:$F$109,MATCH(CQ80,LISTES!$C$105:$C$109,0))="FIX",CR80,CS80*HQ80)))</f>
        <v/>
      </c>
      <c r="HS80" s="412"/>
      <c r="HT80" s="412"/>
      <c r="HU80" s="412"/>
      <c r="HV80" s="412"/>
      <c r="HW80" s="412"/>
      <c r="HX80" s="412"/>
      <c r="HY80" s="412"/>
      <c r="HZ80" s="1262"/>
      <c r="IA80" s="432" t="str">
        <f>IF(A80=FALSE,"",Cotations!AT80)</f>
        <v/>
      </c>
      <c r="IB80" s="1253" t="str">
        <f>IF(A80=FALSE,"",IF(Detail!AT80="","N/A",YEAR(Detail!F80)&amp;Detail!AW80&amp;Detail!AT80&amp;"-"&amp;Detail!$AT$13&amp;Detail!AU80))</f>
        <v/>
      </c>
      <c r="IC80" s="431" t="str">
        <f>IF(A80=FALSE,"",IF(LISTES!$A$17=1,IB80,INDEX(colMOD1,MATCH(DA80,colchoice,0))))</f>
        <v/>
      </c>
      <c r="ID80" s="759" t="str">
        <f t="shared" si="358"/>
        <v/>
      </c>
      <c r="IE80" s="292" t="str">
        <f>IF(A80=FALSE,"",IF(LISTES!$A$17=1,Detail!AU80,INDEX(Rates!$M$1:$M$270,MATCH(IC80,colMOD1,0))))</f>
        <v/>
      </c>
      <c r="IF80" s="409" t="str">
        <f t="shared" si="359"/>
        <v/>
      </c>
      <c r="IG80" s="430" t="str">
        <f>IF(A80=FALSE,"",IF(IA80="POEA",Cotations!AY80,IF(IA80="FIXE",Cotations!AZ80,IF(Cotations!BA80*Y80&lt;50000,Z80,Cotations!BA80*Y80))))</f>
        <v/>
      </c>
      <c r="IH80" s="292" t="str">
        <f t="shared" si="360"/>
        <v/>
      </c>
      <c r="II80" s="446" t="str">
        <f>IF(A80=FALSE,"",IF(Cotations!AU80="monthly",IH80/12*L80,IH80/365*M80))</f>
        <v/>
      </c>
      <c r="IJ80" s="429" t="str">
        <f>IF(A80=FALSE,"",IF(Cotations!BB80="","",Cotations!BB80))</f>
        <v/>
      </c>
      <c r="IK80" s="292" t="str">
        <f t="shared" si="361"/>
        <v/>
      </c>
      <c r="IL80" s="292" t="str">
        <f t="shared" si="362"/>
        <v/>
      </c>
      <c r="IM80" s="759" t="str">
        <f t="shared" si="363"/>
        <v/>
      </c>
      <c r="IN80" s="759" t="str">
        <f>IF(A80=FALSE,"",((IH80*TAXE)-(IH80*TAXE*IJ80))+IF(DQ80="N/A",0,IF(INDEX(LISTES!$F$105:$F$109,MATCH(DQ80,LISTES!$C$105:$C$109,0))="FIX",DR80,DS80*IM80)))</f>
        <v/>
      </c>
      <c r="JA80" s="432" t="str">
        <f>IF(A80=FALSE,"",Cotations!AT80)</f>
        <v/>
      </c>
      <c r="JB80" s="1234" t="str">
        <f>IF(A80=FALSE,"",IF(Detail!BB80="","N/A",YEAR(Detail!F80)&amp;Detail!BE80&amp;Detail!BB80&amp;"-"&amp;Detail!$BB$13&amp;Detail!BC80))</f>
        <v/>
      </c>
      <c r="JC80" s="431" t="str">
        <f>IF(A80=FALSE,"",IF(LISTES!$A$17=1,JB80,INDEX(colMOD2,MATCH(DA80,colchoice,0))))</f>
        <v/>
      </c>
      <c r="JD80" s="759" t="str">
        <f t="shared" si="384"/>
        <v/>
      </c>
      <c r="JE80" s="292"/>
      <c r="JF80" s="409" t="str">
        <f t="shared" si="385"/>
        <v/>
      </c>
      <c r="JG80" s="430" t="str">
        <f>IF(A80=FALSE,"",IF(JA80="POEA",Cotations!BC80,IF(JA80="FIXE",Cotations!BD80,IF(Cotations!BE80*Y80&lt;50000,Z80,Cotations!BE80*Y80))))</f>
        <v/>
      </c>
      <c r="JH80" s="292" t="str">
        <f t="shared" si="386"/>
        <v/>
      </c>
      <c r="JI80" s="446" t="str">
        <f>IF(A80=FALSE,"",IF(Cotations!AU80="monthly",JH80/12*L80,JH80/365*M80))</f>
        <v/>
      </c>
      <c r="JJ80" s="429" t="str">
        <f>IF(A80=FALSE,"",IF(Cotations!BF80="","",Cotations!BF80))</f>
        <v/>
      </c>
      <c r="JK80" s="292" t="str">
        <f t="shared" si="387"/>
        <v/>
      </c>
      <c r="JL80" s="292" t="str">
        <f t="shared" si="388"/>
        <v/>
      </c>
      <c r="JM80" s="759" t="str">
        <f t="shared" si="389"/>
        <v/>
      </c>
      <c r="JN80" s="759" t="str">
        <f>IF(A80=FALSE,"",((JH80*TAXE)-(JH80*TAXE*JJ80))+IF(#REF!="N/A",0,IF(INDEX(LISTES!$F$105:$F$109,MATCH(#REF!,LISTES!$C$105:$C$109,0))="FIX",#REF!,#REF!*JM80)))</f>
        <v/>
      </c>
      <c r="KA80" s="432" t="str">
        <f>IF(A80=FALSE,"",Cotations!AT80)</f>
        <v/>
      </c>
      <c r="KB80" s="1234" t="str">
        <f>IF(A80=FALSE,"",IF(Detail!BJ80="","N/A",YEAR(Detail!F80)&amp;Detail!BM80&amp;Detail!BJ80&amp;"-"&amp;Detail!$BJ$13&amp;Detail!BK80))</f>
        <v/>
      </c>
      <c r="KC80" s="431" t="str">
        <f>IF(A80=FALSE,"",IF(LISTES!$A$17=1,KB80,INDEX(colMOD3,MATCH(DA80,colchoice,0))))</f>
        <v/>
      </c>
      <c r="KD80" s="759" t="str">
        <f t="shared" si="390"/>
        <v/>
      </c>
      <c r="KE80" s="292"/>
      <c r="KF80" s="409" t="str">
        <f t="shared" si="391"/>
        <v/>
      </c>
      <c r="KG80" s="430" t="str">
        <f>IF(A80=FALSE,"",IF(KA80="POEA",Cotations!BG80,IF(KA80="FIXE",Cotations!BH80,IF(Cotations!BI80*Y80&lt;50000,Z80,Cotations!BI80*Y80))))</f>
        <v/>
      </c>
      <c r="KH80" s="292" t="str">
        <f t="shared" si="392"/>
        <v/>
      </c>
      <c r="KI80" s="446" t="str">
        <f>IF(A80=FALSE,"",IF(Cotations!AU80="monthly",KH80/12*L80,KH80/365*M80))</f>
        <v/>
      </c>
      <c r="KJ80" s="429" t="str">
        <f>IF(A80=FALSE,"",IF(Cotations!BJ80="","",Cotations!BJ80))</f>
        <v/>
      </c>
      <c r="KK80" s="292" t="str">
        <f t="shared" si="393"/>
        <v/>
      </c>
      <c r="KL80" s="292" t="str">
        <f t="shared" si="394"/>
        <v/>
      </c>
      <c r="KM80" s="759" t="str">
        <f t="shared" si="395"/>
        <v/>
      </c>
      <c r="KN80" s="759" t="str">
        <f>IF(A80=FALSE,"",((KH80*TAXE)-(KH80*TAXE*KJ80))+IF(#REF!="N/A",0,IF(INDEX(LISTES!$F$105:$F$109,MATCH(#REF!,LISTES!$C$105:$C$109,0))="FIX",#REF!,#REF!*KM80)))</f>
        <v/>
      </c>
      <c r="LA80" s="432" t="str">
        <f>IF(A80=FALSE,"",Cotations!AT80)</f>
        <v/>
      </c>
      <c r="LB80" s="1234" t="str">
        <f>IF(A80=FALSE,"",IF(Detail!BR80="","N/A",YEAR(Detail!F80)&amp;Detail!BU80&amp;Detail!BR80&amp;"-"&amp;Detail!$BR$13&amp;Detail!BS80))</f>
        <v/>
      </c>
      <c r="LC80" s="431" t="str">
        <f>IF(A80=FALSE,"",IF(LISTES!$A$17=1,LB80,INDEX(colMOD4,MATCH(DA80,colchoice,0))))</f>
        <v/>
      </c>
      <c r="LD80" s="759" t="str">
        <f t="shared" si="396"/>
        <v/>
      </c>
      <c r="LE80" s="292"/>
      <c r="LF80" s="409" t="str">
        <f t="shared" si="397"/>
        <v/>
      </c>
      <c r="LG80" s="430" t="str">
        <f>IF(A80=FALSE,"",IF(LA80="POEA",Cotations!BK80,IF(LA80="FIXE",Cotations!BL80,IF(Cotations!BM80*Y80&lt;50000,Z80,Cotations!BM80*Y80))))</f>
        <v/>
      </c>
      <c r="LH80" s="292" t="str">
        <f t="shared" si="398"/>
        <v/>
      </c>
      <c r="LI80" s="446" t="str">
        <f>IF(A80=FALSE,"",IF(Cotations!AU80="monthly",LH80/12*L80,LH80/365*M80))</f>
        <v/>
      </c>
      <c r="LJ80" s="429" t="str">
        <f>IF(A80=FALSE,"",IF(Cotations!BN80="","",Cotations!BN80))</f>
        <v/>
      </c>
      <c r="LK80" s="292" t="str">
        <f t="shared" si="399"/>
        <v/>
      </c>
      <c r="LL80" s="292" t="str">
        <f t="shared" si="400"/>
        <v/>
      </c>
      <c r="LM80" s="759" t="str">
        <f t="shared" si="401"/>
        <v/>
      </c>
      <c r="LN80" s="759" t="str">
        <f>IF(A80=FALSE,"",((LH80*TAXE)-(LH80*TAXE*LJ80))+IF(#REF!="N/A",0,IF(INDEX(LISTES!$F$105:$F$109,MATCH(#REF!,LISTES!$C$105:$C$109,0))="FIX",#REF!,#REF!*LM80)))</f>
        <v/>
      </c>
      <c r="MA80" s="432" t="str">
        <f t="shared" si="402"/>
        <v/>
      </c>
      <c r="MB80" s="1234" t="str">
        <f>IF(A80=FALSE,"",IF(Detail!BZ80="","N/A",YEAR(Detail!F80)&amp;Detail!CC80&amp;Detail!BZ80&amp;"-"&amp;Detail!$BZ$13&amp;" (100%/"&amp;Detail!CD80&amp;"/"&amp;Detail!CE80&amp;")"))</f>
        <v/>
      </c>
      <c r="MC80" s="431" t="str">
        <f>IF(A80=FALSE,"",IF(LISTES!$A$17=1,MB80,INDEX(colMOD5,MATCH(DA80,colchoice,0))))</f>
        <v/>
      </c>
      <c r="MD80" s="759" t="str">
        <f t="shared" si="403"/>
        <v/>
      </c>
      <c r="ME80" s="292"/>
      <c r="MF80" s="409" t="str">
        <f t="shared" si="404"/>
        <v/>
      </c>
      <c r="MG80" s="430" t="str">
        <f>IF(A80=FALSE,"",Cotations!BQ80*AA80)</f>
        <v/>
      </c>
      <c r="MH80" s="292" t="str">
        <f t="shared" si="405"/>
        <v/>
      </c>
      <c r="MI80" s="446" t="str">
        <f>IF(A80=FALSE,"",IF(Cotations!AU80="monthly",MH80/12*L80,MH80/365*M80))</f>
        <v/>
      </c>
      <c r="MJ80" s="429" t="str">
        <f>IF(A80=FALSE,"",IF(Cotations!BR80="","",Cotations!BR80))</f>
        <v/>
      </c>
      <c r="MK80" s="292" t="str">
        <f t="shared" si="406"/>
        <v/>
      </c>
      <c r="ML80" s="292" t="str">
        <f t="shared" si="407"/>
        <v/>
      </c>
      <c r="MM80" s="759" t="str">
        <f t="shared" si="408"/>
        <v/>
      </c>
      <c r="MN80" s="759" t="str">
        <f>IF(A80=FALSE,"",((MH80*TAXE)-(MH80*TAXE*MJ80))+IF(#REF!="N/A",0,IF(INDEX(LISTES!$F$105:$F$109,MATCH(#REF!,LISTES!$C$105:$C$109,0))="FIX",#REF!,#REF!*MM80)))</f>
        <v/>
      </c>
      <c r="NA80" s="432" t="str">
        <f t="shared" si="409"/>
        <v/>
      </c>
      <c r="NB80" s="1234" t="str">
        <f>IF(A80=FALSE,"",IF(Detail!CH80="","N/A",YEAR(Detail!F80)&amp;Detail!CK80&amp;Detail!CH80&amp;"-"&amp;Detail!$CH$13&amp;" (100%/"&amp;Detail!CL80&amp;"/"&amp;Detail!CM80&amp;")"))</f>
        <v/>
      </c>
      <c r="NC80" s="431" t="str">
        <f>IF(A80=FALSE,"",IF(LISTES!$A$17=1,NB80,INDEX(colMOD6,MATCH(DA80,colchoice,0))))</f>
        <v/>
      </c>
      <c r="ND80" s="759" t="str">
        <f t="shared" si="410"/>
        <v/>
      </c>
      <c r="NE80" s="292"/>
      <c r="NF80" s="409" t="str">
        <f t="shared" si="411"/>
        <v/>
      </c>
      <c r="NG80" s="430" t="str">
        <f>IF(A80=FALSE,"",Cotations!BU80*AA80)</f>
        <v/>
      </c>
      <c r="NH80" s="292" t="str">
        <f t="shared" si="412"/>
        <v/>
      </c>
      <c r="NI80" s="446" t="str">
        <f>IF(A80=FALSE,"",IF(Cotations!AU80="monthly",NH80/12*L80,NH80/365*M80))</f>
        <v/>
      </c>
      <c r="NJ80" s="429" t="str">
        <f>IF(A80=FALSE,"",IF(Cotations!BV80="","",Cotations!BV80))</f>
        <v/>
      </c>
      <c r="NK80" s="292" t="str">
        <f t="shared" si="413"/>
        <v/>
      </c>
      <c r="NL80" s="292" t="str">
        <f t="shared" si="414"/>
        <v/>
      </c>
      <c r="NM80" s="759" t="str">
        <f t="shared" si="415"/>
        <v/>
      </c>
      <c r="NN80" s="759" t="str">
        <f>IF(A80=FALSE,"",((NH80*TAXE)-(NH80*TAXE*NJ80))+IF(#REF!="N/A",0,IF(INDEX(LISTES!$F$105:$F$109,MATCH(#REF!,LISTES!$C$105:$C$109,0))="FIX",#REF!,#REF!*NM80)))</f>
        <v/>
      </c>
      <c r="NZ80" s="1281" t="str">
        <f>IF(A80=FALSE,"",IF(Detail!CP80="","N/A",YEAR(Detail!F80)&amp;Detail!CS80&amp;Detail!CP80&amp;"-"&amp;Detail!CQ80))</f>
        <v/>
      </c>
      <c r="OA80" s="432" t="str">
        <f>IF(A80=FALSE,"",Cotations!CF80)</f>
        <v/>
      </c>
      <c r="OB80" s="1282" t="str">
        <f>IF(A80=FALSE,"",IF(Detail!CP80="","N/A",YEAR(Detail!F80)&amp;Detail!CS80&amp;Detail!CP80&amp;"-"&amp;Detail!$CP$13&amp;Detail!CQ80))</f>
        <v/>
      </c>
      <c r="OC80" s="1283" t="str">
        <f>IF(A80=FALSE,"",IF(LISTES!$A$17=1,OB80,INDEX(colMOD1,MATCH(Cotations!CE80,colchoice,0))))</f>
        <v/>
      </c>
      <c r="OD80" s="759" t="str">
        <f t="shared" si="416"/>
        <v/>
      </c>
      <c r="OE80" s="292" t="str">
        <f>IF(A80=FALSE,"",Detail!CQ80)</f>
        <v/>
      </c>
      <c r="OF80" s="409" t="str">
        <f t="shared" si="417"/>
        <v/>
      </c>
      <c r="OG80" s="430" t="str">
        <f>IF(A80=FALSE,"",IF(OA80="FIXE",Cotations!CM80,Cotations!CN80*AA80))</f>
        <v/>
      </c>
      <c r="OH80" s="292" t="str">
        <f t="shared" ref="OH80:OH120" si="494">IF(A80=FALSE,"",IF(OC80="N/A",0,OG80*INDEX(colMOD1HT,MATCH(OC80,colMOD1,0))))</f>
        <v/>
      </c>
      <c r="OI80" s="446" t="str">
        <f>IF(A80=FALSE,"",IF(Cotations!CF80="monthly",OH80/12*L80,OH80/365*M80))</f>
        <v/>
      </c>
      <c r="OJ80" s="429" t="str">
        <f>IF(A80=FALSE,"",IF(Cotations!CO80="","",Cotations!CO80))</f>
        <v/>
      </c>
      <c r="OK80" s="292" t="str">
        <f t="shared" ref="OK80:OK120" si="495">IF(A80=FALSE,"",OI80*OJ80)</f>
        <v/>
      </c>
      <c r="OL80" s="292" t="str">
        <f t="shared" ref="OL80:OL120" si="496">IF(A80=FALSE,"",OI80-OK80)</f>
        <v/>
      </c>
      <c r="OM80" s="759" t="str">
        <f t="shared" si="418"/>
        <v/>
      </c>
      <c r="ON80" s="759" t="str">
        <f>IF(A80=FALSE,"",((OH80*(1+TAXE)-(OH80*(1+TAXE)*OJ80))+IF(#REF!="N/A",0,IF(INDEX(LISTES!$F$105:$F$109,MATCH(#REF!,LISTES!$C$105:$C$109,0))="FIX",#REF!,#REF!*OM80))))</f>
        <v/>
      </c>
      <c r="PA80" s="432" t="str">
        <f>IF(A80=FALSE,"",Cotations!CF80)</f>
        <v/>
      </c>
      <c r="PB80" s="1282" t="str">
        <f>IF(A80=FALSE,"",IF(Detail!CX80="","N/A",YEAR(Detail!F80)&amp;Detail!DA80&amp;Detail!CX80&amp;"-"&amp;Detail!$CX$13&amp;Detail!CY80))</f>
        <v/>
      </c>
      <c r="PC80" s="1283" t="str">
        <f>IF(A80=FALSE,"",IF(LISTES!$A$17=1,PB80,INDEX(colMOD3,MATCH(Cotations!CE80,colchoice,0))))</f>
        <v/>
      </c>
      <c r="PD80" s="759" t="str">
        <f t="shared" si="419"/>
        <v/>
      </c>
      <c r="PE80" s="292" t="str">
        <f>IF(A80=FALSE,"",IF(Detail!CY80="","",Detail!CY80))</f>
        <v/>
      </c>
      <c r="PF80" s="409" t="str">
        <f t="shared" ref="PF80:PF120" si="497">IF(A80=FALSE,"",IF(PC80="",0,INDEX(colMOD3HT,MATCH(PC80,colMOD3,0))))</f>
        <v/>
      </c>
      <c r="PG80" s="430" t="str">
        <f>IF(A80=FALSE,"",IF(PA80="FIXE",Cotations!CP80,Cotations!CQ80*AA80))</f>
        <v/>
      </c>
      <c r="PH80" s="292" t="str">
        <f t="shared" ref="PH80:PH120" si="498">IF(A80=FALSE,"",IF(PC80="N/A",0,PG80*INDEX(colMOD3HT,MATCH(PC80,colMOD3,0))))</f>
        <v/>
      </c>
      <c r="PI80" s="446" t="str">
        <f>IF(A80=FALSE,"",IF(Cotations!CG80="monthly",PH80/12*L80,PH80/365*M80))</f>
        <v/>
      </c>
      <c r="PJ80" s="429" t="str">
        <f>IF(A80=FALSE,"",IF(Cotations!DA80="",0,Cotations!DA80))</f>
        <v/>
      </c>
      <c r="PK80" s="292" t="str">
        <f t="shared" ref="PK80:PK120" si="499">IF(A80=FALSE,"",PI80*PJ80)</f>
        <v/>
      </c>
      <c r="PL80" s="292" t="str">
        <f t="shared" ref="PL80:PL120" si="500">IF(A80=FALSE,"",PI80-PK80)</f>
        <v/>
      </c>
      <c r="PM80" s="759" t="str">
        <f t="shared" si="420"/>
        <v/>
      </c>
      <c r="PN80" s="759" t="str">
        <f>IF(A80=FALSE,"",((PH80*(1+TAXE)-(PH80*(1+TAXE)*PJ80))+IF(#REF!="N/A",0,IF(INDEX(LISTES!$F$105:$F$109,MATCH(#REF!,LISTES!$C$105:$C$109,0))="FIX",#REF!,#REF!*PM80))))</f>
        <v/>
      </c>
    </row>
    <row r="81" spans="1:430">
      <c r="A81" s="779" t="b">
        <f t="shared" si="364"/>
        <v>0</v>
      </c>
      <c r="B81" s="779" t="b">
        <f>IF(NAMES!$B$9=TRUE,TRUE,FALSE)</f>
        <v>1</v>
      </c>
      <c r="C81" s="779" t="b">
        <f t="shared" si="421"/>
        <v>0</v>
      </c>
      <c r="D81" s="779" t="b">
        <f t="shared" si="422"/>
        <v>0</v>
      </c>
      <c r="E81" s="267" t="b">
        <f>IF(Cotations!C81="","",Cotations!C81)</f>
        <v>0</v>
      </c>
      <c r="F81" s="267" t="str">
        <f>IF(Cotations!AT81="","",Cotations!AT81)</f>
        <v>PROP</v>
      </c>
      <c r="G81" s="267" t="str">
        <f>IF(Cotations!D81="","",Cotations!D81)</f>
        <v>2016-2017!</v>
      </c>
      <c r="H81" s="267" t="str">
        <f>IF(Cotations!E81="","",Cotations!E81)</f>
        <v>SINGLE</v>
      </c>
      <c r="I81" s="267" t="str">
        <f>IF(Cotations!F81="","",Cotations!F81)</f>
        <v/>
      </c>
      <c r="J81" s="267" t="str">
        <f>IF(Cotations!G81="","",Cotations!G81)</f>
        <v/>
      </c>
      <c r="K81" s="267" t="str">
        <f>IF(Cotations!H81="","",Cotations!H81)</f>
        <v/>
      </c>
      <c r="L81" s="267" t="str">
        <f>IF(A81=FALSE,"",IF(Cotations!M81="","",Cotations!M81))</f>
        <v/>
      </c>
      <c r="M81" s="267" t="str">
        <f>IF(Cotations!O81="","",Cotations!O81)</f>
        <v/>
      </c>
      <c r="N81" s="588" t="str">
        <f>IF(NAMES!$B$10=TRUE,Cotations!I81,Cotations!K81)</f>
        <v/>
      </c>
      <c r="O81" s="588" t="str">
        <f>IF(NAMES!$B$10=TRUE,Cotations!J81,Cotations!L81)</f>
        <v/>
      </c>
      <c r="P81" s="780" t="str">
        <f t="shared" si="423"/>
        <v/>
      </c>
      <c r="Q81" s="588" t="str">
        <f>IF(A81=FALSE,"",IF(Crewlist!Y81="","",Crewlist!Y81))</f>
        <v/>
      </c>
      <c r="R81" s="78" t="str">
        <f>IF(Cotations!T81="","",Cotations!T81)</f>
        <v/>
      </c>
      <c r="S81" s="780" t="str">
        <f t="shared" si="424"/>
        <v/>
      </c>
      <c r="T81" s="759" t="str">
        <f>IF(A81=FALSE,"",VLOOKUP($U$15:$U$120,Currency!$A$2:$D$10,4,0)*Crewlist!N81)</f>
        <v/>
      </c>
      <c r="U81" s="1097" t="str">
        <f>IF(A81=FALSE,"",IF(DP81=0,Crewlist!M81&amp;"/"&amp;CP81,Crewlist!M81&amp;"/"&amp;DP81))</f>
        <v/>
      </c>
      <c r="V81" s="759" t="str">
        <f>IF(A81=FALSE,"",VLOOKUP($U$15:$U$120,Currency!$A$2:$D$10,4,0)*Detail!Q81)</f>
        <v/>
      </c>
      <c r="W81" s="1097" t="str">
        <f>IF(A81=FALSE,"",IF(DP81=0,Detail!R81&amp;"/"&amp;CP81,Detail!R81&amp;"/"&amp;DP81))</f>
        <v/>
      </c>
      <c r="X81" s="759" t="str">
        <f>IF(A81=FALSE,"",IF(LISTES!$C$17="Crewlist",Calcul!T81,Calcul!V81))</f>
        <v/>
      </c>
      <c r="Y81" s="618" t="str">
        <f t="shared" si="425"/>
        <v/>
      </c>
      <c r="Z81" s="618" t="str">
        <f>IF(A81=FALSE,"",IF(X81=0,0,IF((Cotations!BA81*12*X81)&lt;50000,50000,(12*X81))))</f>
        <v/>
      </c>
      <c r="AA81" s="618" t="str">
        <f t="shared" si="426"/>
        <v/>
      </c>
      <c r="AB81" s="618" t="str">
        <f>IF(A81=FALSE,"",IF(Crewlist!O81=0,"",Crewlist!O81))</f>
        <v/>
      </c>
      <c r="AC81" s="618" t="str">
        <f>IF(I81="","",VLOOKUP($AB$15:$AB$120,Currency!$A$15:$B$34,2,0))</f>
        <v/>
      </c>
      <c r="AD81" s="618" t="str">
        <f t="shared" si="427"/>
        <v/>
      </c>
      <c r="AE81" s="618" t="str">
        <f t="shared" si="428"/>
        <v/>
      </c>
      <c r="AF81" s="618" t="str">
        <f t="shared" si="429"/>
        <v/>
      </c>
      <c r="AG81" s="618" t="str">
        <f t="shared" si="430"/>
        <v/>
      </c>
      <c r="AH81" s="1097" t="str">
        <f t="shared" si="365"/>
        <v/>
      </c>
      <c r="AI81" s="759" t="str">
        <f t="shared" si="431"/>
        <v/>
      </c>
      <c r="AJ81" s="1120" t="str">
        <f t="shared" si="432"/>
        <v/>
      </c>
      <c r="AK81" s="1120" t="str">
        <f t="shared" si="433"/>
        <v/>
      </c>
      <c r="AL81" s="236" t="str">
        <f t="shared" si="434"/>
        <v/>
      </c>
      <c r="AM81" s="236" t="str">
        <f t="shared" si="435"/>
        <v/>
      </c>
      <c r="AN81" s="1112" t="str">
        <f t="shared" si="436"/>
        <v/>
      </c>
      <c r="AO81" s="236" t="str">
        <f t="shared" si="437"/>
        <v/>
      </c>
      <c r="AP81" s="327" t="str">
        <f>IF(A81=FALSE,"",INDEX(Rates!$Q$1:$Q$278,MATCH(CA81,colchoice,0)))</f>
        <v/>
      </c>
      <c r="AQ81" s="236" t="str">
        <f t="shared" si="438"/>
        <v/>
      </c>
      <c r="AR81" s="236" t="str">
        <f t="shared" si="439"/>
        <v/>
      </c>
      <c r="AS81" s="236" t="str">
        <f t="shared" si="366"/>
        <v/>
      </c>
      <c r="AT81" s="236" t="str">
        <f t="shared" si="367"/>
        <v/>
      </c>
      <c r="AU81" s="236" t="str">
        <f t="shared" si="440"/>
        <v/>
      </c>
      <c r="AV81" s="236" t="str">
        <f t="shared" si="441"/>
        <v/>
      </c>
      <c r="AW81" s="236" t="str">
        <f t="shared" si="442"/>
        <v/>
      </c>
      <c r="AX81" s="236" t="str">
        <f t="shared" si="443"/>
        <v/>
      </c>
      <c r="AY81" s="236" t="str">
        <f t="shared" si="444"/>
        <v/>
      </c>
      <c r="AZ81" s="236" t="str">
        <f t="shared" si="445"/>
        <v/>
      </c>
      <c r="BA81" s="236" t="str">
        <f t="shared" si="446"/>
        <v/>
      </c>
      <c r="BB81" s="467" t="str">
        <f t="shared" si="447"/>
        <v/>
      </c>
      <c r="BC81" s="329" t="str">
        <f t="shared" si="448"/>
        <v/>
      </c>
      <c r="BD81" s="237" t="str">
        <f t="shared" si="449"/>
        <v/>
      </c>
      <c r="BE81" s="237" t="str">
        <f>IF(A81=FALSE,"",IF(ED81&lt;&gt;$BC$7,0,INDEX(EA81:EZ81,1,MATCH(Structure!$J$16,$EA$14:$EZ$14,0))))</f>
        <v/>
      </c>
      <c r="BF81" s="237" t="str">
        <f>IF(A81=FALSE,"",IF(FD81&lt;&gt;$BC$7,0,INDEX(FA81:FZ81,1,MATCH(Structure!$J$16,$FA$14:$FZ$14,0))))</f>
        <v/>
      </c>
      <c r="BG81" s="237" t="str">
        <f>IF(A81=FALSE,"",IF(GD81&lt;&gt;$BC$7,0,INDEX(GA81:GZ81,1,MATCH(Structure!$J$16,$GA$14:$GZ$14,0))))</f>
        <v/>
      </c>
      <c r="BH81" s="237" t="str">
        <f>IF(A81=FALSE,"",IF(HD81&lt;&gt;$BC$7,0,INDEX(HA81:HZ81,1,MATCH(Structure!$J$16,$HA$14:$HZ$14,0))))</f>
        <v/>
      </c>
      <c r="BI81" s="621" t="str">
        <f>IF(A81=FALSE,"",IF(ID81&lt;&gt;$BC$7,0,INDEX(IA81:IZ81,1,MATCH(Structure!$C$12,$IA$14:$IZ$14,0)))+OL81)</f>
        <v/>
      </c>
      <c r="BJ81" s="237" t="str">
        <f>IF(A81=FALSE,"",IF(JD81&lt;&gt;$BC$7,0,INDEX(JA81:JZ81,1,MATCH(Structure!$C$12,$JA$14:$JZ$14,0))))</f>
        <v/>
      </c>
      <c r="BK81" s="621" t="str">
        <f>IF(A81=FALSE,"",IF(KD81&lt;&gt;$BC$7,0,INDEX(KA81:KZ81,1,MATCH(Structure!$C$12,$KA$14:$KZ$14,0)))+PL81)</f>
        <v/>
      </c>
      <c r="BL81" s="237" t="str">
        <f>IF(A81=FALSE,"",IF(LD81&lt;&gt;$BC$7,0,INDEX(LA81:LZ81,1,MATCH(Structure!$C$12,$LA$14:$LZ$14,0))))</f>
        <v/>
      </c>
      <c r="BM81" s="237" t="str">
        <f>IF(A81=FALSE,"",IF(MD81&lt;&gt;$BC$7,0,INDEX(MA81:MZ81,1,MATCH(Structure!$C$12,$MA$14:$MZ$14,0))))</f>
        <v/>
      </c>
      <c r="BN81" s="326" t="str">
        <f>IF(A81=FALSE,"",IF(ND81&lt;&gt;$BC$7,0,INDEX(NA81:OC81,1,MATCH(Structure!$C$12,$NA$14:$OC$14,0))))</f>
        <v/>
      </c>
      <c r="BO81" s="435" t="str">
        <f t="shared" si="450"/>
        <v/>
      </c>
      <c r="BP81" s="237" t="str">
        <f t="shared" si="451"/>
        <v/>
      </c>
      <c r="BQ81" s="237" t="str">
        <f>IF(A81=FALSE,"",IF(ED81&lt;&gt;$BO$7,0,INDEX(EA81:EZ81,1,MATCH(Structure!$C$12,$EA$14:$EZ$14,0))))</f>
        <v/>
      </c>
      <c r="BR81" s="237" t="str">
        <f>IF(A81=FALSE,"",IF(FD81&lt;&gt;$BO$7,0,INDEX(FA81:FZ81,1,MATCH(Structure!$C$12,$FA$14:$FZ$14,0))))</f>
        <v/>
      </c>
      <c r="BS81" s="237" t="str">
        <f>IF(A81=FALSE,"",IF(ID81&lt;&gt;$BO$7,0,INDEX(IA81:IZ81,1,MATCH(Structure!$C$13,$IA$14:$IZ$14,0))))</f>
        <v/>
      </c>
      <c r="BT81" s="237" t="str">
        <f>IF(A81=FALSE,"",IF(JD81&lt;&gt;$BO$7,0,INDEX(JA81:JZ81,1,MATCH(Structure!$C$13,$JA$14:$JZ$14,0))))</f>
        <v/>
      </c>
      <c r="BU81" s="237" t="str">
        <f>IF(A81=FALSE,"",IF(KD81&lt;&gt;$BO$7,0,INDEX(KA81:KZ81,1,MATCH(Structure!$C$13,$KA$14:$KZ$14,0))))</f>
        <v/>
      </c>
      <c r="BV81" s="237" t="str">
        <f>IF(A81=FALSE,"",IF(LD81&lt;&gt;$BO$7,0,INDEX(LA81:LZ81,1,MATCH(Structure!$C$13,$LA$14:$LZ$14,0))))</f>
        <v/>
      </c>
      <c r="BW81" s="237" t="str">
        <f>IF(A81=FALSE,"",IF(MD81&lt;&gt;$BO$7,0,INDEX(MA81:MZ81,1,MATCH(Structure!$C$13,$MA$14:$MZ$14,0))))</f>
        <v/>
      </c>
      <c r="BX81" s="326" t="str">
        <f>IF(A81=FALSE,"",IF(ND81&lt;&gt;$BO$7,0,INDEX(NA81:OC81,1,MATCH(Structure!$C$13,$NA$14:$OC$14,0))))</f>
        <v/>
      </c>
      <c r="BY81" s="412"/>
      <c r="BZ81" s="412"/>
      <c r="CA81" s="1255" t="str">
        <f>IF(A81=FALSE,"",IF(LISTES!$A$17=1,Cotations!AG81,Cotations!AH81))</f>
        <v/>
      </c>
      <c r="CB81" s="1266" t="str">
        <f t="shared" si="452"/>
        <v/>
      </c>
      <c r="CC81" s="1120" t="str">
        <f t="shared" si="453"/>
        <v/>
      </c>
      <c r="CD81" s="1120" t="str">
        <f t="shared" si="454"/>
        <v/>
      </c>
      <c r="CE81" s="1120" t="str">
        <f t="shared" si="455"/>
        <v/>
      </c>
      <c r="CF81" s="1120" t="str">
        <f t="shared" si="456"/>
        <v/>
      </c>
      <c r="CG81" s="1267"/>
      <c r="CH81" s="1267"/>
      <c r="CI81" s="1268" t="str">
        <f t="shared" si="457"/>
        <v/>
      </c>
      <c r="CJ81" s="286" t="str">
        <f t="shared" si="458"/>
        <v/>
      </c>
      <c r="CK81" s="286" t="str">
        <f t="shared" si="459"/>
        <v/>
      </c>
      <c r="CL81" s="1263"/>
      <c r="CM81" s="1263"/>
      <c r="CN81" s="1263"/>
      <c r="CO81" s="1263"/>
      <c r="CP81" s="319" t="str">
        <f t="shared" si="460"/>
        <v/>
      </c>
      <c r="CQ81" s="443" t="str">
        <f>IF(A81=FALSE,"",Cotations!AM81)</f>
        <v/>
      </c>
      <c r="CR81" s="443" t="str">
        <f>IF(A81=FALSE,"",IF(Cotations!AN81="","",Cotations!AN81))</f>
        <v/>
      </c>
      <c r="CS81" s="433" t="str">
        <f>IF(A81=FALSE,"",Cotations!AO81)</f>
        <v/>
      </c>
      <c r="CT81" s="443" t="str">
        <f>IF(A81=FALSE,"",IF(CQ81="N/A",0,IF(INDEX(LISTES!$F$105:$F$109,MATCH(CQ81,LISTES!$C$105:$C$109,0))="FIX",IF(INDEX(LISTES!$E$105:$E$109,MATCH(CQ81,LISTES!$C$105:$C$109,0))=12,CR81/12*L81,CR81/365*M81),CS81*EQ81)))</f>
        <v/>
      </c>
      <c r="CU81" s="434" t="str">
        <f>IF(A81=FALSE,"",(CJ81+CK81)*Cotations!AP81)</f>
        <v/>
      </c>
      <c r="CV81" s="434" t="str">
        <f>IF(A81=FALSE,"",(CJ81+CK81)*Cotations!AQ81)</f>
        <v/>
      </c>
      <c r="DA81" s="1253" t="str">
        <f>IF(A81=FALSE,"",IF(LISTES!$A$17=1,Cotations!AV81,Cotations!AW81))</f>
        <v/>
      </c>
      <c r="DB81" s="1271" t="str">
        <f t="shared" si="461"/>
        <v/>
      </c>
      <c r="DC81" s="1270" t="str">
        <f t="shared" si="462"/>
        <v/>
      </c>
      <c r="DD81" s="1270" t="str">
        <f t="shared" si="463"/>
        <v/>
      </c>
      <c r="DE81" s="1270" t="str">
        <f t="shared" si="464"/>
        <v/>
      </c>
      <c r="DF81" s="1270" t="str">
        <f t="shared" si="465"/>
        <v/>
      </c>
      <c r="DG81" s="1270" t="str">
        <f t="shared" si="466"/>
        <v/>
      </c>
      <c r="DH81" s="1270" t="str">
        <f t="shared" si="467"/>
        <v/>
      </c>
      <c r="DI81" s="1271" t="str">
        <f t="shared" si="468"/>
        <v/>
      </c>
      <c r="DJ81" s="286" t="str">
        <f t="shared" si="469"/>
        <v/>
      </c>
      <c r="DK81" s="286" t="str">
        <f t="shared" si="470"/>
        <v/>
      </c>
      <c r="DL81" s="1264" t="str">
        <f t="shared" si="471"/>
        <v/>
      </c>
      <c r="DM81" s="1264" t="str">
        <f t="shared" si="472"/>
        <v/>
      </c>
      <c r="DN81" s="1264" t="str">
        <f t="shared" si="473"/>
        <v/>
      </c>
      <c r="DO81" s="1264" t="str">
        <f t="shared" si="474"/>
        <v/>
      </c>
      <c r="DP81" s="323" t="str">
        <f t="shared" si="368"/>
        <v/>
      </c>
      <c r="DQ81" s="444" t="str">
        <f>IF(A81=FALSE,"",Cotations!BW81)</f>
        <v/>
      </c>
      <c r="DR81" s="444" t="str">
        <f>IF(A81=FALSE,"",Cotations!BX81)</f>
        <v/>
      </c>
      <c r="DS81" s="433" t="str">
        <f>IF(A81=FALSE,"",Cotations!BY81)</f>
        <v/>
      </c>
      <c r="DT81" s="830" t="str">
        <f>IF(A81=FALSE,"",IF(DQ81="N/A",0,IF(INDEX(LISTES!$F$105:$F$109,MATCH(DQ81,LISTES!$C$105:$C$109,0))="FIX",IF(INDEX(LISTES!$E$105:$E$109,MATCH(DQ81,LISTES!$C$105:$C$109,0))=12,DR81/12*L81,DR81/365*M81),DS81*(DN81+DO81))))</f>
        <v/>
      </c>
      <c r="DU81" s="434" t="str">
        <f>IF(A81=FALSE,"",DJ81*Cotations!BZ81)</f>
        <v/>
      </c>
      <c r="DV81" s="434" t="str">
        <f>IF(A81=FALSE,"",DJ81*Cotations!CA81)</f>
        <v/>
      </c>
      <c r="EA81" s="432" t="str">
        <f>IF(A81=FALSE,"",Cotations!AT81)</f>
        <v/>
      </c>
      <c r="EB81" s="1234" t="str">
        <f>IF(A81=FALSE,"",YEAR(Detail!F81)&amp;Detail!AG81&amp;Detail!AD81&amp;"-"&amp;Detail!$AD$13&amp;Detail!AE81)</f>
        <v/>
      </c>
      <c r="EC81" s="434" t="str">
        <f>IF(A81=FALSE,"",IF(LISTES!$A$17=1,EB81,INDEX(colMOD1,MATCH(Cotations!AH81,colchoice,0))))</f>
        <v/>
      </c>
      <c r="ED81" s="277" t="str">
        <f t="shared" si="369"/>
        <v/>
      </c>
      <c r="EE81" s="277" t="str">
        <f t="shared" si="370"/>
        <v/>
      </c>
      <c r="EF81" s="277"/>
      <c r="EG81" s="277"/>
      <c r="EH81" s="277" t="str">
        <f t="shared" si="371"/>
        <v/>
      </c>
      <c r="EI81" s="1104" t="str">
        <f t="shared" si="372"/>
        <v/>
      </c>
      <c r="EJ81" s="1104" t="str">
        <f t="shared" si="373"/>
        <v/>
      </c>
      <c r="EK81" s="443" t="str">
        <f>IF(A81=FALSE,"",IF(Cotations!AF81="monthly",EH81/12*L81,EH81/365*M81))</f>
        <v/>
      </c>
      <c r="EL81" s="1103" t="str">
        <f>IF(A81=FALSE,"",IF(Cotations!AF81="monthly",EJ81/12*L81,EJ81/365*M81))</f>
        <v/>
      </c>
      <c r="EM81" s="433" t="str">
        <f>IF(A81=FALSE,"",IF(Cotations!AI81="","",Cotations!AI81))</f>
        <v/>
      </c>
      <c r="EN81" s="277" t="str">
        <f t="shared" si="374"/>
        <v/>
      </c>
      <c r="EO81" s="277" t="str">
        <f t="shared" si="375"/>
        <v/>
      </c>
      <c r="EP81" s="1104" t="str">
        <f t="shared" si="376"/>
        <v/>
      </c>
      <c r="EQ81" s="277" t="str">
        <f t="shared" si="377"/>
        <v/>
      </c>
      <c r="ER81" s="759" t="str">
        <f>IF(A81=FALSE,"",((EH81*TAXE)-(EH81*TAXE*EM81)+EI81)+IF(CQ81="N/A",0,IF(INDEX(LISTES!$F$105:$F$109,MATCH(CQ81,LISTES!$C$105:$C$109,0))="FIX",CR81,CS81*EQ81)))</f>
        <v/>
      </c>
      <c r="ET81" s="422"/>
      <c r="EU81" s="422"/>
      <c r="EV81" s="422"/>
      <c r="EW81" s="422"/>
      <c r="EX81" s="422"/>
      <c r="EY81" s="422"/>
      <c r="EZ81" s="422"/>
      <c r="FA81" s="432" t="str">
        <f>IF(A81=FALSE,"",Cotations!AT81)</f>
        <v/>
      </c>
      <c r="FB81" s="1235" t="str">
        <f>IF(A81=FALSE,"",IF(Detail!AL81="","N/A",YEAR(Detail!F81)&amp;Detail!AO81&amp;Detail!AL81&amp;"-"&amp;Detail!$AL$13&amp;Detail!AM81))</f>
        <v/>
      </c>
      <c r="FC81" s="434" t="str">
        <f>IF(A81=FALSE,"",IF(LISTES!$A$17=1,FB81,INDEX(colMOD2,MATCH(Cotations!AH81,colchoice,0))))</f>
        <v/>
      </c>
      <c r="FD81" s="277" t="str">
        <f t="shared" si="378"/>
        <v/>
      </c>
      <c r="FE81" s="443" t="str">
        <f>IF(A81=FALSE,"",IF(Detail!AM81="","",Detail!AM81))</f>
        <v/>
      </c>
      <c r="FF81" s="277"/>
      <c r="FG81" s="277"/>
      <c r="FH81" s="277" t="str">
        <f t="shared" si="379"/>
        <v/>
      </c>
      <c r="FI81" s="1104"/>
      <c r="FJ81" s="1104"/>
      <c r="FK81" s="443" t="str">
        <f>IF(A81=FALSE,"",IF(Cotations!AF81="monthly",FH81/12*L81,FH81/365*M81))</f>
        <v/>
      </c>
      <c r="FL81" s="1103" t="str">
        <f>IF(A81=FALSE,"",IF(Cotations!AF81="monthly",FJ81/12*L81,FJ81/365*M81))</f>
        <v/>
      </c>
      <c r="FM81" s="433" t="str">
        <f>IF(A81=FALSE,"",IF(Cotations!AJ81="","",Cotations!AJ81))</f>
        <v/>
      </c>
      <c r="FN81" s="277" t="str">
        <f t="shared" si="475"/>
        <v/>
      </c>
      <c r="FO81" s="277" t="str">
        <f t="shared" si="476"/>
        <v/>
      </c>
      <c r="FP81" s="1104"/>
      <c r="FQ81" s="277" t="str">
        <f t="shared" si="477"/>
        <v/>
      </c>
      <c r="FR81" s="759" t="str">
        <f>IF(A81=FALSE,"",((FH81*TAXE)-(FH81*TAXE*FM81))+IF(#REF!="N/A",0,IF(INDEX(LISTES!$F$105:$F$109,MATCH(#REF!,LISTES!$C$105:$C$109,0))="FIX",#REF!,#REF!*FQ81)))</f>
        <v/>
      </c>
      <c r="FS81" s="422"/>
      <c r="FT81" s="422"/>
      <c r="FU81" s="422"/>
      <c r="FV81" s="422"/>
      <c r="FW81" s="422"/>
      <c r="FX81" s="422"/>
      <c r="FY81" s="422"/>
      <c r="FZ81" s="422"/>
      <c r="GA81" s="432" t="str">
        <f t="shared" si="380"/>
        <v/>
      </c>
      <c r="GB81" s="1234" t="str">
        <f>IF(A81=FALSE,"",IF(Detail!DF81="","N/A",YEAR(Detail!F81)&amp;Detail!DI81&amp;Detail!DF81&amp;"-"&amp;Detail!$DF$13))</f>
        <v/>
      </c>
      <c r="GC81" s="434" t="str">
        <f>IF(A81=FALSE,"",IF(LISTES!$A$17=1,GB81,INDEX(colMOD3,MATCH(Cotations!AH81,colchoice,0))))</f>
        <v/>
      </c>
      <c r="GD81" s="277" t="str">
        <f t="shared" si="381"/>
        <v/>
      </c>
      <c r="GE81" s="277" t="str">
        <f t="shared" si="382"/>
        <v/>
      </c>
      <c r="GF81" s="277"/>
      <c r="GG81" s="277"/>
      <c r="GH81" s="277" t="str">
        <f t="shared" si="478"/>
        <v/>
      </c>
      <c r="GI81" s="1104" t="str">
        <f t="shared" si="479"/>
        <v/>
      </c>
      <c r="GJ81" s="1104" t="str">
        <f t="shared" si="480"/>
        <v/>
      </c>
      <c r="GK81" s="443" t="str">
        <f>IF(A81=FALSE,"",IF(Cotations!AF81="monthly",GH81/12*L81,GH81/365*M81))</f>
        <v/>
      </c>
      <c r="GL81" s="1103" t="str">
        <f>IF(A81=FALSE,"",IF(Cotations!AF81="monthly",GJ81/12*L81,GJ81/365*M81))</f>
        <v/>
      </c>
      <c r="GM81" s="433" t="str">
        <f>IF(A81=FALSE,"",IF(Cotations!AK81="","",Cotations!AK81))</f>
        <v/>
      </c>
      <c r="GN81" s="277" t="str">
        <f t="shared" si="481"/>
        <v/>
      </c>
      <c r="GO81" s="277" t="str">
        <f t="shared" si="482"/>
        <v/>
      </c>
      <c r="GP81" s="1104" t="str">
        <f t="shared" si="483"/>
        <v/>
      </c>
      <c r="GQ81" s="277" t="str">
        <f t="shared" si="484"/>
        <v/>
      </c>
      <c r="GR81" s="759" t="str">
        <f>IF(A81=FALSE,"",((GH81*TAXE)-(GH81*TAXE*GM81)+GI81)+IF(CQ81="N/A",0,IF(INDEX(LISTES!$F$105:$F$109,MATCH(CQ81,LISTES!$C$105:$C$109,0))="FIX",CR81,CS81*GQ81)))</f>
        <v/>
      </c>
      <c r="GS81" s="412"/>
      <c r="GT81" s="412"/>
      <c r="GU81" s="412"/>
      <c r="GV81" s="412"/>
      <c r="GW81" s="412"/>
      <c r="GX81" s="412"/>
      <c r="GY81" s="412"/>
      <c r="GZ81" s="412"/>
      <c r="HA81" s="432" t="str">
        <f t="shared" si="383"/>
        <v/>
      </c>
      <c r="HB81" s="1234" t="str">
        <f>IF(A81=FALSE,"",IF(Detail!DF81="","N/A",YEAR(Detail!F81)&amp;Detail!DI81&amp;Detail!DF81&amp;"-"&amp;Detail!$DF$13))</f>
        <v/>
      </c>
      <c r="HC81" s="434" t="str">
        <f>IF(A81=FALSE,"",IF(LISTES!$A$17=1,HB81,INDEX(colMOD4,MATCH(Cotations!AH81,colchoice,0))))</f>
        <v/>
      </c>
      <c r="HD81" s="277" t="str">
        <f t="shared" si="485"/>
        <v/>
      </c>
      <c r="HE81" s="277" t="str">
        <f t="shared" si="486"/>
        <v/>
      </c>
      <c r="HF81" s="277"/>
      <c r="HG81" s="277"/>
      <c r="HH81" s="277" t="str">
        <f t="shared" si="487"/>
        <v/>
      </c>
      <c r="HI81" s="1104" t="str">
        <f t="shared" si="488"/>
        <v/>
      </c>
      <c r="HJ81" s="1104" t="str">
        <f t="shared" si="489"/>
        <v/>
      </c>
      <c r="HK81" s="443" t="str">
        <f>IF(A81=FALSE,"",IF(Cotations!AF81="monthly",HH81/12*L81,HH81/365*M81))</f>
        <v/>
      </c>
      <c r="HL81" s="1103" t="str">
        <f>IF(A81=FALSE,"",IF(Cotations!AF81="monthly",HJ81/12*L81,HJ81/365*M81))</f>
        <v/>
      </c>
      <c r="HM81" s="433" t="str">
        <f>IF(A81=FALSE,"",IF(Cotations!AL81="","",Cotations!AL81))</f>
        <v/>
      </c>
      <c r="HN81" s="277" t="str">
        <f t="shared" si="490"/>
        <v/>
      </c>
      <c r="HO81" s="277" t="str">
        <f t="shared" si="491"/>
        <v/>
      </c>
      <c r="HP81" s="1104" t="str">
        <f t="shared" si="492"/>
        <v/>
      </c>
      <c r="HQ81" s="277" t="str">
        <f t="shared" si="493"/>
        <v/>
      </c>
      <c r="HR81" s="759" t="str">
        <f>IF(A81=FALSE,"",((HH81*TAXE)-(HH81*TAXE*HM81)+HI81)+IF(CQ81="N/A",0,IF(INDEX(LISTES!$F$105:$F$109,MATCH(CQ81,LISTES!$C$105:$C$109,0))="FIX",CR81,CS81*HQ81)))</f>
        <v/>
      </c>
      <c r="HS81" s="412"/>
      <c r="HT81" s="412"/>
      <c r="HU81" s="412"/>
      <c r="HV81" s="412"/>
      <c r="HW81" s="412"/>
      <c r="HX81" s="412"/>
      <c r="HY81" s="412"/>
      <c r="HZ81" s="1262"/>
      <c r="IA81" s="432" t="str">
        <f>IF(A81=FALSE,"",Cotations!AT81)</f>
        <v/>
      </c>
      <c r="IB81" s="1253" t="str">
        <f>IF(A81=FALSE,"",IF(Detail!AT81="","N/A",YEAR(Detail!F81)&amp;Detail!AW81&amp;Detail!AT81&amp;"-"&amp;Detail!$AT$13&amp;Detail!AU81))</f>
        <v/>
      </c>
      <c r="IC81" s="431" t="str">
        <f>IF(A81=FALSE,"",IF(LISTES!$A$17=1,IB81,INDEX(colMOD1,MATCH(DA81,colchoice,0))))</f>
        <v/>
      </c>
      <c r="ID81" s="759" t="str">
        <f t="shared" si="358"/>
        <v/>
      </c>
      <c r="IE81" s="292" t="str">
        <f>IF(A81=FALSE,"",IF(LISTES!$A$17=1,Detail!AU81,INDEX(Rates!$M$1:$M$270,MATCH(IC81,colMOD1,0))))</f>
        <v/>
      </c>
      <c r="IF81" s="409" t="str">
        <f t="shared" si="359"/>
        <v/>
      </c>
      <c r="IG81" s="430" t="str">
        <f>IF(A81=FALSE,"",IF(IA81="POEA",Cotations!AY81,IF(IA81="FIXE",Cotations!AZ81,IF(Cotations!BA81*Y81&lt;50000,Z81,Cotations!BA81*Y81))))</f>
        <v/>
      </c>
      <c r="IH81" s="292" t="str">
        <f t="shared" si="360"/>
        <v/>
      </c>
      <c r="II81" s="446" t="str">
        <f>IF(A81=FALSE,"",IF(Cotations!AU81="monthly",IH81/12*L81,IH81/365*M81))</f>
        <v/>
      </c>
      <c r="IJ81" s="429" t="str">
        <f>IF(A81=FALSE,"",IF(Cotations!BB81="","",Cotations!BB81))</f>
        <v/>
      </c>
      <c r="IK81" s="292" t="str">
        <f t="shared" si="361"/>
        <v/>
      </c>
      <c r="IL81" s="292" t="str">
        <f t="shared" si="362"/>
        <v/>
      </c>
      <c r="IM81" s="759" t="str">
        <f t="shared" si="363"/>
        <v/>
      </c>
      <c r="IN81" s="759" t="str">
        <f>IF(A81=FALSE,"",((IH81*TAXE)-(IH81*TAXE*IJ81))+IF(DQ81="N/A",0,IF(INDEX(LISTES!$F$105:$F$109,MATCH(DQ81,LISTES!$C$105:$C$109,0))="FIX",DR81,DS81*IM81)))</f>
        <v/>
      </c>
      <c r="JA81" s="432" t="str">
        <f>IF(A81=FALSE,"",Cotations!AT81)</f>
        <v/>
      </c>
      <c r="JB81" s="1234" t="str">
        <f>IF(A81=FALSE,"",IF(Detail!BB81="","N/A",YEAR(Detail!F81)&amp;Detail!BE81&amp;Detail!BB81&amp;"-"&amp;Detail!$BB$13&amp;Detail!BC81))</f>
        <v/>
      </c>
      <c r="JC81" s="431" t="str">
        <f>IF(A81=FALSE,"",IF(LISTES!$A$17=1,JB81,INDEX(colMOD2,MATCH(DA81,colchoice,0))))</f>
        <v/>
      </c>
      <c r="JD81" s="759" t="str">
        <f t="shared" si="384"/>
        <v/>
      </c>
      <c r="JE81" s="292"/>
      <c r="JF81" s="409" t="str">
        <f t="shared" si="385"/>
        <v/>
      </c>
      <c r="JG81" s="430" t="str">
        <f>IF(A81=FALSE,"",IF(JA81="POEA",Cotations!BC81,IF(JA81="FIXE",Cotations!BD81,IF(Cotations!BE81*Y81&lt;50000,Z81,Cotations!BE81*Y81))))</f>
        <v/>
      </c>
      <c r="JH81" s="292" t="str">
        <f t="shared" si="386"/>
        <v/>
      </c>
      <c r="JI81" s="446" t="str">
        <f>IF(A81=FALSE,"",IF(Cotations!AU81="monthly",JH81/12*L81,JH81/365*M81))</f>
        <v/>
      </c>
      <c r="JJ81" s="429" t="str">
        <f>IF(A81=FALSE,"",IF(Cotations!BF81="","",Cotations!BF81))</f>
        <v/>
      </c>
      <c r="JK81" s="292" t="str">
        <f t="shared" si="387"/>
        <v/>
      </c>
      <c r="JL81" s="292" t="str">
        <f t="shared" si="388"/>
        <v/>
      </c>
      <c r="JM81" s="759" t="str">
        <f t="shared" si="389"/>
        <v/>
      </c>
      <c r="JN81" s="759" t="str">
        <f>IF(A81=FALSE,"",((JH81*TAXE)-(JH81*TAXE*JJ81))+IF(#REF!="N/A",0,IF(INDEX(LISTES!$F$105:$F$109,MATCH(#REF!,LISTES!$C$105:$C$109,0))="FIX",#REF!,#REF!*JM81)))</f>
        <v/>
      </c>
      <c r="KA81" s="432" t="str">
        <f>IF(A81=FALSE,"",Cotations!AT81)</f>
        <v/>
      </c>
      <c r="KB81" s="1234" t="str">
        <f>IF(A81=FALSE,"",IF(Detail!BJ81="","N/A",YEAR(Detail!F81)&amp;Detail!BM81&amp;Detail!BJ81&amp;"-"&amp;Detail!$BJ$13&amp;Detail!BK81))</f>
        <v/>
      </c>
      <c r="KC81" s="431" t="str">
        <f>IF(A81=FALSE,"",IF(LISTES!$A$17=1,KB81,INDEX(colMOD3,MATCH(DA81,colchoice,0))))</f>
        <v/>
      </c>
      <c r="KD81" s="759" t="str">
        <f t="shared" si="390"/>
        <v/>
      </c>
      <c r="KE81" s="292"/>
      <c r="KF81" s="409" t="str">
        <f t="shared" si="391"/>
        <v/>
      </c>
      <c r="KG81" s="430" t="str">
        <f>IF(A81=FALSE,"",IF(KA81="POEA",Cotations!BG81,IF(KA81="FIXE",Cotations!BH81,IF(Cotations!BI81*Y81&lt;50000,Z81,Cotations!BI81*Y81))))</f>
        <v/>
      </c>
      <c r="KH81" s="292" t="str">
        <f t="shared" si="392"/>
        <v/>
      </c>
      <c r="KI81" s="446" t="str">
        <f>IF(A81=FALSE,"",IF(Cotations!AU81="monthly",KH81/12*L81,KH81/365*M81))</f>
        <v/>
      </c>
      <c r="KJ81" s="429" t="str">
        <f>IF(A81=FALSE,"",IF(Cotations!BJ81="","",Cotations!BJ81))</f>
        <v/>
      </c>
      <c r="KK81" s="292" t="str">
        <f t="shared" si="393"/>
        <v/>
      </c>
      <c r="KL81" s="292" t="str">
        <f t="shared" si="394"/>
        <v/>
      </c>
      <c r="KM81" s="759" t="str">
        <f t="shared" si="395"/>
        <v/>
      </c>
      <c r="KN81" s="759" t="str">
        <f>IF(A81=FALSE,"",((KH81*TAXE)-(KH81*TAXE*KJ81))+IF(#REF!="N/A",0,IF(INDEX(LISTES!$F$105:$F$109,MATCH(#REF!,LISTES!$C$105:$C$109,0))="FIX",#REF!,#REF!*KM81)))</f>
        <v/>
      </c>
      <c r="LA81" s="432" t="str">
        <f>IF(A81=FALSE,"",Cotations!AT81)</f>
        <v/>
      </c>
      <c r="LB81" s="1234" t="str">
        <f>IF(A81=FALSE,"",IF(Detail!BR81="","N/A",YEAR(Detail!F81)&amp;Detail!BU81&amp;Detail!BR81&amp;"-"&amp;Detail!$BR$13&amp;Detail!BS81))</f>
        <v/>
      </c>
      <c r="LC81" s="431" t="str">
        <f>IF(A81=FALSE,"",IF(LISTES!$A$17=1,LB81,INDEX(colMOD4,MATCH(DA81,colchoice,0))))</f>
        <v/>
      </c>
      <c r="LD81" s="759" t="str">
        <f t="shared" si="396"/>
        <v/>
      </c>
      <c r="LE81" s="292"/>
      <c r="LF81" s="409" t="str">
        <f t="shared" si="397"/>
        <v/>
      </c>
      <c r="LG81" s="430" t="str">
        <f>IF(A81=FALSE,"",IF(LA81="POEA",Cotations!BK81,IF(LA81="FIXE",Cotations!BL81,IF(Cotations!BM81*Y81&lt;50000,Z81,Cotations!BM81*Y81))))</f>
        <v/>
      </c>
      <c r="LH81" s="292" t="str">
        <f t="shared" si="398"/>
        <v/>
      </c>
      <c r="LI81" s="446" t="str">
        <f>IF(A81=FALSE,"",IF(Cotations!AU81="monthly",LH81/12*L81,LH81/365*M81))</f>
        <v/>
      </c>
      <c r="LJ81" s="429" t="str">
        <f>IF(A81=FALSE,"",IF(Cotations!BN81="","",Cotations!BN81))</f>
        <v/>
      </c>
      <c r="LK81" s="292" t="str">
        <f t="shared" si="399"/>
        <v/>
      </c>
      <c r="LL81" s="292" t="str">
        <f t="shared" si="400"/>
        <v/>
      </c>
      <c r="LM81" s="759" t="str">
        <f t="shared" si="401"/>
        <v/>
      </c>
      <c r="LN81" s="759" t="str">
        <f>IF(A81=FALSE,"",((LH81*TAXE)-(LH81*TAXE*LJ81))+IF(#REF!="N/A",0,IF(INDEX(LISTES!$F$105:$F$109,MATCH(#REF!,LISTES!$C$105:$C$109,0))="FIX",#REF!,#REF!*LM81)))</f>
        <v/>
      </c>
      <c r="MA81" s="432" t="str">
        <f t="shared" si="402"/>
        <v/>
      </c>
      <c r="MB81" s="1234" t="str">
        <f>IF(A81=FALSE,"",IF(Detail!BZ81="","N/A",YEAR(Detail!F81)&amp;Detail!CC81&amp;Detail!BZ81&amp;"-"&amp;Detail!$BZ$13&amp;" (100%/"&amp;Detail!CD81&amp;"/"&amp;Detail!CE81&amp;")"))</f>
        <v/>
      </c>
      <c r="MC81" s="431" t="str">
        <f>IF(A81=FALSE,"",IF(LISTES!$A$17=1,MB81,INDEX(colMOD5,MATCH(DA81,colchoice,0))))</f>
        <v/>
      </c>
      <c r="MD81" s="759" t="str">
        <f t="shared" si="403"/>
        <v/>
      </c>
      <c r="ME81" s="292"/>
      <c r="MF81" s="409" t="str">
        <f t="shared" si="404"/>
        <v/>
      </c>
      <c r="MG81" s="430" t="str">
        <f>IF(A81=FALSE,"",Cotations!BQ81*AA81)</f>
        <v/>
      </c>
      <c r="MH81" s="292" t="str">
        <f t="shared" si="405"/>
        <v/>
      </c>
      <c r="MI81" s="446" t="str">
        <f>IF(A81=FALSE,"",IF(Cotations!AU81="monthly",MH81/12*L81,MH81/365*M81))</f>
        <v/>
      </c>
      <c r="MJ81" s="429" t="str">
        <f>IF(A81=FALSE,"",IF(Cotations!BR81="","",Cotations!BR81))</f>
        <v/>
      </c>
      <c r="MK81" s="292" t="str">
        <f t="shared" si="406"/>
        <v/>
      </c>
      <c r="ML81" s="292" t="str">
        <f t="shared" si="407"/>
        <v/>
      </c>
      <c r="MM81" s="759" t="str">
        <f t="shared" si="408"/>
        <v/>
      </c>
      <c r="MN81" s="759" t="str">
        <f>IF(A81=FALSE,"",((MH81*TAXE)-(MH81*TAXE*MJ81))+IF(#REF!="N/A",0,IF(INDEX(LISTES!$F$105:$F$109,MATCH(#REF!,LISTES!$C$105:$C$109,0))="FIX",#REF!,#REF!*MM81)))</f>
        <v/>
      </c>
      <c r="NA81" s="432" t="str">
        <f t="shared" si="409"/>
        <v/>
      </c>
      <c r="NB81" s="1234" t="str">
        <f>IF(A81=FALSE,"",IF(Detail!CH81="","N/A",YEAR(Detail!F81)&amp;Detail!CK81&amp;Detail!CH81&amp;"-"&amp;Detail!$CH$13&amp;" (100%/"&amp;Detail!CL81&amp;"/"&amp;Detail!CM81&amp;")"))</f>
        <v/>
      </c>
      <c r="NC81" s="431" t="str">
        <f>IF(A81=FALSE,"",IF(LISTES!$A$17=1,NB81,INDEX(colMOD6,MATCH(DA81,colchoice,0))))</f>
        <v/>
      </c>
      <c r="ND81" s="759" t="str">
        <f t="shared" si="410"/>
        <v/>
      </c>
      <c r="NE81" s="292"/>
      <c r="NF81" s="409" t="str">
        <f t="shared" si="411"/>
        <v/>
      </c>
      <c r="NG81" s="430" t="str">
        <f>IF(A81=FALSE,"",Cotations!BU81*AA81)</f>
        <v/>
      </c>
      <c r="NH81" s="292" t="str">
        <f t="shared" si="412"/>
        <v/>
      </c>
      <c r="NI81" s="446" t="str">
        <f>IF(A81=FALSE,"",IF(Cotations!AU81="monthly",NH81/12*L81,NH81/365*M81))</f>
        <v/>
      </c>
      <c r="NJ81" s="429" t="str">
        <f>IF(A81=FALSE,"",IF(Cotations!BV81="","",Cotations!BV81))</f>
        <v/>
      </c>
      <c r="NK81" s="292" t="str">
        <f t="shared" si="413"/>
        <v/>
      </c>
      <c r="NL81" s="292" t="str">
        <f t="shared" si="414"/>
        <v/>
      </c>
      <c r="NM81" s="759" t="str">
        <f t="shared" si="415"/>
        <v/>
      </c>
      <c r="NN81" s="759" t="str">
        <f>IF(A81=FALSE,"",((NH81*TAXE)-(NH81*TAXE*NJ81))+IF(#REF!="N/A",0,IF(INDEX(LISTES!$F$105:$F$109,MATCH(#REF!,LISTES!$C$105:$C$109,0))="FIX",#REF!,#REF!*NM81)))</f>
        <v/>
      </c>
      <c r="NZ81" s="1281" t="str">
        <f>IF(A81=FALSE,"",IF(Detail!CP81="","N/A",YEAR(Detail!F81)&amp;Detail!CS81&amp;Detail!CP81&amp;"-"&amp;Detail!CQ81))</f>
        <v/>
      </c>
      <c r="OA81" s="432" t="str">
        <f>IF(A81=FALSE,"",Cotations!CF81)</f>
        <v/>
      </c>
      <c r="OB81" s="1282" t="str">
        <f>IF(A81=FALSE,"",IF(Detail!CP81="","N/A",YEAR(Detail!F81)&amp;Detail!CS81&amp;Detail!CP81&amp;"-"&amp;Detail!$CP$13&amp;Detail!CQ81))</f>
        <v/>
      </c>
      <c r="OC81" s="1283" t="str">
        <f>IF(A81=FALSE,"",IF(LISTES!$A$17=1,OB81,INDEX(colMOD1,MATCH(Cotations!CE81,colchoice,0))))</f>
        <v/>
      </c>
      <c r="OD81" s="759" t="str">
        <f t="shared" si="416"/>
        <v/>
      </c>
      <c r="OE81" s="292" t="str">
        <f>IF(A81=FALSE,"",Detail!CQ81)</f>
        <v/>
      </c>
      <c r="OF81" s="409" t="str">
        <f t="shared" si="417"/>
        <v/>
      </c>
      <c r="OG81" s="430" t="str">
        <f>IF(A81=FALSE,"",IF(OA81="FIXE",Cotations!CM81,Cotations!CN81*AA81))</f>
        <v/>
      </c>
      <c r="OH81" s="292" t="str">
        <f t="shared" si="494"/>
        <v/>
      </c>
      <c r="OI81" s="446" t="str">
        <f>IF(A81=FALSE,"",IF(Cotations!CF81="monthly",OH81/12*L81,OH81/365*M81))</f>
        <v/>
      </c>
      <c r="OJ81" s="429" t="str">
        <f>IF(A81=FALSE,"",IF(Cotations!CO81="","",Cotations!CO81))</f>
        <v/>
      </c>
      <c r="OK81" s="292" t="str">
        <f t="shared" si="495"/>
        <v/>
      </c>
      <c r="OL81" s="292" t="str">
        <f t="shared" si="496"/>
        <v/>
      </c>
      <c r="OM81" s="759" t="str">
        <f t="shared" si="418"/>
        <v/>
      </c>
      <c r="ON81" s="759" t="str">
        <f>IF(A81=FALSE,"",((OH81*(1+TAXE)-(OH81*(1+TAXE)*OJ81))+IF(#REF!="N/A",0,IF(INDEX(LISTES!$F$105:$F$109,MATCH(#REF!,LISTES!$C$105:$C$109,0))="FIX",#REF!,#REF!*OM81))))</f>
        <v/>
      </c>
      <c r="PA81" s="432" t="str">
        <f>IF(A81=FALSE,"",Cotations!CF81)</f>
        <v/>
      </c>
      <c r="PB81" s="1282" t="str">
        <f>IF(A81=FALSE,"",IF(Detail!CX81="","N/A",YEAR(Detail!F81)&amp;Detail!DA81&amp;Detail!CX81&amp;"-"&amp;Detail!$CX$13&amp;Detail!CY81))</f>
        <v/>
      </c>
      <c r="PC81" s="1283" t="str">
        <f>IF(A81=FALSE,"",IF(LISTES!$A$17=1,PB81,INDEX(colMOD3,MATCH(Cotations!CE81,colchoice,0))))</f>
        <v/>
      </c>
      <c r="PD81" s="759" t="str">
        <f t="shared" si="419"/>
        <v/>
      </c>
      <c r="PE81" s="292" t="str">
        <f>IF(A81=FALSE,"",IF(Detail!CY81="","",Detail!CY81))</f>
        <v/>
      </c>
      <c r="PF81" s="409" t="str">
        <f t="shared" si="497"/>
        <v/>
      </c>
      <c r="PG81" s="430" t="str">
        <f>IF(A81=FALSE,"",IF(PA81="FIXE",Cotations!CP81,Cotations!CQ81*AA81))</f>
        <v/>
      </c>
      <c r="PH81" s="292" t="str">
        <f t="shared" si="498"/>
        <v/>
      </c>
      <c r="PI81" s="446" t="str">
        <f>IF(A81=FALSE,"",IF(Cotations!CG81="monthly",PH81/12*L81,PH81/365*M81))</f>
        <v/>
      </c>
      <c r="PJ81" s="429" t="str">
        <f>IF(A81=FALSE,"",IF(Cotations!DA81="",0,Cotations!DA81))</f>
        <v/>
      </c>
      <c r="PK81" s="292" t="str">
        <f t="shared" si="499"/>
        <v/>
      </c>
      <c r="PL81" s="292" t="str">
        <f t="shared" si="500"/>
        <v/>
      </c>
      <c r="PM81" s="759" t="str">
        <f t="shared" si="420"/>
        <v/>
      </c>
      <c r="PN81" s="759" t="str">
        <f>IF(A81=FALSE,"",((PH81*(1+TAXE)-(PH81*(1+TAXE)*PJ81))+IF(#REF!="N/A",0,IF(INDEX(LISTES!$F$105:$F$109,MATCH(#REF!,LISTES!$C$105:$C$109,0))="FIX",#REF!,#REF!*PM81))))</f>
        <v/>
      </c>
    </row>
    <row r="82" spans="1:430">
      <c r="A82" s="779" t="b">
        <f t="shared" si="364"/>
        <v>0</v>
      </c>
      <c r="B82" s="779" t="b">
        <f>IF(NAMES!$B$9=TRUE,TRUE,FALSE)</f>
        <v>1</v>
      </c>
      <c r="C82" s="779" t="b">
        <f t="shared" si="421"/>
        <v>0</v>
      </c>
      <c r="D82" s="779" t="b">
        <f t="shared" si="422"/>
        <v>0</v>
      </c>
      <c r="E82" s="267" t="b">
        <f>IF(Cotations!C82="","",Cotations!C82)</f>
        <v>0</v>
      </c>
      <c r="F82" s="267" t="str">
        <f>IF(Cotations!AT82="","",Cotations!AT82)</f>
        <v>PROP</v>
      </c>
      <c r="G82" s="267" t="str">
        <f>IF(Cotations!D82="","",Cotations!D82)</f>
        <v>2016-2017!</v>
      </c>
      <c r="H82" s="267" t="str">
        <f>IF(Cotations!E82="","",Cotations!E82)</f>
        <v>SINGLE</v>
      </c>
      <c r="I82" s="267" t="str">
        <f>IF(Cotations!F82="","",Cotations!F82)</f>
        <v/>
      </c>
      <c r="J82" s="267" t="str">
        <f>IF(Cotations!G82="","",Cotations!G82)</f>
        <v/>
      </c>
      <c r="K82" s="267" t="str">
        <f>IF(Cotations!H82="","",Cotations!H82)</f>
        <v/>
      </c>
      <c r="L82" s="267" t="str">
        <f>IF(A82=FALSE,"",IF(Cotations!M82="","",Cotations!M82))</f>
        <v/>
      </c>
      <c r="M82" s="267" t="str">
        <f>IF(Cotations!O82="","",Cotations!O82)</f>
        <v/>
      </c>
      <c r="N82" s="588" t="str">
        <f>IF(NAMES!$B$10=TRUE,Cotations!I82,Cotations!K82)</f>
        <v/>
      </c>
      <c r="O82" s="588" t="str">
        <f>IF(NAMES!$B$10=TRUE,Cotations!J82,Cotations!L82)</f>
        <v/>
      </c>
      <c r="P82" s="780" t="str">
        <f t="shared" si="423"/>
        <v/>
      </c>
      <c r="Q82" s="588" t="str">
        <f>IF(A82=FALSE,"",IF(Crewlist!Y82="","",Crewlist!Y82))</f>
        <v/>
      </c>
      <c r="R82" s="78" t="str">
        <f>IF(Cotations!T82="","",Cotations!T82)</f>
        <v/>
      </c>
      <c r="S82" s="780" t="str">
        <f t="shared" si="424"/>
        <v/>
      </c>
      <c r="T82" s="759" t="str">
        <f>IF(A82=FALSE,"",VLOOKUP($U$15:$U$120,Currency!$A$2:$D$10,4,0)*Crewlist!N82)</f>
        <v/>
      </c>
      <c r="U82" s="1097" t="str">
        <f>IF(A82=FALSE,"",IF(DP82=0,Crewlist!M82&amp;"/"&amp;CP82,Crewlist!M82&amp;"/"&amp;DP82))</f>
        <v/>
      </c>
      <c r="V82" s="759" t="str">
        <f>IF(A82=FALSE,"",VLOOKUP($U$15:$U$120,Currency!$A$2:$D$10,4,0)*Detail!Q82)</f>
        <v/>
      </c>
      <c r="W82" s="1097" t="str">
        <f>IF(A82=FALSE,"",IF(DP82=0,Detail!R82&amp;"/"&amp;CP82,Detail!R82&amp;"/"&amp;DP82))</f>
        <v/>
      </c>
      <c r="X82" s="759" t="str">
        <f>IF(A82=FALSE,"",IF(LISTES!$C$17="Crewlist",Calcul!T82,Calcul!V82))</f>
        <v/>
      </c>
      <c r="Y82" s="618" t="str">
        <f t="shared" si="425"/>
        <v/>
      </c>
      <c r="Z82" s="618" t="str">
        <f>IF(A82=FALSE,"",IF(X82=0,0,IF((Cotations!BA82*12*X82)&lt;50000,50000,(12*X82))))</f>
        <v/>
      </c>
      <c r="AA82" s="618" t="str">
        <f t="shared" si="426"/>
        <v/>
      </c>
      <c r="AB82" s="618" t="str">
        <f>IF(A82=FALSE,"",IF(Crewlist!O82=0,"",Crewlist!O82))</f>
        <v/>
      </c>
      <c r="AC82" s="618" t="str">
        <f>IF(I82="","",VLOOKUP($AB$15:$AB$120,Currency!$A$15:$B$34,2,0))</f>
        <v/>
      </c>
      <c r="AD82" s="618" t="str">
        <f t="shared" si="427"/>
        <v/>
      </c>
      <c r="AE82" s="618" t="str">
        <f t="shared" si="428"/>
        <v/>
      </c>
      <c r="AF82" s="618" t="str">
        <f t="shared" si="429"/>
        <v/>
      </c>
      <c r="AG82" s="618" t="str">
        <f t="shared" si="430"/>
        <v/>
      </c>
      <c r="AH82" s="1097" t="str">
        <f t="shared" si="365"/>
        <v/>
      </c>
      <c r="AI82" s="759" t="str">
        <f t="shared" si="431"/>
        <v/>
      </c>
      <c r="AJ82" s="1120" t="str">
        <f t="shared" si="432"/>
        <v/>
      </c>
      <c r="AK82" s="1120" t="str">
        <f t="shared" si="433"/>
        <v/>
      </c>
      <c r="AL82" s="236" t="str">
        <f t="shared" si="434"/>
        <v/>
      </c>
      <c r="AM82" s="236" t="str">
        <f t="shared" si="435"/>
        <v/>
      </c>
      <c r="AN82" s="1112" t="str">
        <f t="shared" si="436"/>
        <v/>
      </c>
      <c r="AO82" s="236" t="str">
        <f t="shared" si="437"/>
        <v/>
      </c>
      <c r="AP82" s="327" t="str">
        <f>IF(A82=FALSE,"",INDEX(Rates!$Q$1:$Q$278,MATCH(CA82,colchoice,0)))</f>
        <v/>
      </c>
      <c r="AQ82" s="236" t="str">
        <f t="shared" si="438"/>
        <v/>
      </c>
      <c r="AR82" s="236" t="str">
        <f t="shared" si="439"/>
        <v/>
      </c>
      <c r="AS82" s="236" t="str">
        <f t="shared" si="366"/>
        <v/>
      </c>
      <c r="AT82" s="236" t="str">
        <f t="shared" si="367"/>
        <v/>
      </c>
      <c r="AU82" s="236" t="str">
        <f t="shared" si="440"/>
        <v/>
      </c>
      <c r="AV82" s="236" t="str">
        <f t="shared" si="441"/>
        <v/>
      </c>
      <c r="AW82" s="236" t="str">
        <f t="shared" si="442"/>
        <v/>
      </c>
      <c r="AX82" s="236" t="str">
        <f t="shared" si="443"/>
        <v/>
      </c>
      <c r="AY82" s="236" t="str">
        <f t="shared" si="444"/>
        <v/>
      </c>
      <c r="AZ82" s="236" t="str">
        <f t="shared" si="445"/>
        <v/>
      </c>
      <c r="BA82" s="236" t="str">
        <f t="shared" si="446"/>
        <v/>
      </c>
      <c r="BB82" s="467" t="str">
        <f t="shared" si="447"/>
        <v/>
      </c>
      <c r="BC82" s="329" t="str">
        <f t="shared" si="448"/>
        <v/>
      </c>
      <c r="BD82" s="237" t="str">
        <f t="shared" si="449"/>
        <v/>
      </c>
      <c r="BE82" s="237" t="str">
        <f>IF(A82=FALSE,"",IF(ED82&lt;&gt;$BC$7,0,INDEX(EA82:EZ82,1,MATCH(Structure!$J$16,$EA$14:$EZ$14,0))))</f>
        <v/>
      </c>
      <c r="BF82" s="237" t="str">
        <f>IF(A82=FALSE,"",IF(FD82&lt;&gt;$BC$7,0,INDEX(FA82:FZ82,1,MATCH(Structure!$J$16,$FA$14:$FZ$14,0))))</f>
        <v/>
      </c>
      <c r="BG82" s="237" t="str">
        <f>IF(A82=FALSE,"",IF(GD82&lt;&gt;$BC$7,0,INDEX(GA82:GZ82,1,MATCH(Structure!$J$16,$GA$14:$GZ$14,0))))</f>
        <v/>
      </c>
      <c r="BH82" s="237" t="str">
        <f>IF(A82=FALSE,"",IF(HD82&lt;&gt;$BC$7,0,INDEX(HA82:HZ82,1,MATCH(Structure!$J$16,$HA$14:$HZ$14,0))))</f>
        <v/>
      </c>
      <c r="BI82" s="621" t="str">
        <f>IF(A82=FALSE,"",IF(ID82&lt;&gt;$BC$7,0,INDEX(IA82:IZ82,1,MATCH(Structure!$C$12,$IA$14:$IZ$14,0)))+OL82)</f>
        <v/>
      </c>
      <c r="BJ82" s="237" t="str">
        <f>IF(A82=FALSE,"",IF(JD82&lt;&gt;$BC$7,0,INDEX(JA82:JZ82,1,MATCH(Structure!$C$12,$JA$14:$JZ$14,0))))</f>
        <v/>
      </c>
      <c r="BK82" s="621" t="str">
        <f>IF(A82=FALSE,"",IF(KD82&lt;&gt;$BC$7,0,INDEX(KA82:KZ82,1,MATCH(Structure!$C$12,$KA$14:$KZ$14,0)))+PL82)</f>
        <v/>
      </c>
      <c r="BL82" s="237" t="str">
        <f>IF(A82=FALSE,"",IF(LD82&lt;&gt;$BC$7,0,INDEX(LA82:LZ82,1,MATCH(Structure!$C$12,$LA$14:$LZ$14,0))))</f>
        <v/>
      </c>
      <c r="BM82" s="237" t="str">
        <f>IF(A82=FALSE,"",IF(MD82&lt;&gt;$BC$7,0,INDEX(MA82:MZ82,1,MATCH(Structure!$C$12,$MA$14:$MZ$14,0))))</f>
        <v/>
      </c>
      <c r="BN82" s="326" t="str">
        <f>IF(A82=FALSE,"",IF(ND82&lt;&gt;$BC$7,0,INDEX(NA82:OC82,1,MATCH(Structure!$C$12,$NA$14:$OC$14,0))))</f>
        <v/>
      </c>
      <c r="BO82" s="435" t="str">
        <f t="shared" si="450"/>
        <v/>
      </c>
      <c r="BP82" s="237" t="str">
        <f t="shared" si="451"/>
        <v/>
      </c>
      <c r="BQ82" s="237" t="str">
        <f>IF(A82=FALSE,"",IF(ED82&lt;&gt;$BO$7,0,INDEX(EA82:EZ82,1,MATCH(Structure!$C$12,$EA$14:$EZ$14,0))))</f>
        <v/>
      </c>
      <c r="BR82" s="237" t="str">
        <f>IF(A82=FALSE,"",IF(FD82&lt;&gt;$BO$7,0,INDEX(FA82:FZ82,1,MATCH(Structure!$C$12,$FA$14:$FZ$14,0))))</f>
        <v/>
      </c>
      <c r="BS82" s="237" t="str">
        <f>IF(A82=FALSE,"",IF(ID82&lt;&gt;$BO$7,0,INDEX(IA82:IZ82,1,MATCH(Structure!$C$13,$IA$14:$IZ$14,0))))</f>
        <v/>
      </c>
      <c r="BT82" s="237" t="str">
        <f>IF(A82=FALSE,"",IF(JD82&lt;&gt;$BO$7,0,INDEX(JA82:JZ82,1,MATCH(Structure!$C$13,$JA$14:$JZ$14,0))))</f>
        <v/>
      </c>
      <c r="BU82" s="237" t="str">
        <f>IF(A82=FALSE,"",IF(KD82&lt;&gt;$BO$7,0,INDEX(KA82:KZ82,1,MATCH(Structure!$C$13,$KA$14:$KZ$14,0))))</f>
        <v/>
      </c>
      <c r="BV82" s="237" t="str">
        <f>IF(A82=FALSE,"",IF(LD82&lt;&gt;$BO$7,0,INDEX(LA82:LZ82,1,MATCH(Structure!$C$13,$LA$14:$LZ$14,0))))</f>
        <v/>
      </c>
      <c r="BW82" s="237" t="str">
        <f>IF(A82=FALSE,"",IF(MD82&lt;&gt;$BO$7,0,INDEX(MA82:MZ82,1,MATCH(Structure!$C$13,$MA$14:$MZ$14,0))))</f>
        <v/>
      </c>
      <c r="BX82" s="326" t="str">
        <f>IF(A82=FALSE,"",IF(ND82&lt;&gt;$BO$7,0,INDEX(NA82:OC82,1,MATCH(Structure!$C$13,$NA$14:$OC$14,0))))</f>
        <v/>
      </c>
      <c r="BY82" s="412"/>
      <c r="BZ82" s="412"/>
      <c r="CA82" s="1255" t="str">
        <f>IF(A82=FALSE,"",IF(LISTES!$A$17=1,Cotations!AG82,Cotations!AH82))</f>
        <v/>
      </c>
      <c r="CB82" s="1266" t="str">
        <f t="shared" si="452"/>
        <v/>
      </c>
      <c r="CC82" s="1120" t="str">
        <f t="shared" si="453"/>
        <v/>
      </c>
      <c r="CD82" s="1120" t="str">
        <f t="shared" si="454"/>
        <v/>
      </c>
      <c r="CE82" s="1120" t="str">
        <f t="shared" si="455"/>
        <v/>
      </c>
      <c r="CF82" s="1120" t="str">
        <f t="shared" si="456"/>
        <v/>
      </c>
      <c r="CG82" s="1267"/>
      <c r="CH82" s="1267"/>
      <c r="CI82" s="1268" t="str">
        <f t="shared" si="457"/>
        <v/>
      </c>
      <c r="CJ82" s="286" t="str">
        <f t="shared" si="458"/>
        <v/>
      </c>
      <c r="CK82" s="286" t="str">
        <f t="shared" si="459"/>
        <v/>
      </c>
      <c r="CL82" s="1263"/>
      <c r="CM82" s="1263"/>
      <c r="CN82" s="1263"/>
      <c r="CO82" s="1263"/>
      <c r="CP82" s="319" t="str">
        <f t="shared" si="460"/>
        <v/>
      </c>
      <c r="CQ82" s="443" t="str">
        <f>IF(A82=FALSE,"",Cotations!AM82)</f>
        <v/>
      </c>
      <c r="CR82" s="443" t="str">
        <f>IF(A82=FALSE,"",IF(Cotations!AN82="","",Cotations!AN82))</f>
        <v/>
      </c>
      <c r="CS82" s="433" t="str">
        <f>IF(A82=FALSE,"",Cotations!AO82)</f>
        <v/>
      </c>
      <c r="CT82" s="443" t="str">
        <f>IF(A82=FALSE,"",IF(CQ82="N/A",0,IF(INDEX(LISTES!$F$105:$F$109,MATCH(CQ82,LISTES!$C$105:$C$109,0))="FIX",IF(INDEX(LISTES!$E$105:$E$109,MATCH(CQ82,LISTES!$C$105:$C$109,0))=12,CR82/12*L82,CR82/365*M82),CS82*EQ82)))</f>
        <v/>
      </c>
      <c r="CU82" s="434" t="str">
        <f>IF(A82=FALSE,"",(CJ82+CK82)*Cotations!AP82)</f>
        <v/>
      </c>
      <c r="CV82" s="434" t="str">
        <f>IF(A82=FALSE,"",(CJ82+CK82)*Cotations!AQ82)</f>
        <v/>
      </c>
      <c r="DA82" s="1253" t="str">
        <f>IF(A82=FALSE,"",IF(LISTES!$A$17=1,Cotations!AV82,Cotations!AW82))</f>
        <v/>
      </c>
      <c r="DB82" s="1271" t="str">
        <f t="shared" si="461"/>
        <v/>
      </c>
      <c r="DC82" s="1270" t="str">
        <f t="shared" si="462"/>
        <v/>
      </c>
      <c r="DD82" s="1270" t="str">
        <f t="shared" si="463"/>
        <v/>
      </c>
      <c r="DE82" s="1270" t="str">
        <f t="shared" si="464"/>
        <v/>
      </c>
      <c r="DF82" s="1270" t="str">
        <f t="shared" si="465"/>
        <v/>
      </c>
      <c r="DG82" s="1270" t="str">
        <f t="shared" si="466"/>
        <v/>
      </c>
      <c r="DH82" s="1270" t="str">
        <f t="shared" si="467"/>
        <v/>
      </c>
      <c r="DI82" s="1271" t="str">
        <f t="shared" si="468"/>
        <v/>
      </c>
      <c r="DJ82" s="286" t="str">
        <f t="shared" si="469"/>
        <v/>
      </c>
      <c r="DK82" s="286" t="str">
        <f t="shared" si="470"/>
        <v/>
      </c>
      <c r="DL82" s="1264" t="str">
        <f t="shared" si="471"/>
        <v/>
      </c>
      <c r="DM82" s="1264" t="str">
        <f t="shared" si="472"/>
        <v/>
      </c>
      <c r="DN82" s="1264" t="str">
        <f t="shared" si="473"/>
        <v/>
      </c>
      <c r="DO82" s="1264" t="str">
        <f t="shared" si="474"/>
        <v/>
      </c>
      <c r="DP82" s="323" t="str">
        <f t="shared" si="368"/>
        <v/>
      </c>
      <c r="DQ82" s="444" t="str">
        <f>IF(A82=FALSE,"",Cotations!BW82)</f>
        <v/>
      </c>
      <c r="DR82" s="444" t="str">
        <f>IF(A82=FALSE,"",Cotations!BX82)</f>
        <v/>
      </c>
      <c r="DS82" s="433" t="str">
        <f>IF(A82=FALSE,"",Cotations!BY82)</f>
        <v/>
      </c>
      <c r="DT82" s="830" t="str">
        <f>IF(A82=FALSE,"",IF(DQ82="N/A",0,IF(INDEX(LISTES!$F$105:$F$109,MATCH(DQ82,LISTES!$C$105:$C$109,0))="FIX",IF(INDEX(LISTES!$E$105:$E$109,MATCH(DQ82,LISTES!$C$105:$C$109,0))=12,DR82/12*L82,DR82/365*M82),DS82*(DN82+DO82))))</f>
        <v/>
      </c>
      <c r="DU82" s="434" t="str">
        <f>IF(A82=FALSE,"",DJ82*Cotations!BZ82)</f>
        <v/>
      </c>
      <c r="DV82" s="434" t="str">
        <f>IF(A82=FALSE,"",DJ82*Cotations!CA82)</f>
        <v/>
      </c>
      <c r="EA82" s="432" t="str">
        <f>IF(A82=FALSE,"",Cotations!AT82)</f>
        <v/>
      </c>
      <c r="EB82" s="1234" t="str">
        <f>IF(A82=FALSE,"",YEAR(Detail!F82)&amp;Detail!AG82&amp;Detail!AD82&amp;"-"&amp;Detail!$AD$13&amp;Detail!AE82)</f>
        <v/>
      </c>
      <c r="EC82" s="434" t="str">
        <f>IF(A82=FALSE,"",IF(LISTES!$A$17=1,EB82,INDEX(colMOD1,MATCH(Cotations!AH82,colchoice,0))))</f>
        <v/>
      </c>
      <c r="ED82" s="277" t="str">
        <f t="shared" si="369"/>
        <v/>
      </c>
      <c r="EE82" s="277" t="str">
        <f t="shared" si="370"/>
        <v/>
      </c>
      <c r="EF82" s="277"/>
      <c r="EG82" s="277"/>
      <c r="EH82" s="277" t="str">
        <f t="shared" si="371"/>
        <v/>
      </c>
      <c r="EI82" s="1104" t="str">
        <f t="shared" si="372"/>
        <v/>
      </c>
      <c r="EJ82" s="1104" t="str">
        <f t="shared" si="373"/>
        <v/>
      </c>
      <c r="EK82" s="443" t="str">
        <f>IF(A82=FALSE,"",IF(Cotations!AF82="monthly",EH82/12*L82,EH82/365*M82))</f>
        <v/>
      </c>
      <c r="EL82" s="1103" t="str">
        <f>IF(A82=FALSE,"",IF(Cotations!AF82="monthly",EJ82/12*L82,EJ82/365*M82))</f>
        <v/>
      </c>
      <c r="EM82" s="433" t="str">
        <f>IF(A82=FALSE,"",IF(Cotations!AI82="","",Cotations!AI82))</f>
        <v/>
      </c>
      <c r="EN82" s="277" t="str">
        <f t="shared" si="374"/>
        <v/>
      </c>
      <c r="EO82" s="277" t="str">
        <f t="shared" si="375"/>
        <v/>
      </c>
      <c r="EP82" s="1104" t="str">
        <f t="shared" si="376"/>
        <v/>
      </c>
      <c r="EQ82" s="277" t="str">
        <f t="shared" si="377"/>
        <v/>
      </c>
      <c r="ER82" s="759" t="str">
        <f>IF(A82=FALSE,"",((EH82*TAXE)-(EH82*TAXE*EM82)+EI82)+IF(CQ82="N/A",0,IF(INDEX(LISTES!$F$105:$F$109,MATCH(CQ82,LISTES!$C$105:$C$109,0))="FIX",CR82,CS82*EQ82)))</f>
        <v/>
      </c>
      <c r="ET82" s="422"/>
      <c r="EU82" s="422"/>
      <c r="EV82" s="422"/>
      <c r="EW82" s="422"/>
      <c r="EX82" s="422"/>
      <c r="EY82" s="422"/>
      <c r="EZ82" s="422"/>
      <c r="FA82" s="432" t="str">
        <f>IF(A82=FALSE,"",Cotations!AT82)</f>
        <v/>
      </c>
      <c r="FB82" s="1235" t="str">
        <f>IF(A82=FALSE,"",IF(Detail!AL82="","N/A",YEAR(Detail!F82)&amp;Detail!AO82&amp;Detail!AL82&amp;"-"&amp;Detail!$AL$13&amp;Detail!AM82))</f>
        <v/>
      </c>
      <c r="FC82" s="434" t="str">
        <f>IF(A82=FALSE,"",IF(LISTES!$A$17=1,FB82,INDEX(colMOD2,MATCH(Cotations!AH82,colchoice,0))))</f>
        <v/>
      </c>
      <c r="FD82" s="277" t="str">
        <f t="shared" si="378"/>
        <v/>
      </c>
      <c r="FE82" s="443" t="str">
        <f>IF(A82=FALSE,"",IF(Detail!AM82="","",Detail!AM82))</f>
        <v/>
      </c>
      <c r="FF82" s="277"/>
      <c r="FG82" s="277"/>
      <c r="FH82" s="277" t="str">
        <f t="shared" si="379"/>
        <v/>
      </c>
      <c r="FI82" s="1104"/>
      <c r="FJ82" s="1104"/>
      <c r="FK82" s="443" t="str">
        <f>IF(A82=FALSE,"",IF(Cotations!AF82="monthly",FH82/12*L82,FH82/365*M82))</f>
        <v/>
      </c>
      <c r="FL82" s="1103" t="str">
        <f>IF(A82=FALSE,"",IF(Cotations!AF82="monthly",FJ82/12*L82,FJ82/365*M82))</f>
        <v/>
      </c>
      <c r="FM82" s="433" t="str">
        <f>IF(A82=FALSE,"",IF(Cotations!AJ82="","",Cotations!AJ82))</f>
        <v/>
      </c>
      <c r="FN82" s="277" t="str">
        <f t="shared" si="475"/>
        <v/>
      </c>
      <c r="FO82" s="277" t="str">
        <f t="shared" si="476"/>
        <v/>
      </c>
      <c r="FP82" s="1104"/>
      <c r="FQ82" s="277" t="str">
        <f t="shared" si="477"/>
        <v/>
      </c>
      <c r="FR82" s="759" t="str">
        <f>IF(A82=FALSE,"",((FH82*TAXE)-(FH82*TAXE*FM82))+IF(#REF!="N/A",0,IF(INDEX(LISTES!$F$105:$F$109,MATCH(#REF!,LISTES!$C$105:$C$109,0))="FIX",#REF!,#REF!*FQ82)))</f>
        <v/>
      </c>
      <c r="FS82" s="422"/>
      <c r="FT82" s="422"/>
      <c r="FU82" s="422"/>
      <c r="FV82" s="422"/>
      <c r="FW82" s="422"/>
      <c r="FX82" s="422"/>
      <c r="FY82" s="422"/>
      <c r="FZ82" s="422"/>
      <c r="GA82" s="432" t="str">
        <f t="shared" si="380"/>
        <v/>
      </c>
      <c r="GB82" s="1234" t="str">
        <f>IF(A82=FALSE,"",IF(Detail!DF82="","N/A",YEAR(Detail!F82)&amp;Detail!DI82&amp;Detail!DF82&amp;"-"&amp;Detail!$DF$13))</f>
        <v/>
      </c>
      <c r="GC82" s="434" t="str">
        <f>IF(A82=FALSE,"",IF(LISTES!$A$17=1,GB82,INDEX(colMOD3,MATCH(Cotations!AH82,colchoice,0))))</f>
        <v/>
      </c>
      <c r="GD82" s="277" t="str">
        <f t="shared" si="381"/>
        <v/>
      </c>
      <c r="GE82" s="277" t="str">
        <f t="shared" si="382"/>
        <v/>
      </c>
      <c r="GF82" s="277"/>
      <c r="GG82" s="277"/>
      <c r="GH82" s="277" t="str">
        <f t="shared" si="478"/>
        <v/>
      </c>
      <c r="GI82" s="1104" t="str">
        <f t="shared" si="479"/>
        <v/>
      </c>
      <c r="GJ82" s="1104" t="str">
        <f t="shared" si="480"/>
        <v/>
      </c>
      <c r="GK82" s="443" t="str">
        <f>IF(A82=FALSE,"",IF(Cotations!AF82="monthly",GH82/12*L82,GH82/365*M82))</f>
        <v/>
      </c>
      <c r="GL82" s="1103" t="str">
        <f>IF(A82=FALSE,"",IF(Cotations!AF82="monthly",GJ82/12*L82,GJ82/365*M82))</f>
        <v/>
      </c>
      <c r="GM82" s="433" t="str">
        <f>IF(A82=FALSE,"",IF(Cotations!AK82="","",Cotations!AK82))</f>
        <v/>
      </c>
      <c r="GN82" s="277" t="str">
        <f t="shared" si="481"/>
        <v/>
      </c>
      <c r="GO82" s="277" t="str">
        <f t="shared" si="482"/>
        <v/>
      </c>
      <c r="GP82" s="1104" t="str">
        <f t="shared" si="483"/>
        <v/>
      </c>
      <c r="GQ82" s="277" t="str">
        <f t="shared" si="484"/>
        <v/>
      </c>
      <c r="GR82" s="759" t="str">
        <f>IF(A82=FALSE,"",((GH82*TAXE)-(GH82*TAXE*GM82)+GI82)+IF(CQ82="N/A",0,IF(INDEX(LISTES!$F$105:$F$109,MATCH(CQ82,LISTES!$C$105:$C$109,0))="FIX",CR82,CS82*GQ82)))</f>
        <v/>
      </c>
      <c r="GS82" s="412"/>
      <c r="GT82" s="412"/>
      <c r="GU82" s="412"/>
      <c r="GV82" s="412"/>
      <c r="GW82" s="412"/>
      <c r="GX82" s="412"/>
      <c r="GY82" s="412"/>
      <c r="GZ82" s="412"/>
      <c r="HA82" s="432" t="str">
        <f t="shared" si="383"/>
        <v/>
      </c>
      <c r="HB82" s="1234" t="str">
        <f>IF(A82=FALSE,"",IF(Detail!DF82="","N/A",YEAR(Detail!F82)&amp;Detail!DI82&amp;Detail!DF82&amp;"-"&amp;Detail!$DF$13))</f>
        <v/>
      </c>
      <c r="HC82" s="434" t="str">
        <f>IF(A82=FALSE,"",IF(LISTES!$A$17=1,HB82,INDEX(colMOD4,MATCH(Cotations!AH82,colchoice,0))))</f>
        <v/>
      </c>
      <c r="HD82" s="277" t="str">
        <f t="shared" si="485"/>
        <v/>
      </c>
      <c r="HE82" s="277" t="str">
        <f t="shared" si="486"/>
        <v/>
      </c>
      <c r="HF82" s="277"/>
      <c r="HG82" s="277"/>
      <c r="HH82" s="277" t="str">
        <f t="shared" si="487"/>
        <v/>
      </c>
      <c r="HI82" s="1104" t="str">
        <f t="shared" si="488"/>
        <v/>
      </c>
      <c r="HJ82" s="1104" t="str">
        <f t="shared" si="489"/>
        <v/>
      </c>
      <c r="HK82" s="443" t="str">
        <f>IF(A82=FALSE,"",IF(Cotations!AF82="monthly",HH82/12*L82,HH82/365*M82))</f>
        <v/>
      </c>
      <c r="HL82" s="1103" t="str">
        <f>IF(A82=FALSE,"",IF(Cotations!AF82="monthly",HJ82/12*L82,HJ82/365*M82))</f>
        <v/>
      </c>
      <c r="HM82" s="433" t="str">
        <f>IF(A82=FALSE,"",IF(Cotations!AL82="","",Cotations!AL82))</f>
        <v/>
      </c>
      <c r="HN82" s="277" t="str">
        <f t="shared" si="490"/>
        <v/>
      </c>
      <c r="HO82" s="277" t="str">
        <f t="shared" si="491"/>
        <v/>
      </c>
      <c r="HP82" s="1104" t="str">
        <f t="shared" si="492"/>
        <v/>
      </c>
      <c r="HQ82" s="277" t="str">
        <f t="shared" si="493"/>
        <v/>
      </c>
      <c r="HR82" s="759" t="str">
        <f>IF(A82=FALSE,"",((HH82*TAXE)-(HH82*TAXE*HM82)+HI82)+IF(CQ82="N/A",0,IF(INDEX(LISTES!$F$105:$F$109,MATCH(CQ82,LISTES!$C$105:$C$109,0))="FIX",CR82,CS82*HQ82)))</f>
        <v/>
      </c>
      <c r="HS82" s="412"/>
      <c r="HT82" s="412"/>
      <c r="HU82" s="412"/>
      <c r="HV82" s="412"/>
      <c r="HW82" s="412"/>
      <c r="HX82" s="412"/>
      <c r="HY82" s="412"/>
      <c r="HZ82" s="1262"/>
      <c r="IA82" s="432" t="str">
        <f>IF(A82=FALSE,"",Cotations!AT82)</f>
        <v/>
      </c>
      <c r="IB82" s="1253" t="str">
        <f>IF(A82=FALSE,"",IF(Detail!AT82="","N/A",YEAR(Detail!F82)&amp;Detail!AW82&amp;Detail!AT82&amp;"-"&amp;Detail!$AT$13&amp;Detail!AU82))</f>
        <v/>
      </c>
      <c r="IC82" s="431" t="str">
        <f>IF(A82=FALSE,"",IF(LISTES!$A$17=1,IB82,INDEX(colMOD1,MATCH(DA82,colchoice,0))))</f>
        <v/>
      </c>
      <c r="ID82" s="759" t="str">
        <f t="shared" si="358"/>
        <v/>
      </c>
      <c r="IE82" s="292" t="str">
        <f>IF(A82=FALSE,"",IF(LISTES!$A$17=1,Detail!AU82,INDEX(Rates!$M$1:$M$270,MATCH(IC82,colMOD1,0))))</f>
        <v/>
      </c>
      <c r="IF82" s="409" t="str">
        <f t="shared" si="359"/>
        <v/>
      </c>
      <c r="IG82" s="430" t="str">
        <f>IF(A82=FALSE,"",IF(IA82="POEA",Cotations!AY82,IF(IA82="FIXE",Cotations!AZ82,IF(Cotations!BA82*Y82&lt;50000,Z82,Cotations!BA82*Y82))))</f>
        <v/>
      </c>
      <c r="IH82" s="292" t="str">
        <f t="shared" si="360"/>
        <v/>
      </c>
      <c r="II82" s="446" t="str">
        <f>IF(A82=FALSE,"",IF(Cotations!AU82="monthly",IH82/12*L82,IH82/365*M82))</f>
        <v/>
      </c>
      <c r="IJ82" s="429" t="str">
        <f>IF(A82=FALSE,"",IF(Cotations!BB82="","",Cotations!BB82))</f>
        <v/>
      </c>
      <c r="IK82" s="292" t="str">
        <f t="shared" si="361"/>
        <v/>
      </c>
      <c r="IL82" s="292" t="str">
        <f t="shared" si="362"/>
        <v/>
      </c>
      <c r="IM82" s="759" t="str">
        <f t="shared" si="363"/>
        <v/>
      </c>
      <c r="IN82" s="759" t="str">
        <f>IF(A82=FALSE,"",((IH82*TAXE)-(IH82*TAXE*IJ82))+IF(DQ82="N/A",0,IF(INDEX(LISTES!$F$105:$F$109,MATCH(DQ82,LISTES!$C$105:$C$109,0))="FIX",DR82,DS82*IM82)))</f>
        <v/>
      </c>
      <c r="JA82" s="432" t="str">
        <f>IF(A82=FALSE,"",Cotations!AT82)</f>
        <v/>
      </c>
      <c r="JB82" s="1234" t="str">
        <f>IF(A82=FALSE,"",IF(Detail!BB82="","N/A",YEAR(Detail!F82)&amp;Detail!BE82&amp;Detail!BB82&amp;"-"&amp;Detail!$BB$13&amp;Detail!BC82))</f>
        <v/>
      </c>
      <c r="JC82" s="431" t="str">
        <f>IF(A82=FALSE,"",IF(LISTES!$A$17=1,JB82,INDEX(colMOD2,MATCH(DA82,colchoice,0))))</f>
        <v/>
      </c>
      <c r="JD82" s="759" t="str">
        <f t="shared" si="384"/>
        <v/>
      </c>
      <c r="JE82" s="292"/>
      <c r="JF82" s="409" t="str">
        <f t="shared" si="385"/>
        <v/>
      </c>
      <c r="JG82" s="430" t="str">
        <f>IF(A82=FALSE,"",IF(JA82="POEA",Cotations!BC82,IF(JA82="FIXE",Cotations!BD82,IF(Cotations!BE82*Y82&lt;50000,Z82,Cotations!BE82*Y82))))</f>
        <v/>
      </c>
      <c r="JH82" s="292" t="str">
        <f t="shared" si="386"/>
        <v/>
      </c>
      <c r="JI82" s="446" t="str">
        <f>IF(A82=FALSE,"",IF(Cotations!AU82="monthly",JH82/12*L82,JH82/365*M82))</f>
        <v/>
      </c>
      <c r="JJ82" s="429" t="str">
        <f>IF(A82=FALSE,"",IF(Cotations!BF82="","",Cotations!BF82))</f>
        <v/>
      </c>
      <c r="JK82" s="292" t="str">
        <f t="shared" si="387"/>
        <v/>
      </c>
      <c r="JL82" s="292" t="str">
        <f t="shared" si="388"/>
        <v/>
      </c>
      <c r="JM82" s="759" t="str">
        <f t="shared" si="389"/>
        <v/>
      </c>
      <c r="JN82" s="759" t="str">
        <f>IF(A82=FALSE,"",((JH82*TAXE)-(JH82*TAXE*JJ82))+IF(#REF!="N/A",0,IF(INDEX(LISTES!$F$105:$F$109,MATCH(#REF!,LISTES!$C$105:$C$109,0))="FIX",#REF!,#REF!*JM82)))</f>
        <v/>
      </c>
      <c r="KA82" s="432" t="str">
        <f>IF(A82=FALSE,"",Cotations!AT82)</f>
        <v/>
      </c>
      <c r="KB82" s="1234" t="str">
        <f>IF(A82=FALSE,"",IF(Detail!BJ82="","N/A",YEAR(Detail!F82)&amp;Detail!BM82&amp;Detail!BJ82&amp;"-"&amp;Detail!$BJ$13&amp;Detail!BK82))</f>
        <v/>
      </c>
      <c r="KC82" s="431" t="str">
        <f>IF(A82=FALSE,"",IF(LISTES!$A$17=1,KB82,INDEX(colMOD3,MATCH(DA82,colchoice,0))))</f>
        <v/>
      </c>
      <c r="KD82" s="759" t="str">
        <f t="shared" si="390"/>
        <v/>
      </c>
      <c r="KE82" s="292"/>
      <c r="KF82" s="409" t="str">
        <f t="shared" si="391"/>
        <v/>
      </c>
      <c r="KG82" s="430" t="str">
        <f>IF(A82=FALSE,"",IF(KA82="POEA",Cotations!BG82,IF(KA82="FIXE",Cotations!BH82,IF(Cotations!BI82*Y82&lt;50000,Z82,Cotations!BI82*Y82))))</f>
        <v/>
      </c>
      <c r="KH82" s="292" t="str">
        <f t="shared" si="392"/>
        <v/>
      </c>
      <c r="KI82" s="446" t="str">
        <f>IF(A82=FALSE,"",IF(Cotations!AU82="monthly",KH82/12*L82,KH82/365*M82))</f>
        <v/>
      </c>
      <c r="KJ82" s="429" t="str">
        <f>IF(A82=FALSE,"",IF(Cotations!BJ82="","",Cotations!BJ82))</f>
        <v/>
      </c>
      <c r="KK82" s="292" t="str">
        <f t="shared" si="393"/>
        <v/>
      </c>
      <c r="KL82" s="292" t="str">
        <f t="shared" si="394"/>
        <v/>
      </c>
      <c r="KM82" s="759" t="str">
        <f t="shared" si="395"/>
        <v/>
      </c>
      <c r="KN82" s="759" t="str">
        <f>IF(A82=FALSE,"",((KH82*TAXE)-(KH82*TAXE*KJ82))+IF(#REF!="N/A",0,IF(INDEX(LISTES!$F$105:$F$109,MATCH(#REF!,LISTES!$C$105:$C$109,0))="FIX",#REF!,#REF!*KM82)))</f>
        <v/>
      </c>
      <c r="LA82" s="432" t="str">
        <f>IF(A82=FALSE,"",Cotations!AT82)</f>
        <v/>
      </c>
      <c r="LB82" s="1234" t="str">
        <f>IF(A82=FALSE,"",IF(Detail!BR82="","N/A",YEAR(Detail!F82)&amp;Detail!BU82&amp;Detail!BR82&amp;"-"&amp;Detail!$BR$13&amp;Detail!BS82))</f>
        <v/>
      </c>
      <c r="LC82" s="431" t="str">
        <f>IF(A82=FALSE,"",IF(LISTES!$A$17=1,LB82,INDEX(colMOD4,MATCH(DA82,colchoice,0))))</f>
        <v/>
      </c>
      <c r="LD82" s="759" t="str">
        <f t="shared" si="396"/>
        <v/>
      </c>
      <c r="LE82" s="292"/>
      <c r="LF82" s="409" t="str">
        <f t="shared" si="397"/>
        <v/>
      </c>
      <c r="LG82" s="430" t="str">
        <f>IF(A82=FALSE,"",IF(LA82="POEA",Cotations!BK82,IF(LA82="FIXE",Cotations!BL82,IF(Cotations!BM82*Y82&lt;50000,Z82,Cotations!BM82*Y82))))</f>
        <v/>
      </c>
      <c r="LH82" s="292" t="str">
        <f t="shared" si="398"/>
        <v/>
      </c>
      <c r="LI82" s="446" t="str">
        <f>IF(A82=FALSE,"",IF(Cotations!AU82="monthly",LH82/12*L82,LH82/365*M82))</f>
        <v/>
      </c>
      <c r="LJ82" s="429" t="str">
        <f>IF(A82=FALSE,"",IF(Cotations!BN82="","",Cotations!BN82))</f>
        <v/>
      </c>
      <c r="LK82" s="292" t="str">
        <f t="shared" si="399"/>
        <v/>
      </c>
      <c r="LL82" s="292" t="str">
        <f t="shared" si="400"/>
        <v/>
      </c>
      <c r="LM82" s="759" t="str">
        <f t="shared" si="401"/>
        <v/>
      </c>
      <c r="LN82" s="759" t="str">
        <f>IF(A82=FALSE,"",((LH82*TAXE)-(LH82*TAXE*LJ82))+IF(#REF!="N/A",0,IF(INDEX(LISTES!$F$105:$F$109,MATCH(#REF!,LISTES!$C$105:$C$109,0))="FIX",#REF!,#REF!*LM82)))</f>
        <v/>
      </c>
      <c r="MA82" s="432" t="str">
        <f t="shared" si="402"/>
        <v/>
      </c>
      <c r="MB82" s="1234" t="str">
        <f>IF(A82=FALSE,"",IF(Detail!BZ82="","N/A",YEAR(Detail!F82)&amp;Detail!CC82&amp;Detail!BZ82&amp;"-"&amp;Detail!$BZ$13&amp;" (100%/"&amp;Detail!CD82&amp;"/"&amp;Detail!CE82&amp;")"))</f>
        <v/>
      </c>
      <c r="MC82" s="431" t="str">
        <f>IF(A82=FALSE,"",IF(LISTES!$A$17=1,MB82,INDEX(colMOD5,MATCH(DA82,colchoice,0))))</f>
        <v/>
      </c>
      <c r="MD82" s="759" t="str">
        <f t="shared" si="403"/>
        <v/>
      </c>
      <c r="ME82" s="292"/>
      <c r="MF82" s="409" t="str">
        <f t="shared" si="404"/>
        <v/>
      </c>
      <c r="MG82" s="430" t="str">
        <f>IF(A82=FALSE,"",Cotations!BQ82*AA82)</f>
        <v/>
      </c>
      <c r="MH82" s="292" t="str">
        <f t="shared" si="405"/>
        <v/>
      </c>
      <c r="MI82" s="446" t="str">
        <f>IF(A82=FALSE,"",IF(Cotations!AU82="monthly",MH82/12*L82,MH82/365*M82))</f>
        <v/>
      </c>
      <c r="MJ82" s="429" t="str">
        <f>IF(A82=FALSE,"",IF(Cotations!BR82="","",Cotations!BR82))</f>
        <v/>
      </c>
      <c r="MK82" s="292" t="str">
        <f t="shared" si="406"/>
        <v/>
      </c>
      <c r="ML82" s="292" t="str">
        <f t="shared" si="407"/>
        <v/>
      </c>
      <c r="MM82" s="759" t="str">
        <f t="shared" si="408"/>
        <v/>
      </c>
      <c r="MN82" s="759" t="str">
        <f>IF(A82=FALSE,"",((MH82*TAXE)-(MH82*TAXE*MJ82))+IF(#REF!="N/A",0,IF(INDEX(LISTES!$F$105:$F$109,MATCH(#REF!,LISTES!$C$105:$C$109,0))="FIX",#REF!,#REF!*MM82)))</f>
        <v/>
      </c>
      <c r="NA82" s="432" t="str">
        <f t="shared" si="409"/>
        <v/>
      </c>
      <c r="NB82" s="1234" t="str">
        <f>IF(A82=FALSE,"",IF(Detail!CH82="","N/A",YEAR(Detail!F82)&amp;Detail!CK82&amp;Detail!CH82&amp;"-"&amp;Detail!$CH$13&amp;" (100%/"&amp;Detail!CL82&amp;"/"&amp;Detail!CM82&amp;")"))</f>
        <v/>
      </c>
      <c r="NC82" s="431" t="str">
        <f>IF(A82=FALSE,"",IF(LISTES!$A$17=1,NB82,INDEX(colMOD6,MATCH(DA82,colchoice,0))))</f>
        <v/>
      </c>
      <c r="ND82" s="759" t="str">
        <f t="shared" si="410"/>
        <v/>
      </c>
      <c r="NE82" s="292"/>
      <c r="NF82" s="409" t="str">
        <f t="shared" si="411"/>
        <v/>
      </c>
      <c r="NG82" s="430" t="str">
        <f>IF(A82=FALSE,"",Cotations!BU82*AA82)</f>
        <v/>
      </c>
      <c r="NH82" s="292" t="str">
        <f t="shared" si="412"/>
        <v/>
      </c>
      <c r="NI82" s="446" t="str">
        <f>IF(A82=FALSE,"",IF(Cotations!AU82="monthly",NH82/12*L82,NH82/365*M82))</f>
        <v/>
      </c>
      <c r="NJ82" s="429" t="str">
        <f>IF(A82=FALSE,"",IF(Cotations!BV82="","",Cotations!BV82))</f>
        <v/>
      </c>
      <c r="NK82" s="292" t="str">
        <f t="shared" si="413"/>
        <v/>
      </c>
      <c r="NL82" s="292" t="str">
        <f t="shared" si="414"/>
        <v/>
      </c>
      <c r="NM82" s="759" t="str">
        <f t="shared" si="415"/>
        <v/>
      </c>
      <c r="NN82" s="759" t="str">
        <f>IF(A82=FALSE,"",((NH82*TAXE)-(NH82*TAXE*NJ82))+IF(#REF!="N/A",0,IF(INDEX(LISTES!$F$105:$F$109,MATCH(#REF!,LISTES!$C$105:$C$109,0))="FIX",#REF!,#REF!*NM82)))</f>
        <v/>
      </c>
      <c r="NZ82" s="1281" t="str">
        <f>IF(A82=FALSE,"",IF(Detail!CP82="","N/A",YEAR(Detail!F82)&amp;Detail!CS82&amp;Detail!CP82&amp;"-"&amp;Detail!CQ82))</f>
        <v/>
      </c>
      <c r="OA82" s="432" t="str">
        <f>IF(A82=FALSE,"",Cotations!CF82)</f>
        <v/>
      </c>
      <c r="OB82" s="1282" t="str">
        <f>IF(A82=FALSE,"",IF(Detail!CP82="","N/A",YEAR(Detail!F82)&amp;Detail!CS82&amp;Detail!CP82&amp;"-"&amp;Detail!$CP$13&amp;Detail!CQ82))</f>
        <v/>
      </c>
      <c r="OC82" s="1283" t="str">
        <f>IF(A82=FALSE,"",IF(LISTES!$A$17=1,OB82,INDEX(colMOD1,MATCH(Cotations!CE82,colchoice,0))))</f>
        <v/>
      </c>
      <c r="OD82" s="759" t="str">
        <f t="shared" si="416"/>
        <v/>
      </c>
      <c r="OE82" s="292" t="str">
        <f>IF(A82=FALSE,"",Detail!CQ82)</f>
        <v/>
      </c>
      <c r="OF82" s="409" t="str">
        <f t="shared" si="417"/>
        <v/>
      </c>
      <c r="OG82" s="430" t="str">
        <f>IF(A82=FALSE,"",IF(OA82="FIXE",Cotations!CM82,Cotations!CN82*AA82))</f>
        <v/>
      </c>
      <c r="OH82" s="292" t="str">
        <f t="shared" si="494"/>
        <v/>
      </c>
      <c r="OI82" s="446" t="str">
        <f>IF(A82=FALSE,"",IF(Cotations!CF82="monthly",OH82/12*L82,OH82/365*M82))</f>
        <v/>
      </c>
      <c r="OJ82" s="429" t="str">
        <f>IF(A82=FALSE,"",IF(Cotations!CO82="","",Cotations!CO82))</f>
        <v/>
      </c>
      <c r="OK82" s="292" t="str">
        <f t="shared" si="495"/>
        <v/>
      </c>
      <c r="OL82" s="292" t="str">
        <f t="shared" si="496"/>
        <v/>
      </c>
      <c r="OM82" s="759" t="str">
        <f t="shared" si="418"/>
        <v/>
      </c>
      <c r="ON82" s="759" t="str">
        <f>IF(A82=FALSE,"",((OH82*(1+TAXE)-(OH82*(1+TAXE)*OJ82))+IF(#REF!="N/A",0,IF(INDEX(LISTES!$F$105:$F$109,MATCH(#REF!,LISTES!$C$105:$C$109,0))="FIX",#REF!,#REF!*OM82))))</f>
        <v/>
      </c>
      <c r="PA82" s="432" t="str">
        <f>IF(A82=FALSE,"",Cotations!CF82)</f>
        <v/>
      </c>
      <c r="PB82" s="1282" t="str">
        <f>IF(A82=FALSE,"",IF(Detail!CX82="","N/A",YEAR(Detail!F82)&amp;Detail!DA82&amp;Detail!CX82&amp;"-"&amp;Detail!$CX$13&amp;Detail!CY82))</f>
        <v/>
      </c>
      <c r="PC82" s="1283" t="str">
        <f>IF(A82=FALSE,"",IF(LISTES!$A$17=1,PB82,INDEX(colMOD3,MATCH(Cotations!CE82,colchoice,0))))</f>
        <v/>
      </c>
      <c r="PD82" s="759" t="str">
        <f t="shared" si="419"/>
        <v/>
      </c>
      <c r="PE82" s="292" t="str">
        <f>IF(A82=FALSE,"",IF(Detail!CY82="","",Detail!CY82))</f>
        <v/>
      </c>
      <c r="PF82" s="409" t="str">
        <f t="shared" si="497"/>
        <v/>
      </c>
      <c r="PG82" s="430" t="str">
        <f>IF(A82=FALSE,"",IF(PA82="FIXE",Cotations!CP82,Cotations!CQ82*AA82))</f>
        <v/>
      </c>
      <c r="PH82" s="292" t="str">
        <f t="shared" si="498"/>
        <v/>
      </c>
      <c r="PI82" s="446" t="str">
        <f>IF(A82=FALSE,"",IF(Cotations!CG82="monthly",PH82/12*L82,PH82/365*M82))</f>
        <v/>
      </c>
      <c r="PJ82" s="429" t="str">
        <f>IF(A82=FALSE,"",IF(Cotations!DA82="",0,Cotations!DA82))</f>
        <v/>
      </c>
      <c r="PK82" s="292" t="str">
        <f t="shared" si="499"/>
        <v/>
      </c>
      <c r="PL82" s="292" t="str">
        <f t="shared" si="500"/>
        <v/>
      </c>
      <c r="PM82" s="759" t="str">
        <f t="shared" si="420"/>
        <v/>
      </c>
      <c r="PN82" s="759" t="str">
        <f>IF(A82=FALSE,"",((PH82*(1+TAXE)-(PH82*(1+TAXE)*PJ82))+IF(#REF!="N/A",0,IF(INDEX(LISTES!$F$105:$F$109,MATCH(#REF!,LISTES!$C$105:$C$109,0))="FIX",#REF!,#REF!*PM82))))</f>
        <v/>
      </c>
    </row>
    <row r="83" spans="1:430">
      <c r="A83" s="779" t="b">
        <f t="shared" si="364"/>
        <v>0</v>
      </c>
      <c r="B83" s="779" t="b">
        <f>IF(NAMES!$B$9=TRUE,TRUE,FALSE)</f>
        <v>1</v>
      </c>
      <c r="C83" s="779" t="b">
        <f t="shared" si="421"/>
        <v>0</v>
      </c>
      <c r="D83" s="779" t="b">
        <f t="shared" si="422"/>
        <v>0</v>
      </c>
      <c r="E83" s="267" t="b">
        <f>IF(Cotations!C83="","",Cotations!C83)</f>
        <v>0</v>
      </c>
      <c r="F83" s="267" t="str">
        <f>IF(Cotations!AT83="","",Cotations!AT83)</f>
        <v>PROP</v>
      </c>
      <c r="G83" s="267" t="str">
        <f>IF(Cotations!D83="","",Cotations!D83)</f>
        <v>2016-2017!</v>
      </c>
      <c r="H83" s="267" t="str">
        <f>IF(Cotations!E83="","",Cotations!E83)</f>
        <v>SINGLE</v>
      </c>
      <c r="I83" s="267" t="str">
        <f>IF(Cotations!F83="","",Cotations!F83)</f>
        <v/>
      </c>
      <c r="J83" s="267" t="str">
        <f>IF(Cotations!G83="","",Cotations!G83)</f>
        <v/>
      </c>
      <c r="K83" s="267" t="str">
        <f>IF(Cotations!H83="","",Cotations!H83)</f>
        <v/>
      </c>
      <c r="L83" s="267" t="str">
        <f>IF(A83=FALSE,"",IF(Cotations!M83="","",Cotations!M83))</f>
        <v/>
      </c>
      <c r="M83" s="267" t="str">
        <f>IF(Cotations!O83="","",Cotations!O83)</f>
        <v/>
      </c>
      <c r="N83" s="588" t="str">
        <f>IF(NAMES!$B$10=TRUE,Cotations!I83,Cotations!K83)</f>
        <v/>
      </c>
      <c r="O83" s="588" t="str">
        <f>IF(NAMES!$B$10=TRUE,Cotations!J83,Cotations!L83)</f>
        <v/>
      </c>
      <c r="P83" s="780" t="str">
        <f t="shared" si="423"/>
        <v/>
      </c>
      <c r="Q83" s="588" t="str">
        <f>IF(A83=FALSE,"",IF(Crewlist!Y83="","",Crewlist!Y83))</f>
        <v/>
      </c>
      <c r="R83" s="78" t="str">
        <f>IF(Cotations!T83="","",Cotations!T83)</f>
        <v/>
      </c>
      <c r="S83" s="780" t="str">
        <f t="shared" si="424"/>
        <v/>
      </c>
      <c r="T83" s="759" t="str">
        <f>IF(A83=FALSE,"",VLOOKUP($U$15:$U$120,Currency!$A$2:$D$10,4,0)*Crewlist!N83)</f>
        <v/>
      </c>
      <c r="U83" s="1097" t="str">
        <f>IF(A83=FALSE,"",IF(DP83=0,Crewlist!M83&amp;"/"&amp;CP83,Crewlist!M83&amp;"/"&amp;DP83))</f>
        <v/>
      </c>
      <c r="V83" s="759" t="str">
        <f>IF(A83=FALSE,"",VLOOKUP($U$15:$U$120,Currency!$A$2:$D$10,4,0)*Detail!Q83)</f>
        <v/>
      </c>
      <c r="W83" s="1097" t="str">
        <f>IF(A83=FALSE,"",IF(DP83=0,Detail!R83&amp;"/"&amp;CP83,Detail!R83&amp;"/"&amp;DP83))</f>
        <v/>
      </c>
      <c r="X83" s="759" t="str">
        <f>IF(A83=FALSE,"",IF(LISTES!$C$17="Crewlist",Calcul!T83,Calcul!V83))</f>
        <v/>
      </c>
      <c r="Y83" s="618" t="str">
        <f t="shared" si="425"/>
        <v/>
      </c>
      <c r="Z83" s="618" t="str">
        <f>IF(A83=FALSE,"",IF(X83=0,0,IF((Cotations!BA83*12*X83)&lt;50000,50000,(12*X83))))</f>
        <v/>
      </c>
      <c r="AA83" s="618" t="str">
        <f t="shared" si="426"/>
        <v/>
      </c>
      <c r="AB83" s="618" t="str">
        <f>IF(A83=FALSE,"",IF(Crewlist!O83=0,"",Crewlist!O83))</f>
        <v/>
      </c>
      <c r="AC83" s="618" t="str">
        <f>IF(I83="","",VLOOKUP($AB$15:$AB$120,Currency!$A$15:$B$34,2,0))</f>
        <v/>
      </c>
      <c r="AD83" s="618" t="str">
        <f t="shared" si="427"/>
        <v/>
      </c>
      <c r="AE83" s="618" t="str">
        <f t="shared" si="428"/>
        <v/>
      </c>
      <c r="AF83" s="618" t="str">
        <f t="shared" si="429"/>
        <v/>
      </c>
      <c r="AG83" s="618" t="str">
        <f t="shared" si="430"/>
        <v/>
      </c>
      <c r="AH83" s="1097" t="str">
        <f t="shared" si="365"/>
        <v/>
      </c>
      <c r="AI83" s="759" t="str">
        <f t="shared" si="431"/>
        <v/>
      </c>
      <c r="AJ83" s="1120" t="str">
        <f t="shared" si="432"/>
        <v/>
      </c>
      <c r="AK83" s="1120" t="str">
        <f t="shared" si="433"/>
        <v/>
      </c>
      <c r="AL83" s="236" t="str">
        <f t="shared" si="434"/>
        <v/>
      </c>
      <c r="AM83" s="236" t="str">
        <f t="shared" si="435"/>
        <v/>
      </c>
      <c r="AN83" s="1112" t="str">
        <f t="shared" si="436"/>
        <v/>
      </c>
      <c r="AO83" s="236" t="str">
        <f t="shared" si="437"/>
        <v/>
      </c>
      <c r="AP83" s="327" t="str">
        <f>IF(A83=FALSE,"",INDEX(Rates!$Q$1:$Q$278,MATCH(CA83,colchoice,0)))</f>
        <v/>
      </c>
      <c r="AQ83" s="236" t="str">
        <f t="shared" si="438"/>
        <v/>
      </c>
      <c r="AR83" s="236" t="str">
        <f t="shared" si="439"/>
        <v/>
      </c>
      <c r="AS83" s="236" t="str">
        <f t="shared" si="366"/>
        <v/>
      </c>
      <c r="AT83" s="236" t="str">
        <f t="shared" si="367"/>
        <v/>
      </c>
      <c r="AU83" s="236" t="str">
        <f t="shared" si="440"/>
        <v/>
      </c>
      <c r="AV83" s="236" t="str">
        <f t="shared" si="441"/>
        <v/>
      </c>
      <c r="AW83" s="236" t="str">
        <f t="shared" si="442"/>
        <v/>
      </c>
      <c r="AX83" s="236" t="str">
        <f t="shared" si="443"/>
        <v/>
      </c>
      <c r="AY83" s="236" t="str">
        <f t="shared" si="444"/>
        <v/>
      </c>
      <c r="AZ83" s="236" t="str">
        <f t="shared" si="445"/>
        <v/>
      </c>
      <c r="BA83" s="236" t="str">
        <f t="shared" si="446"/>
        <v/>
      </c>
      <c r="BB83" s="467" t="str">
        <f t="shared" si="447"/>
        <v/>
      </c>
      <c r="BC83" s="329" t="str">
        <f t="shared" si="448"/>
        <v/>
      </c>
      <c r="BD83" s="237" t="str">
        <f t="shared" si="449"/>
        <v/>
      </c>
      <c r="BE83" s="237" t="str">
        <f>IF(A83=FALSE,"",IF(ED83&lt;&gt;$BC$7,0,INDEX(EA83:EZ83,1,MATCH(Structure!$J$16,$EA$14:$EZ$14,0))))</f>
        <v/>
      </c>
      <c r="BF83" s="237" t="str">
        <f>IF(A83=FALSE,"",IF(FD83&lt;&gt;$BC$7,0,INDEX(FA83:FZ83,1,MATCH(Structure!$J$16,$FA$14:$FZ$14,0))))</f>
        <v/>
      </c>
      <c r="BG83" s="237" t="str">
        <f>IF(A83=FALSE,"",IF(GD83&lt;&gt;$BC$7,0,INDEX(GA83:GZ83,1,MATCH(Structure!$J$16,$GA$14:$GZ$14,0))))</f>
        <v/>
      </c>
      <c r="BH83" s="237" t="str">
        <f>IF(A83=FALSE,"",IF(HD83&lt;&gt;$BC$7,0,INDEX(HA83:HZ83,1,MATCH(Structure!$J$16,$HA$14:$HZ$14,0))))</f>
        <v/>
      </c>
      <c r="BI83" s="621" t="str">
        <f>IF(A83=FALSE,"",IF(ID83&lt;&gt;$BC$7,0,INDEX(IA83:IZ83,1,MATCH(Structure!$C$12,$IA$14:$IZ$14,0)))+OL83)</f>
        <v/>
      </c>
      <c r="BJ83" s="237" t="str">
        <f>IF(A83=FALSE,"",IF(JD83&lt;&gt;$BC$7,0,INDEX(JA83:JZ83,1,MATCH(Structure!$C$12,$JA$14:$JZ$14,0))))</f>
        <v/>
      </c>
      <c r="BK83" s="621" t="str">
        <f>IF(A83=FALSE,"",IF(KD83&lt;&gt;$BC$7,0,INDEX(KA83:KZ83,1,MATCH(Structure!$C$12,$KA$14:$KZ$14,0)))+PL83)</f>
        <v/>
      </c>
      <c r="BL83" s="237" t="str">
        <f>IF(A83=FALSE,"",IF(LD83&lt;&gt;$BC$7,0,INDEX(LA83:LZ83,1,MATCH(Structure!$C$12,$LA$14:$LZ$14,0))))</f>
        <v/>
      </c>
      <c r="BM83" s="237" t="str">
        <f>IF(A83=FALSE,"",IF(MD83&lt;&gt;$BC$7,0,INDEX(MA83:MZ83,1,MATCH(Structure!$C$12,$MA$14:$MZ$14,0))))</f>
        <v/>
      </c>
      <c r="BN83" s="326" t="str">
        <f>IF(A83=FALSE,"",IF(ND83&lt;&gt;$BC$7,0,INDEX(NA83:OC83,1,MATCH(Structure!$C$12,$NA$14:$OC$14,0))))</f>
        <v/>
      </c>
      <c r="BO83" s="435" t="str">
        <f t="shared" si="450"/>
        <v/>
      </c>
      <c r="BP83" s="237" t="str">
        <f t="shared" si="451"/>
        <v/>
      </c>
      <c r="BQ83" s="237" t="str">
        <f>IF(A83=FALSE,"",IF(ED83&lt;&gt;$BO$7,0,INDEX(EA83:EZ83,1,MATCH(Structure!$C$12,$EA$14:$EZ$14,0))))</f>
        <v/>
      </c>
      <c r="BR83" s="237" t="str">
        <f>IF(A83=FALSE,"",IF(FD83&lt;&gt;$BO$7,0,INDEX(FA83:FZ83,1,MATCH(Structure!$C$12,$FA$14:$FZ$14,0))))</f>
        <v/>
      </c>
      <c r="BS83" s="237" t="str">
        <f>IF(A83=FALSE,"",IF(ID83&lt;&gt;$BO$7,0,INDEX(IA83:IZ83,1,MATCH(Structure!$C$13,$IA$14:$IZ$14,0))))</f>
        <v/>
      </c>
      <c r="BT83" s="237" t="str">
        <f>IF(A83=FALSE,"",IF(JD83&lt;&gt;$BO$7,0,INDEX(JA83:JZ83,1,MATCH(Structure!$C$13,$JA$14:$JZ$14,0))))</f>
        <v/>
      </c>
      <c r="BU83" s="237" t="str">
        <f>IF(A83=FALSE,"",IF(KD83&lt;&gt;$BO$7,0,INDEX(KA83:KZ83,1,MATCH(Structure!$C$13,$KA$14:$KZ$14,0))))</f>
        <v/>
      </c>
      <c r="BV83" s="237" t="str">
        <f>IF(A83=FALSE,"",IF(LD83&lt;&gt;$BO$7,0,INDEX(LA83:LZ83,1,MATCH(Structure!$C$13,$LA$14:$LZ$14,0))))</f>
        <v/>
      </c>
      <c r="BW83" s="237" t="str">
        <f>IF(A83=FALSE,"",IF(MD83&lt;&gt;$BO$7,0,INDEX(MA83:MZ83,1,MATCH(Structure!$C$13,$MA$14:$MZ$14,0))))</f>
        <v/>
      </c>
      <c r="BX83" s="326" t="str">
        <f>IF(A83=FALSE,"",IF(ND83&lt;&gt;$BO$7,0,INDEX(NA83:OC83,1,MATCH(Structure!$C$13,$NA$14:$OC$14,0))))</f>
        <v/>
      </c>
      <c r="BY83" s="412"/>
      <c r="BZ83" s="412"/>
      <c r="CA83" s="1255" t="str">
        <f>IF(A83=FALSE,"",IF(LISTES!$A$17=1,Cotations!AG83,Cotations!AH83))</f>
        <v/>
      </c>
      <c r="CB83" s="1266" t="str">
        <f t="shared" si="452"/>
        <v/>
      </c>
      <c r="CC83" s="1120" t="str">
        <f t="shared" si="453"/>
        <v/>
      </c>
      <c r="CD83" s="1120" t="str">
        <f t="shared" si="454"/>
        <v/>
      </c>
      <c r="CE83" s="1120" t="str">
        <f t="shared" si="455"/>
        <v/>
      </c>
      <c r="CF83" s="1120" t="str">
        <f t="shared" si="456"/>
        <v/>
      </c>
      <c r="CG83" s="1267"/>
      <c r="CH83" s="1267"/>
      <c r="CI83" s="1268" t="str">
        <f t="shared" si="457"/>
        <v/>
      </c>
      <c r="CJ83" s="286" t="str">
        <f t="shared" si="458"/>
        <v/>
      </c>
      <c r="CK83" s="286" t="str">
        <f t="shared" si="459"/>
        <v/>
      </c>
      <c r="CL83" s="1263"/>
      <c r="CM83" s="1263"/>
      <c r="CN83" s="1263"/>
      <c r="CO83" s="1263"/>
      <c r="CP83" s="319" t="str">
        <f t="shared" si="460"/>
        <v/>
      </c>
      <c r="CQ83" s="443" t="str">
        <f>IF(A83=FALSE,"",Cotations!AM83)</f>
        <v/>
      </c>
      <c r="CR83" s="443" t="str">
        <f>IF(A83=FALSE,"",IF(Cotations!AN83="","",Cotations!AN83))</f>
        <v/>
      </c>
      <c r="CS83" s="433" t="str">
        <f>IF(A83=FALSE,"",Cotations!AO83)</f>
        <v/>
      </c>
      <c r="CT83" s="443" t="str">
        <f>IF(A83=FALSE,"",IF(CQ83="N/A",0,IF(INDEX(LISTES!$F$105:$F$109,MATCH(CQ83,LISTES!$C$105:$C$109,0))="FIX",IF(INDEX(LISTES!$E$105:$E$109,MATCH(CQ83,LISTES!$C$105:$C$109,0))=12,CR83/12*L83,CR83/365*M83),CS83*EQ83)))</f>
        <v/>
      </c>
      <c r="CU83" s="434" t="str">
        <f>IF(A83=FALSE,"",(CJ83+CK83)*Cotations!AP83)</f>
        <v/>
      </c>
      <c r="CV83" s="434" t="str">
        <f>IF(A83=FALSE,"",(CJ83+CK83)*Cotations!AQ83)</f>
        <v/>
      </c>
      <c r="DA83" s="1253" t="str">
        <f>IF(A83=FALSE,"",IF(LISTES!$A$17=1,Cotations!AV83,Cotations!AW83))</f>
        <v/>
      </c>
      <c r="DB83" s="1271" t="str">
        <f t="shared" si="461"/>
        <v/>
      </c>
      <c r="DC83" s="1270" t="str">
        <f t="shared" si="462"/>
        <v/>
      </c>
      <c r="DD83" s="1270" t="str">
        <f t="shared" si="463"/>
        <v/>
      </c>
      <c r="DE83" s="1270" t="str">
        <f t="shared" si="464"/>
        <v/>
      </c>
      <c r="DF83" s="1270" t="str">
        <f t="shared" si="465"/>
        <v/>
      </c>
      <c r="DG83" s="1270" t="str">
        <f t="shared" si="466"/>
        <v/>
      </c>
      <c r="DH83" s="1270" t="str">
        <f t="shared" si="467"/>
        <v/>
      </c>
      <c r="DI83" s="1271" t="str">
        <f t="shared" si="468"/>
        <v/>
      </c>
      <c r="DJ83" s="286" t="str">
        <f t="shared" si="469"/>
        <v/>
      </c>
      <c r="DK83" s="286" t="str">
        <f t="shared" si="470"/>
        <v/>
      </c>
      <c r="DL83" s="1264" t="str">
        <f t="shared" si="471"/>
        <v/>
      </c>
      <c r="DM83" s="1264" t="str">
        <f t="shared" si="472"/>
        <v/>
      </c>
      <c r="DN83" s="1264" t="str">
        <f t="shared" si="473"/>
        <v/>
      </c>
      <c r="DO83" s="1264" t="str">
        <f t="shared" si="474"/>
        <v/>
      </c>
      <c r="DP83" s="323" t="str">
        <f t="shared" si="368"/>
        <v/>
      </c>
      <c r="DQ83" s="444" t="str">
        <f>IF(A83=FALSE,"",Cotations!BW83)</f>
        <v/>
      </c>
      <c r="DR83" s="444" t="str">
        <f>IF(A83=FALSE,"",Cotations!BX83)</f>
        <v/>
      </c>
      <c r="DS83" s="433" t="str">
        <f>IF(A83=FALSE,"",Cotations!BY83)</f>
        <v/>
      </c>
      <c r="DT83" s="830" t="str">
        <f>IF(A83=FALSE,"",IF(DQ83="N/A",0,IF(INDEX(LISTES!$F$105:$F$109,MATCH(DQ83,LISTES!$C$105:$C$109,0))="FIX",IF(INDEX(LISTES!$E$105:$E$109,MATCH(DQ83,LISTES!$C$105:$C$109,0))=12,DR83/12*L83,DR83/365*M83),DS83*(DN83+DO83))))</f>
        <v/>
      </c>
      <c r="DU83" s="434" t="str">
        <f>IF(A83=FALSE,"",DJ83*Cotations!BZ83)</f>
        <v/>
      </c>
      <c r="DV83" s="434" t="str">
        <f>IF(A83=FALSE,"",DJ83*Cotations!CA83)</f>
        <v/>
      </c>
      <c r="EA83" s="432" t="str">
        <f>IF(A83=FALSE,"",Cotations!AT83)</f>
        <v/>
      </c>
      <c r="EB83" s="1234" t="str">
        <f>IF(A83=FALSE,"",YEAR(Detail!F83)&amp;Detail!AG83&amp;Detail!AD83&amp;"-"&amp;Detail!$AD$13&amp;Detail!AE83)</f>
        <v/>
      </c>
      <c r="EC83" s="434" t="str">
        <f>IF(A83=FALSE,"",IF(LISTES!$A$17=1,EB83,INDEX(colMOD1,MATCH(Cotations!AH83,colchoice,0))))</f>
        <v/>
      </c>
      <c r="ED83" s="277" t="str">
        <f t="shared" si="369"/>
        <v/>
      </c>
      <c r="EE83" s="277" t="str">
        <f t="shared" si="370"/>
        <v/>
      </c>
      <c r="EF83" s="277"/>
      <c r="EG83" s="277"/>
      <c r="EH83" s="277" t="str">
        <f t="shared" si="371"/>
        <v/>
      </c>
      <c r="EI83" s="1104" t="str">
        <f t="shared" si="372"/>
        <v/>
      </c>
      <c r="EJ83" s="1104" t="str">
        <f t="shared" si="373"/>
        <v/>
      </c>
      <c r="EK83" s="443" t="str">
        <f>IF(A83=FALSE,"",IF(Cotations!AF83="monthly",EH83/12*L83,EH83/365*M83))</f>
        <v/>
      </c>
      <c r="EL83" s="1103" t="str">
        <f>IF(A83=FALSE,"",IF(Cotations!AF83="monthly",EJ83/12*L83,EJ83/365*M83))</f>
        <v/>
      </c>
      <c r="EM83" s="433" t="str">
        <f>IF(A83=FALSE,"",IF(Cotations!AI83="","",Cotations!AI83))</f>
        <v/>
      </c>
      <c r="EN83" s="277" t="str">
        <f t="shared" si="374"/>
        <v/>
      </c>
      <c r="EO83" s="277" t="str">
        <f t="shared" si="375"/>
        <v/>
      </c>
      <c r="EP83" s="1104" t="str">
        <f t="shared" si="376"/>
        <v/>
      </c>
      <c r="EQ83" s="277" t="str">
        <f t="shared" si="377"/>
        <v/>
      </c>
      <c r="ER83" s="759" t="str">
        <f>IF(A83=FALSE,"",((EH83*TAXE)-(EH83*TAXE*EM83)+EI83)+IF(CQ83="N/A",0,IF(INDEX(LISTES!$F$105:$F$109,MATCH(CQ83,LISTES!$C$105:$C$109,0))="FIX",CR83,CS83*EQ83)))</f>
        <v/>
      </c>
      <c r="ET83" s="422"/>
      <c r="EU83" s="422"/>
      <c r="EV83" s="422"/>
      <c r="EW83" s="422"/>
      <c r="EX83" s="422"/>
      <c r="EY83" s="422"/>
      <c r="EZ83" s="422"/>
      <c r="FA83" s="432" t="str">
        <f>IF(A83=FALSE,"",Cotations!AT83)</f>
        <v/>
      </c>
      <c r="FB83" s="1235" t="str">
        <f>IF(A83=FALSE,"",IF(Detail!AL83="","N/A",YEAR(Detail!F83)&amp;Detail!AO83&amp;Detail!AL83&amp;"-"&amp;Detail!$AL$13&amp;Detail!AM83))</f>
        <v/>
      </c>
      <c r="FC83" s="434" t="str">
        <f>IF(A83=FALSE,"",IF(LISTES!$A$17=1,FB83,INDEX(colMOD2,MATCH(Cotations!AH83,colchoice,0))))</f>
        <v/>
      </c>
      <c r="FD83" s="277" t="str">
        <f t="shared" si="378"/>
        <v/>
      </c>
      <c r="FE83" s="443" t="str">
        <f>IF(A83=FALSE,"",IF(Detail!AM83="","",Detail!AM83))</f>
        <v/>
      </c>
      <c r="FF83" s="277"/>
      <c r="FG83" s="277"/>
      <c r="FH83" s="277" t="str">
        <f t="shared" si="379"/>
        <v/>
      </c>
      <c r="FI83" s="1104"/>
      <c r="FJ83" s="1104"/>
      <c r="FK83" s="443" t="str">
        <f>IF(A83=FALSE,"",IF(Cotations!AF83="monthly",FH83/12*L83,FH83/365*M83))</f>
        <v/>
      </c>
      <c r="FL83" s="1103" t="str">
        <f>IF(A83=FALSE,"",IF(Cotations!AF83="monthly",FJ83/12*L83,FJ83/365*M83))</f>
        <v/>
      </c>
      <c r="FM83" s="433" t="str">
        <f>IF(A83=FALSE,"",IF(Cotations!AJ83="","",Cotations!AJ83))</f>
        <v/>
      </c>
      <c r="FN83" s="277" t="str">
        <f t="shared" si="475"/>
        <v/>
      </c>
      <c r="FO83" s="277" t="str">
        <f t="shared" si="476"/>
        <v/>
      </c>
      <c r="FP83" s="1104"/>
      <c r="FQ83" s="277" t="str">
        <f t="shared" si="477"/>
        <v/>
      </c>
      <c r="FR83" s="759" t="str">
        <f>IF(A83=FALSE,"",((FH83*TAXE)-(FH83*TAXE*FM83))+IF(#REF!="N/A",0,IF(INDEX(LISTES!$F$105:$F$109,MATCH(#REF!,LISTES!$C$105:$C$109,0))="FIX",#REF!,#REF!*FQ83)))</f>
        <v/>
      </c>
      <c r="FS83" s="422"/>
      <c r="FT83" s="422"/>
      <c r="FU83" s="422"/>
      <c r="FV83" s="422"/>
      <c r="FW83" s="422"/>
      <c r="FX83" s="422"/>
      <c r="FY83" s="422"/>
      <c r="FZ83" s="422"/>
      <c r="GA83" s="432" t="str">
        <f t="shared" si="380"/>
        <v/>
      </c>
      <c r="GB83" s="1234" t="str">
        <f>IF(A83=FALSE,"",IF(Detail!DF83="","N/A",YEAR(Detail!F83)&amp;Detail!DI83&amp;Detail!DF83&amp;"-"&amp;Detail!$DF$13))</f>
        <v/>
      </c>
      <c r="GC83" s="434" t="str">
        <f>IF(A83=FALSE,"",IF(LISTES!$A$17=1,GB83,INDEX(colMOD3,MATCH(Cotations!AH83,colchoice,0))))</f>
        <v/>
      </c>
      <c r="GD83" s="277" t="str">
        <f t="shared" si="381"/>
        <v/>
      </c>
      <c r="GE83" s="277" t="str">
        <f t="shared" si="382"/>
        <v/>
      </c>
      <c r="GF83" s="277"/>
      <c r="GG83" s="277"/>
      <c r="GH83" s="277" t="str">
        <f t="shared" si="478"/>
        <v/>
      </c>
      <c r="GI83" s="1104" t="str">
        <f t="shared" si="479"/>
        <v/>
      </c>
      <c r="GJ83" s="1104" t="str">
        <f t="shared" si="480"/>
        <v/>
      </c>
      <c r="GK83" s="443" t="str">
        <f>IF(A83=FALSE,"",IF(Cotations!AF83="monthly",GH83/12*L83,GH83/365*M83))</f>
        <v/>
      </c>
      <c r="GL83" s="1103" t="str">
        <f>IF(A83=FALSE,"",IF(Cotations!AF83="monthly",GJ83/12*L83,GJ83/365*M83))</f>
        <v/>
      </c>
      <c r="GM83" s="433" t="str">
        <f>IF(A83=FALSE,"",IF(Cotations!AK83="","",Cotations!AK83))</f>
        <v/>
      </c>
      <c r="GN83" s="277" t="str">
        <f t="shared" si="481"/>
        <v/>
      </c>
      <c r="GO83" s="277" t="str">
        <f t="shared" si="482"/>
        <v/>
      </c>
      <c r="GP83" s="1104" t="str">
        <f t="shared" si="483"/>
        <v/>
      </c>
      <c r="GQ83" s="277" t="str">
        <f t="shared" si="484"/>
        <v/>
      </c>
      <c r="GR83" s="759" t="str">
        <f>IF(A83=FALSE,"",((GH83*TAXE)-(GH83*TAXE*GM83)+GI83)+IF(CQ83="N/A",0,IF(INDEX(LISTES!$F$105:$F$109,MATCH(CQ83,LISTES!$C$105:$C$109,0))="FIX",CR83,CS83*GQ83)))</f>
        <v/>
      </c>
      <c r="GS83" s="412"/>
      <c r="GT83" s="412"/>
      <c r="GU83" s="412"/>
      <c r="GV83" s="412"/>
      <c r="GW83" s="412"/>
      <c r="GX83" s="412"/>
      <c r="GY83" s="412"/>
      <c r="GZ83" s="412"/>
      <c r="HA83" s="432" t="str">
        <f t="shared" si="383"/>
        <v/>
      </c>
      <c r="HB83" s="1234" t="str">
        <f>IF(A83=FALSE,"",IF(Detail!DF83="","N/A",YEAR(Detail!F83)&amp;Detail!DI83&amp;Detail!DF83&amp;"-"&amp;Detail!$DF$13))</f>
        <v/>
      </c>
      <c r="HC83" s="434" t="str">
        <f>IF(A83=FALSE,"",IF(LISTES!$A$17=1,HB83,INDEX(colMOD4,MATCH(Cotations!AH83,colchoice,0))))</f>
        <v/>
      </c>
      <c r="HD83" s="277" t="str">
        <f t="shared" si="485"/>
        <v/>
      </c>
      <c r="HE83" s="277" t="str">
        <f t="shared" si="486"/>
        <v/>
      </c>
      <c r="HF83" s="277"/>
      <c r="HG83" s="277"/>
      <c r="HH83" s="277" t="str">
        <f t="shared" si="487"/>
        <v/>
      </c>
      <c r="HI83" s="1104" t="str">
        <f t="shared" si="488"/>
        <v/>
      </c>
      <c r="HJ83" s="1104" t="str">
        <f t="shared" si="489"/>
        <v/>
      </c>
      <c r="HK83" s="443" t="str">
        <f>IF(A83=FALSE,"",IF(Cotations!AF83="monthly",HH83/12*L83,HH83/365*M83))</f>
        <v/>
      </c>
      <c r="HL83" s="1103" t="str">
        <f>IF(A83=FALSE,"",IF(Cotations!AF83="monthly",HJ83/12*L83,HJ83/365*M83))</f>
        <v/>
      </c>
      <c r="HM83" s="433" t="str">
        <f>IF(A83=FALSE,"",IF(Cotations!AL83="","",Cotations!AL83))</f>
        <v/>
      </c>
      <c r="HN83" s="277" t="str">
        <f t="shared" si="490"/>
        <v/>
      </c>
      <c r="HO83" s="277" t="str">
        <f t="shared" si="491"/>
        <v/>
      </c>
      <c r="HP83" s="1104" t="str">
        <f t="shared" si="492"/>
        <v/>
      </c>
      <c r="HQ83" s="277" t="str">
        <f t="shared" si="493"/>
        <v/>
      </c>
      <c r="HR83" s="759" t="str">
        <f>IF(A83=FALSE,"",((HH83*TAXE)-(HH83*TAXE*HM83)+HI83)+IF(CQ83="N/A",0,IF(INDEX(LISTES!$F$105:$F$109,MATCH(CQ83,LISTES!$C$105:$C$109,0))="FIX",CR83,CS83*HQ83)))</f>
        <v/>
      </c>
      <c r="HS83" s="412"/>
      <c r="HT83" s="412"/>
      <c r="HU83" s="412"/>
      <c r="HV83" s="412"/>
      <c r="HW83" s="412"/>
      <c r="HX83" s="412"/>
      <c r="HY83" s="412"/>
      <c r="HZ83" s="1262"/>
      <c r="IA83" s="432" t="str">
        <f>IF(A83=FALSE,"",Cotations!AT83)</f>
        <v/>
      </c>
      <c r="IB83" s="1253" t="str">
        <f>IF(A83=FALSE,"",IF(Detail!AT83="","N/A",YEAR(Detail!F83)&amp;Detail!AW83&amp;Detail!AT83&amp;"-"&amp;Detail!$AT$13&amp;Detail!AU83))</f>
        <v/>
      </c>
      <c r="IC83" s="431" t="str">
        <f>IF(A83=FALSE,"",IF(LISTES!$A$17=1,IB83,INDEX(colMOD1,MATCH(DA83,colchoice,0))))</f>
        <v/>
      </c>
      <c r="ID83" s="759" t="str">
        <f t="shared" si="358"/>
        <v/>
      </c>
      <c r="IE83" s="292" t="str">
        <f>IF(A83=FALSE,"",IF(LISTES!$A$17=1,Detail!AU83,INDEX(Rates!$M$1:$M$270,MATCH(IC83,colMOD1,0))))</f>
        <v/>
      </c>
      <c r="IF83" s="409" t="str">
        <f t="shared" si="359"/>
        <v/>
      </c>
      <c r="IG83" s="430" t="str">
        <f>IF(A83=FALSE,"",IF(IA83="POEA",Cotations!AY83,IF(IA83="FIXE",Cotations!AZ83,IF(Cotations!BA83*Y83&lt;50000,Z83,Cotations!BA83*Y83))))</f>
        <v/>
      </c>
      <c r="IH83" s="292" t="str">
        <f t="shared" si="360"/>
        <v/>
      </c>
      <c r="II83" s="446" t="str">
        <f>IF(A83=FALSE,"",IF(Cotations!AU83="monthly",IH83/12*L83,IH83/365*M83))</f>
        <v/>
      </c>
      <c r="IJ83" s="429" t="str">
        <f>IF(A83=FALSE,"",IF(Cotations!BB83="","",Cotations!BB83))</f>
        <v/>
      </c>
      <c r="IK83" s="292" t="str">
        <f t="shared" si="361"/>
        <v/>
      </c>
      <c r="IL83" s="292" t="str">
        <f t="shared" si="362"/>
        <v/>
      </c>
      <c r="IM83" s="759" t="str">
        <f t="shared" si="363"/>
        <v/>
      </c>
      <c r="IN83" s="759" t="str">
        <f>IF(A83=FALSE,"",((IH83*TAXE)-(IH83*TAXE*IJ83))+IF(DQ83="N/A",0,IF(INDEX(LISTES!$F$105:$F$109,MATCH(DQ83,LISTES!$C$105:$C$109,0))="FIX",DR83,DS83*IM83)))</f>
        <v/>
      </c>
      <c r="JA83" s="432" t="str">
        <f>IF(A83=FALSE,"",Cotations!AT83)</f>
        <v/>
      </c>
      <c r="JB83" s="1234" t="str">
        <f>IF(A83=FALSE,"",IF(Detail!BB83="","N/A",YEAR(Detail!F83)&amp;Detail!BE83&amp;Detail!BB83&amp;"-"&amp;Detail!$BB$13&amp;Detail!BC83))</f>
        <v/>
      </c>
      <c r="JC83" s="431" t="str">
        <f>IF(A83=FALSE,"",IF(LISTES!$A$17=1,JB83,INDEX(colMOD2,MATCH(DA83,colchoice,0))))</f>
        <v/>
      </c>
      <c r="JD83" s="759" t="str">
        <f t="shared" si="384"/>
        <v/>
      </c>
      <c r="JE83" s="292"/>
      <c r="JF83" s="409" t="str">
        <f t="shared" si="385"/>
        <v/>
      </c>
      <c r="JG83" s="430" t="str">
        <f>IF(A83=FALSE,"",IF(JA83="POEA",Cotations!BC83,IF(JA83="FIXE",Cotations!BD83,IF(Cotations!BE83*Y83&lt;50000,Z83,Cotations!BE83*Y83))))</f>
        <v/>
      </c>
      <c r="JH83" s="292" t="str">
        <f t="shared" si="386"/>
        <v/>
      </c>
      <c r="JI83" s="446" t="str">
        <f>IF(A83=FALSE,"",IF(Cotations!AU83="monthly",JH83/12*L83,JH83/365*M83))</f>
        <v/>
      </c>
      <c r="JJ83" s="429" t="str">
        <f>IF(A83=FALSE,"",IF(Cotations!BF83="","",Cotations!BF83))</f>
        <v/>
      </c>
      <c r="JK83" s="292" t="str">
        <f t="shared" si="387"/>
        <v/>
      </c>
      <c r="JL83" s="292" t="str">
        <f t="shared" si="388"/>
        <v/>
      </c>
      <c r="JM83" s="759" t="str">
        <f t="shared" si="389"/>
        <v/>
      </c>
      <c r="JN83" s="759" t="str">
        <f>IF(A83=FALSE,"",((JH83*TAXE)-(JH83*TAXE*JJ83))+IF(#REF!="N/A",0,IF(INDEX(LISTES!$F$105:$F$109,MATCH(#REF!,LISTES!$C$105:$C$109,0))="FIX",#REF!,#REF!*JM83)))</f>
        <v/>
      </c>
      <c r="KA83" s="432" t="str">
        <f>IF(A83=FALSE,"",Cotations!AT83)</f>
        <v/>
      </c>
      <c r="KB83" s="1234" t="str">
        <f>IF(A83=FALSE,"",IF(Detail!BJ83="","N/A",YEAR(Detail!F83)&amp;Detail!BM83&amp;Detail!BJ83&amp;"-"&amp;Detail!$BJ$13&amp;Detail!BK83))</f>
        <v/>
      </c>
      <c r="KC83" s="431" t="str">
        <f>IF(A83=FALSE,"",IF(LISTES!$A$17=1,KB83,INDEX(colMOD3,MATCH(DA83,colchoice,0))))</f>
        <v/>
      </c>
      <c r="KD83" s="759" t="str">
        <f t="shared" si="390"/>
        <v/>
      </c>
      <c r="KE83" s="292"/>
      <c r="KF83" s="409" t="str">
        <f t="shared" si="391"/>
        <v/>
      </c>
      <c r="KG83" s="430" t="str">
        <f>IF(A83=FALSE,"",IF(KA83="POEA",Cotations!BG83,IF(KA83="FIXE",Cotations!BH83,IF(Cotations!BI83*Y83&lt;50000,Z83,Cotations!BI83*Y83))))</f>
        <v/>
      </c>
      <c r="KH83" s="292" t="str">
        <f t="shared" si="392"/>
        <v/>
      </c>
      <c r="KI83" s="446" t="str">
        <f>IF(A83=FALSE,"",IF(Cotations!AU83="monthly",KH83/12*L83,KH83/365*M83))</f>
        <v/>
      </c>
      <c r="KJ83" s="429" t="str">
        <f>IF(A83=FALSE,"",IF(Cotations!BJ83="","",Cotations!BJ83))</f>
        <v/>
      </c>
      <c r="KK83" s="292" t="str">
        <f t="shared" si="393"/>
        <v/>
      </c>
      <c r="KL83" s="292" t="str">
        <f t="shared" si="394"/>
        <v/>
      </c>
      <c r="KM83" s="759" t="str">
        <f t="shared" si="395"/>
        <v/>
      </c>
      <c r="KN83" s="759" t="str">
        <f>IF(A83=FALSE,"",((KH83*TAXE)-(KH83*TAXE*KJ83))+IF(#REF!="N/A",0,IF(INDEX(LISTES!$F$105:$F$109,MATCH(#REF!,LISTES!$C$105:$C$109,0))="FIX",#REF!,#REF!*KM83)))</f>
        <v/>
      </c>
      <c r="LA83" s="432" t="str">
        <f>IF(A83=FALSE,"",Cotations!AT83)</f>
        <v/>
      </c>
      <c r="LB83" s="1234" t="str">
        <f>IF(A83=FALSE,"",IF(Detail!BR83="","N/A",YEAR(Detail!F83)&amp;Detail!BU83&amp;Detail!BR83&amp;"-"&amp;Detail!$BR$13&amp;Detail!BS83))</f>
        <v/>
      </c>
      <c r="LC83" s="431" t="str">
        <f>IF(A83=FALSE,"",IF(LISTES!$A$17=1,LB83,INDEX(colMOD4,MATCH(DA83,colchoice,0))))</f>
        <v/>
      </c>
      <c r="LD83" s="759" t="str">
        <f t="shared" si="396"/>
        <v/>
      </c>
      <c r="LE83" s="292"/>
      <c r="LF83" s="409" t="str">
        <f t="shared" si="397"/>
        <v/>
      </c>
      <c r="LG83" s="430" t="str">
        <f>IF(A83=FALSE,"",IF(LA83="POEA",Cotations!BK83,IF(LA83="FIXE",Cotations!BL83,IF(Cotations!BM83*Y83&lt;50000,Z83,Cotations!BM83*Y83))))</f>
        <v/>
      </c>
      <c r="LH83" s="292" t="str">
        <f t="shared" si="398"/>
        <v/>
      </c>
      <c r="LI83" s="446" t="str">
        <f>IF(A83=FALSE,"",IF(Cotations!AU83="monthly",LH83/12*L83,LH83/365*M83))</f>
        <v/>
      </c>
      <c r="LJ83" s="429" t="str">
        <f>IF(A83=FALSE,"",IF(Cotations!BN83="","",Cotations!BN83))</f>
        <v/>
      </c>
      <c r="LK83" s="292" t="str">
        <f t="shared" si="399"/>
        <v/>
      </c>
      <c r="LL83" s="292" t="str">
        <f t="shared" si="400"/>
        <v/>
      </c>
      <c r="LM83" s="759" t="str">
        <f t="shared" si="401"/>
        <v/>
      </c>
      <c r="LN83" s="759" t="str">
        <f>IF(A83=FALSE,"",((LH83*TAXE)-(LH83*TAXE*LJ83))+IF(#REF!="N/A",0,IF(INDEX(LISTES!$F$105:$F$109,MATCH(#REF!,LISTES!$C$105:$C$109,0))="FIX",#REF!,#REF!*LM83)))</f>
        <v/>
      </c>
      <c r="MA83" s="432" t="str">
        <f t="shared" si="402"/>
        <v/>
      </c>
      <c r="MB83" s="1234" t="str">
        <f>IF(A83=FALSE,"",IF(Detail!BZ83="","N/A",YEAR(Detail!F83)&amp;Detail!CC83&amp;Detail!BZ83&amp;"-"&amp;Detail!$BZ$13&amp;" (100%/"&amp;Detail!CD83&amp;"/"&amp;Detail!CE83&amp;")"))</f>
        <v/>
      </c>
      <c r="MC83" s="431" t="str">
        <f>IF(A83=FALSE,"",IF(LISTES!$A$17=1,MB83,INDEX(colMOD5,MATCH(DA83,colchoice,0))))</f>
        <v/>
      </c>
      <c r="MD83" s="759" t="str">
        <f t="shared" si="403"/>
        <v/>
      </c>
      <c r="ME83" s="292"/>
      <c r="MF83" s="409" t="str">
        <f t="shared" si="404"/>
        <v/>
      </c>
      <c r="MG83" s="430" t="str">
        <f>IF(A83=FALSE,"",Cotations!BQ83*AA83)</f>
        <v/>
      </c>
      <c r="MH83" s="292" t="str">
        <f t="shared" si="405"/>
        <v/>
      </c>
      <c r="MI83" s="446" t="str">
        <f>IF(A83=FALSE,"",IF(Cotations!AU83="monthly",MH83/12*L83,MH83/365*M83))</f>
        <v/>
      </c>
      <c r="MJ83" s="429" t="str">
        <f>IF(A83=FALSE,"",IF(Cotations!BR83="","",Cotations!BR83))</f>
        <v/>
      </c>
      <c r="MK83" s="292" t="str">
        <f t="shared" si="406"/>
        <v/>
      </c>
      <c r="ML83" s="292" t="str">
        <f t="shared" si="407"/>
        <v/>
      </c>
      <c r="MM83" s="759" t="str">
        <f t="shared" si="408"/>
        <v/>
      </c>
      <c r="MN83" s="759" t="str">
        <f>IF(A83=FALSE,"",((MH83*TAXE)-(MH83*TAXE*MJ83))+IF(#REF!="N/A",0,IF(INDEX(LISTES!$F$105:$F$109,MATCH(#REF!,LISTES!$C$105:$C$109,0))="FIX",#REF!,#REF!*MM83)))</f>
        <v/>
      </c>
      <c r="NA83" s="432" t="str">
        <f t="shared" si="409"/>
        <v/>
      </c>
      <c r="NB83" s="1234" t="str">
        <f>IF(A83=FALSE,"",IF(Detail!CH83="","N/A",YEAR(Detail!F83)&amp;Detail!CK83&amp;Detail!CH83&amp;"-"&amp;Detail!$CH$13&amp;" (100%/"&amp;Detail!CL83&amp;"/"&amp;Detail!CM83&amp;")"))</f>
        <v/>
      </c>
      <c r="NC83" s="431" t="str">
        <f>IF(A83=FALSE,"",IF(LISTES!$A$17=1,NB83,INDEX(colMOD6,MATCH(DA83,colchoice,0))))</f>
        <v/>
      </c>
      <c r="ND83" s="759" t="str">
        <f t="shared" si="410"/>
        <v/>
      </c>
      <c r="NE83" s="292"/>
      <c r="NF83" s="409" t="str">
        <f t="shared" si="411"/>
        <v/>
      </c>
      <c r="NG83" s="430" t="str">
        <f>IF(A83=FALSE,"",Cotations!BU83*AA83)</f>
        <v/>
      </c>
      <c r="NH83" s="292" t="str">
        <f t="shared" si="412"/>
        <v/>
      </c>
      <c r="NI83" s="446" t="str">
        <f>IF(A83=FALSE,"",IF(Cotations!AU83="monthly",NH83/12*L83,NH83/365*M83))</f>
        <v/>
      </c>
      <c r="NJ83" s="429" t="str">
        <f>IF(A83=FALSE,"",IF(Cotations!BV83="","",Cotations!BV83))</f>
        <v/>
      </c>
      <c r="NK83" s="292" t="str">
        <f t="shared" si="413"/>
        <v/>
      </c>
      <c r="NL83" s="292" t="str">
        <f t="shared" si="414"/>
        <v/>
      </c>
      <c r="NM83" s="759" t="str">
        <f t="shared" si="415"/>
        <v/>
      </c>
      <c r="NN83" s="759" t="str">
        <f>IF(A83=FALSE,"",((NH83*TAXE)-(NH83*TAXE*NJ83))+IF(#REF!="N/A",0,IF(INDEX(LISTES!$F$105:$F$109,MATCH(#REF!,LISTES!$C$105:$C$109,0))="FIX",#REF!,#REF!*NM83)))</f>
        <v/>
      </c>
      <c r="NZ83" s="1281" t="str">
        <f>IF(A83=FALSE,"",IF(Detail!CP83="","N/A",YEAR(Detail!F83)&amp;Detail!CS83&amp;Detail!CP83&amp;"-"&amp;Detail!CQ83))</f>
        <v/>
      </c>
      <c r="OA83" s="432" t="str">
        <f>IF(A83=FALSE,"",Cotations!CF83)</f>
        <v/>
      </c>
      <c r="OB83" s="1282" t="str">
        <f>IF(A83=FALSE,"",IF(Detail!CP83="","N/A",YEAR(Detail!F83)&amp;Detail!CS83&amp;Detail!CP83&amp;"-"&amp;Detail!$CP$13&amp;Detail!CQ83))</f>
        <v/>
      </c>
      <c r="OC83" s="1283" t="str">
        <f>IF(A83=FALSE,"",IF(LISTES!$A$17=1,OB83,INDEX(colMOD1,MATCH(Cotations!CE83,colchoice,0))))</f>
        <v/>
      </c>
      <c r="OD83" s="759" t="str">
        <f t="shared" si="416"/>
        <v/>
      </c>
      <c r="OE83" s="292" t="str">
        <f>IF(A83=FALSE,"",Detail!CQ83)</f>
        <v/>
      </c>
      <c r="OF83" s="409" t="str">
        <f t="shared" si="417"/>
        <v/>
      </c>
      <c r="OG83" s="430" t="str">
        <f>IF(A83=FALSE,"",IF(OA83="FIXE",Cotations!CM83,Cotations!CN83*AA83))</f>
        <v/>
      </c>
      <c r="OH83" s="292" t="str">
        <f t="shared" si="494"/>
        <v/>
      </c>
      <c r="OI83" s="446" t="str">
        <f>IF(A83=FALSE,"",IF(Cotations!CF83="monthly",OH83/12*L83,OH83/365*M83))</f>
        <v/>
      </c>
      <c r="OJ83" s="429" t="str">
        <f>IF(A83=FALSE,"",IF(Cotations!CO83="","",Cotations!CO83))</f>
        <v/>
      </c>
      <c r="OK83" s="292" t="str">
        <f t="shared" si="495"/>
        <v/>
      </c>
      <c r="OL83" s="292" t="str">
        <f t="shared" si="496"/>
        <v/>
      </c>
      <c r="OM83" s="759" t="str">
        <f t="shared" si="418"/>
        <v/>
      </c>
      <c r="ON83" s="759" t="str">
        <f>IF(A83=FALSE,"",((OH83*(1+TAXE)-(OH83*(1+TAXE)*OJ83))+IF(#REF!="N/A",0,IF(INDEX(LISTES!$F$105:$F$109,MATCH(#REF!,LISTES!$C$105:$C$109,0))="FIX",#REF!,#REF!*OM83))))</f>
        <v/>
      </c>
      <c r="PA83" s="432" t="str">
        <f>IF(A83=FALSE,"",Cotations!CF83)</f>
        <v/>
      </c>
      <c r="PB83" s="1282" t="str">
        <f>IF(A83=FALSE,"",IF(Detail!CX83="","N/A",YEAR(Detail!F83)&amp;Detail!DA83&amp;Detail!CX83&amp;"-"&amp;Detail!$CX$13&amp;Detail!CY83))</f>
        <v/>
      </c>
      <c r="PC83" s="1283" t="str">
        <f>IF(A83=FALSE,"",IF(LISTES!$A$17=1,PB83,INDEX(colMOD3,MATCH(Cotations!CE83,colchoice,0))))</f>
        <v/>
      </c>
      <c r="PD83" s="759" t="str">
        <f t="shared" si="419"/>
        <v/>
      </c>
      <c r="PE83" s="292" t="str">
        <f>IF(A83=FALSE,"",IF(Detail!CY83="","",Detail!CY83))</f>
        <v/>
      </c>
      <c r="PF83" s="409" t="str">
        <f t="shared" si="497"/>
        <v/>
      </c>
      <c r="PG83" s="430" t="str">
        <f>IF(A83=FALSE,"",IF(PA83="FIXE",Cotations!CP83,Cotations!CQ83*AA83))</f>
        <v/>
      </c>
      <c r="PH83" s="292" t="str">
        <f t="shared" si="498"/>
        <v/>
      </c>
      <c r="PI83" s="446" t="str">
        <f>IF(A83=FALSE,"",IF(Cotations!CG83="monthly",PH83/12*L83,PH83/365*M83))</f>
        <v/>
      </c>
      <c r="PJ83" s="429" t="str">
        <f>IF(A83=FALSE,"",IF(Cotations!DA83="",0,Cotations!DA83))</f>
        <v/>
      </c>
      <c r="PK83" s="292" t="str">
        <f t="shared" si="499"/>
        <v/>
      </c>
      <c r="PL83" s="292" t="str">
        <f t="shared" si="500"/>
        <v/>
      </c>
      <c r="PM83" s="759" t="str">
        <f t="shared" si="420"/>
        <v/>
      </c>
      <c r="PN83" s="759" t="str">
        <f>IF(A83=FALSE,"",((PH83*(1+TAXE)-(PH83*(1+TAXE)*PJ83))+IF(#REF!="N/A",0,IF(INDEX(LISTES!$F$105:$F$109,MATCH(#REF!,LISTES!$C$105:$C$109,0))="FIX",#REF!,#REF!*PM83))))</f>
        <v/>
      </c>
    </row>
    <row r="84" spans="1:430">
      <c r="A84" s="779" t="b">
        <f t="shared" si="364"/>
        <v>0</v>
      </c>
      <c r="B84" s="779" t="b">
        <f>IF(NAMES!$B$9=TRUE,TRUE,FALSE)</f>
        <v>1</v>
      </c>
      <c r="C84" s="779" t="b">
        <f t="shared" si="421"/>
        <v>0</v>
      </c>
      <c r="D84" s="779" t="b">
        <f t="shared" si="422"/>
        <v>0</v>
      </c>
      <c r="E84" s="267" t="b">
        <f>IF(Cotations!C84="","",Cotations!C84)</f>
        <v>0</v>
      </c>
      <c r="F84" s="267" t="str">
        <f>IF(Cotations!AT84="","",Cotations!AT84)</f>
        <v>PROP</v>
      </c>
      <c r="G84" s="267" t="str">
        <f>IF(Cotations!D84="","",Cotations!D84)</f>
        <v>2016-2017!</v>
      </c>
      <c r="H84" s="267" t="str">
        <f>IF(Cotations!E84="","",Cotations!E84)</f>
        <v>SINGLE</v>
      </c>
      <c r="I84" s="267" t="str">
        <f>IF(Cotations!F84="","",Cotations!F84)</f>
        <v/>
      </c>
      <c r="J84" s="267" t="str">
        <f>IF(Cotations!G84="","",Cotations!G84)</f>
        <v/>
      </c>
      <c r="K84" s="267" t="str">
        <f>IF(Cotations!H84="","",Cotations!H84)</f>
        <v/>
      </c>
      <c r="L84" s="267" t="str">
        <f>IF(A84=FALSE,"",IF(Cotations!M84="","",Cotations!M84))</f>
        <v/>
      </c>
      <c r="M84" s="267" t="str">
        <f>IF(Cotations!O84="","",Cotations!O84)</f>
        <v/>
      </c>
      <c r="N84" s="588" t="str">
        <f>IF(NAMES!$B$10=TRUE,Cotations!I84,Cotations!K84)</f>
        <v/>
      </c>
      <c r="O84" s="588" t="str">
        <f>IF(NAMES!$B$10=TRUE,Cotations!J84,Cotations!L84)</f>
        <v/>
      </c>
      <c r="P84" s="780" t="str">
        <f t="shared" si="423"/>
        <v/>
      </c>
      <c r="Q84" s="588" t="str">
        <f>IF(A84=FALSE,"",IF(Crewlist!Y84="","",Crewlist!Y84))</f>
        <v/>
      </c>
      <c r="R84" s="78" t="str">
        <f>IF(Cotations!T84="","",Cotations!T84)</f>
        <v/>
      </c>
      <c r="S84" s="780" t="str">
        <f t="shared" si="424"/>
        <v/>
      </c>
      <c r="T84" s="759" t="str">
        <f>IF(A84=FALSE,"",VLOOKUP($U$15:$U$120,Currency!$A$2:$D$10,4,0)*Crewlist!N84)</f>
        <v/>
      </c>
      <c r="U84" s="1097" t="str">
        <f>IF(A84=FALSE,"",IF(DP84=0,Crewlist!M84&amp;"/"&amp;CP84,Crewlist!M84&amp;"/"&amp;DP84))</f>
        <v/>
      </c>
      <c r="V84" s="759" t="str">
        <f>IF(A84=FALSE,"",VLOOKUP($U$15:$U$120,Currency!$A$2:$D$10,4,0)*Detail!Q84)</f>
        <v/>
      </c>
      <c r="W84" s="1097" t="str">
        <f>IF(A84=FALSE,"",IF(DP84=0,Detail!R84&amp;"/"&amp;CP84,Detail!R84&amp;"/"&amp;DP84))</f>
        <v/>
      </c>
      <c r="X84" s="759" t="str">
        <f>IF(A84=FALSE,"",IF(LISTES!$C$17="Crewlist",Calcul!T84,Calcul!V84))</f>
        <v/>
      </c>
      <c r="Y84" s="618" t="str">
        <f t="shared" si="425"/>
        <v/>
      </c>
      <c r="Z84" s="618" t="str">
        <f>IF(A84=FALSE,"",IF(X84=0,0,IF((Cotations!BA84*12*X84)&lt;50000,50000,(12*X84))))</f>
        <v/>
      </c>
      <c r="AA84" s="618" t="str">
        <f t="shared" si="426"/>
        <v/>
      </c>
      <c r="AB84" s="618" t="str">
        <f>IF(A84=FALSE,"",IF(Crewlist!O84=0,"",Crewlist!O84))</f>
        <v/>
      </c>
      <c r="AC84" s="618" t="str">
        <f>IF(I84="","",VLOOKUP($AB$15:$AB$120,Currency!$A$15:$B$34,2,0))</f>
        <v/>
      </c>
      <c r="AD84" s="618" t="str">
        <f t="shared" si="427"/>
        <v/>
      </c>
      <c r="AE84" s="618" t="str">
        <f t="shared" si="428"/>
        <v/>
      </c>
      <c r="AF84" s="618" t="str">
        <f t="shared" si="429"/>
        <v/>
      </c>
      <c r="AG84" s="618" t="str">
        <f t="shared" si="430"/>
        <v/>
      </c>
      <c r="AH84" s="1097" t="str">
        <f t="shared" si="365"/>
        <v/>
      </c>
      <c r="AI84" s="759" t="str">
        <f t="shared" si="431"/>
        <v/>
      </c>
      <c r="AJ84" s="1120" t="str">
        <f t="shared" si="432"/>
        <v/>
      </c>
      <c r="AK84" s="1120" t="str">
        <f t="shared" si="433"/>
        <v/>
      </c>
      <c r="AL84" s="236" t="str">
        <f t="shared" si="434"/>
        <v/>
      </c>
      <c r="AM84" s="236" t="str">
        <f t="shared" si="435"/>
        <v/>
      </c>
      <c r="AN84" s="1112" t="str">
        <f t="shared" si="436"/>
        <v/>
      </c>
      <c r="AO84" s="236" t="str">
        <f t="shared" si="437"/>
        <v/>
      </c>
      <c r="AP84" s="327" t="str">
        <f>IF(A84=FALSE,"",INDEX(Rates!$Q$1:$Q$278,MATCH(CA84,colchoice,0)))</f>
        <v/>
      </c>
      <c r="AQ84" s="236" t="str">
        <f t="shared" si="438"/>
        <v/>
      </c>
      <c r="AR84" s="236" t="str">
        <f t="shared" si="439"/>
        <v/>
      </c>
      <c r="AS84" s="236" t="str">
        <f t="shared" si="366"/>
        <v/>
      </c>
      <c r="AT84" s="236" t="str">
        <f t="shared" si="367"/>
        <v/>
      </c>
      <c r="AU84" s="236" t="str">
        <f t="shared" si="440"/>
        <v/>
      </c>
      <c r="AV84" s="236" t="str">
        <f t="shared" si="441"/>
        <v/>
      </c>
      <c r="AW84" s="236" t="str">
        <f t="shared" si="442"/>
        <v/>
      </c>
      <c r="AX84" s="236" t="str">
        <f t="shared" si="443"/>
        <v/>
      </c>
      <c r="AY84" s="236" t="str">
        <f t="shared" si="444"/>
        <v/>
      </c>
      <c r="AZ84" s="236" t="str">
        <f t="shared" si="445"/>
        <v/>
      </c>
      <c r="BA84" s="236" t="str">
        <f t="shared" si="446"/>
        <v/>
      </c>
      <c r="BB84" s="467" t="str">
        <f t="shared" si="447"/>
        <v/>
      </c>
      <c r="BC84" s="329" t="str">
        <f t="shared" si="448"/>
        <v/>
      </c>
      <c r="BD84" s="237" t="str">
        <f t="shared" si="449"/>
        <v/>
      </c>
      <c r="BE84" s="237" t="str">
        <f>IF(A84=FALSE,"",IF(ED84&lt;&gt;$BC$7,0,INDEX(EA84:EZ84,1,MATCH(Structure!$J$16,$EA$14:$EZ$14,0))))</f>
        <v/>
      </c>
      <c r="BF84" s="237" t="str">
        <f>IF(A84=FALSE,"",IF(FD84&lt;&gt;$BC$7,0,INDEX(FA84:FZ84,1,MATCH(Structure!$J$16,$FA$14:$FZ$14,0))))</f>
        <v/>
      </c>
      <c r="BG84" s="237" t="str">
        <f>IF(A84=FALSE,"",IF(GD84&lt;&gt;$BC$7,0,INDEX(GA84:GZ84,1,MATCH(Structure!$J$16,$GA$14:$GZ$14,0))))</f>
        <v/>
      </c>
      <c r="BH84" s="237" t="str">
        <f>IF(A84=FALSE,"",IF(HD84&lt;&gt;$BC$7,0,INDEX(HA84:HZ84,1,MATCH(Structure!$J$16,$HA$14:$HZ$14,0))))</f>
        <v/>
      </c>
      <c r="BI84" s="621" t="str">
        <f>IF(A84=FALSE,"",IF(ID84&lt;&gt;$BC$7,0,INDEX(IA84:IZ84,1,MATCH(Structure!$C$12,$IA$14:$IZ$14,0)))+OL84)</f>
        <v/>
      </c>
      <c r="BJ84" s="237" t="str">
        <f>IF(A84=FALSE,"",IF(JD84&lt;&gt;$BC$7,0,INDEX(JA84:JZ84,1,MATCH(Structure!$C$12,$JA$14:$JZ$14,0))))</f>
        <v/>
      </c>
      <c r="BK84" s="621" t="str">
        <f>IF(A84=FALSE,"",IF(KD84&lt;&gt;$BC$7,0,INDEX(KA84:KZ84,1,MATCH(Structure!$C$12,$KA$14:$KZ$14,0)))+PL84)</f>
        <v/>
      </c>
      <c r="BL84" s="237" t="str">
        <f>IF(A84=FALSE,"",IF(LD84&lt;&gt;$BC$7,0,INDEX(LA84:LZ84,1,MATCH(Structure!$C$12,$LA$14:$LZ$14,0))))</f>
        <v/>
      </c>
      <c r="BM84" s="237" t="str">
        <f>IF(A84=FALSE,"",IF(MD84&lt;&gt;$BC$7,0,INDEX(MA84:MZ84,1,MATCH(Structure!$C$12,$MA$14:$MZ$14,0))))</f>
        <v/>
      </c>
      <c r="BN84" s="326" t="str">
        <f>IF(A84=FALSE,"",IF(ND84&lt;&gt;$BC$7,0,INDEX(NA84:OC84,1,MATCH(Structure!$C$12,$NA$14:$OC$14,0))))</f>
        <v/>
      </c>
      <c r="BO84" s="435" t="str">
        <f t="shared" si="450"/>
        <v/>
      </c>
      <c r="BP84" s="237" t="str">
        <f t="shared" si="451"/>
        <v/>
      </c>
      <c r="BQ84" s="237" t="str">
        <f>IF(A84=FALSE,"",IF(ED84&lt;&gt;$BO$7,0,INDEX(EA84:EZ84,1,MATCH(Structure!$C$12,$EA$14:$EZ$14,0))))</f>
        <v/>
      </c>
      <c r="BR84" s="237" t="str">
        <f>IF(A84=FALSE,"",IF(FD84&lt;&gt;$BO$7,0,INDEX(FA84:FZ84,1,MATCH(Structure!$C$12,$FA$14:$FZ$14,0))))</f>
        <v/>
      </c>
      <c r="BS84" s="237" t="str">
        <f>IF(A84=FALSE,"",IF(ID84&lt;&gt;$BO$7,0,INDEX(IA84:IZ84,1,MATCH(Structure!$C$13,$IA$14:$IZ$14,0))))</f>
        <v/>
      </c>
      <c r="BT84" s="237" t="str">
        <f>IF(A84=FALSE,"",IF(JD84&lt;&gt;$BO$7,0,INDEX(JA84:JZ84,1,MATCH(Structure!$C$13,$JA$14:$JZ$14,0))))</f>
        <v/>
      </c>
      <c r="BU84" s="237" t="str">
        <f>IF(A84=FALSE,"",IF(KD84&lt;&gt;$BO$7,0,INDEX(KA84:KZ84,1,MATCH(Structure!$C$13,$KA$14:$KZ$14,0))))</f>
        <v/>
      </c>
      <c r="BV84" s="237" t="str">
        <f>IF(A84=FALSE,"",IF(LD84&lt;&gt;$BO$7,0,INDEX(LA84:LZ84,1,MATCH(Structure!$C$13,$LA$14:$LZ$14,0))))</f>
        <v/>
      </c>
      <c r="BW84" s="237" t="str">
        <f>IF(A84=FALSE,"",IF(MD84&lt;&gt;$BO$7,0,INDEX(MA84:MZ84,1,MATCH(Structure!$C$13,$MA$14:$MZ$14,0))))</f>
        <v/>
      </c>
      <c r="BX84" s="326" t="str">
        <f>IF(A84=FALSE,"",IF(ND84&lt;&gt;$BO$7,0,INDEX(NA84:OC84,1,MATCH(Structure!$C$13,$NA$14:$OC$14,0))))</f>
        <v/>
      </c>
      <c r="BY84" s="412"/>
      <c r="BZ84" s="412"/>
      <c r="CA84" s="1255" t="str">
        <f>IF(A84=FALSE,"",IF(LISTES!$A$17=1,Cotations!AG84,Cotations!AH84))</f>
        <v/>
      </c>
      <c r="CB84" s="1266" t="str">
        <f t="shared" si="452"/>
        <v/>
      </c>
      <c r="CC84" s="1120" t="str">
        <f t="shared" si="453"/>
        <v/>
      </c>
      <c r="CD84" s="1120" t="str">
        <f t="shared" si="454"/>
        <v/>
      </c>
      <c r="CE84" s="1120" t="str">
        <f t="shared" si="455"/>
        <v/>
      </c>
      <c r="CF84" s="1120" t="str">
        <f t="shared" si="456"/>
        <v/>
      </c>
      <c r="CG84" s="1267"/>
      <c r="CH84" s="1267"/>
      <c r="CI84" s="1268" t="str">
        <f t="shared" si="457"/>
        <v/>
      </c>
      <c r="CJ84" s="286" t="str">
        <f t="shared" si="458"/>
        <v/>
      </c>
      <c r="CK84" s="286" t="str">
        <f t="shared" si="459"/>
        <v/>
      </c>
      <c r="CL84" s="1263"/>
      <c r="CM84" s="1263"/>
      <c r="CN84" s="1263"/>
      <c r="CO84" s="1263"/>
      <c r="CP84" s="319" t="str">
        <f t="shared" si="460"/>
        <v/>
      </c>
      <c r="CQ84" s="443" t="str">
        <f>IF(A84=FALSE,"",Cotations!AM84)</f>
        <v/>
      </c>
      <c r="CR84" s="443" t="str">
        <f>IF(A84=FALSE,"",IF(Cotations!AN84="","",Cotations!AN84))</f>
        <v/>
      </c>
      <c r="CS84" s="433" t="str">
        <f>IF(A84=FALSE,"",Cotations!AO84)</f>
        <v/>
      </c>
      <c r="CT84" s="443" t="str">
        <f>IF(A84=FALSE,"",IF(CQ84="N/A",0,IF(INDEX(LISTES!$F$105:$F$109,MATCH(CQ84,LISTES!$C$105:$C$109,0))="FIX",IF(INDEX(LISTES!$E$105:$E$109,MATCH(CQ84,LISTES!$C$105:$C$109,0))=12,CR84/12*L84,CR84/365*M84),CS84*EQ84)))</f>
        <v/>
      </c>
      <c r="CU84" s="434" t="str">
        <f>IF(A84=FALSE,"",(CJ84+CK84)*Cotations!AP84)</f>
        <v/>
      </c>
      <c r="CV84" s="434" t="str">
        <f>IF(A84=FALSE,"",(CJ84+CK84)*Cotations!AQ84)</f>
        <v/>
      </c>
      <c r="DA84" s="1253" t="str">
        <f>IF(A84=FALSE,"",IF(LISTES!$A$17=1,Cotations!AV84,Cotations!AW84))</f>
        <v/>
      </c>
      <c r="DB84" s="1271" t="str">
        <f t="shared" si="461"/>
        <v/>
      </c>
      <c r="DC84" s="1270" t="str">
        <f t="shared" si="462"/>
        <v/>
      </c>
      <c r="DD84" s="1270" t="str">
        <f t="shared" si="463"/>
        <v/>
      </c>
      <c r="DE84" s="1270" t="str">
        <f t="shared" si="464"/>
        <v/>
      </c>
      <c r="DF84" s="1270" t="str">
        <f t="shared" si="465"/>
        <v/>
      </c>
      <c r="DG84" s="1270" t="str">
        <f t="shared" si="466"/>
        <v/>
      </c>
      <c r="DH84" s="1270" t="str">
        <f t="shared" si="467"/>
        <v/>
      </c>
      <c r="DI84" s="1271" t="str">
        <f t="shared" si="468"/>
        <v/>
      </c>
      <c r="DJ84" s="286" t="str">
        <f t="shared" si="469"/>
        <v/>
      </c>
      <c r="DK84" s="286" t="str">
        <f t="shared" si="470"/>
        <v/>
      </c>
      <c r="DL84" s="1264" t="str">
        <f t="shared" si="471"/>
        <v/>
      </c>
      <c r="DM84" s="1264" t="str">
        <f t="shared" si="472"/>
        <v/>
      </c>
      <c r="DN84" s="1264" t="str">
        <f t="shared" si="473"/>
        <v/>
      </c>
      <c r="DO84" s="1264" t="str">
        <f t="shared" si="474"/>
        <v/>
      </c>
      <c r="DP84" s="323" t="str">
        <f t="shared" si="368"/>
        <v/>
      </c>
      <c r="DQ84" s="444" t="str">
        <f>IF(A84=FALSE,"",Cotations!BW84)</f>
        <v/>
      </c>
      <c r="DR84" s="444" t="str">
        <f>IF(A84=FALSE,"",Cotations!BX84)</f>
        <v/>
      </c>
      <c r="DS84" s="433" t="str">
        <f>IF(A84=FALSE,"",Cotations!BY84)</f>
        <v/>
      </c>
      <c r="DT84" s="830" t="str">
        <f>IF(A84=FALSE,"",IF(DQ84="N/A",0,IF(INDEX(LISTES!$F$105:$F$109,MATCH(DQ84,LISTES!$C$105:$C$109,0))="FIX",IF(INDEX(LISTES!$E$105:$E$109,MATCH(DQ84,LISTES!$C$105:$C$109,0))=12,DR84/12*L84,DR84/365*M84),DS84*(DN84+DO84))))</f>
        <v/>
      </c>
      <c r="DU84" s="434" t="str">
        <f>IF(A84=FALSE,"",DJ84*Cotations!BZ84)</f>
        <v/>
      </c>
      <c r="DV84" s="434" t="str">
        <f>IF(A84=FALSE,"",DJ84*Cotations!CA84)</f>
        <v/>
      </c>
      <c r="EA84" s="432" t="str">
        <f>IF(A84=FALSE,"",Cotations!AT84)</f>
        <v/>
      </c>
      <c r="EB84" s="1234" t="str">
        <f>IF(A84=FALSE,"",YEAR(Detail!F84)&amp;Detail!AG84&amp;Detail!AD84&amp;"-"&amp;Detail!$AD$13&amp;Detail!AE84)</f>
        <v/>
      </c>
      <c r="EC84" s="434" t="str">
        <f>IF(A84=FALSE,"",IF(LISTES!$A$17=1,EB84,INDEX(colMOD1,MATCH(Cotations!AH84,colchoice,0))))</f>
        <v/>
      </c>
      <c r="ED84" s="277" t="str">
        <f t="shared" si="369"/>
        <v/>
      </c>
      <c r="EE84" s="277" t="str">
        <f t="shared" si="370"/>
        <v/>
      </c>
      <c r="EF84" s="277"/>
      <c r="EG84" s="277"/>
      <c r="EH84" s="277" t="str">
        <f t="shared" si="371"/>
        <v/>
      </c>
      <c r="EI84" s="1104" t="str">
        <f t="shared" si="372"/>
        <v/>
      </c>
      <c r="EJ84" s="1104" t="str">
        <f t="shared" si="373"/>
        <v/>
      </c>
      <c r="EK84" s="443" t="str">
        <f>IF(A84=FALSE,"",IF(Cotations!AF84="monthly",EH84/12*L84,EH84/365*M84))</f>
        <v/>
      </c>
      <c r="EL84" s="1103" t="str">
        <f>IF(A84=FALSE,"",IF(Cotations!AF84="monthly",EJ84/12*L84,EJ84/365*M84))</f>
        <v/>
      </c>
      <c r="EM84" s="433" t="str">
        <f>IF(A84=FALSE,"",IF(Cotations!AI84="","",Cotations!AI84))</f>
        <v/>
      </c>
      <c r="EN84" s="277" t="str">
        <f t="shared" si="374"/>
        <v/>
      </c>
      <c r="EO84" s="277" t="str">
        <f t="shared" si="375"/>
        <v/>
      </c>
      <c r="EP84" s="1104" t="str">
        <f t="shared" si="376"/>
        <v/>
      </c>
      <c r="EQ84" s="277" t="str">
        <f t="shared" si="377"/>
        <v/>
      </c>
      <c r="ER84" s="759" t="str">
        <f>IF(A84=FALSE,"",((EH84*TAXE)-(EH84*TAXE*EM84)+EI84)+IF(CQ84="N/A",0,IF(INDEX(LISTES!$F$105:$F$109,MATCH(CQ84,LISTES!$C$105:$C$109,0))="FIX",CR84,CS84*EQ84)))</f>
        <v/>
      </c>
      <c r="ET84" s="422"/>
      <c r="EU84" s="422"/>
      <c r="EV84" s="422"/>
      <c r="EW84" s="422"/>
      <c r="EX84" s="422"/>
      <c r="EY84" s="422"/>
      <c r="EZ84" s="422"/>
      <c r="FA84" s="432" t="str">
        <f>IF(A84=FALSE,"",Cotations!AT84)</f>
        <v/>
      </c>
      <c r="FB84" s="1235" t="str">
        <f>IF(A84=FALSE,"",IF(Detail!AL84="","N/A",YEAR(Detail!F84)&amp;Detail!AO84&amp;Detail!AL84&amp;"-"&amp;Detail!$AL$13&amp;Detail!AM84))</f>
        <v/>
      </c>
      <c r="FC84" s="434" t="str">
        <f>IF(A84=FALSE,"",IF(LISTES!$A$17=1,FB84,INDEX(colMOD2,MATCH(Cotations!AH84,colchoice,0))))</f>
        <v/>
      </c>
      <c r="FD84" s="277" t="str">
        <f t="shared" si="378"/>
        <v/>
      </c>
      <c r="FE84" s="443" t="str">
        <f>IF(A84=FALSE,"",IF(Detail!AM84="","",Detail!AM84))</f>
        <v/>
      </c>
      <c r="FF84" s="277"/>
      <c r="FG84" s="277"/>
      <c r="FH84" s="277" t="str">
        <f t="shared" si="379"/>
        <v/>
      </c>
      <c r="FI84" s="1104"/>
      <c r="FJ84" s="1104"/>
      <c r="FK84" s="443" t="str">
        <f>IF(A84=FALSE,"",IF(Cotations!AF84="monthly",FH84/12*L84,FH84/365*M84))</f>
        <v/>
      </c>
      <c r="FL84" s="1103" t="str">
        <f>IF(A84=FALSE,"",IF(Cotations!AF84="monthly",FJ84/12*L84,FJ84/365*M84))</f>
        <v/>
      </c>
      <c r="FM84" s="433" t="str">
        <f>IF(A84=FALSE,"",IF(Cotations!AJ84="","",Cotations!AJ84))</f>
        <v/>
      </c>
      <c r="FN84" s="277" t="str">
        <f t="shared" si="475"/>
        <v/>
      </c>
      <c r="FO84" s="277" t="str">
        <f t="shared" si="476"/>
        <v/>
      </c>
      <c r="FP84" s="1104"/>
      <c r="FQ84" s="277" t="str">
        <f t="shared" si="477"/>
        <v/>
      </c>
      <c r="FR84" s="759" t="str">
        <f>IF(A84=FALSE,"",((FH84*TAXE)-(FH84*TAXE*FM84))+IF(#REF!="N/A",0,IF(INDEX(LISTES!$F$105:$F$109,MATCH(#REF!,LISTES!$C$105:$C$109,0))="FIX",#REF!,#REF!*FQ84)))</f>
        <v/>
      </c>
      <c r="FS84" s="422"/>
      <c r="FT84" s="422"/>
      <c r="FU84" s="422"/>
      <c r="FV84" s="422"/>
      <c r="FW84" s="422"/>
      <c r="FX84" s="422"/>
      <c r="FY84" s="422"/>
      <c r="FZ84" s="422"/>
      <c r="GA84" s="432" t="str">
        <f t="shared" si="380"/>
        <v/>
      </c>
      <c r="GB84" s="1234" t="str">
        <f>IF(A84=FALSE,"",IF(Detail!DF84="","N/A",YEAR(Detail!F84)&amp;Detail!DI84&amp;Detail!DF84&amp;"-"&amp;Detail!$DF$13))</f>
        <v/>
      </c>
      <c r="GC84" s="434" t="str">
        <f>IF(A84=FALSE,"",IF(LISTES!$A$17=1,GB84,INDEX(colMOD3,MATCH(Cotations!AH84,colchoice,0))))</f>
        <v/>
      </c>
      <c r="GD84" s="277" t="str">
        <f t="shared" si="381"/>
        <v/>
      </c>
      <c r="GE84" s="277" t="str">
        <f t="shared" si="382"/>
        <v/>
      </c>
      <c r="GF84" s="277"/>
      <c r="GG84" s="277"/>
      <c r="GH84" s="277" t="str">
        <f t="shared" si="478"/>
        <v/>
      </c>
      <c r="GI84" s="1104" t="str">
        <f t="shared" si="479"/>
        <v/>
      </c>
      <c r="GJ84" s="1104" t="str">
        <f t="shared" si="480"/>
        <v/>
      </c>
      <c r="GK84" s="443" t="str">
        <f>IF(A84=FALSE,"",IF(Cotations!AF84="monthly",GH84/12*L84,GH84/365*M84))</f>
        <v/>
      </c>
      <c r="GL84" s="1103" t="str">
        <f>IF(A84=FALSE,"",IF(Cotations!AF84="monthly",GJ84/12*L84,GJ84/365*M84))</f>
        <v/>
      </c>
      <c r="GM84" s="433" t="str">
        <f>IF(A84=FALSE,"",IF(Cotations!AK84="","",Cotations!AK84))</f>
        <v/>
      </c>
      <c r="GN84" s="277" t="str">
        <f t="shared" si="481"/>
        <v/>
      </c>
      <c r="GO84" s="277" t="str">
        <f t="shared" si="482"/>
        <v/>
      </c>
      <c r="GP84" s="1104" t="str">
        <f t="shared" si="483"/>
        <v/>
      </c>
      <c r="GQ84" s="277" t="str">
        <f t="shared" si="484"/>
        <v/>
      </c>
      <c r="GR84" s="759" t="str">
        <f>IF(A84=FALSE,"",((GH84*TAXE)-(GH84*TAXE*GM84)+GI84)+IF(CQ84="N/A",0,IF(INDEX(LISTES!$F$105:$F$109,MATCH(CQ84,LISTES!$C$105:$C$109,0))="FIX",CR84,CS84*GQ84)))</f>
        <v/>
      </c>
      <c r="GS84" s="412"/>
      <c r="GT84" s="412"/>
      <c r="GU84" s="412"/>
      <c r="GV84" s="412"/>
      <c r="GW84" s="412"/>
      <c r="GX84" s="412"/>
      <c r="GY84" s="412"/>
      <c r="GZ84" s="412"/>
      <c r="HA84" s="432" t="str">
        <f t="shared" si="383"/>
        <v/>
      </c>
      <c r="HB84" s="1234" t="str">
        <f>IF(A84=FALSE,"",IF(Detail!DF84="","N/A",YEAR(Detail!F84)&amp;Detail!DI84&amp;Detail!DF84&amp;"-"&amp;Detail!$DF$13))</f>
        <v/>
      </c>
      <c r="HC84" s="434" t="str">
        <f>IF(A84=FALSE,"",IF(LISTES!$A$17=1,HB84,INDEX(colMOD4,MATCH(Cotations!AH84,colchoice,0))))</f>
        <v/>
      </c>
      <c r="HD84" s="277" t="str">
        <f t="shared" si="485"/>
        <v/>
      </c>
      <c r="HE84" s="277" t="str">
        <f t="shared" si="486"/>
        <v/>
      </c>
      <c r="HF84" s="277"/>
      <c r="HG84" s="277"/>
      <c r="HH84" s="277" t="str">
        <f t="shared" si="487"/>
        <v/>
      </c>
      <c r="HI84" s="1104" t="str">
        <f t="shared" si="488"/>
        <v/>
      </c>
      <c r="HJ84" s="1104" t="str">
        <f t="shared" si="489"/>
        <v/>
      </c>
      <c r="HK84" s="443" t="str">
        <f>IF(A84=FALSE,"",IF(Cotations!AF84="monthly",HH84/12*L84,HH84/365*M84))</f>
        <v/>
      </c>
      <c r="HL84" s="1103" t="str">
        <f>IF(A84=FALSE,"",IF(Cotations!AF84="monthly",HJ84/12*L84,HJ84/365*M84))</f>
        <v/>
      </c>
      <c r="HM84" s="433" t="str">
        <f>IF(A84=FALSE,"",IF(Cotations!AL84="","",Cotations!AL84))</f>
        <v/>
      </c>
      <c r="HN84" s="277" t="str">
        <f t="shared" si="490"/>
        <v/>
      </c>
      <c r="HO84" s="277" t="str">
        <f t="shared" si="491"/>
        <v/>
      </c>
      <c r="HP84" s="1104" t="str">
        <f t="shared" si="492"/>
        <v/>
      </c>
      <c r="HQ84" s="277" t="str">
        <f t="shared" si="493"/>
        <v/>
      </c>
      <c r="HR84" s="759" t="str">
        <f>IF(A84=FALSE,"",((HH84*TAXE)-(HH84*TAXE*HM84)+HI84)+IF(CQ84="N/A",0,IF(INDEX(LISTES!$F$105:$F$109,MATCH(CQ84,LISTES!$C$105:$C$109,0))="FIX",CR84,CS84*HQ84)))</f>
        <v/>
      </c>
      <c r="HS84" s="412"/>
      <c r="HT84" s="412"/>
      <c r="HU84" s="412"/>
      <c r="HV84" s="412"/>
      <c r="HW84" s="412"/>
      <c r="HX84" s="412"/>
      <c r="HY84" s="412"/>
      <c r="HZ84" s="1262"/>
      <c r="IA84" s="432" t="str">
        <f>IF(A84=FALSE,"",Cotations!AT84)</f>
        <v/>
      </c>
      <c r="IB84" s="1253" t="str">
        <f>IF(A84=FALSE,"",IF(Detail!AT84="","N/A",YEAR(Detail!F84)&amp;Detail!AW84&amp;Detail!AT84&amp;"-"&amp;Detail!$AT$13&amp;Detail!AU84))</f>
        <v/>
      </c>
      <c r="IC84" s="431" t="str">
        <f>IF(A84=FALSE,"",IF(LISTES!$A$17=1,IB84,INDEX(colMOD1,MATCH(DA84,colchoice,0))))</f>
        <v/>
      </c>
      <c r="ID84" s="759" t="str">
        <f t="shared" si="358"/>
        <v/>
      </c>
      <c r="IE84" s="292" t="str">
        <f>IF(A84=FALSE,"",IF(LISTES!$A$17=1,Detail!AU84,INDEX(Rates!$M$1:$M$270,MATCH(IC84,colMOD1,0))))</f>
        <v/>
      </c>
      <c r="IF84" s="409" t="str">
        <f t="shared" si="359"/>
        <v/>
      </c>
      <c r="IG84" s="430" t="str">
        <f>IF(A84=FALSE,"",IF(IA84="POEA",Cotations!AY84,IF(IA84="FIXE",Cotations!AZ84,IF(Cotations!BA84*Y84&lt;50000,Z84,Cotations!BA84*Y84))))</f>
        <v/>
      </c>
      <c r="IH84" s="292" t="str">
        <f t="shared" si="360"/>
        <v/>
      </c>
      <c r="II84" s="446" t="str">
        <f>IF(A84=FALSE,"",IF(Cotations!AU84="monthly",IH84/12*L84,IH84/365*M84))</f>
        <v/>
      </c>
      <c r="IJ84" s="429" t="str">
        <f>IF(A84=FALSE,"",IF(Cotations!BB84="","",Cotations!BB84))</f>
        <v/>
      </c>
      <c r="IK84" s="292" t="str">
        <f t="shared" si="361"/>
        <v/>
      </c>
      <c r="IL84" s="292" t="str">
        <f t="shared" si="362"/>
        <v/>
      </c>
      <c r="IM84" s="759" t="str">
        <f t="shared" si="363"/>
        <v/>
      </c>
      <c r="IN84" s="759" t="str">
        <f>IF(A84=FALSE,"",((IH84*TAXE)-(IH84*TAXE*IJ84))+IF(DQ84="N/A",0,IF(INDEX(LISTES!$F$105:$F$109,MATCH(DQ84,LISTES!$C$105:$C$109,0))="FIX",DR84,DS84*IM84)))</f>
        <v/>
      </c>
      <c r="JA84" s="432" t="str">
        <f>IF(A84=FALSE,"",Cotations!AT84)</f>
        <v/>
      </c>
      <c r="JB84" s="1234" t="str">
        <f>IF(A84=FALSE,"",IF(Detail!BB84="","N/A",YEAR(Detail!F84)&amp;Detail!BE84&amp;Detail!BB84&amp;"-"&amp;Detail!$BB$13&amp;Detail!BC84))</f>
        <v/>
      </c>
      <c r="JC84" s="431" t="str">
        <f>IF(A84=FALSE,"",IF(LISTES!$A$17=1,JB84,INDEX(colMOD2,MATCH(DA84,colchoice,0))))</f>
        <v/>
      </c>
      <c r="JD84" s="759" t="str">
        <f t="shared" si="384"/>
        <v/>
      </c>
      <c r="JE84" s="292"/>
      <c r="JF84" s="409" t="str">
        <f t="shared" si="385"/>
        <v/>
      </c>
      <c r="JG84" s="430" t="str">
        <f>IF(A84=FALSE,"",IF(JA84="POEA",Cotations!BC84,IF(JA84="FIXE",Cotations!BD84,IF(Cotations!BE84*Y84&lt;50000,Z84,Cotations!BE84*Y84))))</f>
        <v/>
      </c>
      <c r="JH84" s="292" t="str">
        <f t="shared" si="386"/>
        <v/>
      </c>
      <c r="JI84" s="446" t="str">
        <f>IF(A84=FALSE,"",IF(Cotations!AU84="monthly",JH84/12*L84,JH84/365*M84))</f>
        <v/>
      </c>
      <c r="JJ84" s="429" t="str">
        <f>IF(A84=FALSE,"",IF(Cotations!BF84="","",Cotations!BF84))</f>
        <v/>
      </c>
      <c r="JK84" s="292" t="str">
        <f t="shared" si="387"/>
        <v/>
      </c>
      <c r="JL84" s="292" t="str">
        <f t="shared" si="388"/>
        <v/>
      </c>
      <c r="JM84" s="759" t="str">
        <f t="shared" si="389"/>
        <v/>
      </c>
      <c r="JN84" s="759" t="str">
        <f>IF(A84=FALSE,"",((JH84*TAXE)-(JH84*TAXE*JJ84))+IF(#REF!="N/A",0,IF(INDEX(LISTES!$F$105:$F$109,MATCH(#REF!,LISTES!$C$105:$C$109,0))="FIX",#REF!,#REF!*JM84)))</f>
        <v/>
      </c>
      <c r="KA84" s="432" t="str">
        <f>IF(A84=FALSE,"",Cotations!AT84)</f>
        <v/>
      </c>
      <c r="KB84" s="1234" t="str">
        <f>IF(A84=FALSE,"",IF(Detail!BJ84="","N/A",YEAR(Detail!F84)&amp;Detail!BM84&amp;Detail!BJ84&amp;"-"&amp;Detail!$BJ$13&amp;Detail!BK84))</f>
        <v/>
      </c>
      <c r="KC84" s="431" t="str">
        <f>IF(A84=FALSE,"",IF(LISTES!$A$17=1,KB84,INDEX(colMOD3,MATCH(DA84,colchoice,0))))</f>
        <v/>
      </c>
      <c r="KD84" s="759" t="str">
        <f t="shared" si="390"/>
        <v/>
      </c>
      <c r="KE84" s="292"/>
      <c r="KF84" s="409" t="str">
        <f t="shared" si="391"/>
        <v/>
      </c>
      <c r="KG84" s="430" t="str">
        <f>IF(A84=FALSE,"",IF(KA84="POEA",Cotations!BG84,IF(KA84="FIXE",Cotations!BH84,IF(Cotations!BI84*Y84&lt;50000,Z84,Cotations!BI84*Y84))))</f>
        <v/>
      </c>
      <c r="KH84" s="292" t="str">
        <f t="shared" si="392"/>
        <v/>
      </c>
      <c r="KI84" s="446" t="str">
        <f>IF(A84=FALSE,"",IF(Cotations!AU84="monthly",KH84/12*L84,KH84/365*M84))</f>
        <v/>
      </c>
      <c r="KJ84" s="429" t="str">
        <f>IF(A84=FALSE,"",IF(Cotations!BJ84="","",Cotations!BJ84))</f>
        <v/>
      </c>
      <c r="KK84" s="292" t="str">
        <f t="shared" si="393"/>
        <v/>
      </c>
      <c r="KL84" s="292" t="str">
        <f t="shared" si="394"/>
        <v/>
      </c>
      <c r="KM84" s="759" t="str">
        <f t="shared" si="395"/>
        <v/>
      </c>
      <c r="KN84" s="759" t="str">
        <f>IF(A84=FALSE,"",((KH84*TAXE)-(KH84*TAXE*KJ84))+IF(#REF!="N/A",0,IF(INDEX(LISTES!$F$105:$F$109,MATCH(#REF!,LISTES!$C$105:$C$109,0))="FIX",#REF!,#REF!*KM84)))</f>
        <v/>
      </c>
      <c r="LA84" s="432" t="str">
        <f>IF(A84=FALSE,"",Cotations!AT84)</f>
        <v/>
      </c>
      <c r="LB84" s="1234" t="str">
        <f>IF(A84=FALSE,"",IF(Detail!BR84="","N/A",YEAR(Detail!F84)&amp;Detail!BU84&amp;Detail!BR84&amp;"-"&amp;Detail!$BR$13&amp;Detail!BS84))</f>
        <v/>
      </c>
      <c r="LC84" s="431" t="str">
        <f>IF(A84=FALSE,"",IF(LISTES!$A$17=1,LB84,INDEX(colMOD4,MATCH(DA84,colchoice,0))))</f>
        <v/>
      </c>
      <c r="LD84" s="759" t="str">
        <f t="shared" si="396"/>
        <v/>
      </c>
      <c r="LE84" s="292"/>
      <c r="LF84" s="409" t="str">
        <f t="shared" si="397"/>
        <v/>
      </c>
      <c r="LG84" s="430" t="str">
        <f>IF(A84=FALSE,"",IF(LA84="POEA",Cotations!BK84,IF(LA84="FIXE",Cotations!BL84,IF(Cotations!BM84*Y84&lt;50000,Z84,Cotations!BM84*Y84))))</f>
        <v/>
      </c>
      <c r="LH84" s="292" t="str">
        <f t="shared" si="398"/>
        <v/>
      </c>
      <c r="LI84" s="446" t="str">
        <f>IF(A84=FALSE,"",IF(Cotations!AU84="monthly",LH84/12*L84,LH84/365*M84))</f>
        <v/>
      </c>
      <c r="LJ84" s="429" t="str">
        <f>IF(A84=FALSE,"",IF(Cotations!BN84="","",Cotations!BN84))</f>
        <v/>
      </c>
      <c r="LK84" s="292" t="str">
        <f t="shared" si="399"/>
        <v/>
      </c>
      <c r="LL84" s="292" t="str">
        <f t="shared" si="400"/>
        <v/>
      </c>
      <c r="LM84" s="759" t="str">
        <f t="shared" si="401"/>
        <v/>
      </c>
      <c r="LN84" s="759" t="str">
        <f>IF(A84=FALSE,"",((LH84*TAXE)-(LH84*TAXE*LJ84))+IF(#REF!="N/A",0,IF(INDEX(LISTES!$F$105:$F$109,MATCH(#REF!,LISTES!$C$105:$C$109,0))="FIX",#REF!,#REF!*LM84)))</f>
        <v/>
      </c>
      <c r="MA84" s="432" t="str">
        <f t="shared" si="402"/>
        <v/>
      </c>
      <c r="MB84" s="1234" t="str">
        <f>IF(A84=FALSE,"",IF(Detail!BZ84="","N/A",YEAR(Detail!F84)&amp;Detail!CC84&amp;Detail!BZ84&amp;"-"&amp;Detail!$BZ$13&amp;" (100%/"&amp;Detail!CD84&amp;"/"&amp;Detail!CE84&amp;")"))</f>
        <v/>
      </c>
      <c r="MC84" s="431" t="str">
        <f>IF(A84=FALSE,"",IF(LISTES!$A$17=1,MB84,INDEX(colMOD5,MATCH(DA84,colchoice,0))))</f>
        <v/>
      </c>
      <c r="MD84" s="759" t="str">
        <f t="shared" si="403"/>
        <v/>
      </c>
      <c r="ME84" s="292"/>
      <c r="MF84" s="409" t="str">
        <f t="shared" si="404"/>
        <v/>
      </c>
      <c r="MG84" s="430" t="str">
        <f>IF(A84=FALSE,"",Cotations!BQ84*AA84)</f>
        <v/>
      </c>
      <c r="MH84" s="292" t="str">
        <f t="shared" si="405"/>
        <v/>
      </c>
      <c r="MI84" s="446" t="str">
        <f>IF(A84=FALSE,"",IF(Cotations!AU84="monthly",MH84/12*L84,MH84/365*M84))</f>
        <v/>
      </c>
      <c r="MJ84" s="429" t="str">
        <f>IF(A84=FALSE,"",IF(Cotations!BR84="","",Cotations!BR84))</f>
        <v/>
      </c>
      <c r="MK84" s="292" t="str">
        <f t="shared" si="406"/>
        <v/>
      </c>
      <c r="ML84" s="292" t="str">
        <f t="shared" si="407"/>
        <v/>
      </c>
      <c r="MM84" s="759" t="str">
        <f t="shared" si="408"/>
        <v/>
      </c>
      <c r="MN84" s="759" t="str">
        <f>IF(A84=FALSE,"",((MH84*TAXE)-(MH84*TAXE*MJ84))+IF(#REF!="N/A",0,IF(INDEX(LISTES!$F$105:$F$109,MATCH(#REF!,LISTES!$C$105:$C$109,0))="FIX",#REF!,#REF!*MM84)))</f>
        <v/>
      </c>
      <c r="NA84" s="432" t="str">
        <f t="shared" si="409"/>
        <v/>
      </c>
      <c r="NB84" s="1234" t="str">
        <f>IF(A84=FALSE,"",IF(Detail!CH84="","N/A",YEAR(Detail!F84)&amp;Detail!CK84&amp;Detail!CH84&amp;"-"&amp;Detail!$CH$13&amp;" (100%/"&amp;Detail!CL84&amp;"/"&amp;Detail!CM84&amp;")"))</f>
        <v/>
      </c>
      <c r="NC84" s="431" t="str">
        <f>IF(A84=FALSE,"",IF(LISTES!$A$17=1,NB84,INDEX(colMOD6,MATCH(DA84,colchoice,0))))</f>
        <v/>
      </c>
      <c r="ND84" s="759" t="str">
        <f t="shared" si="410"/>
        <v/>
      </c>
      <c r="NE84" s="292"/>
      <c r="NF84" s="409" t="str">
        <f t="shared" si="411"/>
        <v/>
      </c>
      <c r="NG84" s="430" t="str">
        <f>IF(A84=FALSE,"",Cotations!BU84*AA84)</f>
        <v/>
      </c>
      <c r="NH84" s="292" t="str">
        <f t="shared" si="412"/>
        <v/>
      </c>
      <c r="NI84" s="446" t="str">
        <f>IF(A84=FALSE,"",IF(Cotations!AU84="monthly",NH84/12*L84,NH84/365*M84))</f>
        <v/>
      </c>
      <c r="NJ84" s="429" t="str">
        <f>IF(A84=FALSE,"",IF(Cotations!BV84="","",Cotations!BV84))</f>
        <v/>
      </c>
      <c r="NK84" s="292" t="str">
        <f t="shared" si="413"/>
        <v/>
      </c>
      <c r="NL84" s="292" t="str">
        <f t="shared" si="414"/>
        <v/>
      </c>
      <c r="NM84" s="759" t="str">
        <f t="shared" si="415"/>
        <v/>
      </c>
      <c r="NN84" s="759" t="str">
        <f>IF(A84=FALSE,"",((NH84*TAXE)-(NH84*TAXE*NJ84))+IF(#REF!="N/A",0,IF(INDEX(LISTES!$F$105:$F$109,MATCH(#REF!,LISTES!$C$105:$C$109,0))="FIX",#REF!,#REF!*NM84)))</f>
        <v/>
      </c>
      <c r="NZ84" s="1281" t="str">
        <f>IF(A84=FALSE,"",IF(Detail!CP84="","N/A",YEAR(Detail!F84)&amp;Detail!CS84&amp;Detail!CP84&amp;"-"&amp;Detail!CQ84))</f>
        <v/>
      </c>
      <c r="OA84" s="432" t="str">
        <f>IF(A84=FALSE,"",Cotations!CF84)</f>
        <v/>
      </c>
      <c r="OB84" s="1282" t="str">
        <f>IF(A84=FALSE,"",IF(Detail!CP84="","N/A",YEAR(Detail!F84)&amp;Detail!CS84&amp;Detail!CP84&amp;"-"&amp;Detail!$CP$13&amp;Detail!CQ84))</f>
        <v/>
      </c>
      <c r="OC84" s="1283" t="str">
        <f>IF(A84=FALSE,"",IF(LISTES!$A$17=1,OB84,INDEX(colMOD1,MATCH(Cotations!CE84,colchoice,0))))</f>
        <v/>
      </c>
      <c r="OD84" s="759" t="str">
        <f t="shared" si="416"/>
        <v/>
      </c>
      <c r="OE84" s="292" t="str">
        <f>IF(A84=FALSE,"",Detail!CQ84)</f>
        <v/>
      </c>
      <c r="OF84" s="409" t="str">
        <f t="shared" si="417"/>
        <v/>
      </c>
      <c r="OG84" s="430" t="str">
        <f>IF(A84=FALSE,"",IF(OA84="FIXE",Cotations!CM84,Cotations!CN84*AA84))</f>
        <v/>
      </c>
      <c r="OH84" s="292" t="str">
        <f t="shared" si="494"/>
        <v/>
      </c>
      <c r="OI84" s="446" t="str">
        <f>IF(A84=FALSE,"",IF(Cotations!CF84="monthly",OH84/12*L84,OH84/365*M84))</f>
        <v/>
      </c>
      <c r="OJ84" s="429" t="str">
        <f>IF(A84=FALSE,"",IF(Cotations!CO84="","",Cotations!CO84))</f>
        <v/>
      </c>
      <c r="OK84" s="292" t="str">
        <f t="shared" si="495"/>
        <v/>
      </c>
      <c r="OL84" s="292" t="str">
        <f t="shared" si="496"/>
        <v/>
      </c>
      <c r="OM84" s="759" t="str">
        <f t="shared" si="418"/>
        <v/>
      </c>
      <c r="ON84" s="759" t="str">
        <f>IF(A84=FALSE,"",((OH84*(1+TAXE)-(OH84*(1+TAXE)*OJ84))+IF(#REF!="N/A",0,IF(INDEX(LISTES!$F$105:$F$109,MATCH(#REF!,LISTES!$C$105:$C$109,0))="FIX",#REF!,#REF!*OM84))))</f>
        <v/>
      </c>
      <c r="PA84" s="432" t="str">
        <f>IF(A84=FALSE,"",Cotations!CF84)</f>
        <v/>
      </c>
      <c r="PB84" s="1282" t="str">
        <f>IF(A84=FALSE,"",IF(Detail!CX84="","N/A",YEAR(Detail!F84)&amp;Detail!DA84&amp;Detail!CX84&amp;"-"&amp;Detail!$CX$13&amp;Detail!CY84))</f>
        <v/>
      </c>
      <c r="PC84" s="1283" t="str">
        <f>IF(A84=FALSE,"",IF(LISTES!$A$17=1,PB84,INDEX(colMOD3,MATCH(Cotations!CE84,colchoice,0))))</f>
        <v/>
      </c>
      <c r="PD84" s="759" t="str">
        <f t="shared" si="419"/>
        <v/>
      </c>
      <c r="PE84" s="292" t="str">
        <f>IF(A84=FALSE,"",IF(Detail!CY84="","",Detail!CY84))</f>
        <v/>
      </c>
      <c r="PF84" s="409" t="str">
        <f t="shared" si="497"/>
        <v/>
      </c>
      <c r="PG84" s="430" t="str">
        <f>IF(A84=FALSE,"",IF(PA84="FIXE",Cotations!CP84,Cotations!CQ84*AA84))</f>
        <v/>
      </c>
      <c r="PH84" s="292" t="str">
        <f t="shared" si="498"/>
        <v/>
      </c>
      <c r="PI84" s="446" t="str">
        <f>IF(A84=FALSE,"",IF(Cotations!CG84="monthly",PH84/12*L84,PH84/365*M84))</f>
        <v/>
      </c>
      <c r="PJ84" s="429" t="str">
        <f>IF(A84=FALSE,"",IF(Cotations!DA84="",0,Cotations!DA84))</f>
        <v/>
      </c>
      <c r="PK84" s="292" t="str">
        <f t="shared" si="499"/>
        <v/>
      </c>
      <c r="PL84" s="292" t="str">
        <f t="shared" si="500"/>
        <v/>
      </c>
      <c r="PM84" s="759" t="str">
        <f t="shared" si="420"/>
        <v/>
      </c>
      <c r="PN84" s="759" t="str">
        <f>IF(A84=FALSE,"",((PH84*(1+TAXE)-(PH84*(1+TAXE)*PJ84))+IF(#REF!="N/A",0,IF(INDEX(LISTES!$F$105:$F$109,MATCH(#REF!,LISTES!$C$105:$C$109,0))="FIX",#REF!,#REF!*PM84))))</f>
        <v/>
      </c>
    </row>
    <row r="85" spans="1:430">
      <c r="A85" s="779" t="b">
        <f t="shared" si="364"/>
        <v>0</v>
      </c>
      <c r="B85" s="779" t="b">
        <f>IF(NAMES!$B$9=TRUE,TRUE,FALSE)</f>
        <v>1</v>
      </c>
      <c r="C85" s="779" t="b">
        <f t="shared" si="421"/>
        <v>0</v>
      </c>
      <c r="D85" s="779" t="b">
        <f t="shared" si="422"/>
        <v>0</v>
      </c>
      <c r="E85" s="267" t="b">
        <f>IF(Cotations!C85="","",Cotations!C85)</f>
        <v>0</v>
      </c>
      <c r="F85" s="267" t="str">
        <f>IF(Cotations!AT85="","",Cotations!AT85)</f>
        <v>PROP</v>
      </c>
      <c r="G85" s="267" t="str">
        <f>IF(Cotations!D85="","",Cotations!D85)</f>
        <v>2016-2017!</v>
      </c>
      <c r="H85" s="267" t="str">
        <f>IF(Cotations!E85="","",Cotations!E85)</f>
        <v>SINGLE</v>
      </c>
      <c r="I85" s="267" t="str">
        <f>IF(Cotations!F85="","",Cotations!F85)</f>
        <v/>
      </c>
      <c r="J85" s="267" t="str">
        <f>IF(Cotations!G85="","",Cotations!G85)</f>
        <v/>
      </c>
      <c r="K85" s="267" t="str">
        <f>IF(Cotations!H85="","",Cotations!H85)</f>
        <v/>
      </c>
      <c r="L85" s="267" t="str">
        <f>IF(A85=FALSE,"",IF(Cotations!M85="","",Cotations!M85))</f>
        <v/>
      </c>
      <c r="M85" s="267" t="str">
        <f>IF(Cotations!O85="","",Cotations!O85)</f>
        <v/>
      </c>
      <c r="N85" s="588" t="str">
        <f>IF(NAMES!$B$10=TRUE,Cotations!I85,Cotations!K85)</f>
        <v/>
      </c>
      <c r="O85" s="588" t="str">
        <f>IF(NAMES!$B$10=TRUE,Cotations!J85,Cotations!L85)</f>
        <v/>
      </c>
      <c r="P85" s="780" t="str">
        <f t="shared" si="423"/>
        <v/>
      </c>
      <c r="Q85" s="588" t="str">
        <f>IF(A85=FALSE,"",IF(Crewlist!Y85="","",Crewlist!Y85))</f>
        <v/>
      </c>
      <c r="R85" s="78" t="str">
        <f>IF(Cotations!T85="","",Cotations!T85)</f>
        <v/>
      </c>
      <c r="S85" s="780" t="str">
        <f t="shared" si="424"/>
        <v/>
      </c>
      <c r="T85" s="759" t="str">
        <f>IF(A85=FALSE,"",VLOOKUP($U$15:$U$120,Currency!$A$2:$D$10,4,0)*Crewlist!N85)</f>
        <v/>
      </c>
      <c r="U85" s="1097" t="str">
        <f>IF(A85=FALSE,"",IF(DP85=0,Crewlist!M85&amp;"/"&amp;CP85,Crewlist!M85&amp;"/"&amp;DP85))</f>
        <v/>
      </c>
      <c r="V85" s="759" t="str">
        <f>IF(A85=FALSE,"",VLOOKUP($U$15:$U$120,Currency!$A$2:$D$10,4,0)*Detail!Q85)</f>
        <v/>
      </c>
      <c r="W85" s="1097" t="str">
        <f>IF(A85=FALSE,"",IF(DP85=0,Detail!R85&amp;"/"&amp;CP85,Detail!R85&amp;"/"&amp;DP85))</f>
        <v/>
      </c>
      <c r="X85" s="759" t="str">
        <f>IF(A85=FALSE,"",IF(LISTES!$C$17="Crewlist",Calcul!T85,Calcul!V85))</f>
        <v/>
      </c>
      <c r="Y85" s="618" t="str">
        <f t="shared" si="425"/>
        <v/>
      </c>
      <c r="Z85" s="618" t="str">
        <f>IF(A85=FALSE,"",IF(X85=0,0,IF((Cotations!BA85*12*X85)&lt;50000,50000,(12*X85))))</f>
        <v/>
      </c>
      <c r="AA85" s="618" t="str">
        <f t="shared" si="426"/>
        <v/>
      </c>
      <c r="AB85" s="618" t="str">
        <f>IF(A85=FALSE,"",IF(Crewlist!O85=0,"",Crewlist!O85))</f>
        <v/>
      </c>
      <c r="AC85" s="618" t="str">
        <f>IF(I85="","",VLOOKUP($AB$15:$AB$120,Currency!$A$15:$B$34,2,0))</f>
        <v/>
      </c>
      <c r="AD85" s="618" t="str">
        <f t="shared" si="427"/>
        <v/>
      </c>
      <c r="AE85" s="618" t="str">
        <f t="shared" si="428"/>
        <v/>
      </c>
      <c r="AF85" s="618" t="str">
        <f t="shared" si="429"/>
        <v/>
      </c>
      <c r="AG85" s="618" t="str">
        <f t="shared" si="430"/>
        <v/>
      </c>
      <c r="AH85" s="1097" t="str">
        <f t="shared" si="365"/>
        <v/>
      </c>
      <c r="AI85" s="759" t="str">
        <f t="shared" si="431"/>
        <v/>
      </c>
      <c r="AJ85" s="1120" t="str">
        <f t="shared" si="432"/>
        <v/>
      </c>
      <c r="AK85" s="1120" t="str">
        <f t="shared" si="433"/>
        <v/>
      </c>
      <c r="AL85" s="236" t="str">
        <f t="shared" si="434"/>
        <v/>
      </c>
      <c r="AM85" s="236" t="str">
        <f t="shared" si="435"/>
        <v/>
      </c>
      <c r="AN85" s="1112" t="str">
        <f t="shared" si="436"/>
        <v/>
      </c>
      <c r="AO85" s="236" t="str">
        <f t="shared" si="437"/>
        <v/>
      </c>
      <c r="AP85" s="327" t="str">
        <f>IF(A85=FALSE,"",INDEX(Rates!$Q$1:$Q$278,MATCH(CA85,colchoice,0)))</f>
        <v/>
      </c>
      <c r="AQ85" s="236" t="str">
        <f t="shared" si="438"/>
        <v/>
      </c>
      <c r="AR85" s="236" t="str">
        <f t="shared" si="439"/>
        <v/>
      </c>
      <c r="AS85" s="236" t="str">
        <f t="shared" si="366"/>
        <v/>
      </c>
      <c r="AT85" s="236" t="str">
        <f t="shared" si="367"/>
        <v/>
      </c>
      <c r="AU85" s="236" t="str">
        <f t="shared" si="440"/>
        <v/>
      </c>
      <c r="AV85" s="236" t="str">
        <f t="shared" si="441"/>
        <v/>
      </c>
      <c r="AW85" s="236" t="str">
        <f t="shared" si="442"/>
        <v/>
      </c>
      <c r="AX85" s="236" t="str">
        <f t="shared" si="443"/>
        <v/>
      </c>
      <c r="AY85" s="236" t="str">
        <f t="shared" si="444"/>
        <v/>
      </c>
      <c r="AZ85" s="236" t="str">
        <f t="shared" si="445"/>
        <v/>
      </c>
      <c r="BA85" s="236" t="str">
        <f t="shared" si="446"/>
        <v/>
      </c>
      <c r="BB85" s="467" t="str">
        <f t="shared" si="447"/>
        <v/>
      </c>
      <c r="BC85" s="329" t="str">
        <f t="shared" si="448"/>
        <v/>
      </c>
      <c r="BD85" s="237" t="str">
        <f t="shared" si="449"/>
        <v/>
      </c>
      <c r="BE85" s="237" t="str">
        <f>IF(A85=FALSE,"",IF(ED85&lt;&gt;$BC$7,0,INDEX(EA85:EZ85,1,MATCH(Structure!$J$16,$EA$14:$EZ$14,0))))</f>
        <v/>
      </c>
      <c r="BF85" s="237" t="str">
        <f>IF(A85=FALSE,"",IF(FD85&lt;&gt;$BC$7,0,INDEX(FA85:FZ85,1,MATCH(Structure!$J$16,$FA$14:$FZ$14,0))))</f>
        <v/>
      </c>
      <c r="BG85" s="237" t="str">
        <f>IF(A85=FALSE,"",IF(GD85&lt;&gt;$BC$7,0,INDEX(GA85:GZ85,1,MATCH(Structure!$J$16,$GA$14:$GZ$14,0))))</f>
        <v/>
      </c>
      <c r="BH85" s="237" t="str">
        <f>IF(A85=FALSE,"",IF(HD85&lt;&gt;$BC$7,0,INDEX(HA85:HZ85,1,MATCH(Structure!$J$16,$HA$14:$HZ$14,0))))</f>
        <v/>
      </c>
      <c r="BI85" s="621" t="str">
        <f>IF(A85=FALSE,"",IF(ID85&lt;&gt;$BC$7,0,INDEX(IA85:IZ85,1,MATCH(Structure!$C$12,$IA$14:$IZ$14,0)))+OL85)</f>
        <v/>
      </c>
      <c r="BJ85" s="237" t="str">
        <f>IF(A85=FALSE,"",IF(JD85&lt;&gt;$BC$7,0,INDEX(JA85:JZ85,1,MATCH(Structure!$C$12,$JA$14:$JZ$14,0))))</f>
        <v/>
      </c>
      <c r="BK85" s="621" t="str">
        <f>IF(A85=FALSE,"",IF(KD85&lt;&gt;$BC$7,0,INDEX(KA85:KZ85,1,MATCH(Structure!$C$12,$KA$14:$KZ$14,0)))+PL85)</f>
        <v/>
      </c>
      <c r="BL85" s="237" t="str">
        <f>IF(A85=FALSE,"",IF(LD85&lt;&gt;$BC$7,0,INDEX(LA85:LZ85,1,MATCH(Structure!$C$12,$LA$14:$LZ$14,0))))</f>
        <v/>
      </c>
      <c r="BM85" s="237" t="str">
        <f>IF(A85=FALSE,"",IF(MD85&lt;&gt;$BC$7,0,INDEX(MA85:MZ85,1,MATCH(Structure!$C$12,$MA$14:$MZ$14,0))))</f>
        <v/>
      </c>
      <c r="BN85" s="326" t="str">
        <f>IF(A85=FALSE,"",IF(ND85&lt;&gt;$BC$7,0,INDEX(NA85:OC85,1,MATCH(Structure!$C$12,$NA$14:$OC$14,0))))</f>
        <v/>
      </c>
      <c r="BO85" s="435" t="str">
        <f t="shared" si="450"/>
        <v/>
      </c>
      <c r="BP85" s="237" t="str">
        <f t="shared" si="451"/>
        <v/>
      </c>
      <c r="BQ85" s="237" t="str">
        <f>IF(A85=FALSE,"",IF(ED85&lt;&gt;$BO$7,0,INDEX(EA85:EZ85,1,MATCH(Structure!$C$12,$EA$14:$EZ$14,0))))</f>
        <v/>
      </c>
      <c r="BR85" s="237" t="str">
        <f>IF(A85=FALSE,"",IF(FD85&lt;&gt;$BO$7,0,INDEX(FA85:FZ85,1,MATCH(Structure!$C$12,$FA$14:$FZ$14,0))))</f>
        <v/>
      </c>
      <c r="BS85" s="237" t="str">
        <f>IF(A85=FALSE,"",IF(ID85&lt;&gt;$BO$7,0,INDEX(IA85:IZ85,1,MATCH(Structure!$C$13,$IA$14:$IZ$14,0))))</f>
        <v/>
      </c>
      <c r="BT85" s="237" t="str">
        <f>IF(A85=FALSE,"",IF(JD85&lt;&gt;$BO$7,0,INDEX(JA85:JZ85,1,MATCH(Structure!$C$13,$JA$14:$JZ$14,0))))</f>
        <v/>
      </c>
      <c r="BU85" s="237" t="str">
        <f>IF(A85=FALSE,"",IF(KD85&lt;&gt;$BO$7,0,INDEX(KA85:KZ85,1,MATCH(Structure!$C$13,$KA$14:$KZ$14,0))))</f>
        <v/>
      </c>
      <c r="BV85" s="237" t="str">
        <f>IF(A85=FALSE,"",IF(LD85&lt;&gt;$BO$7,0,INDEX(LA85:LZ85,1,MATCH(Structure!$C$13,$LA$14:$LZ$14,0))))</f>
        <v/>
      </c>
      <c r="BW85" s="237" t="str">
        <f>IF(A85=FALSE,"",IF(MD85&lt;&gt;$BO$7,0,INDEX(MA85:MZ85,1,MATCH(Structure!$C$13,$MA$14:$MZ$14,0))))</f>
        <v/>
      </c>
      <c r="BX85" s="326" t="str">
        <f>IF(A85=FALSE,"",IF(ND85&lt;&gt;$BO$7,0,INDEX(NA85:OC85,1,MATCH(Structure!$C$13,$NA$14:$OC$14,0))))</f>
        <v/>
      </c>
      <c r="BY85" s="412"/>
      <c r="BZ85" s="412"/>
      <c r="CA85" s="1255" t="str">
        <f>IF(A85=FALSE,"",IF(LISTES!$A$17=1,Cotations!AG85,Cotations!AH85))</f>
        <v/>
      </c>
      <c r="CB85" s="1266" t="str">
        <f t="shared" si="452"/>
        <v/>
      </c>
      <c r="CC85" s="1120" t="str">
        <f t="shared" si="453"/>
        <v/>
      </c>
      <c r="CD85" s="1120" t="str">
        <f t="shared" si="454"/>
        <v/>
      </c>
      <c r="CE85" s="1120" t="str">
        <f t="shared" si="455"/>
        <v/>
      </c>
      <c r="CF85" s="1120" t="str">
        <f t="shared" si="456"/>
        <v/>
      </c>
      <c r="CG85" s="1267"/>
      <c r="CH85" s="1267"/>
      <c r="CI85" s="1268" t="str">
        <f t="shared" si="457"/>
        <v/>
      </c>
      <c r="CJ85" s="286" t="str">
        <f t="shared" si="458"/>
        <v/>
      </c>
      <c r="CK85" s="286" t="str">
        <f t="shared" si="459"/>
        <v/>
      </c>
      <c r="CL85" s="1263"/>
      <c r="CM85" s="1263"/>
      <c r="CN85" s="1263"/>
      <c r="CO85" s="1263"/>
      <c r="CP85" s="319" t="str">
        <f t="shared" si="460"/>
        <v/>
      </c>
      <c r="CQ85" s="443" t="str">
        <f>IF(A85=FALSE,"",Cotations!AM85)</f>
        <v/>
      </c>
      <c r="CR85" s="443" t="str">
        <f>IF(A85=FALSE,"",IF(Cotations!AN85="","",Cotations!AN85))</f>
        <v/>
      </c>
      <c r="CS85" s="433" t="str">
        <f>IF(A85=FALSE,"",Cotations!AO85)</f>
        <v/>
      </c>
      <c r="CT85" s="443" t="str">
        <f>IF(A85=FALSE,"",IF(CQ85="N/A",0,IF(INDEX(LISTES!$F$105:$F$109,MATCH(CQ85,LISTES!$C$105:$C$109,0))="FIX",IF(INDEX(LISTES!$E$105:$E$109,MATCH(CQ85,LISTES!$C$105:$C$109,0))=12,CR85/12*L85,CR85/365*M85),CS85*EQ85)))</f>
        <v/>
      </c>
      <c r="CU85" s="434" t="str">
        <f>IF(A85=FALSE,"",(CJ85+CK85)*Cotations!AP85)</f>
        <v/>
      </c>
      <c r="CV85" s="434" t="str">
        <f>IF(A85=FALSE,"",(CJ85+CK85)*Cotations!AQ85)</f>
        <v/>
      </c>
      <c r="DA85" s="1253" t="str">
        <f>IF(A85=FALSE,"",IF(LISTES!$A$17=1,Cotations!AV85,Cotations!AW85))</f>
        <v/>
      </c>
      <c r="DB85" s="1271" t="str">
        <f t="shared" si="461"/>
        <v/>
      </c>
      <c r="DC85" s="1270" t="str">
        <f t="shared" si="462"/>
        <v/>
      </c>
      <c r="DD85" s="1270" t="str">
        <f t="shared" si="463"/>
        <v/>
      </c>
      <c r="DE85" s="1270" t="str">
        <f t="shared" si="464"/>
        <v/>
      </c>
      <c r="DF85" s="1270" t="str">
        <f t="shared" si="465"/>
        <v/>
      </c>
      <c r="DG85" s="1270" t="str">
        <f t="shared" si="466"/>
        <v/>
      </c>
      <c r="DH85" s="1270" t="str">
        <f t="shared" si="467"/>
        <v/>
      </c>
      <c r="DI85" s="1271" t="str">
        <f t="shared" si="468"/>
        <v/>
      </c>
      <c r="DJ85" s="286" t="str">
        <f t="shared" si="469"/>
        <v/>
      </c>
      <c r="DK85" s="286" t="str">
        <f t="shared" si="470"/>
        <v/>
      </c>
      <c r="DL85" s="1264" t="str">
        <f t="shared" si="471"/>
        <v/>
      </c>
      <c r="DM85" s="1264" t="str">
        <f t="shared" si="472"/>
        <v/>
      </c>
      <c r="DN85" s="1264" t="str">
        <f t="shared" si="473"/>
        <v/>
      </c>
      <c r="DO85" s="1264" t="str">
        <f t="shared" si="474"/>
        <v/>
      </c>
      <c r="DP85" s="323" t="str">
        <f t="shared" si="368"/>
        <v/>
      </c>
      <c r="DQ85" s="444" t="str">
        <f>IF(A85=FALSE,"",Cotations!BW85)</f>
        <v/>
      </c>
      <c r="DR85" s="444" t="str">
        <f>IF(A85=FALSE,"",Cotations!BX85)</f>
        <v/>
      </c>
      <c r="DS85" s="433" t="str">
        <f>IF(A85=FALSE,"",Cotations!BY85)</f>
        <v/>
      </c>
      <c r="DT85" s="830" t="str">
        <f>IF(A85=FALSE,"",IF(DQ85="N/A",0,IF(INDEX(LISTES!$F$105:$F$109,MATCH(DQ85,LISTES!$C$105:$C$109,0))="FIX",IF(INDEX(LISTES!$E$105:$E$109,MATCH(DQ85,LISTES!$C$105:$C$109,0))=12,DR85/12*L85,DR85/365*M85),DS85*(DN85+DO85))))</f>
        <v/>
      </c>
      <c r="DU85" s="434" t="str">
        <f>IF(A85=FALSE,"",DJ85*Cotations!BZ85)</f>
        <v/>
      </c>
      <c r="DV85" s="434" t="str">
        <f>IF(A85=FALSE,"",DJ85*Cotations!CA85)</f>
        <v/>
      </c>
      <c r="EA85" s="432" t="str">
        <f>IF(A85=FALSE,"",Cotations!AT85)</f>
        <v/>
      </c>
      <c r="EB85" s="1234" t="str">
        <f>IF(A85=FALSE,"",YEAR(Detail!F85)&amp;Detail!AG85&amp;Detail!AD85&amp;"-"&amp;Detail!$AD$13&amp;Detail!AE85)</f>
        <v/>
      </c>
      <c r="EC85" s="434" t="str">
        <f>IF(A85=FALSE,"",IF(LISTES!$A$17=1,EB85,INDEX(colMOD1,MATCH(Cotations!AH85,colchoice,0))))</f>
        <v/>
      </c>
      <c r="ED85" s="277" t="str">
        <f t="shared" si="369"/>
        <v/>
      </c>
      <c r="EE85" s="277" t="str">
        <f t="shared" si="370"/>
        <v/>
      </c>
      <c r="EF85" s="277"/>
      <c r="EG85" s="277"/>
      <c r="EH85" s="277" t="str">
        <f t="shared" si="371"/>
        <v/>
      </c>
      <c r="EI85" s="1104" t="str">
        <f t="shared" si="372"/>
        <v/>
      </c>
      <c r="EJ85" s="1104" t="str">
        <f t="shared" si="373"/>
        <v/>
      </c>
      <c r="EK85" s="443" t="str">
        <f>IF(A85=FALSE,"",IF(Cotations!AF85="monthly",EH85/12*L85,EH85/365*M85))</f>
        <v/>
      </c>
      <c r="EL85" s="1103" t="str">
        <f>IF(A85=FALSE,"",IF(Cotations!AF85="monthly",EJ85/12*L85,EJ85/365*M85))</f>
        <v/>
      </c>
      <c r="EM85" s="433" t="str">
        <f>IF(A85=FALSE,"",IF(Cotations!AI85="","",Cotations!AI85))</f>
        <v/>
      </c>
      <c r="EN85" s="277" t="str">
        <f t="shared" si="374"/>
        <v/>
      </c>
      <c r="EO85" s="277" t="str">
        <f t="shared" si="375"/>
        <v/>
      </c>
      <c r="EP85" s="1104" t="str">
        <f t="shared" si="376"/>
        <v/>
      </c>
      <c r="EQ85" s="277" t="str">
        <f t="shared" si="377"/>
        <v/>
      </c>
      <c r="ER85" s="759" t="str">
        <f>IF(A85=FALSE,"",((EH85*TAXE)-(EH85*TAXE*EM85)+EI85)+IF(CQ85="N/A",0,IF(INDEX(LISTES!$F$105:$F$109,MATCH(CQ85,LISTES!$C$105:$C$109,0))="FIX",CR85,CS85*EQ85)))</f>
        <v/>
      </c>
      <c r="ET85" s="422"/>
      <c r="EU85" s="422"/>
      <c r="EV85" s="422"/>
      <c r="EW85" s="422"/>
      <c r="EX85" s="422"/>
      <c r="EY85" s="422"/>
      <c r="EZ85" s="422"/>
      <c r="FA85" s="432" t="str">
        <f>IF(A85=FALSE,"",Cotations!AT85)</f>
        <v/>
      </c>
      <c r="FB85" s="1235" t="str">
        <f>IF(A85=FALSE,"",IF(Detail!AL85="","N/A",YEAR(Detail!F85)&amp;Detail!AO85&amp;Detail!AL85&amp;"-"&amp;Detail!$AL$13&amp;Detail!AM85))</f>
        <v/>
      </c>
      <c r="FC85" s="434" t="str">
        <f>IF(A85=FALSE,"",IF(LISTES!$A$17=1,FB85,INDEX(colMOD2,MATCH(Cotations!AH85,colchoice,0))))</f>
        <v/>
      </c>
      <c r="FD85" s="277" t="str">
        <f t="shared" si="378"/>
        <v/>
      </c>
      <c r="FE85" s="443" t="str">
        <f>IF(A85=FALSE,"",IF(Detail!AM85="","",Detail!AM85))</f>
        <v/>
      </c>
      <c r="FF85" s="277"/>
      <c r="FG85" s="277"/>
      <c r="FH85" s="277" t="str">
        <f t="shared" si="379"/>
        <v/>
      </c>
      <c r="FI85" s="1104"/>
      <c r="FJ85" s="1104"/>
      <c r="FK85" s="443" t="str">
        <f>IF(A85=FALSE,"",IF(Cotations!AF85="monthly",FH85/12*L85,FH85/365*M85))</f>
        <v/>
      </c>
      <c r="FL85" s="1103" t="str">
        <f>IF(A85=FALSE,"",IF(Cotations!AF85="monthly",FJ85/12*L85,FJ85/365*M85))</f>
        <v/>
      </c>
      <c r="FM85" s="433" t="str">
        <f>IF(A85=FALSE,"",IF(Cotations!AJ85="","",Cotations!AJ85))</f>
        <v/>
      </c>
      <c r="FN85" s="277" t="str">
        <f t="shared" si="475"/>
        <v/>
      </c>
      <c r="FO85" s="277" t="str">
        <f t="shared" si="476"/>
        <v/>
      </c>
      <c r="FP85" s="1104"/>
      <c r="FQ85" s="277" t="str">
        <f t="shared" si="477"/>
        <v/>
      </c>
      <c r="FR85" s="759" t="str">
        <f>IF(A85=FALSE,"",((FH85*TAXE)-(FH85*TAXE*FM85))+IF(#REF!="N/A",0,IF(INDEX(LISTES!$F$105:$F$109,MATCH(#REF!,LISTES!$C$105:$C$109,0))="FIX",#REF!,#REF!*FQ85)))</f>
        <v/>
      </c>
      <c r="FS85" s="422"/>
      <c r="FT85" s="422"/>
      <c r="FU85" s="422"/>
      <c r="FV85" s="422"/>
      <c r="FW85" s="422"/>
      <c r="FX85" s="422"/>
      <c r="FY85" s="422"/>
      <c r="FZ85" s="422"/>
      <c r="GA85" s="432" t="str">
        <f t="shared" si="380"/>
        <v/>
      </c>
      <c r="GB85" s="1234" t="str">
        <f>IF(A85=FALSE,"",IF(Detail!DF85="","N/A",YEAR(Detail!F85)&amp;Detail!DI85&amp;Detail!DF85&amp;"-"&amp;Detail!$DF$13))</f>
        <v/>
      </c>
      <c r="GC85" s="434" t="str">
        <f>IF(A85=FALSE,"",IF(LISTES!$A$17=1,GB85,INDEX(colMOD3,MATCH(Cotations!AH85,colchoice,0))))</f>
        <v/>
      </c>
      <c r="GD85" s="277" t="str">
        <f t="shared" si="381"/>
        <v/>
      </c>
      <c r="GE85" s="277" t="str">
        <f t="shared" si="382"/>
        <v/>
      </c>
      <c r="GF85" s="277"/>
      <c r="GG85" s="277"/>
      <c r="GH85" s="277" t="str">
        <f t="shared" si="478"/>
        <v/>
      </c>
      <c r="GI85" s="1104" t="str">
        <f t="shared" si="479"/>
        <v/>
      </c>
      <c r="GJ85" s="1104" t="str">
        <f t="shared" si="480"/>
        <v/>
      </c>
      <c r="GK85" s="443" t="str">
        <f>IF(A85=FALSE,"",IF(Cotations!AF85="monthly",GH85/12*L85,GH85/365*M85))</f>
        <v/>
      </c>
      <c r="GL85" s="1103" t="str">
        <f>IF(A85=FALSE,"",IF(Cotations!AF85="monthly",GJ85/12*L85,GJ85/365*M85))</f>
        <v/>
      </c>
      <c r="GM85" s="433" t="str">
        <f>IF(A85=FALSE,"",IF(Cotations!AK85="","",Cotations!AK85))</f>
        <v/>
      </c>
      <c r="GN85" s="277" t="str">
        <f t="shared" si="481"/>
        <v/>
      </c>
      <c r="GO85" s="277" t="str">
        <f t="shared" si="482"/>
        <v/>
      </c>
      <c r="GP85" s="1104" t="str">
        <f t="shared" si="483"/>
        <v/>
      </c>
      <c r="GQ85" s="277" t="str">
        <f t="shared" si="484"/>
        <v/>
      </c>
      <c r="GR85" s="759" t="str">
        <f>IF(A85=FALSE,"",((GH85*TAXE)-(GH85*TAXE*GM85)+GI85)+IF(CQ85="N/A",0,IF(INDEX(LISTES!$F$105:$F$109,MATCH(CQ85,LISTES!$C$105:$C$109,0))="FIX",CR85,CS85*GQ85)))</f>
        <v/>
      </c>
      <c r="GS85" s="412"/>
      <c r="GT85" s="412"/>
      <c r="GU85" s="412"/>
      <c r="GV85" s="412"/>
      <c r="GW85" s="412"/>
      <c r="GX85" s="412"/>
      <c r="GY85" s="412"/>
      <c r="GZ85" s="412"/>
      <c r="HA85" s="432" t="str">
        <f t="shared" si="383"/>
        <v/>
      </c>
      <c r="HB85" s="1234" t="str">
        <f>IF(A85=FALSE,"",IF(Detail!DF85="","N/A",YEAR(Detail!F85)&amp;Detail!DI85&amp;Detail!DF85&amp;"-"&amp;Detail!$DF$13))</f>
        <v/>
      </c>
      <c r="HC85" s="434" t="str">
        <f>IF(A85=FALSE,"",IF(LISTES!$A$17=1,HB85,INDEX(colMOD4,MATCH(Cotations!AH85,colchoice,0))))</f>
        <v/>
      </c>
      <c r="HD85" s="277" t="str">
        <f t="shared" si="485"/>
        <v/>
      </c>
      <c r="HE85" s="277" t="str">
        <f t="shared" si="486"/>
        <v/>
      </c>
      <c r="HF85" s="277"/>
      <c r="HG85" s="277"/>
      <c r="HH85" s="277" t="str">
        <f t="shared" si="487"/>
        <v/>
      </c>
      <c r="HI85" s="1104" t="str">
        <f t="shared" si="488"/>
        <v/>
      </c>
      <c r="HJ85" s="1104" t="str">
        <f t="shared" si="489"/>
        <v/>
      </c>
      <c r="HK85" s="443" t="str">
        <f>IF(A85=FALSE,"",IF(Cotations!AF85="monthly",HH85/12*L85,HH85/365*M85))</f>
        <v/>
      </c>
      <c r="HL85" s="1103" t="str">
        <f>IF(A85=FALSE,"",IF(Cotations!AF85="monthly",HJ85/12*L85,HJ85/365*M85))</f>
        <v/>
      </c>
      <c r="HM85" s="433" t="str">
        <f>IF(A85=FALSE,"",IF(Cotations!AL85="","",Cotations!AL85))</f>
        <v/>
      </c>
      <c r="HN85" s="277" t="str">
        <f t="shared" si="490"/>
        <v/>
      </c>
      <c r="HO85" s="277" t="str">
        <f t="shared" si="491"/>
        <v/>
      </c>
      <c r="HP85" s="1104" t="str">
        <f t="shared" si="492"/>
        <v/>
      </c>
      <c r="HQ85" s="277" t="str">
        <f t="shared" si="493"/>
        <v/>
      </c>
      <c r="HR85" s="759" t="str">
        <f>IF(A85=FALSE,"",((HH85*TAXE)-(HH85*TAXE*HM85)+HI85)+IF(CQ85="N/A",0,IF(INDEX(LISTES!$F$105:$F$109,MATCH(CQ85,LISTES!$C$105:$C$109,0))="FIX",CR85,CS85*HQ85)))</f>
        <v/>
      </c>
      <c r="HS85" s="412"/>
      <c r="HT85" s="412"/>
      <c r="HU85" s="412"/>
      <c r="HV85" s="412"/>
      <c r="HW85" s="412"/>
      <c r="HX85" s="412"/>
      <c r="HY85" s="412"/>
      <c r="HZ85" s="1262"/>
      <c r="IA85" s="432" t="str">
        <f>IF(A85=FALSE,"",Cotations!AT85)</f>
        <v/>
      </c>
      <c r="IB85" s="1253" t="str">
        <f>IF(A85=FALSE,"",IF(Detail!AT85="","N/A",YEAR(Detail!F85)&amp;Detail!AW85&amp;Detail!AT85&amp;"-"&amp;Detail!$AT$13&amp;Detail!AU85))</f>
        <v/>
      </c>
      <c r="IC85" s="431" t="str">
        <f>IF(A85=FALSE,"",IF(LISTES!$A$17=1,IB85,INDEX(colMOD1,MATCH(DA85,colchoice,0))))</f>
        <v/>
      </c>
      <c r="ID85" s="759" t="str">
        <f t="shared" si="358"/>
        <v/>
      </c>
      <c r="IE85" s="292" t="str">
        <f>IF(A85=FALSE,"",IF(LISTES!$A$17=1,Detail!AU85,INDEX(Rates!$M$1:$M$270,MATCH(IC85,colMOD1,0))))</f>
        <v/>
      </c>
      <c r="IF85" s="409" t="str">
        <f t="shared" si="359"/>
        <v/>
      </c>
      <c r="IG85" s="430" t="str">
        <f>IF(A85=FALSE,"",IF(IA85="POEA",Cotations!AY85,IF(IA85="FIXE",Cotations!AZ85,IF(Cotations!BA85*Y85&lt;50000,Z85,Cotations!BA85*Y85))))</f>
        <v/>
      </c>
      <c r="IH85" s="292" t="str">
        <f t="shared" si="360"/>
        <v/>
      </c>
      <c r="II85" s="446" t="str">
        <f>IF(A85=FALSE,"",IF(Cotations!AU85="monthly",IH85/12*L85,IH85/365*M85))</f>
        <v/>
      </c>
      <c r="IJ85" s="429" t="str">
        <f>IF(A85=FALSE,"",IF(Cotations!BB85="","",Cotations!BB85))</f>
        <v/>
      </c>
      <c r="IK85" s="292" t="str">
        <f t="shared" si="361"/>
        <v/>
      </c>
      <c r="IL85" s="292" t="str">
        <f t="shared" si="362"/>
        <v/>
      </c>
      <c r="IM85" s="759" t="str">
        <f t="shared" si="363"/>
        <v/>
      </c>
      <c r="IN85" s="759" t="str">
        <f>IF(A85=FALSE,"",((IH85*TAXE)-(IH85*TAXE*IJ85))+IF(DQ85="N/A",0,IF(INDEX(LISTES!$F$105:$F$109,MATCH(DQ85,LISTES!$C$105:$C$109,0))="FIX",DR85,DS85*IM85)))</f>
        <v/>
      </c>
      <c r="JA85" s="432" t="str">
        <f>IF(A85=FALSE,"",Cotations!AT85)</f>
        <v/>
      </c>
      <c r="JB85" s="1234" t="str">
        <f>IF(A85=FALSE,"",IF(Detail!BB85="","N/A",YEAR(Detail!F85)&amp;Detail!BE85&amp;Detail!BB85&amp;"-"&amp;Detail!$BB$13&amp;Detail!BC85))</f>
        <v/>
      </c>
      <c r="JC85" s="431" t="str">
        <f>IF(A85=FALSE,"",IF(LISTES!$A$17=1,JB85,INDEX(colMOD2,MATCH(DA85,colchoice,0))))</f>
        <v/>
      </c>
      <c r="JD85" s="759" t="str">
        <f t="shared" si="384"/>
        <v/>
      </c>
      <c r="JE85" s="292"/>
      <c r="JF85" s="409" t="str">
        <f t="shared" si="385"/>
        <v/>
      </c>
      <c r="JG85" s="430" t="str">
        <f>IF(A85=FALSE,"",IF(JA85="POEA",Cotations!BC85,IF(JA85="FIXE",Cotations!BD85,IF(Cotations!BE85*Y85&lt;50000,Z85,Cotations!BE85*Y85))))</f>
        <v/>
      </c>
      <c r="JH85" s="292" t="str">
        <f t="shared" si="386"/>
        <v/>
      </c>
      <c r="JI85" s="446" t="str">
        <f>IF(A85=FALSE,"",IF(Cotations!AU85="monthly",JH85/12*L85,JH85/365*M85))</f>
        <v/>
      </c>
      <c r="JJ85" s="429" t="str">
        <f>IF(A85=FALSE,"",IF(Cotations!BF85="","",Cotations!BF85))</f>
        <v/>
      </c>
      <c r="JK85" s="292" t="str">
        <f t="shared" si="387"/>
        <v/>
      </c>
      <c r="JL85" s="292" t="str">
        <f t="shared" si="388"/>
        <v/>
      </c>
      <c r="JM85" s="759" t="str">
        <f t="shared" si="389"/>
        <v/>
      </c>
      <c r="JN85" s="759" t="str">
        <f>IF(A85=FALSE,"",((JH85*TAXE)-(JH85*TAXE*JJ85))+IF(#REF!="N/A",0,IF(INDEX(LISTES!$F$105:$F$109,MATCH(#REF!,LISTES!$C$105:$C$109,0))="FIX",#REF!,#REF!*JM85)))</f>
        <v/>
      </c>
      <c r="KA85" s="432" t="str">
        <f>IF(A85=FALSE,"",Cotations!AT85)</f>
        <v/>
      </c>
      <c r="KB85" s="1234" t="str">
        <f>IF(A85=FALSE,"",IF(Detail!BJ85="","N/A",YEAR(Detail!F85)&amp;Detail!BM85&amp;Detail!BJ85&amp;"-"&amp;Detail!$BJ$13&amp;Detail!BK85))</f>
        <v/>
      </c>
      <c r="KC85" s="431" t="str">
        <f>IF(A85=FALSE,"",IF(LISTES!$A$17=1,KB85,INDEX(colMOD3,MATCH(DA85,colchoice,0))))</f>
        <v/>
      </c>
      <c r="KD85" s="759" t="str">
        <f t="shared" si="390"/>
        <v/>
      </c>
      <c r="KE85" s="292"/>
      <c r="KF85" s="409" t="str">
        <f t="shared" si="391"/>
        <v/>
      </c>
      <c r="KG85" s="430" t="str">
        <f>IF(A85=FALSE,"",IF(KA85="POEA",Cotations!BG85,IF(KA85="FIXE",Cotations!BH85,IF(Cotations!BI85*Y85&lt;50000,Z85,Cotations!BI85*Y85))))</f>
        <v/>
      </c>
      <c r="KH85" s="292" t="str">
        <f t="shared" si="392"/>
        <v/>
      </c>
      <c r="KI85" s="446" t="str">
        <f>IF(A85=FALSE,"",IF(Cotations!AU85="monthly",KH85/12*L85,KH85/365*M85))</f>
        <v/>
      </c>
      <c r="KJ85" s="429" t="str">
        <f>IF(A85=FALSE,"",IF(Cotations!BJ85="","",Cotations!BJ85))</f>
        <v/>
      </c>
      <c r="KK85" s="292" t="str">
        <f t="shared" si="393"/>
        <v/>
      </c>
      <c r="KL85" s="292" t="str">
        <f t="shared" si="394"/>
        <v/>
      </c>
      <c r="KM85" s="759" t="str">
        <f t="shared" si="395"/>
        <v/>
      </c>
      <c r="KN85" s="759" t="str">
        <f>IF(A85=FALSE,"",((KH85*TAXE)-(KH85*TAXE*KJ85))+IF(#REF!="N/A",0,IF(INDEX(LISTES!$F$105:$F$109,MATCH(#REF!,LISTES!$C$105:$C$109,0))="FIX",#REF!,#REF!*KM85)))</f>
        <v/>
      </c>
      <c r="LA85" s="432" t="str">
        <f>IF(A85=FALSE,"",Cotations!AT85)</f>
        <v/>
      </c>
      <c r="LB85" s="1234" t="str">
        <f>IF(A85=FALSE,"",IF(Detail!BR85="","N/A",YEAR(Detail!F85)&amp;Detail!BU85&amp;Detail!BR85&amp;"-"&amp;Detail!$BR$13&amp;Detail!BS85))</f>
        <v/>
      </c>
      <c r="LC85" s="431" t="str">
        <f>IF(A85=FALSE,"",IF(LISTES!$A$17=1,LB85,INDEX(colMOD4,MATCH(DA85,colchoice,0))))</f>
        <v/>
      </c>
      <c r="LD85" s="759" t="str">
        <f t="shared" si="396"/>
        <v/>
      </c>
      <c r="LE85" s="292"/>
      <c r="LF85" s="409" t="str">
        <f t="shared" si="397"/>
        <v/>
      </c>
      <c r="LG85" s="430" t="str">
        <f>IF(A85=FALSE,"",IF(LA85="POEA",Cotations!BK85,IF(LA85="FIXE",Cotations!BL85,IF(Cotations!BM85*Y85&lt;50000,Z85,Cotations!BM85*Y85))))</f>
        <v/>
      </c>
      <c r="LH85" s="292" t="str">
        <f t="shared" si="398"/>
        <v/>
      </c>
      <c r="LI85" s="446" t="str">
        <f>IF(A85=FALSE,"",IF(Cotations!AU85="monthly",LH85/12*L85,LH85/365*M85))</f>
        <v/>
      </c>
      <c r="LJ85" s="429" t="str">
        <f>IF(A85=FALSE,"",IF(Cotations!BN85="","",Cotations!BN85))</f>
        <v/>
      </c>
      <c r="LK85" s="292" t="str">
        <f t="shared" si="399"/>
        <v/>
      </c>
      <c r="LL85" s="292" t="str">
        <f t="shared" si="400"/>
        <v/>
      </c>
      <c r="LM85" s="759" t="str">
        <f t="shared" si="401"/>
        <v/>
      </c>
      <c r="LN85" s="759" t="str">
        <f>IF(A85=FALSE,"",((LH85*TAXE)-(LH85*TAXE*LJ85))+IF(#REF!="N/A",0,IF(INDEX(LISTES!$F$105:$F$109,MATCH(#REF!,LISTES!$C$105:$C$109,0))="FIX",#REF!,#REF!*LM85)))</f>
        <v/>
      </c>
      <c r="MA85" s="432" t="str">
        <f t="shared" si="402"/>
        <v/>
      </c>
      <c r="MB85" s="1234" t="str">
        <f>IF(A85=FALSE,"",IF(Detail!BZ85="","N/A",YEAR(Detail!F85)&amp;Detail!CC85&amp;Detail!BZ85&amp;"-"&amp;Detail!$BZ$13&amp;" (100%/"&amp;Detail!CD85&amp;"/"&amp;Detail!CE85&amp;")"))</f>
        <v/>
      </c>
      <c r="MC85" s="431" t="str">
        <f>IF(A85=FALSE,"",IF(LISTES!$A$17=1,MB85,INDEX(colMOD5,MATCH(DA85,colchoice,0))))</f>
        <v/>
      </c>
      <c r="MD85" s="759" t="str">
        <f t="shared" si="403"/>
        <v/>
      </c>
      <c r="ME85" s="292"/>
      <c r="MF85" s="409" t="str">
        <f t="shared" si="404"/>
        <v/>
      </c>
      <c r="MG85" s="430" t="str">
        <f>IF(A85=FALSE,"",Cotations!BQ85*AA85)</f>
        <v/>
      </c>
      <c r="MH85" s="292" t="str">
        <f t="shared" si="405"/>
        <v/>
      </c>
      <c r="MI85" s="446" t="str">
        <f>IF(A85=FALSE,"",IF(Cotations!AU85="monthly",MH85/12*L85,MH85/365*M85))</f>
        <v/>
      </c>
      <c r="MJ85" s="429" t="str">
        <f>IF(A85=FALSE,"",IF(Cotations!BR85="","",Cotations!BR85))</f>
        <v/>
      </c>
      <c r="MK85" s="292" t="str">
        <f t="shared" si="406"/>
        <v/>
      </c>
      <c r="ML85" s="292" t="str">
        <f t="shared" si="407"/>
        <v/>
      </c>
      <c r="MM85" s="759" t="str">
        <f t="shared" si="408"/>
        <v/>
      </c>
      <c r="MN85" s="759" t="str">
        <f>IF(A85=FALSE,"",((MH85*TAXE)-(MH85*TAXE*MJ85))+IF(#REF!="N/A",0,IF(INDEX(LISTES!$F$105:$F$109,MATCH(#REF!,LISTES!$C$105:$C$109,0))="FIX",#REF!,#REF!*MM85)))</f>
        <v/>
      </c>
      <c r="NA85" s="432" t="str">
        <f t="shared" si="409"/>
        <v/>
      </c>
      <c r="NB85" s="1234" t="str">
        <f>IF(A85=FALSE,"",IF(Detail!CH85="","N/A",YEAR(Detail!F85)&amp;Detail!CK85&amp;Detail!CH85&amp;"-"&amp;Detail!$CH$13&amp;" (100%/"&amp;Detail!CL85&amp;"/"&amp;Detail!CM85&amp;")"))</f>
        <v/>
      </c>
      <c r="NC85" s="431" t="str">
        <f>IF(A85=FALSE,"",IF(LISTES!$A$17=1,NB85,INDEX(colMOD6,MATCH(DA85,colchoice,0))))</f>
        <v/>
      </c>
      <c r="ND85" s="759" t="str">
        <f t="shared" si="410"/>
        <v/>
      </c>
      <c r="NE85" s="292"/>
      <c r="NF85" s="409" t="str">
        <f t="shared" si="411"/>
        <v/>
      </c>
      <c r="NG85" s="430" t="str">
        <f>IF(A85=FALSE,"",Cotations!BU85*AA85)</f>
        <v/>
      </c>
      <c r="NH85" s="292" t="str">
        <f t="shared" si="412"/>
        <v/>
      </c>
      <c r="NI85" s="446" t="str">
        <f>IF(A85=FALSE,"",IF(Cotations!AU85="monthly",NH85/12*L85,NH85/365*M85))</f>
        <v/>
      </c>
      <c r="NJ85" s="429" t="str">
        <f>IF(A85=FALSE,"",IF(Cotations!BV85="","",Cotations!BV85))</f>
        <v/>
      </c>
      <c r="NK85" s="292" t="str">
        <f t="shared" si="413"/>
        <v/>
      </c>
      <c r="NL85" s="292" t="str">
        <f t="shared" si="414"/>
        <v/>
      </c>
      <c r="NM85" s="759" t="str">
        <f t="shared" si="415"/>
        <v/>
      </c>
      <c r="NN85" s="759" t="str">
        <f>IF(A85=FALSE,"",((NH85*TAXE)-(NH85*TAXE*NJ85))+IF(#REF!="N/A",0,IF(INDEX(LISTES!$F$105:$F$109,MATCH(#REF!,LISTES!$C$105:$C$109,0))="FIX",#REF!,#REF!*NM85)))</f>
        <v/>
      </c>
      <c r="NZ85" s="1281" t="str">
        <f>IF(A85=FALSE,"",IF(Detail!CP85="","N/A",YEAR(Detail!F85)&amp;Detail!CS85&amp;Detail!CP85&amp;"-"&amp;Detail!CQ85))</f>
        <v/>
      </c>
      <c r="OA85" s="432" t="str">
        <f>IF(A85=FALSE,"",Cotations!CF85)</f>
        <v/>
      </c>
      <c r="OB85" s="1282" t="str">
        <f>IF(A85=FALSE,"",IF(Detail!CP85="","N/A",YEAR(Detail!F85)&amp;Detail!CS85&amp;Detail!CP85&amp;"-"&amp;Detail!$CP$13&amp;Detail!CQ85))</f>
        <v/>
      </c>
      <c r="OC85" s="1283" t="str">
        <f>IF(A85=FALSE,"",IF(LISTES!$A$17=1,OB85,INDEX(colMOD1,MATCH(Cotations!CE85,colchoice,0))))</f>
        <v/>
      </c>
      <c r="OD85" s="759" t="str">
        <f t="shared" si="416"/>
        <v/>
      </c>
      <c r="OE85" s="292" t="str">
        <f>IF(A85=FALSE,"",Detail!CQ85)</f>
        <v/>
      </c>
      <c r="OF85" s="409" t="str">
        <f t="shared" si="417"/>
        <v/>
      </c>
      <c r="OG85" s="430" t="str">
        <f>IF(A85=FALSE,"",IF(OA85="FIXE",Cotations!CM85,Cotations!CN85*AA85))</f>
        <v/>
      </c>
      <c r="OH85" s="292" t="str">
        <f t="shared" si="494"/>
        <v/>
      </c>
      <c r="OI85" s="446" t="str">
        <f>IF(A85=FALSE,"",IF(Cotations!CF85="monthly",OH85/12*L85,OH85/365*M85))</f>
        <v/>
      </c>
      <c r="OJ85" s="429" t="str">
        <f>IF(A85=FALSE,"",IF(Cotations!CO85="","",Cotations!CO85))</f>
        <v/>
      </c>
      <c r="OK85" s="292" t="str">
        <f t="shared" si="495"/>
        <v/>
      </c>
      <c r="OL85" s="292" t="str">
        <f t="shared" si="496"/>
        <v/>
      </c>
      <c r="OM85" s="759" t="str">
        <f t="shared" si="418"/>
        <v/>
      </c>
      <c r="ON85" s="759" t="str">
        <f>IF(A85=FALSE,"",((OH85*(1+TAXE)-(OH85*(1+TAXE)*OJ85))+IF(#REF!="N/A",0,IF(INDEX(LISTES!$F$105:$F$109,MATCH(#REF!,LISTES!$C$105:$C$109,0))="FIX",#REF!,#REF!*OM85))))</f>
        <v/>
      </c>
      <c r="PA85" s="432" t="str">
        <f>IF(A85=FALSE,"",Cotations!CF85)</f>
        <v/>
      </c>
      <c r="PB85" s="1282" t="str">
        <f>IF(A85=FALSE,"",IF(Detail!CX85="","N/A",YEAR(Detail!F85)&amp;Detail!DA85&amp;Detail!CX85&amp;"-"&amp;Detail!$CX$13&amp;Detail!CY85))</f>
        <v/>
      </c>
      <c r="PC85" s="1283" t="str">
        <f>IF(A85=FALSE,"",IF(LISTES!$A$17=1,PB85,INDEX(colMOD3,MATCH(Cotations!CE85,colchoice,0))))</f>
        <v/>
      </c>
      <c r="PD85" s="759" t="str">
        <f t="shared" si="419"/>
        <v/>
      </c>
      <c r="PE85" s="292" t="str">
        <f>IF(A85=FALSE,"",IF(Detail!CY85="","",Detail!CY85))</f>
        <v/>
      </c>
      <c r="PF85" s="409" t="str">
        <f t="shared" si="497"/>
        <v/>
      </c>
      <c r="PG85" s="430" t="str">
        <f>IF(A85=FALSE,"",IF(PA85="FIXE",Cotations!CP85,Cotations!CQ85*AA85))</f>
        <v/>
      </c>
      <c r="PH85" s="292" t="str">
        <f t="shared" si="498"/>
        <v/>
      </c>
      <c r="PI85" s="446" t="str">
        <f>IF(A85=FALSE,"",IF(Cotations!CG85="monthly",PH85/12*L85,PH85/365*M85))</f>
        <v/>
      </c>
      <c r="PJ85" s="429" t="str">
        <f>IF(A85=FALSE,"",IF(Cotations!DA85="",0,Cotations!DA85))</f>
        <v/>
      </c>
      <c r="PK85" s="292" t="str">
        <f t="shared" si="499"/>
        <v/>
      </c>
      <c r="PL85" s="292" t="str">
        <f t="shared" si="500"/>
        <v/>
      </c>
      <c r="PM85" s="759" t="str">
        <f t="shared" si="420"/>
        <v/>
      </c>
      <c r="PN85" s="759" t="str">
        <f>IF(A85=FALSE,"",((PH85*(1+TAXE)-(PH85*(1+TAXE)*PJ85))+IF(#REF!="N/A",0,IF(INDEX(LISTES!$F$105:$F$109,MATCH(#REF!,LISTES!$C$105:$C$109,0))="FIX",#REF!,#REF!*PM85))))</f>
        <v/>
      </c>
    </row>
    <row r="86" spans="1:430">
      <c r="A86" s="779" t="b">
        <f t="shared" si="364"/>
        <v>0</v>
      </c>
      <c r="B86" s="779" t="b">
        <f>IF(NAMES!$B$9=TRUE,TRUE,FALSE)</f>
        <v>1</v>
      </c>
      <c r="C86" s="779" t="b">
        <f t="shared" si="421"/>
        <v>0</v>
      </c>
      <c r="D86" s="779" t="b">
        <f t="shared" si="422"/>
        <v>0</v>
      </c>
      <c r="E86" s="267" t="b">
        <f>IF(Cotations!C86="","",Cotations!C86)</f>
        <v>0</v>
      </c>
      <c r="F86" s="267" t="str">
        <f>IF(Cotations!AT86="","",Cotations!AT86)</f>
        <v>PROP</v>
      </c>
      <c r="G86" s="267" t="str">
        <f>IF(Cotations!D86="","",Cotations!D86)</f>
        <v>2016-2017!</v>
      </c>
      <c r="H86" s="267" t="str">
        <f>IF(Cotations!E86="","",Cotations!E86)</f>
        <v>SINGLE</v>
      </c>
      <c r="I86" s="267" t="str">
        <f>IF(Cotations!F86="","",Cotations!F86)</f>
        <v/>
      </c>
      <c r="J86" s="267" t="str">
        <f>IF(Cotations!G86="","",Cotations!G86)</f>
        <v/>
      </c>
      <c r="K86" s="267" t="str">
        <f>IF(Cotations!H86="","",Cotations!H86)</f>
        <v/>
      </c>
      <c r="L86" s="267" t="str">
        <f>IF(A86=FALSE,"",IF(Cotations!M86="","",Cotations!M86))</f>
        <v/>
      </c>
      <c r="M86" s="267" t="str">
        <f>IF(Cotations!O86="","",Cotations!O86)</f>
        <v/>
      </c>
      <c r="N86" s="588" t="str">
        <f>IF(NAMES!$B$10=TRUE,Cotations!I86,Cotations!K86)</f>
        <v/>
      </c>
      <c r="O86" s="588" t="str">
        <f>IF(NAMES!$B$10=TRUE,Cotations!J86,Cotations!L86)</f>
        <v/>
      </c>
      <c r="P86" s="780" t="str">
        <f t="shared" si="423"/>
        <v/>
      </c>
      <c r="Q86" s="588" t="str">
        <f>IF(A86=FALSE,"",IF(Crewlist!Y86="","",Crewlist!Y86))</f>
        <v/>
      </c>
      <c r="R86" s="78" t="str">
        <f>IF(Cotations!T86="","",Cotations!T86)</f>
        <v/>
      </c>
      <c r="S86" s="780" t="str">
        <f t="shared" si="424"/>
        <v/>
      </c>
      <c r="T86" s="759" t="str">
        <f>IF(A86=FALSE,"",VLOOKUP($U$15:$U$120,Currency!$A$2:$D$10,4,0)*Crewlist!N86)</f>
        <v/>
      </c>
      <c r="U86" s="1097" t="str">
        <f>IF(A86=FALSE,"",IF(DP86=0,Crewlist!M86&amp;"/"&amp;CP86,Crewlist!M86&amp;"/"&amp;DP86))</f>
        <v/>
      </c>
      <c r="V86" s="759" t="str">
        <f>IF(A86=FALSE,"",VLOOKUP($U$15:$U$120,Currency!$A$2:$D$10,4,0)*Detail!Q86)</f>
        <v/>
      </c>
      <c r="W86" s="1097" t="str">
        <f>IF(A86=FALSE,"",IF(DP86=0,Detail!R86&amp;"/"&amp;CP86,Detail!R86&amp;"/"&amp;DP86))</f>
        <v/>
      </c>
      <c r="X86" s="759" t="str">
        <f>IF(A86=FALSE,"",IF(LISTES!$C$17="Crewlist",Calcul!T86,Calcul!V86))</f>
        <v/>
      </c>
      <c r="Y86" s="618" t="str">
        <f t="shared" si="425"/>
        <v/>
      </c>
      <c r="Z86" s="618" t="str">
        <f>IF(A86=FALSE,"",IF(X86=0,0,IF((Cotations!BA86*12*X86)&lt;50000,50000,(12*X86))))</f>
        <v/>
      </c>
      <c r="AA86" s="618" t="str">
        <f t="shared" si="426"/>
        <v/>
      </c>
      <c r="AB86" s="618" t="str">
        <f>IF(A86=FALSE,"",IF(Crewlist!O86=0,"",Crewlist!O86))</f>
        <v/>
      </c>
      <c r="AC86" s="618" t="str">
        <f>IF(I86="","",VLOOKUP($AB$15:$AB$120,Currency!$A$15:$B$34,2,0))</f>
        <v/>
      </c>
      <c r="AD86" s="618" t="str">
        <f t="shared" si="427"/>
        <v/>
      </c>
      <c r="AE86" s="618" t="str">
        <f t="shared" si="428"/>
        <v/>
      </c>
      <c r="AF86" s="618" t="str">
        <f t="shared" si="429"/>
        <v/>
      </c>
      <c r="AG86" s="618" t="str">
        <f t="shared" si="430"/>
        <v/>
      </c>
      <c r="AH86" s="1097" t="str">
        <f t="shared" si="365"/>
        <v/>
      </c>
      <c r="AI86" s="759" t="str">
        <f t="shared" si="431"/>
        <v/>
      </c>
      <c r="AJ86" s="1120" t="str">
        <f t="shared" si="432"/>
        <v/>
      </c>
      <c r="AK86" s="1120" t="str">
        <f t="shared" si="433"/>
        <v/>
      </c>
      <c r="AL86" s="236" t="str">
        <f t="shared" si="434"/>
        <v/>
      </c>
      <c r="AM86" s="236" t="str">
        <f t="shared" si="435"/>
        <v/>
      </c>
      <c r="AN86" s="1112" t="str">
        <f t="shared" si="436"/>
        <v/>
      </c>
      <c r="AO86" s="236" t="str">
        <f t="shared" si="437"/>
        <v/>
      </c>
      <c r="AP86" s="327" t="str">
        <f>IF(A86=FALSE,"",INDEX(Rates!$Q$1:$Q$278,MATCH(CA86,colchoice,0)))</f>
        <v/>
      </c>
      <c r="AQ86" s="236" t="str">
        <f t="shared" si="438"/>
        <v/>
      </c>
      <c r="AR86" s="236" t="str">
        <f t="shared" si="439"/>
        <v/>
      </c>
      <c r="AS86" s="236" t="str">
        <f t="shared" si="366"/>
        <v/>
      </c>
      <c r="AT86" s="236" t="str">
        <f t="shared" si="367"/>
        <v/>
      </c>
      <c r="AU86" s="236" t="str">
        <f t="shared" si="440"/>
        <v/>
      </c>
      <c r="AV86" s="236" t="str">
        <f t="shared" si="441"/>
        <v/>
      </c>
      <c r="AW86" s="236" t="str">
        <f t="shared" si="442"/>
        <v/>
      </c>
      <c r="AX86" s="236" t="str">
        <f t="shared" si="443"/>
        <v/>
      </c>
      <c r="AY86" s="236" t="str">
        <f t="shared" si="444"/>
        <v/>
      </c>
      <c r="AZ86" s="236" t="str">
        <f t="shared" si="445"/>
        <v/>
      </c>
      <c r="BA86" s="236" t="str">
        <f t="shared" si="446"/>
        <v/>
      </c>
      <c r="BB86" s="467" t="str">
        <f t="shared" si="447"/>
        <v/>
      </c>
      <c r="BC86" s="329" t="str">
        <f t="shared" si="448"/>
        <v/>
      </c>
      <c r="BD86" s="237" t="str">
        <f t="shared" si="449"/>
        <v/>
      </c>
      <c r="BE86" s="237" t="str">
        <f>IF(A86=FALSE,"",IF(ED86&lt;&gt;$BC$7,0,INDEX(EA86:EZ86,1,MATCH(Structure!$J$16,$EA$14:$EZ$14,0))))</f>
        <v/>
      </c>
      <c r="BF86" s="237" t="str">
        <f>IF(A86=FALSE,"",IF(FD86&lt;&gt;$BC$7,0,INDEX(FA86:FZ86,1,MATCH(Structure!$J$16,$FA$14:$FZ$14,0))))</f>
        <v/>
      </c>
      <c r="BG86" s="237" t="str">
        <f>IF(A86=FALSE,"",IF(GD86&lt;&gt;$BC$7,0,INDEX(GA86:GZ86,1,MATCH(Structure!$J$16,$GA$14:$GZ$14,0))))</f>
        <v/>
      </c>
      <c r="BH86" s="237" t="str">
        <f>IF(A86=FALSE,"",IF(HD86&lt;&gt;$BC$7,0,INDEX(HA86:HZ86,1,MATCH(Structure!$J$16,$HA$14:$HZ$14,0))))</f>
        <v/>
      </c>
      <c r="BI86" s="621" t="str">
        <f>IF(A86=FALSE,"",IF(ID86&lt;&gt;$BC$7,0,INDEX(IA86:IZ86,1,MATCH(Structure!$C$12,$IA$14:$IZ$14,0)))+OL86)</f>
        <v/>
      </c>
      <c r="BJ86" s="237" t="str">
        <f>IF(A86=FALSE,"",IF(JD86&lt;&gt;$BC$7,0,INDEX(JA86:JZ86,1,MATCH(Structure!$C$12,$JA$14:$JZ$14,0))))</f>
        <v/>
      </c>
      <c r="BK86" s="621" t="str">
        <f>IF(A86=FALSE,"",IF(KD86&lt;&gt;$BC$7,0,INDEX(KA86:KZ86,1,MATCH(Structure!$C$12,$KA$14:$KZ$14,0)))+PL86)</f>
        <v/>
      </c>
      <c r="BL86" s="237" t="str">
        <f>IF(A86=FALSE,"",IF(LD86&lt;&gt;$BC$7,0,INDEX(LA86:LZ86,1,MATCH(Structure!$C$12,$LA$14:$LZ$14,0))))</f>
        <v/>
      </c>
      <c r="BM86" s="237" t="str">
        <f>IF(A86=FALSE,"",IF(MD86&lt;&gt;$BC$7,0,INDEX(MA86:MZ86,1,MATCH(Structure!$C$12,$MA$14:$MZ$14,0))))</f>
        <v/>
      </c>
      <c r="BN86" s="326" t="str">
        <f>IF(A86=FALSE,"",IF(ND86&lt;&gt;$BC$7,0,INDEX(NA86:OC86,1,MATCH(Structure!$C$12,$NA$14:$OC$14,0))))</f>
        <v/>
      </c>
      <c r="BO86" s="435" t="str">
        <f t="shared" si="450"/>
        <v/>
      </c>
      <c r="BP86" s="237" t="str">
        <f t="shared" si="451"/>
        <v/>
      </c>
      <c r="BQ86" s="237" t="str">
        <f>IF(A86=FALSE,"",IF(ED86&lt;&gt;$BO$7,0,INDEX(EA86:EZ86,1,MATCH(Structure!$C$12,$EA$14:$EZ$14,0))))</f>
        <v/>
      </c>
      <c r="BR86" s="237" t="str">
        <f>IF(A86=FALSE,"",IF(FD86&lt;&gt;$BO$7,0,INDEX(FA86:FZ86,1,MATCH(Structure!$C$12,$FA$14:$FZ$14,0))))</f>
        <v/>
      </c>
      <c r="BS86" s="237" t="str">
        <f>IF(A86=FALSE,"",IF(ID86&lt;&gt;$BO$7,0,INDEX(IA86:IZ86,1,MATCH(Structure!$C$13,$IA$14:$IZ$14,0))))</f>
        <v/>
      </c>
      <c r="BT86" s="237" t="str">
        <f>IF(A86=FALSE,"",IF(JD86&lt;&gt;$BO$7,0,INDEX(JA86:JZ86,1,MATCH(Structure!$C$13,$JA$14:$JZ$14,0))))</f>
        <v/>
      </c>
      <c r="BU86" s="237" t="str">
        <f>IF(A86=FALSE,"",IF(KD86&lt;&gt;$BO$7,0,INDEX(KA86:KZ86,1,MATCH(Structure!$C$13,$KA$14:$KZ$14,0))))</f>
        <v/>
      </c>
      <c r="BV86" s="237" t="str">
        <f>IF(A86=FALSE,"",IF(LD86&lt;&gt;$BO$7,0,INDEX(LA86:LZ86,1,MATCH(Structure!$C$13,$LA$14:$LZ$14,0))))</f>
        <v/>
      </c>
      <c r="BW86" s="237" t="str">
        <f>IF(A86=FALSE,"",IF(MD86&lt;&gt;$BO$7,0,INDEX(MA86:MZ86,1,MATCH(Structure!$C$13,$MA$14:$MZ$14,0))))</f>
        <v/>
      </c>
      <c r="BX86" s="326" t="str">
        <f>IF(A86=FALSE,"",IF(ND86&lt;&gt;$BO$7,0,INDEX(NA86:OC86,1,MATCH(Structure!$C$13,$NA$14:$OC$14,0))))</f>
        <v/>
      </c>
      <c r="BY86" s="412"/>
      <c r="BZ86" s="412"/>
      <c r="CA86" s="1255" t="str">
        <f>IF(A86=FALSE,"",IF(LISTES!$A$17=1,Cotations!AG86,Cotations!AH86))</f>
        <v/>
      </c>
      <c r="CB86" s="1266" t="str">
        <f t="shared" si="452"/>
        <v/>
      </c>
      <c r="CC86" s="1120" t="str">
        <f t="shared" si="453"/>
        <v/>
      </c>
      <c r="CD86" s="1120" t="str">
        <f t="shared" si="454"/>
        <v/>
      </c>
      <c r="CE86" s="1120" t="str">
        <f t="shared" si="455"/>
        <v/>
      </c>
      <c r="CF86" s="1120" t="str">
        <f t="shared" si="456"/>
        <v/>
      </c>
      <c r="CG86" s="1267"/>
      <c r="CH86" s="1267"/>
      <c r="CI86" s="1268" t="str">
        <f t="shared" si="457"/>
        <v/>
      </c>
      <c r="CJ86" s="286" t="str">
        <f t="shared" si="458"/>
        <v/>
      </c>
      <c r="CK86" s="286" t="str">
        <f t="shared" si="459"/>
        <v/>
      </c>
      <c r="CL86" s="1263"/>
      <c r="CM86" s="1263"/>
      <c r="CN86" s="1263"/>
      <c r="CO86" s="1263"/>
      <c r="CP86" s="319" t="str">
        <f t="shared" si="460"/>
        <v/>
      </c>
      <c r="CQ86" s="443" t="str">
        <f>IF(A86=FALSE,"",Cotations!AM86)</f>
        <v/>
      </c>
      <c r="CR86" s="443" t="str">
        <f>IF(A86=FALSE,"",IF(Cotations!AN86="","",Cotations!AN86))</f>
        <v/>
      </c>
      <c r="CS86" s="433" t="str">
        <f>IF(A86=FALSE,"",Cotations!AO86)</f>
        <v/>
      </c>
      <c r="CT86" s="443" t="str">
        <f>IF(A86=FALSE,"",IF(CQ86="N/A",0,IF(INDEX(LISTES!$F$105:$F$109,MATCH(CQ86,LISTES!$C$105:$C$109,0))="FIX",IF(INDEX(LISTES!$E$105:$E$109,MATCH(CQ86,LISTES!$C$105:$C$109,0))=12,CR86/12*L86,CR86/365*M86),CS86*EQ86)))</f>
        <v/>
      </c>
      <c r="CU86" s="434" t="str">
        <f>IF(A86=FALSE,"",(CJ86+CK86)*Cotations!AP86)</f>
        <v/>
      </c>
      <c r="CV86" s="434" t="str">
        <f>IF(A86=FALSE,"",(CJ86+CK86)*Cotations!AQ86)</f>
        <v/>
      </c>
      <c r="DA86" s="1253" t="str">
        <f>IF(A86=FALSE,"",IF(LISTES!$A$17=1,Cotations!AV86,Cotations!AW86))</f>
        <v/>
      </c>
      <c r="DB86" s="1271" t="str">
        <f t="shared" si="461"/>
        <v/>
      </c>
      <c r="DC86" s="1270" t="str">
        <f t="shared" si="462"/>
        <v/>
      </c>
      <c r="DD86" s="1270" t="str">
        <f t="shared" si="463"/>
        <v/>
      </c>
      <c r="DE86" s="1270" t="str">
        <f t="shared" si="464"/>
        <v/>
      </c>
      <c r="DF86" s="1270" t="str">
        <f t="shared" si="465"/>
        <v/>
      </c>
      <c r="DG86" s="1270" t="str">
        <f t="shared" si="466"/>
        <v/>
      </c>
      <c r="DH86" s="1270" t="str">
        <f t="shared" si="467"/>
        <v/>
      </c>
      <c r="DI86" s="1271" t="str">
        <f t="shared" si="468"/>
        <v/>
      </c>
      <c r="DJ86" s="286" t="str">
        <f t="shared" si="469"/>
        <v/>
      </c>
      <c r="DK86" s="286" t="str">
        <f t="shared" si="470"/>
        <v/>
      </c>
      <c r="DL86" s="1264" t="str">
        <f t="shared" si="471"/>
        <v/>
      </c>
      <c r="DM86" s="1264" t="str">
        <f t="shared" si="472"/>
        <v/>
      </c>
      <c r="DN86" s="1264" t="str">
        <f t="shared" si="473"/>
        <v/>
      </c>
      <c r="DO86" s="1264" t="str">
        <f t="shared" si="474"/>
        <v/>
      </c>
      <c r="DP86" s="323" t="str">
        <f t="shared" si="368"/>
        <v/>
      </c>
      <c r="DQ86" s="444" t="str">
        <f>IF(A86=FALSE,"",Cotations!BW86)</f>
        <v/>
      </c>
      <c r="DR86" s="444" t="str">
        <f>IF(A86=FALSE,"",Cotations!BX86)</f>
        <v/>
      </c>
      <c r="DS86" s="433" t="str">
        <f>IF(A86=FALSE,"",Cotations!BY86)</f>
        <v/>
      </c>
      <c r="DT86" s="830" t="str">
        <f>IF(A86=FALSE,"",IF(DQ86="N/A",0,IF(INDEX(LISTES!$F$105:$F$109,MATCH(DQ86,LISTES!$C$105:$C$109,0))="FIX",IF(INDEX(LISTES!$E$105:$E$109,MATCH(DQ86,LISTES!$C$105:$C$109,0))=12,DR86/12*L86,DR86/365*M86),DS86*(DN86+DO86))))</f>
        <v/>
      </c>
      <c r="DU86" s="434" t="str">
        <f>IF(A86=FALSE,"",DJ86*Cotations!BZ86)</f>
        <v/>
      </c>
      <c r="DV86" s="434" t="str">
        <f>IF(A86=FALSE,"",DJ86*Cotations!CA86)</f>
        <v/>
      </c>
      <c r="EA86" s="432" t="str">
        <f>IF(A86=FALSE,"",Cotations!AT86)</f>
        <v/>
      </c>
      <c r="EB86" s="1234" t="str">
        <f>IF(A86=FALSE,"",YEAR(Detail!F86)&amp;Detail!AG86&amp;Detail!AD86&amp;"-"&amp;Detail!$AD$13&amp;Detail!AE86)</f>
        <v/>
      </c>
      <c r="EC86" s="434" t="str">
        <f>IF(A86=FALSE,"",IF(LISTES!$A$17=1,EB86,INDEX(colMOD1,MATCH(Cotations!AH86,colchoice,0))))</f>
        <v/>
      </c>
      <c r="ED86" s="277" t="str">
        <f t="shared" si="369"/>
        <v/>
      </c>
      <c r="EE86" s="277" t="str">
        <f t="shared" si="370"/>
        <v/>
      </c>
      <c r="EF86" s="277"/>
      <c r="EG86" s="277"/>
      <c r="EH86" s="277" t="str">
        <f t="shared" si="371"/>
        <v/>
      </c>
      <c r="EI86" s="1104" t="str">
        <f t="shared" si="372"/>
        <v/>
      </c>
      <c r="EJ86" s="1104" t="str">
        <f t="shared" si="373"/>
        <v/>
      </c>
      <c r="EK86" s="443" t="str">
        <f>IF(A86=FALSE,"",IF(Cotations!AF86="monthly",EH86/12*L86,EH86/365*M86))</f>
        <v/>
      </c>
      <c r="EL86" s="1103" t="str">
        <f>IF(A86=FALSE,"",IF(Cotations!AF86="monthly",EJ86/12*L86,EJ86/365*M86))</f>
        <v/>
      </c>
      <c r="EM86" s="433" t="str">
        <f>IF(A86=FALSE,"",IF(Cotations!AI86="","",Cotations!AI86))</f>
        <v/>
      </c>
      <c r="EN86" s="277" t="str">
        <f t="shared" si="374"/>
        <v/>
      </c>
      <c r="EO86" s="277" t="str">
        <f t="shared" si="375"/>
        <v/>
      </c>
      <c r="EP86" s="1104" t="str">
        <f t="shared" si="376"/>
        <v/>
      </c>
      <c r="EQ86" s="277" t="str">
        <f t="shared" si="377"/>
        <v/>
      </c>
      <c r="ER86" s="759" t="str">
        <f>IF(A86=FALSE,"",((EH86*TAXE)-(EH86*TAXE*EM86)+EI86)+IF(CQ86="N/A",0,IF(INDEX(LISTES!$F$105:$F$109,MATCH(CQ86,LISTES!$C$105:$C$109,0))="FIX",CR86,CS86*EQ86)))</f>
        <v/>
      </c>
      <c r="ET86" s="422"/>
      <c r="EU86" s="422"/>
      <c r="EV86" s="422"/>
      <c r="EW86" s="422"/>
      <c r="EX86" s="422"/>
      <c r="EY86" s="422"/>
      <c r="EZ86" s="422"/>
      <c r="FA86" s="432" t="str">
        <f>IF(A86=FALSE,"",Cotations!AT86)</f>
        <v/>
      </c>
      <c r="FB86" s="1235" t="str">
        <f>IF(A86=FALSE,"",IF(Detail!AL86="","N/A",YEAR(Detail!F86)&amp;Detail!AO86&amp;Detail!AL86&amp;"-"&amp;Detail!$AL$13&amp;Detail!AM86))</f>
        <v/>
      </c>
      <c r="FC86" s="434" t="str">
        <f>IF(A86=FALSE,"",IF(LISTES!$A$17=1,FB86,INDEX(colMOD2,MATCH(Cotations!AH86,colchoice,0))))</f>
        <v/>
      </c>
      <c r="FD86" s="277" t="str">
        <f t="shared" si="378"/>
        <v/>
      </c>
      <c r="FE86" s="443" t="str">
        <f>IF(A86=FALSE,"",IF(Detail!AM86="","",Detail!AM86))</f>
        <v/>
      </c>
      <c r="FF86" s="277"/>
      <c r="FG86" s="277"/>
      <c r="FH86" s="277" t="str">
        <f t="shared" si="379"/>
        <v/>
      </c>
      <c r="FI86" s="1104"/>
      <c r="FJ86" s="1104"/>
      <c r="FK86" s="443" t="str">
        <f>IF(A86=FALSE,"",IF(Cotations!AF86="monthly",FH86/12*L86,FH86/365*M86))</f>
        <v/>
      </c>
      <c r="FL86" s="1103" t="str">
        <f>IF(A86=FALSE,"",IF(Cotations!AF86="monthly",FJ86/12*L86,FJ86/365*M86))</f>
        <v/>
      </c>
      <c r="FM86" s="433" t="str">
        <f>IF(A86=FALSE,"",IF(Cotations!AJ86="","",Cotations!AJ86))</f>
        <v/>
      </c>
      <c r="FN86" s="277" t="str">
        <f t="shared" si="475"/>
        <v/>
      </c>
      <c r="FO86" s="277" t="str">
        <f t="shared" si="476"/>
        <v/>
      </c>
      <c r="FP86" s="1104"/>
      <c r="FQ86" s="277" t="str">
        <f t="shared" si="477"/>
        <v/>
      </c>
      <c r="FR86" s="759" t="str">
        <f>IF(A86=FALSE,"",((FH86*TAXE)-(FH86*TAXE*FM86))+IF(#REF!="N/A",0,IF(INDEX(LISTES!$F$105:$F$109,MATCH(#REF!,LISTES!$C$105:$C$109,0))="FIX",#REF!,#REF!*FQ86)))</f>
        <v/>
      </c>
      <c r="FS86" s="422"/>
      <c r="FT86" s="422"/>
      <c r="FU86" s="422"/>
      <c r="FV86" s="422"/>
      <c r="FW86" s="422"/>
      <c r="FX86" s="422"/>
      <c r="FY86" s="422"/>
      <c r="FZ86" s="422"/>
      <c r="GA86" s="432" t="str">
        <f t="shared" si="380"/>
        <v/>
      </c>
      <c r="GB86" s="1234" t="str">
        <f>IF(A86=FALSE,"",IF(Detail!DF86="","N/A",YEAR(Detail!F86)&amp;Detail!DI86&amp;Detail!DF86&amp;"-"&amp;Detail!$DF$13))</f>
        <v/>
      </c>
      <c r="GC86" s="434" t="str">
        <f>IF(A86=FALSE,"",IF(LISTES!$A$17=1,GB86,INDEX(colMOD3,MATCH(Cotations!AH86,colchoice,0))))</f>
        <v/>
      </c>
      <c r="GD86" s="277" t="str">
        <f t="shared" si="381"/>
        <v/>
      </c>
      <c r="GE86" s="277" t="str">
        <f t="shared" si="382"/>
        <v/>
      </c>
      <c r="GF86" s="277"/>
      <c r="GG86" s="277"/>
      <c r="GH86" s="277" t="str">
        <f t="shared" si="478"/>
        <v/>
      </c>
      <c r="GI86" s="1104" t="str">
        <f t="shared" si="479"/>
        <v/>
      </c>
      <c r="GJ86" s="1104" t="str">
        <f t="shared" si="480"/>
        <v/>
      </c>
      <c r="GK86" s="443" t="str">
        <f>IF(A86=FALSE,"",IF(Cotations!AF86="monthly",GH86/12*L86,GH86/365*M86))</f>
        <v/>
      </c>
      <c r="GL86" s="1103" t="str">
        <f>IF(A86=FALSE,"",IF(Cotations!AF86="monthly",GJ86/12*L86,GJ86/365*M86))</f>
        <v/>
      </c>
      <c r="GM86" s="433" t="str">
        <f>IF(A86=FALSE,"",IF(Cotations!AK86="","",Cotations!AK86))</f>
        <v/>
      </c>
      <c r="GN86" s="277" t="str">
        <f t="shared" si="481"/>
        <v/>
      </c>
      <c r="GO86" s="277" t="str">
        <f t="shared" si="482"/>
        <v/>
      </c>
      <c r="GP86" s="1104" t="str">
        <f t="shared" si="483"/>
        <v/>
      </c>
      <c r="GQ86" s="277" t="str">
        <f t="shared" si="484"/>
        <v/>
      </c>
      <c r="GR86" s="759" t="str">
        <f>IF(A86=FALSE,"",((GH86*TAXE)-(GH86*TAXE*GM86)+GI86)+IF(CQ86="N/A",0,IF(INDEX(LISTES!$F$105:$F$109,MATCH(CQ86,LISTES!$C$105:$C$109,0))="FIX",CR86,CS86*GQ86)))</f>
        <v/>
      </c>
      <c r="GS86" s="412"/>
      <c r="GT86" s="412"/>
      <c r="GU86" s="412"/>
      <c r="GV86" s="412"/>
      <c r="GW86" s="412"/>
      <c r="GX86" s="412"/>
      <c r="GY86" s="412"/>
      <c r="GZ86" s="412"/>
      <c r="HA86" s="432" t="str">
        <f t="shared" si="383"/>
        <v/>
      </c>
      <c r="HB86" s="1234" t="str">
        <f>IF(A86=FALSE,"",IF(Detail!DF86="","N/A",YEAR(Detail!F86)&amp;Detail!DI86&amp;Detail!DF86&amp;"-"&amp;Detail!$DF$13))</f>
        <v/>
      </c>
      <c r="HC86" s="434" t="str">
        <f>IF(A86=FALSE,"",IF(LISTES!$A$17=1,HB86,INDEX(colMOD4,MATCH(Cotations!AH86,colchoice,0))))</f>
        <v/>
      </c>
      <c r="HD86" s="277" t="str">
        <f t="shared" si="485"/>
        <v/>
      </c>
      <c r="HE86" s="277" t="str">
        <f t="shared" si="486"/>
        <v/>
      </c>
      <c r="HF86" s="277"/>
      <c r="HG86" s="277"/>
      <c r="HH86" s="277" t="str">
        <f t="shared" si="487"/>
        <v/>
      </c>
      <c r="HI86" s="1104" t="str">
        <f t="shared" si="488"/>
        <v/>
      </c>
      <c r="HJ86" s="1104" t="str">
        <f t="shared" si="489"/>
        <v/>
      </c>
      <c r="HK86" s="443" t="str">
        <f>IF(A86=FALSE,"",IF(Cotations!AF86="monthly",HH86/12*L86,HH86/365*M86))</f>
        <v/>
      </c>
      <c r="HL86" s="1103" t="str">
        <f>IF(A86=FALSE,"",IF(Cotations!AF86="monthly",HJ86/12*L86,HJ86/365*M86))</f>
        <v/>
      </c>
      <c r="HM86" s="433" t="str">
        <f>IF(A86=FALSE,"",IF(Cotations!AL86="","",Cotations!AL86))</f>
        <v/>
      </c>
      <c r="HN86" s="277" t="str">
        <f t="shared" si="490"/>
        <v/>
      </c>
      <c r="HO86" s="277" t="str">
        <f t="shared" si="491"/>
        <v/>
      </c>
      <c r="HP86" s="1104" t="str">
        <f t="shared" si="492"/>
        <v/>
      </c>
      <c r="HQ86" s="277" t="str">
        <f t="shared" si="493"/>
        <v/>
      </c>
      <c r="HR86" s="759" t="str">
        <f>IF(A86=FALSE,"",((HH86*TAXE)-(HH86*TAXE*HM86)+HI86)+IF(CQ86="N/A",0,IF(INDEX(LISTES!$F$105:$F$109,MATCH(CQ86,LISTES!$C$105:$C$109,0))="FIX",CR86,CS86*HQ86)))</f>
        <v/>
      </c>
      <c r="HS86" s="412"/>
      <c r="HT86" s="412"/>
      <c r="HU86" s="412"/>
      <c r="HV86" s="412"/>
      <c r="HW86" s="412"/>
      <c r="HX86" s="412"/>
      <c r="HY86" s="412"/>
      <c r="HZ86" s="1262"/>
      <c r="IA86" s="432" t="str">
        <f>IF(A86=FALSE,"",Cotations!AT86)</f>
        <v/>
      </c>
      <c r="IB86" s="1253" t="str">
        <f>IF(A86=FALSE,"",IF(Detail!AT86="","N/A",YEAR(Detail!F86)&amp;Detail!AW86&amp;Detail!AT86&amp;"-"&amp;Detail!$AT$13&amp;Detail!AU86))</f>
        <v/>
      </c>
      <c r="IC86" s="431" t="str">
        <f>IF(A86=FALSE,"",IF(LISTES!$A$17=1,IB86,INDEX(colMOD1,MATCH(DA86,colchoice,0))))</f>
        <v/>
      </c>
      <c r="ID86" s="759" t="str">
        <f t="shared" si="358"/>
        <v/>
      </c>
      <c r="IE86" s="292" t="str">
        <f>IF(A86=FALSE,"",IF(LISTES!$A$17=1,Detail!AU86,INDEX(Rates!$M$1:$M$270,MATCH(IC86,colMOD1,0))))</f>
        <v/>
      </c>
      <c r="IF86" s="409" t="str">
        <f t="shared" si="359"/>
        <v/>
      </c>
      <c r="IG86" s="430" t="str">
        <f>IF(A86=FALSE,"",IF(IA86="POEA",Cotations!AY86,IF(IA86="FIXE",Cotations!AZ86,IF(Cotations!BA86*Y86&lt;50000,Z86,Cotations!BA86*Y86))))</f>
        <v/>
      </c>
      <c r="IH86" s="292" t="str">
        <f t="shared" si="360"/>
        <v/>
      </c>
      <c r="II86" s="446" t="str">
        <f>IF(A86=FALSE,"",IF(Cotations!AU86="monthly",IH86/12*L86,IH86/365*M86))</f>
        <v/>
      </c>
      <c r="IJ86" s="429" t="str">
        <f>IF(A86=FALSE,"",IF(Cotations!BB86="","",Cotations!BB86))</f>
        <v/>
      </c>
      <c r="IK86" s="292" t="str">
        <f t="shared" si="361"/>
        <v/>
      </c>
      <c r="IL86" s="292" t="str">
        <f t="shared" si="362"/>
        <v/>
      </c>
      <c r="IM86" s="759" t="str">
        <f t="shared" si="363"/>
        <v/>
      </c>
      <c r="IN86" s="759" t="str">
        <f>IF(A86=FALSE,"",((IH86*TAXE)-(IH86*TAXE*IJ86))+IF(DQ86="N/A",0,IF(INDEX(LISTES!$F$105:$F$109,MATCH(DQ86,LISTES!$C$105:$C$109,0))="FIX",DR86,DS86*IM86)))</f>
        <v/>
      </c>
      <c r="JA86" s="432" t="str">
        <f>IF(A86=FALSE,"",Cotations!AT86)</f>
        <v/>
      </c>
      <c r="JB86" s="1234" t="str">
        <f>IF(A86=FALSE,"",IF(Detail!BB86="","N/A",YEAR(Detail!F86)&amp;Detail!BE86&amp;Detail!BB86&amp;"-"&amp;Detail!$BB$13&amp;Detail!BC86))</f>
        <v/>
      </c>
      <c r="JC86" s="431" t="str">
        <f>IF(A86=FALSE,"",IF(LISTES!$A$17=1,JB86,INDEX(colMOD2,MATCH(DA86,colchoice,0))))</f>
        <v/>
      </c>
      <c r="JD86" s="759" t="str">
        <f t="shared" si="384"/>
        <v/>
      </c>
      <c r="JE86" s="292"/>
      <c r="JF86" s="409" t="str">
        <f t="shared" si="385"/>
        <v/>
      </c>
      <c r="JG86" s="430" t="str">
        <f>IF(A86=FALSE,"",IF(JA86="POEA",Cotations!BC86,IF(JA86="FIXE",Cotations!BD86,IF(Cotations!BE86*Y86&lt;50000,Z86,Cotations!BE86*Y86))))</f>
        <v/>
      </c>
      <c r="JH86" s="292" t="str">
        <f t="shared" si="386"/>
        <v/>
      </c>
      <c r="JI86" s="446" t="str">
        <f>IF(A86=FALSE,"",IF(Cotations!AU86="monthly",JH86/12*L86,JH86/365*M86))</f>
        <v/>
      </c>
      <c r="JJ86" s="429" t="str">
        <f>IF(A86=FALSE,"",IF(Cotations!BF86="","",Cotations!BF86))</f>
        <v/>
      </c>
      <c r="JK86" s="292" t="str">
        <f t="shared" si="387"/>
        <v/>
      </c>
      <c r="JL86" s="292" t="str">
        <f t="shared" si="388"/>
        <v/>
      </c>
      <c r="JM86" s="759" t="str">
        <f t="shared" si="389"/>
        <v/>
      </c>
      <c r="JN86" s="759" t="str">
        <f>IF(A86=FALSE,"",((JH86*TAXE)-(JH86*TAXE*JJ86))+IF(#REF!="N/A",0,IF(INDEX(LISTES!$F$105:$F$109,MATCH(#REF!,LISTES!$C$105:$C$109,0))="FIX",#REF!,#REF!*JM86)))</f>
        <v/>
      </c>
      <c r="KA86" s="432" t="str">
        <f>IF(A86=FALSE,"",Cotations!AT86)</f>
        <v/>
      </c>
      <c r="KB86" s="1234" t="str">
        <f>IF(A86=FALSE,"",IF(Detail!BJ86="","N/A",YEAR(Detail!F86)&amp;Detail!BM86&amp;Detail!BJ86&amp;"-"&amp;Detail!$BJ$13&amp;Detail!BK86))</f>
        <v/>
      </c>
      <c r="KC86" s="431" t="str">
        <f>IF(A86=FALSE,"",IF(LISTES!$A$17=1,KB86,INDEX(colMOD3,MATCH(DA86,colchoice,0))))</f>
        <v/>
      </c>
      <c r="KD86" s="759" t="str">
        <f t="shared" si="390"/>
        <v/>
      </c>
      <c r="KE86" s="292"/>
      <c r="KF86" s="409" t="str">
        <f t="shared" si="391"/>
        <v/>
      </c>
      <c r="KG86" s="430" t="str">
        <f>IF(A86=FALSE,"",IF(KA86="POEA",Cotations!BG86,IF(KA86="FIXE",Cotations!BH86,IF(Cotations!BI86*Y86&lt;50000,Z86,Cotations!BI86*Y86))))</f>
        <v/>
      </c>
      <c r="KH86" s="292" t="str">
        <f t="shared" si="392"/>
        <v/>
      </c>
      <c r="KI86" s="446" t="str">
        <f>IF(A86=FALSE,"",IF(Cotations!AU86="monthly",KH86/12*L86,KH86/365*M86))</f>
        <v/>
      </c>
      <c r="KJ86" s="429" t="str">
        <f>IF(A86=FALSE,"",IF(Cotations!BJ86="","",Cotations!BJ86))</f>
        <v/>
      </c>
      <c r="KK86" s="292" t="str">
        <f t="shared" si="393"/>
        <v/>
      </c>
      <c r="KL86" s="292" t="str">
        <f t="shared" si="394"/>
        <v/>
      </c>
      <c r="KM86" s="759" t="str">
        <f t="shared" si="395"/>
        <v/>
      </c>
      <c r="KN86" s="759" t="str">
        <f>IF(A86=FALSE,"",((KH86*TAXE)-(KH86*TAXE*KJ86))+IF(#REF!="N/A",0,IF(INDEX(LISTES!$F$105:$F$109,MATCH(#REF!,LISTES!$C$105:$C$109,0))="FIX",#REF!,#REF!*KM86)))</f>
        <v/>
      </c>
      <c r="LA86" s="432" t="str">
        <f>IF(A86=FALSE,"",Cotations!AT86)</f>
        <v/>
      </c>
      <c r="LB86" s="1234" t="str">
        <f>IF(A86=FALSE,"",IF(Detail!BR86="","N/A",YEAR(Detail!F86)&amp;Detail!BU86&amp;Detail!BR86&amp;"-"&amp;Detail!$BR$13&amp;Detail!BS86))</f>
        <v/>
      </c>
      <c r="LC86" s="431" t="str">
        <f>IF(A86=FALSE,"",IF(LISTES!$A$17=1,LB86,INDEX(colMOD4,MATCH(DA86,colchoice,0))))</f>
        <v/>
      </c>
      <c r="LD86" s="759" t="str">
        <f t="shared" si="396"/>
        <v/>
      </c>
      <c r="LE86" s="292"/>
      <c r="LF86" s="409" t="str">
        <f t="shared" si="397"/>
        <v/>
      </c>
      <c r="LG86" s="430" t="str">
        <f>IF(A86=FALSE,"",IF(LA86="POEA",Cotations!BK86,IF(LA86="FIXE",Cotations!BL86,IF(Cotations!BM86*Y86&lt;50000,Z86,Cotations!BM86*Y86))))</f>
        <v/>
      </c>
      <c r="LH86" s="292" t="str">
        <f t="shared" si="398"/>
        <v/>
      </c>
      <c r="LI86" s="446" t="str">
        <f>IF(A86=FALSE,"",IF(Cotations!AU86="monthly",LH86/12*L86,LH86/365*M86))</f>
        <v/>
      </c>
      <c r="LJ86" s="429" t="str">
        <f>IF(A86=FALSE,"",IF(Cotations!BN86="","",Cotations!BN86))</f>
        <v/>
      </c>
      <c r="LK86" s="292" t="str">
        <f t="shared" si="399"/>
        <v/>
      </c>
      <c r="LL86" s="292" t="str">
        <f t="shared" si="400"/>
        <v/>
      </c>
      <c r="LM86" s="759" t="str">
        <f t="shared" si="401"/>
        <v/>
      </c>
      <c r="LN86" s="759" t="str">
        <f>IF(A86=FALSE,"",((LH86*TAXE)-(LH86*TAXE*LJ86))+IF(#REF!="N/A",0,IF(INDEX(LISTES!$F$105:$F$109,MATCH(#REF!,LISTES!$C$105:$C$109,0))="FIX",#REF!,#REF!*LM86)))</f>
        <v/>
      </c>
      <c r="MA86" s="432" t="str">
        <f t="shared" si="402"/>
        <v/>
      </c>
      <c r="MB86" s="1234" t="str">
        <f>IF(A86=FALSE,"",IF(Detail!BZ86="","N/A",YEAR(Detail!F86)&amp;Detail!CC86&amp;Detail!BZ86&amp;"-"&amp;Detail!$BZ$13&amp;" (100%/"&amp;Detail!CD86&amp;"/"&amp;Detail!CE86&amp;")"))</f>
        <v/>
      </c>
      <c r="MC86" s="431" t="str">
        <f>IF(A86=FALSE,"",IF(LISTES!$A$17=1,MB86,INDEX(colMOD5,MATCH(DA86,colchoice,0))))</f>
        <v/>
      </c>
      <c r="MD86" s="759" t="str">
        <f t="shared" si="403"/>
        <v/>
      </c>
      <c r="ME86" s="292"/>
      <c r="MF86" s="409" t="str">
        <f t="shared" si="404"/>
        <v/>
      </c>
      <c r="MG86" s="430" t="str">
        <f>IF(A86=FALSE,"",Cotations!BQ86*AA86)</f>
        <v/>
      </c>
      <c r="MH86" s="292" t="str">
        <f t="shared" si="405"/>
        <v/>
      </c>
      <c r="MI86" s="446" t="str">
        <f>IF(A86=FALSE,"",IF(Cotations!AU86="monthly",MH86/12*L86,MH86/365*M86))</f>
        <v/>
      </c>
      <c r="MJ86" s="429" t="str">
        <f>IF(A86=FALSE,"",IF(Cotations!BR86="","",Cotations!BR86))</f>
        <v/>
      </c>
      <c r="MK86" s="292" t="str">
        <f t="shared" si="406"/>
        <v/>
      </c>
      <c r="ML86" s="292" t="str">
        <f t="shared" si="407"/>
        <v/>
      </c>
      <c r="MM86" s="759" t="str">
        <f t="shared" si="408"/>
        <v/>
      </c>
      <c r="MN86" s="759" t="str">
        <f>IF(A86=FALSE,"",((MH86*TAXE)-(MH86*TAXE*MJ86))+IF(#REF!="N/A",0,IF(INDEX(LISTES!$F$105:$F$109,MATCH(#REF!,LISTES!$C$105:$C$109,0))="FIX",#REF!,#REF!*MM86)))</f>
        <v/>
      </c>
      <c r="NA86" s="432" t="str">
        <f t="shared" si="409"/>
        <v/>
      </c>
      <c r="NB86" s="1234" t="str">
        <f>IF(A86=FALSE,"",IF(Detail!CH86="","N/A",YEAR(Detail!F86)&amp;Detail!CK86&amp;Detail!CH86&amp;"-"&amp;Detail!$CH$13&amp;" (100%/"&amp;Detail!CL86&amp;"/"&amp;Detail!CM86&amp;")"))</f>
        <v/>
      </c>
      <c r="NC86" s="431" t="str">
        <f>IF(A86=FALSE,"",IF(LISTES!$A$17=1,NB86,INDEX(colMOD6,MATCH(DA86,colchoice,0))))</f>
        <v/>
      </c>
      <c r="ND86" s="759" t="str">
        <f t="shared" si="410"/>
        <v/>
      </c>
      <c r="NE86" s="292"/>
      <c r="NF86" s="409" t="str">
        <f t="shared" si="411"/>
        <v/>
      </c>
      <c r="NG86" s="430" t="str">
        <f>IF(A86=FALSE,"",Cotations!BU86*AA86)</f>
        <v/>
      </c>
      <c r="NH86" s="292" t="str">
        <f t="shared" si="412"/>
        <v/>
      </c>
      <c r="NI86" s="446" t="str">
        <f>IF(A86=FALSE,"",IF(Cotations!AU86="monthly",NH86/12*L86,NH86/365*M86))</f>
        <v/>
      </c>
      <c r="NJ86" s="429" t="str">
        <f>IF(A86=FALSE,"",IF(Cotations!BV86="","",Cotations!BV86))</f>
        <v/>
      </c>
      <c r="NK86" s="292" t="str">
        <f t="shared" si="413"/>
        <v/>
      </c>
      <c r="NL86" s="292" t="str">
        <f t="shared" si="414"/>
        <v/>
      </c>
      <c r="NM86" s="759" t="str">
        <f t="shared" si="415"/>
        <v/>
      </c>
      <c r="NN86" s="759" t="str">
        <f>IF(A86=FALSE,"",((NH86*TAXE)-(NH86*TAXE*NJ86))+IF(#REF!="N/A",0,IF(INDEX(LISTES!$F$105:$F$109,MATCH(#REF!,LISTES!$C$105:$C$109,0))="FIX",#REF!,#REF!*NM86)))</f>
        <v/>
      </c>
      <c r="NZ86" s="1281" t="str">
        <f>IF(A86=FALSE,"",IF(Detail!CP86="","N/A",YEAR(Detail!F86)&amp;Detail!CS86&amp;Detail!CP86&amp;"-"&amp;Detail!CQ86))</f>
        <v/>
      </c>
      <c r="OA86" s="432" t="str">
        <f>IF(A86=FALSE,"",Cotations!CF86)</f>
        <v/>
      </c>
      <c r="OB86" s="1282" t="str">
        <f>IF(A86=FALSE,"",IF(Detail!CP86="","N/A",YEAR(Detail!F86)&amp;Detail!CS86&amp;Detail!CP86&amp;"-"&amp;Detail!$CP$13&amp;Detail!CQ86))</f>
        <v/>
      </c>
      <c r="OC86" s="1283" t="str">
        <f>IF(A86=FALSE,"",IF(LISTES!$A$17=1,OB86,INDEX(colMOD1,MATCH(Cotations!CE86,colchoice,0))))</f>
        <v/>
      </c>
      <c r="OD86" s="759" t="str">
        <f t="shared" si="416"/>
        <v/>
      </c>
      <c r="OE86" s="292" t="str">
        <f>IF(A86=FALSE,"",Detail!CQ86)</f>
        <v/>
      </c>
      <c r="OF86" s="409" t="str">
        <f t="shared" si="417"/>
        <v/>
      </c>
      <c r="OG86" s="430" t="str">
        <f>IF(A86=FALSE,"",IF(OA86="FIXE",Cotations!CM86,Cotations!CN86*AA86))</f>
        <v/>
      </c>
      <c r="OH86" s="292" t="str">
        <f t="shared" si="494"/>
        <v/>
      </c>
      <c r="OI86" s="446" t="str">
        <f>IF(A86=FALSE,"",IF(Cotations!CF86="monthly",OH86/12*L86,OH86/365*M86))</f>
        <v/>
      </c>
      <c r="OJ86" s="429" t="str">
        <f>IF(A86=FALSE,"",IF(Cotations!CO86="","",Cotations!CO86))</f>
        <v/>
      </c>
      <c r="OK86" s="292" t="str">
        <f t="shared" si="495"/>
        <v/>
      </c>
      <c r="OL86" s="292" t="str">
        <f t="shared" si="496"/>
        <v/>
      </c>
      <c r="OM86" s="759" t="str">
        <f t="shared" si="418"/>
        <v/>
      </c>
      <c r="ON86" s="759" t="str">
        <f>IF(A86=FALSE,"",((OH86*(1+TAXE)-(OH86*(1+TAXE)*OJ86))+IF(#REF!="N/A",0,IF(INDEX(LISTES!$F$105:$F$109,MATCH(#REF!,LISTES!$C$105:$C$109,0))="FIX",#REF!,#REF!*OM86))))</f>
        <v/>
      </c>
      <c r="PA86" s="432" t="str">
        <f>IF(A86=FALSE,"",Cotations!CF86)</f>
        <v/>
      </c>
      <c r="PB86" s="1282" t="str">
        <f>IF(A86=FALSE,"",IF(Detail!CX86="","N/A",YEAR(Detail!F86)&amp;Detail!DA86&amp;Detail!CX86&amp;"-"&amp;Detail!$CX$13&amp;Detail!CY86))</f>
        <v/>
      </c>
      <c r="PC86" s="1283" t="str">
        <f>IF(A86=FALSE,"",IF(LISTES!$A$17=1,PB86,INDEX(colMOD3,MATCH(Cotations!CE86,colchoice,0))))</f>
        <v/>
      </c>
      <c r="PD86" s="759" t="str">
        <f t="shared" si="419"/>
        <v/>
      </c>
      <c r="PE86" s="292" t="str">
        <f>IF(A86=FALSE,"",IF(Detail!CY86="","",Detail!CY86))</f>
        <v/>
      </c>
      <c r="PF86" s="409" t="str">
        <f t="shared" si="497"/>
        <v/>
      </c>
      <c r="PG86" s="430" t="str">
        <f>IF(A86=FALSE,"",IF(PA86="FIXE",Cotations!CP86,Cotations!CQ86*AA86))</f>
        <v/>
      </c>
      <c r="PH86" s="292" t="str">
        <f t="shared" si="498"/>
        <v/>
      </c>
      <c r="PI86" s="446" t="str">
        <f>IF(A86=FALSE,"",IF(Cotations!CG86="monthly",PH86/12*L86,PH86/365*M86))</f>
        <v/>
      </c>
      <c r="PJ86" s="429" t="str">
        <f>IF(A86=FALSE,"",IF(Cotations!DA86="",0,Cotations!DA86))</f>
        <v/>
      </c>
      <c r="PK86" s="292" t="str">
        <f t="shared" si="499"/>
        <v/>
      </c>
      <c r="PL86" s="292" t="str">
        <f t="shared" si="500"/>
        <v/>
      </c>
      <c r="PM86" s="759" t="str">
        <f t="shared" si="420"/>
        <v/>
      </c>
      <c r="PN86" s="759" t="str">
        <f>IF(A86=FALSE,"",((PH86*(1+TAXE)-(PH86*(1+TAXE)*PJ86))+IF(#REF!="N/A",0,IF(INDEX(LISTES!$F$105:$F$109,MATCH(#REF!,LISTES!$C$105:$C$109,0))="FIX",#REF!,#REF!*PM86))))</f>
        <v/>
      </c>
    </row>
    <row r="87" spans="1:430">
      <c r="A87" s="779" t="b">
        <f t="shared" si="364"/>
        <v>0</v>
      </c>
      <c r="B87" s="779" t="b">
        <f>IF(NAMES!$B$9=TRUE,TRUE,FALSE)</f>
        <v>1</v>
      </c>
      <c r="C87" s="779" t="b">
        <f t="shared" si="421"/>
        <v>0</v>
      </c>
      <c r="D87" s="779" t="b">
        <f t="shared" si="422"/>
        <v>0</v>
      </c>
      <c r="E87" s="267" t="b">
        <f>IF(Cotations!C87="","",Cotations!C87)</f>
        <v>0</v>
      </c>
      <c r="F87" s="267" t="str">
        <f>IF(Cotations!AT87="","",Cotations!AT87)</f>
        <v>PROP</v>
      </c>
      <c r="G87" s="267" t="str">
        <f>IF(Cotations!D87="","",Cotations!D87)</f>
        <v>2016-2017!</v>
      </c>
      <c r="H87" s="267" t="str">
        <f>IF(Cotations!E87="","",Cotations!E87)</f>
        <v>SINGLE</v>
      </c>
      <c r="I87" s="267" t="str">
        <f>IF(Cotations!F87="","",Cotations!F87)</f>
        <v/>
      </c>
      <c r="J87" s="267" t="str">
        <f>IF(Cotations!G87="","",Cotations!G87)</f>
        <v/>
      </c>
      <c r="K87" s="267" t="str">
        <f>IF(Cotations!H87="","",Cotations!H87)</f>
        <v/>
      </c>
      <c r="L87" s="267" t="str">
        <f>IF(A87=FALSE,"",IF(Cotations!M87="","",Cotations!M87))</f>
        <v/>
      </c>
      <c r="M87" s="267" t="str">
        <f>IF(Cotations!O87="","",Cotations!O87)</f>
        <v/>
      </c>
      <c r="N87" s="588" t="str">
        <f>IF(NAMES!$B$10=TRUE,Cotations!I87,Cotations!K87)</f>
        <v/>
      </c>
      <c r="O87" s="588" t="str">
        <f>IF(NAMES!$B$10=TRUE,Cotations!J87,Cotations!L87)</f>
        <v/>
      </c>
      <c r="P87" s="780" t="str">
        <f t="shared" si="423"/>
        <v/>
      </c>
      <c r="Q87" s="588" t="str">
        <f>IF(A87=FALSE,"",IF(Crewlist!Y87="","",Crewlist!Y87))</f>
        <v/>
      </c>
      <c r="R87" s="78" t="str">
        <f>IF(Cotations!T87="","",Cotations!T87)</f>
        <v/>
      </c>
      <c r="S87" s="780" t="str">
        <f t="shared" si="424"/>
        <v/>
      </c>
      <c r="T87" s="759" t="str">
        <f>IF(A87=FALSE,"",VLOOKUP($U$15:$U$120,Currency!$A$2:$D$10,4,0)*Crewlist!N87)</f>
        <v/>
      </c>
      <c r="U87" s="1097" t="str">
        <f>IF(A87=FALSE,"",IF(DP87=0,Crewlist!M87&amp;"/"&amp;CP87,Crewlist!M87&amp;"/"&amp;DP87))</f>
        <v/>
      </c>
      <c r="V87" s="759" t="str">
        <f>IF(A87=FALSE,"",VLOOKUP($U$15:$U$120,Currency!$A$2:$D$10,4,0)*Detail!Q87)</f>
        <v/>
      </c>
      <c r="W87" s="1097" t="str">
        <f>IF(A87=FALSE,"",IF(DP87=0,Detail!R87&amp;"/"&amp;CP87,Detail!R87&amp;"/"&amp;DP87))</f>
        <v/>
      </c>
      <c r="X87" s="759" t="str">
        <f>IF(A87=FALSE,"",IF(LISTES!$C$17="Crewlist",Calcul!T87,Calcul!V87))</f>
        <v/>
      </c>
      <c r="Y87" s="618" t="str">
        <f t="shared" si="425"/>
        <v/>
      </c>
      <c r="Z87" s="618" t="str">
        <f>IF(A87=FALSE,"",IF(X87=0,0,IF((Cotations!BA87*12*X87)&lt;50000,50000,(12*X87))))</f>
        <v/>
      </c>
      <c r="AA87" s="618" t="str">
        <f t="shared" si="426"/>
        <v/>
      </c>
      <c r="AB87" s="618" t="str">
        <f>IF(A87=FALSE,"",IF(Crewlist!O87=0,"",Crewlist!O87))</f>
        <v/>
      </c>
      <c r="AC87" s="618" t="str">
        <f>IF(I87="","",VLOOKUP($AB$15:$AB$120,Currency!$A$15:$B$34,2,0))</f>
        <v/>
      </c>
      <c r="AD87" s="618" t="str">
        <f t="shared" si="427"/>
        <v/>
      </c>
      <c r="AE87" s="618" t="str">
        <f t="shared" si="428"/>
        <v/>
      </c>
      <c r="AF87" s="618" t="str">
        <f t="shared" si="429"/>
        <v/>
      </c>
      <c r="AG87" s="618" t="str">
        <f t="shared" si="430"/>
        <v/>
      </c>
      <c r="AH87" s="1097" t="str">
        <f t="shared" si="365"/>
        <v/>
      </c>
      <c r="AI87" s="759" t="str">
        <f t="shared" si="431"/>
        <v/>
      </c>
      <c r="AJ87" s="1120" t="str">
        <f t="shared" si="432"/>
        <v/>
      </c>
      <c r="AK87" s="1120" t="str">
        <f t="shared" si="433"/>
        <v/>
      </c>
      <c r="AL87" s="236" t="str">
        <f t="shared" si="434"/>
        <v/>
      </c>
      <c r="AM87" s="236" t="str">
        <f t="shared" si="435"/>
        <v/>
      </c>
      <c r="AN87" s="1112" t="str">
        <f t="shared" si="436"/>
        <v/>
      </c>
      <c r="AO87" s="236" t="str">
        <f t="shared" si="437"/>
        <v/>
      </c>
      <c r="AP87" s="327" t="str">
        <f>IF(A87=FALSE,"",INDEX(Rates!$Q$1:$Q$278,MATCH(CA87,colchoice,0)))</f>
        <v/>
      </c>
      <c r="AQ87" s="236" t="str">
        <f t="shared" si="438"/>
        <v/>
      </c>
      <c r="AR87" s="236" t="str">
        <f t="shared" si="439"/>
        <v/>
      </c>
      <c r="AS87" s="236" t="str">
        <f t="shared" si="366"/>
        <v/>
      </c>
      <c r="AT87" s="236" t="str">
        <f t="shared" si="367"/>
        <v/>
      </c>
      <c r="AU87" s="236" t="str">
        <f t="shared" si="440"/>
        <v/>
      </c>
      <c r="AV87" s="236" t="str">
        <f t="shared" si="441"/>
        <v/>
      </c>
      <c r="AW87" s="236" t="str">
        <f t="shared" si="442"/>
        <v/>
      </c>
      <c r="AX87" s="236" t="str">
        <f t="shared" si="443"/>
        <v/>
      </c>
      <c r="AY87" s="236" t="str">
        <f t="shared" si="444"/>
        <v/>
      </c>
      <c r="AZ87" s="236" t="str">
        <f t="shared" si="445"/>
        <v/>
      </c>
      <c r="BA87" s="236" t="str">
        <f t="shared" si="446"/>
        <v/>
      </c>
      <c r="BB87" s="467" t="str">
        <f t="shared" si="447"/>
        <v/>
      </c>
      <c r="BC87" s="329" t="str">
        <f t="shared" si="448"/>
        <v/>
      </c>
      <c r="BD87" s="237" t="str">
        <f t="shared" si="449"/>
        <v/>
      </c>
      <c r="BE87" s="237" t="str">
        <f>IF(A87=FALSE,"",IF(ED87&lt;&gt;$BC$7,0,INDEX(EA87:EZ87,1,MATCH(Structure!$J$16,$EA$14:$EZ$14,0))))</f>
        <v/>
      </c>
      <c r="BF87" s="237" t="str">
        <f>IF(A87=FALSE,"",IF(FD87&lt;&gt;$BC$7,0,INDEX(FA87:FZ87,1,MATCH(Structure!$J$16,$FA$14:$FZ$14,0))))</f>
        <v/>
      </c>
      <c r="BG87" s="237" t="str">
        <f>IF(A87=FALSE,"",IF(GD87&lt;&gt;$BC$7,0,INDEX(GA87:GZ87,1,MATCH(Structure!$J$16,$GA$14:$GZ$14,0))))</f>
        <v/>
      </c>
      <c r="BH87" s="237" t="str">
        <f>IF(A87=FALSE,"",IF(HD87&lt;&gt;$BC$7,0,INDEX(HA87:HZ87,1,MATCH(Structure!$J$16,$HA$14:$HZ$14,0))))</f>
        <v/>
      </c>
      <c r="BI87" s="621" t="str">
        <f>IF(A87=FALSE,"",IF(ID87&lt;&gt;$BC$7,0,INDEX(IA87:IZ87,1,MATCH(Structure!$C$12,$IA$14:$IZ$14,0)))+OL87)</f>
        <v/>
      </c>
      <c r="BJ87" s="237" t="str">
        <f>IF(A87=FALSE,"",IF(JD87&lt;&gt;$BC$7,0,INDEX(JA87:JZ87,1,MATCH(Structure!$C$12,$JA$14:$JZ$14,0))))</f>
        <v/>
      </c>
      <c r="BK87" s="621" t="str">
        <f>IF(A87=FALSE,"",IF(KD87&lt;&gt;$BC$7,0,INDEX(KA87:KZ87,1,MATCH(Structure!$C$12,$KA$14:$KZ$14,0)))+PL87)</f>
        <v/>
      </c>
      <c r="BL87" s="237" t="str">
        <f>IF(A87=FALSE,"",IF(LD87&lt;&gt;$BC$7,0,INDEX(LA87:LZ87,1,MATCH(Structure!$C$12,$LA$14:$LZ$14,0))))</f>
        <v/>
      </c>
      <c r="BM87" s="237" t="str">
        <f>IF(A87=FALSE,"",IF(MD87&lt;&gt;$BC$7,0,INDEX(MA87:MZ87,1,MATCH(Structure!$C$12,$MA$14:$MZ$14,0))))</f>
        <v/>
      </c>
      <c r="BN87" s="326" t="str">
        <f>IF(A87=FALSE,"",IF(ND87&lt;&gt;$BC$7,0,INDEX(NA87:OC87,1,MATCH(Structure!$C$12,$NA$14:$OC$14,0))))</f>
        <v/>
      </c>
      <c r="BO87" s="435" t="str">
        <f t="shared" si="450"/>
        <v/>
      </c>
      <c r="BP87" s="237" t="str">
        <f t="shared" si="451"/>
        <v/>
      </c>
      <c r="BQ87" s="237" t="str">
        <f>IF(A87=FALSE,"",IF(ED87&lt;&gt;$BO$7,0,INDEX(EA87:EZ87,1,MATCH(Structure!$C$12,$EA$14:$EZ$14,0))))</f>
        <v/>
      </c>
      <c r="BR87" s="237" t="str">
        <f>IF(A87=FALSE,"",IF(FD87&lt;&gt;$BO$7,0,INDEX(FA87:FZ87,1,MATCH(Structure!$C$12,$FA$14:$FZ$14,0))))</f>
        <v/>
      </c>
      <c r="BS87" s="237" t="str">
        <f>IF(A87=FALSE,"",IF(ID87&lt;&gt;$BO$7,0,INDEX(IA87:IZ87,1,MATCH(Structure!$C$13,$IA$14:$IZ$14,0))))</f>
        <v/>
      </c>
      <c r="BT87" s="237" t="str">
        <f>IF(A87=FALSE,"",IF(JD87&lt;&gt;$BO$7,0,INDEX(JA87:JZ87,1,MATCH(Structure!$C$13,$JA$14:$JZ$14,0))))</f>
        <v/>
      </c>
      <c r="BU87" s="237" t="str">
        <f>IF(A87=FALSE,"",IF(KD87&lt;&gt;$BO$7,0,INDEX(KA87:KZ87,1,MATCH(Structure!$C$13,$KA$14:$KZ$14,0))))</f>
        <v/>
      </c>
      <c r="BV87" s="237" t="str">
        <f>IF(A87=FALSE,"",IF(LD87&lt;&gt;$BO$7,0,INDEX(LA87:LZ87,1,MATCH(Structure!$C$13,$LA$14:$LZ$14,0))))</f>
        <v/>
      </c>
      <c r="BW87" s="237" t="str">
        <f>IF(A87=FALSE,"",IF(MD87&lt;&gt;$BO$7,0,INDEX(MA87:MZ87,1,MATCH(Structure!$C$13,$MA$14:$MZ$14,0))))</f>
        <v/>
      </c>
      <c r="BX87" s="326" t="str">
        <f>IF(A87=FALSE,"",IF(ND87&lt;&gt;$BO$7,0,INDEX(NA87:OC87,1,MATCH(Structure!$C$13,$NA$14:$OC$14,0))))</f>
        <v/>
      </c>
      <c r="BY87" s="412"/>
      <c r="BZ87" s="412"/>
      <c r="CA87" s="1255" t="str">
        <f>IF(A87=FALSE,"",IF(LISTES!$A$17=1,Cotations!AG87,Cotations!AH87))</f>
        <v/>
      </c>
      <c r="CB87" s="1266" t="str">
        <f t="shared" si="452"/>
        <v/>
      </c>
      <c r="CC87" s="1120" t="str">
        <f t="shared" si="453"/>
        <v/>
      </c>
      <c r="CD87" s="1120" t="str">
        <f t="shared" si="454"/>
        <v/>
      </c>
      <c r="CE87" s="1120" t="str">
        <f t="shared" si="455"/>
        <v/>
      </c>
      <c r="CF87" s="1120" t="str">
        <f t="shared" si="456"/>
        <v/>
      </c>
      <c r="CG87" s="1267"/>
      <c r="CH87" s="1267"/>
      <c r="CI87" s="1268" t="str">
        <f t="shared" si="457"/>
        <v/>
      </c>
      <c r="CJ87" s="286" t="str">
        <f t="shared" si="458"/>
        <v/>
      </c>
      <c r="CK87" s="286" t="str">
        <f t="shared" si="459"/>
        <v/>
      </c>
      <c r="CL87" s="1263"/>
      <c r="CM87" s="1263"/>
      <c r="CN87" s="1263"/>
      <c r="CO87" s="1263"/>
      <c r="CP87" s="319" t="str">
        <f t="shared" si="460"/>
        <v/>
      </c>
      <c r="CQ87" s="443" t="str">
        <f>IF(A87=FALSE,"",Cotations!AM87)</f>
        <v/>
      </c>
      <c r="CR87" s="443" t="str">
        <f>IF(A87=FALSE,"",IF(Cotations!AN87="","",Cotations!AN87))</f>
        <v/>
      </c>
      <c r="CS87" s="433" t="str">
        <f>IF(A87=FALSE,"",Cotations!AO87)</f>
        <v/>
      </c>
      <c r="CT87" s="443" t="str">
        <f>IF(A87=FALSE,"",IF(CQ87="N/A",0,IF(INDEX(LISTES!$F$105:$F$109,MATCH(CQ87,LISTES!$C$105:$C$109,0))="FIX",IF(INDEX(LISTES!$E$105:$E$109,MATCH(CQ87,LISTES!$C$105:$C$109,0))=12,CR87/12*L87,CR87/365*M87),CS87*EQ87)))</f>
        <v/>
      </c>
      <c r="CU87" s="434" t="str">
        <f>IF(A87=FALSE,"",(CJ87+CK87)*Cotations!AP87)</f>
        <v/>
      </c>
      <c r="CV87" s="434" t="str">
        <f>IF(A87=FALSE,"",(CJ87+CK87)*Cotations!AQ87)</f>
        <v/>
      </c>
      <c r="DA87" s="1253" t="str">
        <f>IF(A87=FALSE,"",IF(LISTES!$A$17=1,Cotations!AV87,Cotations!AW87))</f>
        <v/>
      </c>
      <c r="DB87" s="1271" t="str">
        <f t="shared" si="461"/>
        <v/>
      </c>
      <c r="DC87" s="1270" t="str">
        <f t="shared" si="462"/>
        <v/>
      </c>
      <c r="DD87" s="1270" t="str">
        <f t="shared" si="463"/>
        <v/>
      </c>
      <c r="DE87" s="1270" t="str">
        <f t="shared" si="464"/>
        <v/>
      </c>
      <c r="DF87" s="1270" t="str">
        <f t="shared" si="465"/>
        <v/>
      </c>
      <c r="DG87" s="1270" t="str">
        <f t="shared" si="466"/>
        <v/>
      </c>
      <c r="DH87" s="1270" t="str">
        <f t="shared" si="467"/>
        <v/>
      </c>
      <c r="DI87" s="1271" t="str">
        <f t="shared" si="468"/>
        <v/>
      </c>
      <c r="DJ87" s="286" t="str">
        <f t="shared" si="469"/>
        <v/>
      </c>
      <c r="DK87" s="286" t="str">
        <f t="shared" si="470"/>
        <v/>
      </c>
      <c r="DL87" s="1264" t="str">
        <f t="shared" si="471"/>
        <v/>
      </c>
      <c r="DM87" s="1264" t="str">
        <f t="shared" si="472"/>
        <v/>
      </c>
      <c r="DN87" s="1264" t="str">
        <f t="shared" si="473"/>
        <v/>
      </c>
      <c r="DO87" s="1264" t="str">
        <f t="shared" si="474"/>
        <v/>
      </c>
      <c r="DP87" s="323" t="str">
        <f t="shared" si="368"/>
        <v/>
      </c>
      <c r="DQ87" s="444" t="str">
        <f>IF(A87=FALSE,"",Cotations!BW87)</f>
        <v/>
      </c>
      <c r="DR87" s="444" t="str">
        <f>IF(A87=FALSE,"",Cotations!BX87)</f>
        <v/>
      </c>
      <c r="DS87" s="433" t="str">
        <f>IF(A87=FALSE,"",Cotations!BY87)</f>
        <v/>
      </c>
      <c r="DT87" s="830" t="str">
        <f>IF(A87=FALSE,"",IF(DQ87="N/A",0,IF(INDEX(LISTES!$F$105:$F$109,MATCH(DQ87,LISTES!$C$105:$C$109,0))="FIX",IF(INDEX(LISTES!$E$105:$E$109,MATCH(DQ87,LISTES!$C$105:$C$109,0))=12,DR87/12*L87,DR87/365*M87),DS87*(DN87+DO87))))</f>
        <v/>
      </c>
      <c r="DU87" s="434" t="str">
        <f>IF(A87=FALSE,"",DJ87*Cotations!BZ87)</f>
        <v/>
      </c>
      <c r="DV87" s="434" t="str">
        <f>IF(A87=FALSE,"",DJ87*Cotations!CA87)</f>
        <v/>
      </c>
      <c r="EA87" s="432" t="str">
        <f>IF(A87=FALSE,"",Cotations!AT87)</f>
        <v/>
      </c>
      <c r="EB87" s="1234" t="str">
        <f>IF(A87=FALSE,"",YEAR(Detail!F87)&amp;Detail!AG87&amp;Detail!AD87&amp;"-"&amp;Detail!$AD$13&amp;Detail!AE87)</f>
        <v/>
      </c>
      <c r="EC87" s="434" t="str">
        <f>IF(A87=FALSE,"",IF(LISTES!$A$17=1,EB87,INDEX(colMOD1,MATCH(Cotations!AH87,colchoice,0))))</f>
        <v/>
      </c>
      <c r="ED87" s="277" t="str">
        <f t="shared" si="369"/>
        <v/>
      </c>
      <c r="EE87" s="277" t="str">
        <f t="shared" si="370"/>
        <v/>
      </c>
      <c r="EF87" s="277"/>
      <c r="EG87" s="277"/>
      <c r="EH87" s="277" t="str">
        <f t="shared" si="371"/>
        <v/>
      </c>
      <c r="EI87" s="1104" t="str">
        <f t="shared" si="372"/>
        <v/>
      </c>
      <c r="EJ87" s="1104" t="str">
        <f t="shared" si="373"/>
        <v/>
      </c>
      <c r="EK87" s="443" t="str">
        <f>IF(A87=FALSE,"",IF(Cotations!AF87="monthly",EH87/12*L87,EH87/365*M87))</f>
        <v/>
      </c>
      <c r="EL87" s="1103" t="str">
        <f>IF(A87=FALSE,"",IF(Cotations!AF87="monthly",EJ87/12*L87,EJ87/365*M87))</f>
        <v/>
      </c>
      <c r="EM87" s="433" t="str">
        <f>IF(A87=FALSE,"",IF(Cotations!AI87="","",Cotations!AI87))</f>
        <v/>
      </c>
      <c r="EN87" s="277" t="str">
        <f t="shared" si="374"/>
        <v/>
      </c>
      <c r="EO87" s="277" t="str">
        <f t="shared" si="375"/>
        <v/>
      </c>
      <c r="EP87" s="1104" t="str">
        <f t="shared" si="376"/>
        <v/>
      </c>
      <c r="EQ87" s="277" t="str">
        <f t="shared" si="377"/>
        <v/>
      </c>
      <c r="ER87" s="759" t="str">
        <f>IF(A87=FALSE,"",((EH87*TAXE)-(EH87*TAXE*EM87)+EI87)+IF(CQ87="N/A",0,IF(INDEX(LISTES!$F$105:$F$109,MATCH(CQ87,LISTES!$C$105:$C$109,0))="FIX",CR87,CS87*EQ87)))</f>
        <v/>
      </c>
      <c r="ET87" s="422"/>
      <c r="EU87" s="422"/>
      <c r="EV87" s="422"/>
      <c r="EW87" s="422"/>
      <c r="EX87" s="422"/>
      <c r="EY87" s="422"/>
      <c r="EZ87" s="422"/>
      <c r="FA87" s="432" t="str">
        <f>IF(A87=FALSE,"",Cotations!AT87)</f>
        <v/>
      </c>
      <c r="FB87" s="1235" t="str">
        <f>IF(A87=FALSE,"",IF(Detail!AL87="","N/A",YEAR(Detail!F87)&amp;Detail!AO87&amp;Detail!AL87&amp;"-"&amp;Detail!$AL$13&amp;Detail!AM87))</f>
        <v/>
      </c>
      <c r="FC87" s="434" t="str">
        <f>IF(A87=FALSE,"",IF(LISTES!$A$17=1,FB87,INDEX(colMOD2,MATCH(Cotations!AH87,colchoice,0))))</f>
        <v/>
      </c>
      <c r="FD87" s="277" t="str">
        <f t="shared" si="378"/>
        <v/>
      </c>
      <c r="FE87" s="443" t="str">
        <f>IF(A87=FALSE,"",IF(Detail!AM87="","",Detail!AM87))</f>
        <v/>
      </c>
      <c r="FF87" s="277"/>
      <c r="FG87" s="277"/>
      <c r="FH87" s="277" t="str">
        <f t="shared" si="379"/>
        <v/>
      </c>
      <c r="FI87" s="1104"/>
      <c r="FJ87" s="1104"/>
      <c r="FK87" s="443" t="str">
        <f>IF(A87=FALSE,"",IF(Cotations!AF87="monthly",FH87/12*L87,FH87/365*M87))</f>
        <v/>
      </c>
      <c r="FL87" s="1103" t="str">
        <f>IF(A87=FALSE,"",IF(Cotations!AF87="monthly",FJ87/12*L87,FJ87/365*M87))</f>
        <v/>
      </c>
      <c r="FM87" s="433" t="str">
        <f>IF(A87=FALSE,"",IF(Cotations!AJ87="","",Cotations!AJ87))</f>
        <v/>
      </c>
      <c r="FN87" s="277" t="str">
        <f t="shared" si="475"/>
        <v/>
      </c>
      <c r="FO87" s="277" t="str">
        <f t="shared" si="476"/>
        <v/>
      </c>
      <c r="FP87" s="1104"/>
      <c r="FQ87" s="277" t="str">
        <f t="shared" si="477"/>
        <v/>
      </c>
      <c r="FR87" s="759" t="str">
        <f>IF(A87=FALSE,"",((FH87*TAXE)-(FH87*TAXE*FM87))+IF(#REF!="N/A",0,IF(INDEX(LISTES!$F$105:$F$109,MATCH(#REF!,LISTES!$C$105:$C$109,0))="FIX",#REF!,#REF!*FQ87)))</f>
        <v/>
      </c>
      <c r="FS87" s="422"/>
      <c r="FT87" s="422"/>
      <c r="FU87" s="422"/>
      <c r="FV87" s="422"/>
      <c r="FW87" s="422"/>
      <c r="FX87" s="422"/>
      <c r="FY87" s="422"/>
      <c r="FZ87" s="422"/>
      <c r="GA87" s="432" t="str">
        <f t="shared" si="380"/>
        <v/>
      </c>
      <c r="GB87" s="1234" t="str">
        <f>IF(A87=FALSE,"",IF(Detail!DF87="","N/A",YEAR(Detail!F87)&amp;Detail!DI87&amp;Detail!DF87&amp;"-"&amp;Detail!$DF$13))</f>
        <v/>
      </c>
      <c r="GC87" s="434" t="str">
        <f>IF(A87=FALSE,"",IF(LISTES!$A$17=1,GB87,INDEX(colMOD3,MATCH(Cotations!AH87,colchoice,0))))</f>
        <v/>
      </c>
      <c r="GD87" s="277" t="str">
        <f t="shared" si="381"/>
        <v/>
      </c>
      <c r="GE87" s="277" t="str">
        <f t="shared" si="382"/>
        <v/>
      </c>
      <c r="GF87" s="277"/>
      <c r="GG87" s="277"/>
      <c r="GH87" s="277" t="str">
        <f t="shared" si="478"/>
        <v/>
      </c>
      <c r="GI87" s="1104" t="str">
        <f t="shared" si="479"/>
        <v/>
      </c>
      <c r="GJ87" s="1104" t="str">
        <f t="shared" si="480"/>
        <v/>
      </c>
      <c r="GK87" s="443" t="str">
        <f>IF(A87=FALSE,"",IF(Cotations!AF87="monthly",GH87/12*L87,GH87/365*M87))</f>
        <v/>
      </c>
      <c r="GL87" s="1103" t="str">
        <f>IF(A87=FALSE,"",IF(Cotations!AF87="monthly",GJ87/12*L87,GJ87/365*M87))</f>
        <v/>
      </c>
      <c r="GM87" s="433" t="str">
        <f>IF(A87=FALSE,"",IF(Cotations!AK87="","",Cotations!AK87))</f>
        <v/>
      </c>
      <c r="GN87" s="277" t="str">
        <f t="shared" si="481"/>
        <v/>
      </c>
      <c r="GO87" s="277" t="str">
        <f t="shared" si="482"/>
        <v/>
      </c>
      <c r="GP87" s="1104" t="str">
        <f t="shared" si="483"/>
        <v/>
      </c>
      <c r="GQ87" s="277" t="str">
        <f t="shared" si="484"/>
        <v/>
      </c>
      <c r="GR87" s="759" t="str">
        <f>IF(A87=FALSE,"",((GH87*TAXE)-(GH87*TAXE*GM87)+GI87)+IF(CQ87="N/A",0,IF(INDEX(LISTES!$F$105:$F$109,MATCH(CQ87,LISTES!$C$105:$C$109,0))="FIX",CR87,CS87*GQ87)))</f>
        <v/>
      </c>
      <c r="GS87" s="412"/>
      <c r="GT87" s="412"/>
      <c r="GU87" s="412"/>
      <c r="GV87" s="412"/>
      <c r="GW87" s="412"/>
      <c r="GX87" s="412"/>
      <c r="GY87" s="412"/>
      <c r="GZ87" s="412"/>
      <c r="HA87" s="432" t="str">
        <f t="shared" si="383"/>
        <v/>
      </c>
      <c r="HB87" s="1234" t="str">
        <f>IF(A87=FALSE,"",IF(Detail!DF87="","N/A",YEAR(Detail!F87)&amp;Detail!DI87&amp;Detail!DF87&amp;"-"&amp;Detail!$DF$13))</f>
        <v/>
      </c>
      <c r="HC87" s="434" t="str">
        <f>IF(A87=FALSE,"",IF(LISTES!$A$17=1,HB87,INDEX(colMOD4,MATCH(Cotations!AH87,colchoice,0))))</f>
        <v/>
      </c>
      <c r="HD87" s="277" t="str">
        <f t="shared" si="485"/>
        <v/>
      </c>
      <c r="HE87" s="277" t="str">
        <f t="shared" si="486"/>
        <v/>
      </c>
      <c r="HF87" s="277"/>
      <c r="HG87" s="277"/>
      <c r="HH87" s="277" t="str">
        <f t="shared" si="487"/>
        <v/>
      </c>
      <c r="HI87" s="1104" t="str">
        <f t="shared" si="488"/>
        <v/>
      </c>
      <c r="HJ87" s="1104" t="str">
        <f t="shared" si="489"/>
        <v/>
      </c>
      <c r="HK87" s="443" t="str">
        <f>IF(A87=FALSE,"",IF(Cotations!AF87="monthly",HH87/12*L87,HH87/365*M87))</f>
        <v/>
      </c>
      <c r="HL87" s="1103" t="str">
        <f>IF(A87=FALSE,"",IF(Cotations!AF87="monthly",HJ87/12*L87,HJ87/365*M87))</f>
        <v/>
      </c>
      <c r="HM87" s="433" t="str">
        <f>IF(A87=FALSE,"",IF(Cotations!AL87="","",Cotations!AL87))</f>
        <v/>
      </c>
      <c r="HN87" s="277" t="str">
        <f t="shared" si="490"/>
        <v/>
      </c>
      <c r="HO87" s="277" t="str">
        <f t="shared" si="491"/>
        <v/>
      </c>
      <c r="HP87" s="1104" t="str">
        <f t="shared" si="492"/>
        <v/>
      </c>
      <c r="HQ87" s="277" t="str">
        <f t="shared" si="493"/>
        <v/>
      </c>
      <c r="HR87" s="759" t="str">
        <f>IF(A87=FALSE,"",((HH87*TAXE)-(HH87*TAXE*HM87)+HI87)+IF(CQ87="N/A",0,IF(INDEX(LISTES!$F$105:$F$109,MATCH(CQ87,LISTES!$C$105:$C$109,0))="FIX",CR87,CS87*HQ87)))</f>
        <v/>
      </c>
      <c r="HS87" s="412"/>
      <c r="HT87" s="412"/>
      <c r="HU87" s="412"/>
      <c r="HV87" s="412"/>
      <c r="HW87" s="412"/>
      <c r="HX87" s="412"/>
      <c r="HY87" s="412"/>
      <c r="HZ87" s="1262"/>
      <c r="IA87" s="432" t="str">
        <f>IF(A87=FALSE,"",Cotations!AT87)</f>
        <v/>
      </c>
      <c r="IB87" s="1253" t="str">
        <f>IF(A87=FALSE,"",IF(Detail!AT87="","N/A",YEAR(Detail!F87)&amp;Detail!AW87&amp;Detail!AT87&amp;"-"&amp;Detail!$AT$13&amp;Detail!AU87))</f>
        <v/>
      </c>
      <c r="IC87" s="431" t="str">
        <f>IF(A87=FALSE,"",IF(LISTES!$A$17=1,IB87,INDEX(colMOD1,MATCH(DA87,colchoice,0))))</f>
        <v/>
      </c>
      <c r="ID87" s="759" t="str">
        <f t="shared" si="358"/>
        <v/>
      </c>
      <c r="IE87" s="292" t="str">
        <f>IF(A87=FALSE,"",IF(LISTES!$A$17=1,Detail!AU87,INDEX(Rates!$M$1:$M$270,MATCH(IC87,colMOD1,0))))</f>
        <v/>
      </c>
      <c r="IF87" s="409" t="str">
        <f t="shared" si="359"/>
        <v/>
      </c>
      <c r="IG87" s="430" t="str">
        <f>IF(A87=FALSE,"",IF(IA87="POEA",Cotations!AY87,IF(IA87="FIXE",Cotations!AZ87,IF(Cotations!BA87*Y87&lt;50000,Z87,Cotations!BA87*Y87))))</f>
        <v/>
      </c>
      <c r="IH87" s="292" t="str">
        <f t="shared" si="360"/>
        <v/>
      </c>
      <c r="II87" s="446" t="str">
        <f>IF(A87=FALSE,"",IF(Cotations!AU87="monthly",IH87/12*L87,IH87/365*M87))</f>
        <v/>
      </c>
      <c r="IJ87" s="429" t="str">
        <f>IF(A87=FALSE,"",IF(Cotations!BB87="","",Cotations!BB87))</f>
        <v/>
      </c>
      <c r="IK87" s="292" t="str">
        <f t="shared" si="361"/>
        <v/>
      </c>
      <c r="IL87" s="292" t="str">
        <f t="shared" si="362"/>
        <v/>
      </c>
      <c r="IM87" s="759" t="str">
        <f t="shared" si="363"/>
        <v/>
      </c>
      <c r="IN87" s="759" t="str">
        <f>IF(A87=FALSE,"",((IH87*TAXE)-(IH87*TAXE*IJ87))+IF(DQ87="N/A",0,IF(INDEX(LISTES!$F$105:$F$109,MATCH(DQ87,LISTES!$C$105:$C$109,0))="FIX",DR87,DS87*IM87)))</f>
        <v/>
      </c>
      <c r="JA87" s="432" t="str">
        <f>IF(A87=FALSE,"",Cotations!AT87)</f>
        <v/>
      </c>
      <c r="JB87" s="1234" t="str">
        <f>IF(A87=FALSE,"",IF(Detail!BB87="","N/A",YEAR(Detail!F87)&amp;Detail!BE87&amp;Detail!BB87&amp;"-"&amp;Detail!$BB$13&amp;Detail!BC87))</f>
        <v/>
      </c>
      <c r="JC87" s="431" t="str">
        <f>IF(A87=FALSE,"",IF(LISTES!$A$17=1,JB87,INDEX(colMOD2,MATCH(DA87,colchoice,0))))</f>
        <v/>
      </c>
      <c r="JD87" s="759" t="str">
        <f t="shared" si="384"/>
        <v/>
      </c>
      <c r="JE87" s="292"/>
      <c r="JF87" s="409" t="str">
        <f t="shared" si="385"/>
        <v/>
      </c>
      <c r="JG87" s="430" t="str">
        <f>IF(A87=FALSE,"",IF(JA87="POEA",Cotations!BC87,IF(JA87="FIXE",Cotations!BD87,IF(Cotations!BE87*Y87&lt;50000,Z87,Cotations!BE87*Y87))))</f>
        <v/>
      </c>
      <c r="JH87" s="292" t="str">
        <f t="shared" si="386"/>
        <v/>
      </c>
      <c r="JI87" s="446" t="str">
        <f>IF(A87=FALSE,"",IF(Cotations!AU87="monthly",JH87/12*L87,JH87/365*M87))</f>
        <v/>
      </c>
      <c r="JJ87" s="429" t="str">
        <f>IF(A87=FALSE,"",IF(Cotations!BF87="","",Cotations!BF87))</f>
        <v/>
      </c>
      <c r="JK87" s="292" t="str">
        <f t="shared" si="387"/>
        <v/>
      </c>
      <c r="JL87" s="292" t="str">
        <f t="shared" si="388"/>
        <v/>
      </c>
      <c r="JM87" s="759" t="str">
        <f t="shared" si="389"/>
        <v/>
      </c>
      <c r="JN87" s="759" t="str">
        <f>IF(A87=FALSE,"",((JH87*TAXE)-(JH87*TAXE*JJ87))+IF(#REF!="N/A",0,IF(INDEX(LISTES!$F$105:$F$109,MATCH(#REF!,LISTES!$C$105:$C$109,0))="FIX",#REF!,#REF!*JM87)))</f>
        <v/>
      </c>
      <c r="KA87" s="432" t="str">
        <f>IF(A87=FALSE,"",Cotations!AT87)</f>
        <v/>
      </c>
      <c r="KB87" s="1234" t="str">
        <f>IF(A87=FALSE,"",IF(Detail!BJ87="","N/A",YEAR(Detail!F87)&amp;Detail!BM87&amp;Detail!BJ87&amp;"-"&amp;Detail!$BJ$13&amp;Detail!BK87))</f>
        <v/>
      </c>
      <c r="KC87" s="431" t="str">
        <f>IF(A87=FALSE,"",IF(LISTES!$A$17=1,KB87,INDEX(colMOD3,MATCH(DA87,colchoice,0))))</f>
        <v/>
      </c>
      <c r="KD87" s="759" t="str">
        <f t="shared" si="390"/>
        <v/>
      </c>
      <c r="KE87" s="292"/>
      <c r="KF87" s="409" t="str">
        <f t="shared" si="391"/>
        <v/>
      </c>
      <c r="KG87" s="430" t="str">
        <f>IF(A87=FALSE,"",IF(KA87="POEA",Cotations!BG87,IF(KA87="FIXE",Cotations!BH87,IF(Cotations!BI87*Y87&lt;50000,Z87,Cotations!BI87*Y87))))</f>
        <v/>
      </c>
      <c r="KH87" s="292" t="str">
        <f t="shared" si="392"/>
        <v/>
      </c>
      <c r="KI87" s="446" t="str">
        <f>IF(A87=FALSE,"",IF(Cotations!AU87="monthly",KH87/12*L87,KH87/365*M87))</f>
        <v/>
      </c>
      <c r="KJ87" s="429" t="str">
        <f>IF(A87=FALSE,"",IF(Cotations!BJ87="","",Cotations!BJ87))</f>
        <v/>
      </c>
      <c r="KK87" s="292" t="str">
        <f t="shared" si="393"/>
        <v/>
      </c>
      <c r="KL87" s="292" t="str">
        <f t="shared" si="394"/>
        <v/>
      </c>
      <c r="KM87" s="759" t="str">
        <f t="shared" si="395"/>
        <v/>
      </c>
      <c r="KN87" s="759" t="str">
        <f>IF(A87=FALSE,"",((KH87*TAXE)-(KH87*TAXE*KJ87))+IF(#REF!="N/A",0,IF(INDEX(LISTES!$F$105:$F$109,MATCH(#REF!,LISTES!$C$105:$C$109,0))="FIX",#REF!,#REF!*KM87)))</f>
        <v/>
      </c>
      <c r="LA87" s="432" t="str">
        <f>IF(A87=FALSE,"",Cotations!AT87)</f>
        <v/>
      </c>
      <c r="LB87" s="1234" t="str">
        <f>IF(A87=FALSE,"",IF(Detail!BR87="","N/A",YEAR(Detail!F87)&amp;Detail!BU87&amp;Detail!BR87&amp;"-"&amp;Detail!$BR$13&amp;Detail!BS87))</f>
        <v/>
      </c>
      <c r="LC87" s="431" t="str">
        <f>IF(A87=FALSE,"",IF(LISTES!$A$17=1,LB87,INDEX(colMOD4,MATCH(DA87,colchoice,0))))</f>
        <v/>
      </c>
      <c r="LD87" s="759" t="str">
        <f t="shared" si="396"/>
        <v/>
      </c>
      <c r="LE87" s="292"/>
      <c r="LF87" s="409" t="str">
        <f t="shared" si="397"/>
        <v/>
      </c>
      <c r="LG87" s="430" t="str">
        <f>IF(A87=FALSE,"",IF(LA87="POEA",Cotations!BK87,IF(LA87="FIXE",Cotations!BL87,IF(Cotations!BM87*Y87&lt;50000,Z87,Cotations!BM87*Y87))))</f>
        <v/>
      </c>
      <c r="LH87" s="292" t="str">
        <f t="shared" si="398"/>
        <v/>
      </c>
      <c r="LI87" s="446" t="str">
        <f>IF(A87=FALSE,"",IF(Cotations!AU87="monthly",LH87/12*L87,LH87/365*M87))</f>
        <v/>
      </c>
      <c r="LJ87" s="429" t="str">
        <f>IF(A87=FALSE,"",IF(Cotations!BN87="","",Cotations!BN87))</f>
        <v/>
      </c>
      <c r="LK87" s="292" t="str">
        <f t="shared" si="399"/>
        <v/>
      </c>
      <c r="LL87" s="292" t="str">
        <f t="shared" si="400"/>
        <v/>
      </c>
      <c r="LM87" s="759" t="str">
        <f t="shared" si="401"/>
        <v/>
      </c>
      <c r="LN87" s="759" t="str">
        <f>IF(A87=FALSE,"",((LH87*TAXE)-(LH87*TAXE*LJ87))+IF(#REF!="N/A",0,IF(INDEX(LISTES!$F$105:$F$109,MATCH(#REF!,LISTES!$C$105:$C$109,0))="FIX",#REF!,#REF!*LM87)))</f>
        <v/>
      </c>
      <c r="MA87" s="432" t="str">
        <f t="shared" si="402"/>
        <v/>
      </c>
      <c r="MB87" s="1234" t="str">
        <f>IF(A87=FALSE,"",IF(Detail!BZ87="","N/A",YEAR(Detail!F87)&amp;Detail!CC87&amp;Detail!BZ87&amp;"-"&amp;Detail!$BZ$13&amp;" (100%/"&amp;Detail!CD87&amp;"/"&amp;Detail!CE87&amp;")"))</f>
        <v/>
      </c>
      <c r="MC87" s="431" t="str">
        <f>IF(A87=FALSE,"",IF(LISTES!$A$17=1,MB87,INDEX(colMOD5,MATCH(DA87,colchoice,0))))</f>
        <v/>
      </c>
      <c r="MD87" s="759" t="str">
        <f t="shared" si="403"/>
        <v/>
      </c>
      <c r="ME87" s="292"/>
      <c r="MF87" s="409" t="str">
        <f t="shared" si="404"/>
        <v/>
      </c>
      <c r="MG87" s="430" t="str">
        <f>IF(A87=FALSE,"",Cotations!BQ87*AA87)</f>
        <v/>
      </c>
      <c r="MH87" s="292" t="str">
        <f t="shared" si="405"/>
        <v/>
      </c>
      <c r="MI87" s="446" t="str">
        <f>IF(A87=FALSE,"",IF(Cotations!AU87="monthly",MH87/12*L87,MH87/365*M87))</f>
        <v/>
      </c>
      <c r="MJ87" s="429" t="str">
        <f>IF(A87=FALSE,"",IF(Cotations!BR87="","",Cotations!BR87))</f>
        <v/>
      </c>
      <c r="MK87" s="292" t="str">
        <f t="shared" si="406"/>
        <v/>
      </c>
      <c r="ML87" s="292" t="str">
        <f t="shared" si="407"/>
        <v/>
      </c>
      <c r="MM87" s="759" t="str">
        <f t="shared" si="408"/>
        <v/>
      </c>
      <c r="MN87" s="759" t="str">
        <f>IF(A87=FALSE,"",((MH87*TAXE)-(MH87*TAXE*MJ87))+IF(#REF!="N/A",0,IF(INDEX(LISTES!$F$105:$F$109,MATCH(#REF!,LISTES!$C$105:$C$109,0))="FIX",#REF!,#REF!*MM87)))</f>
        <v/>
      </c>
      <c r="NA87" s="432" t="str">
        <f t="shared" si="409"/>
        <v/>
      </c>
      <c r="NB87" s="1234" t="str">
        <f>IF(A87=FALSE,"",IF(Detail!CH87="","N/A",YEAR(Detail!F87)&amp;Detail!CK87&amp;Detail!CH87&amp;"-"&amp;Detail!$CH$13&amp;" (100%/"&amp;Detail!CL87&amp;"/"&amp;Detail!CM87&amp;")"))</f>
        <v/>
      </c>
      <c r="NC87" s="431" t="str">
        <f>IF(A87=FALSE,"",IF(LISTES!$A$17=1,NB87,INDEX(colMOD6,MATCH(DA87,colchoice,0))))</f>
        <v/>
      </c>
      <c r="ND87" s="759" t="str">
        <f t="shared" si="410"/>
        <v/>
      </c>
      <c r="NE87" s="292"/>
      <c r="NF87" s="409" t="str">
        <f t="shared" si="411"/>
        <v/>
      </c>
      <c r="NG87" s="430" t="str">
        <f>IF(A87=FALSE,"",Cotations!BU87*AA87)</f>
        <v/>
      </c>
      <c r="NH87" s="292" t="str">
        <f t="shared" si="412"/>
        <v/>
      </c>
      <c r="NI87" s="446" t="str">
        <f>IF(A87=FALSE,"",IF(Cotations!AU87="monthly",NH87/12*L87,NH87/365*M87))</f>
        <v/>
      </c>
      <c r="NJ87" s="429" t="str">
        <f>IF(A87=FALSE,"",IF(Cotations!BV87="","",Cotations!BV87))</f>
        <v/>
      </c>
      <c r="NK87" s="292" t="str">
        <f t="shared" si="413"/>
        <v/>
      </c>
      <c r="NL87" s="292" t="str">
        <f t="shared" si="414"/>
        <v/>
      </c>
      <c r="NM87" s="759" t="str">
        <f t="shared" si="415"/>
        <v/>
      </c>
      <c r="NN87" s="759" t="str">
        <f>IF(A87=FALSE,"",((NH87*TAXE)-(NH87*TAXE*NJ87))+IF(#REF!="N/A",0,IF(INDEX(LISTES!$F$105:$F$109,MATCH(#REF!,LISTES!$C$105:$C$109,0))="FIX",#REF!,#REF!*NM87)))</f>
        <v/>
      </c>
      <c r="NZ87" s="1281" t="str">
        <f>IF(A87=FALSE,"",IF(Detail!CP87="","N/A",YEAR(Detail!F87)&amp;Detail!CS87&amp;Detail!CP87&amp;"-"&amp;Detail!CQ87))</f>
        <v/>
      </c>
      <c r="OA87" s="432" t="str">
        <f>IF(A87=FALSE,"",Cotations!CF87)</f>
        <v/>
      </c>
      <c r="OB87" s="1282" t="str">
        <f>IF(A87=FALSE,"",IF(Detail!CP87="","N/A",YEAR(Detail!F87)&amp;Detail!CS87&amp;Detail!CP87&amp;"-"&amp;Detail!$CP$13&amp;Detail!CQ87))</f>
        <v/>
      </c>
      <c r="OC87" s="1283" t="str">
        <f>IF(A87=FALSE,"",IF(LISTES!$A$17=1,OB87,INDEX(colMOD1,MATCH(Cotations!CE87,colchoice,0))))</f>
        <v/>
      </c>
      <c r="OD87" s="759" t="str">
        <f t="shared" si="416"/>
        <v/>
      </c>
      <c r="OE87" s="292" t="str">
        <f>IF(A87=FALSE,"",Detail!CQ87)</f>
        <v/>
      </c>
      <c r="OF87" s="409" t="str">
        <f t="shared" si="417"/>
        <v/>
      </c>
      <c r="OG87" s="430" t="str">
        <f>IF(A87=FALSE,"",IF(OA87="FIXE",Cotations!CM87,Cotations!CN87*AA87))</f>
        <v/>
      </c>
      <c r="OH87" s="292" t="str">
        <f t="shared" si="494"/>
        <v/>
      </c>
      <c r="OI87" s="446" t="str">
        <f>IF(A87=FALSE,"",IF(Cotations!CF87="monthly",OH87/12*L87,OH87/365*M87))</f>
        <v/>
      </c>
      <c r="OJ87" s="429" t="str">
        <f>IF(A87=FALSE,"",IF(Cotations!CO87="","",Cotations!CO87))</f>
        <v/>
      </c>
      <c r="OK87" s="292" t="str">
        <f t="shared" si="495"/>
        <v/>
      </c>
      <c r="OL87" s="292" t="str">
        <f t="shared" si="496"/>
        <v/>
      </c>
      <c r="OM87" s="759" t="str">
        <f t="shared" si="418"/>
        <v/>
      </c>
      <c r="ON87" s="759" t="str">
        <f>IF(A87=FALSE,"",((OH87*(1+TAXE)-(OH87*(1+TAXE)*OJ87))+IF(#REF!="N/A",0,IF(INDEX(LISTES!$F$105:$F$109,MATCH(#REF!,LISTES!$C$105:$C$109,0))="FIX",#REF!,#REF!*OM87))))</f>
        <v/>
      </c>
      <c r="PA87" s="432" t="str">
        <f>IF(A87=FALSE,"",Cotations!CF87)</f>
        <v/>
      </c>
      <c r="PB87" s="1282" t="str">
        <f>IF(A87=FALSE,"",IF(Detail!CX87="","N/A",YEAR(Detail!F87)&amp;Detail!DA87&amp;Detail!CX87&amp;"-"&amp;Detail!$CX$13&amp;Detail!CY87))</f>
        <v/>
      </c>
      <c r="PC87" s="1283" t="str">
        <f>IF(A87=FALSE,"",IF(LISTES!$A$17=1,PB87,INDEX(colMOD3,MATCH(Cotations!CE87,colchoice,0))))</f>
        <v/>
      </c>
      <c r="PD87" s="759" t="str">
        <f t="shared" si="419"/>
        <v/>
      </c>
      <c r="PE87" s="292" t="str">
        <f>IF(A87=FALSE,"",IF(Detail!CY87="","",Detail!CY87))</f>
        <v/>
      </c>
      <c r="PF87" s="409" t="str">
        <f t="shared" si="497"/>
        <v/>
      </c>
      <c r="PG87" s="430" t="str">
        <f>IF(A87=FALSE,"",IF(PA87="FIXE",Cotations!CP87,Cotations!CQ87*AA87))</f>
        <v/>
      </c>
      <c r="PH87" s="292" t="str">
        <f t="shared" si="498"/>
        <v/>
      </c>
      <c r="PI87" s="446" t="str">
        <f>IF(A87=FALSE,"",IF(Cotations!CG87="monthly",PH87/12*L87,PH87/365*M87))</f>
        <v/>
      </c>
      <c r="PJ87" s="429" t="str">
        <f>IF(A87=FALSE,"",IF(Cotations!DA87="",0,Cotations!DA87))</f>
        <v/>
      </c>
      <c r="PK87" s="292" t="str">
        <f t="shared" si="499"/>
        <v/>
      </c>
      <c r="PL87" s="292" t="str">
        <f t="shared" si="500"/>
        <v/>
      </c>
      <c r="PM87" s="759" t="str">
        <f t="shared" si="420"/>
        <v/>
      </c>
      <c r="PN87" s="759" t="str">
        <f>IF(A87=FALSE,"",((PH87*(1+TAXE)-(PH87*(1+TAXE)*PJ87))+IF(#REF!="N/A",0,IF(INDEX(LISTES!$F$105:$F$109,MATCH(#REF!,LISTES!$C$105:$C$109,0))="FIX",#REF!,#REF!*PM87))))</f>
        <v/>
      </c>
    </row>
    <row r="88" spans="1:430">
      <c r="A88" s="779" t="b">
        <f t="shared" si="364"/>
        <v>0</v>
      </c>
      <c r="B88" s="779" t="b">
        <f>IF(NAMES!$B$9=TRUE,TRUE,FALSE)</f>
        <v>1</v>
      </c>
      <c r="C88" s="779" t="b">
        <f t="shared" si="421"/>
        <v>0</v>
      </c>
      <c r="D88" s="779" t="b">
        <f t="shared" si="422"/>
        <v>0</v>
      </c>
      <c r="E88" s="267" t="b">
        <f>IF(Cotations!C88="","",Cotations!C88)</f>
        <v>0</v>
      </c>
      <c r="F88" s="267" t="str">
        <f>IF(Cotations!AT88="","",Cotations!AT88)</f>
        <v>PROP</v>
      </c>
      <c r="G88" s="267" t="str">
        <f>IF(Cotations!D88="","",Cotations!D88)</f>
        <v>2016-2017!</v>
      </c>
      <c r="H88" s="267" t="str">
        <f>IF(Cotations!E88="","",Cotations!E88)</f>
        <v>SINGLE</v>
      </c>
      <c r="I88" s="267" t="str">
        <f>IF(Cotations!F88="","",Cotations!F88)</f>
        <v/>
      </c>
      <c r="J88" s="267" t="str">
        <f>IF(Cotations!G88="","",Cotations!G88)</f>
        <v/>
      </c>
      <c r="K88" s="267" t="str">
        <f>IF(Cotations!H88="","",Cotations!H88)</f>
        <v/>
      </c>
      <c r="L88" s="267" t="str">
        <f>IF(A88=FALSE,"",IF(Cotations!M88="","",Cotations!M88))</f>
        <v/>
      </c>
      <c r="M88" s="267" t="str">
        <f>IF(Cotations!O88="","",Cotations!O88)</f>
        <v/>
      </c>
      <c r="N88" s="588" t="str">
        <f>IF(NAMES!$B$10=TRUE,Cotations!I88,Cotations!K88)</f>
        <v/>
      </c>
      <c r="O88" s="588" t="str">
        <f>IF(NAMES!$B$10=TRUE,Cotations!J88,Cotations!L88)</f>
        <v/>
      </c>
      <c r="P88" s="780" t="str">
        <f t="shared" si="423"/>
        <v/>
      </c>
      <c r="Q88" s="588" t="str">
        <f>IF(A88=FALSE,"",IF(Crewlist!Y88="","",Crewlist!Y88))</f>
        <v/>
      </c>
      <c r="R88" s="78" t="str">
        <f>IF(Cotations!T88="","",Cotations!T88)</f>
        <v/>
      </c>
      <c r="S88" s="780" t="str">
        <f t="shared" si="424"/>
        <v/>
      </c>
      <c r="T88" s="759" t="str">
        <f>IF(A88=FALSE,"",VLOOKUP($U$15:$U$120,Currency!$A$2:$D$10,4,0)*Crewlist!N88)</f>
        <v/>
      </c>
      <c r="U88" s="1097" t="str">
        <f>IF(A88=FALSE,"",IF(DP88=0,Crewlist!M88&amp;"/"&amp;CP88,Crewlist!M88&amp;"/"&amp;DP88))</f>
        <v/>
      </c>
      <c r="V88" s="759" t="str">
        <f>IF(A88=FALSE,"",VLOOKUP($U$15:$U$120,Currency!$A$2:$D$10,4,0)*Detail!Q88)</f>
        <v/>
      </c>
      <c r="W88" s="1097" t="str">
        <f>IF(A88=FALSE,"",IF(DP88=0,Detail!R88&amp;"/"&amp;CP88,Detail!R88&amp;"/"&amp;DP88))</f>
        <v/>
      </c>
      <c r="X88" s="759" t="str">
        <f>IF(A88=FALSE,"",IF(LISTES!$C$17="Crewlist",Calcul!T88,Calcul!V88))</f>
        <v/>
      </c>
      <c r="Y88" s="618" t="str">
        <f t="shared" si="425"/>
        <v/>
      </c>
      <c r="Z88" s="618" t="str">
        <f>IF(A88=FALSE,"",IF(X88=0,0,IF((Cotations!BA88*12*X88)&lt;50000,50000,(12*X88))))</f>
        <v/>
      </c>
      <c r="AA88" s="618" t="str">
        <f t="shared" si="426"/>
        <v/>
      </c>
      <c r="AB88" s="618" t="str">
        <f>IF(A88=FALSE,"",IF(Crewlist!O88=0,"",Crewlist!O88))</f>
        <v/>
      </c>
      <c r="AC88" s="618" t="str">
        <f>IF(I88="","",VLOOKUP($AB$15:$AB$120,Currency!$A$15:$B$34,2,0))</f>
        <v/>
      </c>
      <c r="AD88" s="618" t="str">
        <f t="shared" si="427"/>
        <v/>
      </c>
      <c r="AE88" s="618" t="str">
        <f t="shared" si="428"/>
        <v/>
      </c>
      <c r="AF88" s="618" t="str">
        <f t="shared" si="429"/>
        <v/>
      </c>
      <c r="AG88" s="618" t="str">
        <f t="shared" si="430"/>
        <v/>
      </c>
      <c r="AH88" s="1097" t="str">
        <f t="shared" si="365"/>
        <v/>
      </c>
      <c r="AI88" s="759" t="str">
        <f t="shared" si="431"/>
        <v/>
      </c>
      <c r="AJ88" s="1120" t="str">
        <f t="shared" si="432"/>
        <v/>
      </c>
      <c r="AK88" s="1120" t="str">
        <f t="shared" si="433"/>
        <v/>
      </c>
      <c r="AL88" s="236" t="str">
        <f t="shared" si="434"/>
        <v/>
      </c>
      <c r="AM88" s="236" t="str">
        <f t="shared" si="435"/>
        <v/>
      </c>
      <c r="AN88" s="1112" t="str">
        <f t="shared" si="436"/>
        <v/>
      </c>
      <c r="AO88" s="236" t="str">
        <f t="shared" si="437"/>
        <v/>
      </c>
      <c r="AP88" s="327" t="str">
        <f>IF(A88=FALSE,"",INDEX(Rates!$Q$1:$Q$278,MATCH(CA88,colchoice,0)))</f>
        <v/>
      </c>
      <c r="AQ88" s="236" t="str">
        <f t="shared" si="438"/>
        <v/>
      </c>
      <c r="AR88" s="236" t="str">
        <f t="shared" si="439"/>
        <v/>
      </c>
      <c r="AS88" s="236" t="str">
        <f t="shared" si="366"/>
        <v/>
      </c>
      <c r="AT88" s="236" t="str">
        <f t="shared" si="367"/>
        <v/>
      </c>
      <c r="AU88" s="236" t="str">
        <f t="shared" si="440"/>
        <v/>
      </c>
      <c r="AV88" s="236" t="str">
        <f t="shared" si="441"/>
        <v/>
      </c>
      <c r="AW88" s="236" t="str">
        <f t="shared" si="442"/>
        <v/>
      </c>
      <c r="AX88" s="236" t="str">
        <f t="shared" si="443"/>
        <v/>
      </c>
      <c r="AY88" s="236" t="str">
        <f t="shared" si="444"/>
        <v/>
      </c>
      <c r="AZ88" s="236" t="str">
        <f t="shared" si="445"/>
        <v/>
      </c>
      <c r="BA88" s="236" t="str">
        <f t="shared" si="446"/>
        <v/>
      </c>
      <c r="BB88" s="467" t="str">
        <f t="shared" si="447"/>
        <v/>
      </c>
      <c r="BC88" s="329" t="str">
        <f t="shared" si="448"/>
        <v/>
      </c>
      <c r="BD88" s="237" t="str">
        <f t="shared" si="449"/>
        <v/>
      </c>
      <c r="BE88" s="237" t="str">
        <f>IF(A88=FALSE,"",IF(ED88&lt;&gt;$BC$7,0,INDEX(EA88:EZ88,1,MATCH(Structure!$J$16,$EA$14:$EZ$14,0))))</f>
        <v/>
      </c>
      <c r="BF88" s="237" t="str">
        <f>IF(A88=FALSE,"",IF(FD88&lt;&gt;$BC$7,0,INDEX(FA88:FZ88,1,MATCH(Structure!$J$16,$FA$14:$FZ$14,0))))</f>
        <v/>
      </c>
      <c r="BG88" s="237" t="str">
        <f>IF(A88=FALSE,"",IF(GD88&lt;&gt;$BC$7,0,INDEX(GA88:GZ88,1,MATCH(Structure!$J$16,$GA$14:$GZ$14,0))))</f>
        <v/>
      </c>
      <c r="BH88" s="237" t="str">
        <f>IF(A88=FALSE,"",IF(HD88&lt;&gt;$BC$7,0,INDEX(HA88:HZ88,1,MATCH(Structure!$J$16,$HA$14:$HZ$14,0))))</f>
        <v/>
      </c>
      <c r="BI88" s="621" t="str">
        <f>IF(A88=FALSE,"",IF(ID88&lt;&gt;$BC$7,0,INDEX(IA88:IZ88,1,MATCH(Structure!$C$12,$IA$14:$IZ$14,0)))+OL88)</f>
        <v/>
      </c>
      <c r="BJ88" s="237" t="str">
        <f>IF(A88=FALSE,"",IF(JD88&lt;&gt;$BC$7,0,INDEX(JA88:JZ88,1,MATCH(Structure!$C$12,$JA$14:$JZ$14,0))))</f>
        <v/>
      </c>
      <c r="BK88" s="621" t="str">
        <f>IF(A88=FALSE,"",IF(KD88&lt;&gt;$BC$7,0,INDEX(KA88:KZ88,1,MATCH(Structure!$C$12,$KA$14:$KZ$14,0)))+PL88)</f>
        <v/>
      </c>
      <c r="BL88" s="237" t="str">
        <f>IF(A88=FALSE,"",IF(LD88&lt;&gt;$BC$7,0,INDEX(LA88:LZ88,1,MATCH(Structure!$C$12,$LA$14:$LZ$14,0))))</f>
        <v/>
      </c>
      <c r="BM88" s="237" t="str">
        <f>IF(A88=FALSE,"",IF(MD88&lt;&gt;$BC$7,0,INDEX(MA88:MZ88,1,MATCH(Structure!$C$12,$MA$14:$MZ$14,0))))</f>
        <v/>
      </c>
      <c r="BN88" s="326" t="str">
        <f>IF(A88=FALSE,"",IF(ND88&lt;&gt;$BC$7,0,INDEX(NA88:OC88,1,MATCH(Structure!$C$12,$NA$14:$OC$14,0))))</f>
        <v/>
      </c>
      <c r="BO88" s="435" t="str">
        <f t="shared" si="450"/>
        <v/>
      </c>
      <c r="BP88" s="237" t="str">
        <f t="shared" si="451"/>
        <v/>
      </c>
      <c r="BQ88" s="237" t="str">
        <f>IF(A88=FALSE,"",IF(ED88&lt;&gt;$BO$7,0,INDEX(EA88:EZ88,1,MATCH(Structure!$C$12,$EA$14:$EZ$14,0))))</f>
        <v/>
      </c>
      <c r="BR88" s="237" t="str">
        <f>IF(A88=FALSE,"",IF(FD88&lt;&gt;$BO$7,0,INDEX(FA88:FZ88,1,MATCH(Structure!$C$12,$FA$14:$FZ$14,0))))</f>
        <v/>
      </c>
      <c r="BS88" s="237" t="str">
        <f>IF(A88=FALSE,"",IF(ID88&lt;&gt;$BO$7,0,INDEX(IA88:IZ88,1,MATCH(Structure!$C$13,$IA$14:$IZ$14,0))))</f>
        <v/>
      </c>
      <c r="BT88" s="237" t="str">
        <f>IF(A88=FALSE,"",IF(JD88&lt;&gt;$BO$7,0,INDEX(JA88:JZ88,1,MATCH(Structure!$C$13,$JA$14:$JZ$14,0))))</f>
        <v/>
      </c>
      <c r="BU88" s="237" t="str">
        <f>IF(A88=FALSE,"",IF(KD88&lt;&gt;$BO$7,0,INDEX(KA88:KZ88,1,MATCH(Structure!$C$13,$KA$14:$KZ$14,0))))</f>
        <v/>
      </c>
      <c r="BV88" s="237" t="str">
        <f>IF(A88=FALSE,"",IF(LD88&lt;&gt;$BO$7,0,INDEX(LA88:LZ88,1,MATCH(Structure!$C$13,$LA$14:$LZ$14,0))))</f>
        <v/>
      </c>
      <c r="BW88" s="237" t="str">
        <f>IF(A88=FALSE,"",IF(MD88&lt;&gt;$BO$7,0,INDEX(MA88:MZ88,1,MATCH(Structure!$C$13,$MA$14:$MZ$14,0))))</f>
        <v/>
      </c>
      <c r="BX88" s="326" t="str">
        <f>IF(A88=FALSE,"",IF(ND88&lt;&gt;$BO$7,0,INDEX(NA88:OC88,1,MATCH(Structure!$C$13,$NA$14:$OC$14,0))))</f>
        <v/>
      </c>
      <c r="BY88" s="412"/>
      <c r="BZ88" s="412"/>
      <c r="CA88" s="1255" t="str">
        <f>IF(A88=FALSE,"",IF(LISTES!$A$17=1,Cotations!AG88,Cotations!AH88))</f>
        <v/>
      </c>
      <c r="CB88" s="1266" t="str">
        <f t="shared" si="452"/>
        <v/>
      </c>
      <c r="CC88" s="1120" t="str">
        <f t="shared" si="453"/>
        <v/>
      </c>
      <c r="CD88" s="1120" t="str">
        <f t="shared" si="454"/>
        <v/>
      </c>
      <c r="CE88" s="1120" t="str">
        <f t="shared" si="455"/>
        <v/>
      </c>
      <c r="CF88" s="1120" t="str">
        <f t="shared" si="456"/>
        <v/>
      </c>
      <c r="CG88" s="1267"/>
      <c r="CH88" s="1267"/>
      <c r="CI88" s="1268" t="str">
        <f t="shared" si="457"/>
        <v/>
      </c>
      <c r="CJ88" s="286" t="str">
        <f t="shared" si="458"/>
        <v/>
      </c>
      <c r="CK88" s="286" t="str">
        <f t="shared" si="459"/>
        <v/>
      </c>
      <c r="CL88" s="1263"/>
      <c r="CM88" s="1263"/>
      <c r="CN88" s="1263"/>
      <c r="CO88" s="1263"/>
      <c r="CP88" s="319" t="str">
        <f t="shared" si="460"/>
        <v/>
      </c>
      <c r="CQ88" s="443" t="str">
        <f>IF(A88=FALSE,"",Cotations!AM88)</f>
        <v/>
      </c>
      <c r="CR88" s="443" t="str">
        <f>IF(A88=FALSE,"",IF(Cotations!AN88="","",Cotations!AN88))</f>
        <v/>
      </c>
      <c r="CS88" s="433" t="str">
        <f>IF(A88=FALSE,"",Cotations!AO88)</f>
        <v/>
      </c>
      <c r="CT88" s="443" t="str">
        <f>IF(A88=FALSE,"",IF(CQ88="N/A",0,IF(INDEX(LISTES!$F$105:$F$109,MATCH(CQ88,LISTES!$C$105:$C$109,0))="FIX",IF(INDEX(LISTES!$E$105:$E$109,MATCH(CQ88,LISTES!$C$105:$C$109,0))=12,CR88/12*L88,CR88/365*M88),CS88*EQ88)))</f>
        <v/>
      </c>
      <c r="CU88" s="434" t="str">
        <f>IF(A88=FALSE,"",(CJ88+CK88)*Cotations!AP88)</f>
        <v/>
      </c>
      <c r="CV88" s="434" t="str">
        <f>IF(A88=FALSE,"",(CJ88+CK88)*Cotations!AQ88)</f>
        <v/>
      </c>
      <c r="DA88" s="1253" t="str">
        <f>IF(A88=FALSE,"",IF(LISTES!$A$17=1,Cotations!AV88,Cotations!AW88))</f>
        <v/>
      </c>
      <c r="DB88" s="1271" t="str">
        <f t="shared" si="461"/>
        <v/>
      </c>
      <c r="DC88" s="1270" t="str">
        <f t="shared" si="462"/>
        <v/>
      </c>
      <c r="DD88" s="1270" t="str">
        <f t="shared" si="463"/>
        <v/>
      </c>
      <c r="DE88" s="1270" t="str">
        <f t="shared" si="464"/>
        <v/>
      </c>
      <c r="DF88" s="1270" t="str">
        <f t="shared" si="465"/>
        <v/>
      </c>
      <c r="DG88" s="1270" t="str">
        <f t="shared" si="466"/>
        <v/>
      </c>
      <c r="DH88" s="1270" t="str">
        <f t="shared" si="467"/>
        <v/>
      </c>
      <c r="DI88" s="1271" t="str">
        <f t="shared" si="468"/>
        <v/>
      </c>
      <c r="DJ88" s="286" t="str">
        <f t="shared" si="469"/>
        <v/>
      </c>
      <c r="DK88" s="286" t="str">
        <f t="shared" si="470"/>
        <v/>
      </c>
      <c r="DL88" s="1264" t="str">
        <f t="shared" si="471"/>
        <v/>
      </c>
      <c r="DM88" s="1264" t="str">
        <f t="shared" si="472"/>
        <v/>
      </c>
      <c r="DN88" s="1264" t="str">
        <f t="shared" si="473"/>
        <v/>
      </c>
      <c r="DO88" s="1264" t="str">
        <f t="shared" si="474"/>
        <v/>
      </c>
      <c r="DP88" s="323" t="str">
        <f t="shared" si="368"/>
        <v/>
      </c>
      <c r="DQ88" s="444" t="str">
        <f>IF(A88=FALSE,"",Cotations!BW88)</f>
        <v/>
      </c>
      <c r="DR88" s="444" t="str">
        <f>IF(A88=FALSE,"",Cotations!BX88)</f>
        <v/>
      </c>
      <c r="DS88" s="433" t="str">
        <f>IF(A88=FALSE,"",Cotations!BY88)</f>
        <v/>
      </c>
      <c r="DT88" s="830" t="str">
        <f>IF(A88=FALSE,"",IF(DQ88="N/A",0,IF(INDEX(LISTES!$F$105:$F$109,MATCH(DQ88,LISTES!$C$105:$C$109,0))="FIX",IF(INDEX(LISTES!$E$105:$E$109,MATCH(DQ88,LISTES!$C$105:$C$109,0))=12,DR88/12*L88,DR88/365*M88),DS88*(DN88+DO88))))</f>
        <v/>
      </c>
      <c r="DU88" s="434" t="str">
        <f>IF(A88=FALSE,"",DJ88*Cotations!BZ88)</f>
        <v/>
      </c>
      <c r="DV88" s="434" t="str">
        <f>IF(A88=FALSE,"",DJ88*Cotations!CA88)</f>
        <v/>
      </c>
      <c r="EA88" s="432" t="str">
        <f>IF(A88=FALSE,"",Cotations!AT88)</f>
        <v/>
      </c>
      <c r="EB88" s="1234" t="str">
        <f>IF(A88=FALSE,"",YEAR(Detail!F88)&amp;Detail!AG88&amp;Detail!AD88&amp;"-"&amp;Detail!$AD$13&amp;Detail!AE88)</f>
        <v/>
      </c>
      <c r="EC88" s="434" t="str">
        <f>IF(A88=FALSE,"",IF(LISTES!$A$17=1,EB88,INDEX(colMOD1,MATCH(Cotations!AH88,colchoice,0))))</f>
        <v/>
      </c>
      <c r="ED88" s="277" t="str">
        <f t="shared" si="369"/>
        <v/>
      </c>
      <c r="EE88" s="277" t="str">
        <f t="shared" si="370"/>
        <v/>
      </c>
      <c r="EF88" s="277"/>
      <c r="EG88" s="277"/>
      <c r="EH88" s="277" t="str">
        <f t="shared" si="371"/>
        <v/>
      </c>
      <c r="EI88" s="1104" t="str">
        <f t="shared" si="372"/>
        <v/>
      </c>
      <c r="EJ88" s="1104" t="str">
        <f t="shared" si="373"/>
        <v/>
      </c>
      <c r="EK88" s="443" t="str">
        <f>IF(A88=FALSE,"",IF(Cotations!AF88="monthly",EH88/12*L88,EH88/365*M88))</f>
        <v/>
      </c>
      <c r="EL88" s="1103" t="str">
        <f>IF(A88=FALSE,"",IF(Cotations!AF88="monthly",EJ88/12*L88,EJ88/365*M88))</f>
        <v/>
      </c>
      <c r="EM88" s="433" t="str">
        <f>IF(A88=FALSE,"",IF(Cotations!AI88="","",Cotations!AI88))</f>
        <v/>
      </c>
      <c r="EN88" s="277" t="str">
        <f t="shared" si="374"/>
        <v/>
      </c>
      <c r="EO88" s="277" t="str">
        <f t="shared" si="375"/>
        <v/>
      </c>
      <c r="EP88" s="1104" t="str">
        <f t="shared" si="376"/>
        <v/>
      </c>
      <c r="EQ88" s="277" t="str">
        <f t="shared" si="377"/>
        <v/>
      </c>
      <c r="ER88" s="759" t="str">
        <f>IF(A88=FALSE,"",((EH88*TAXE)-(EH88*TAXE*EM88)+EI88)+IF(CQ88="N/A",0,IF(INDEX(LISTES!$F$105:$F$109,MATCH(CQ88,LISTES!$C$105:$C$109,0))="FIX",CR88,CS88*EQ88)))</f>
        <v/>
      </c>
      <c r="ET88" s="422"/>
      <c r="EU88" s="422"/>
      <c r="EV88" s="422"/>
      <c r="EW88" s="422"/>
      <c r="EX88" s="422"/>
      <c r="EY88" s="422"/>
      <c r="EZ88" s="422"/>
      <c r="FA88" s="432" t="str">
        <f>IF(A88=FALSE,"",Cotations!AT88)</f>
        <v/>
      </c>
      <c r="FB88" s="1235" t="str">
        <f>IF(A88=FALSE,"",IF(Detail!AL88="","N/A",YEAR(Detail!F88)&amp;Detail!AO88&amp;Detail!AL88&amp;"-"&amp;Detail!$AL$13&amp;Detail!AM88))</f>
        <v/>
      </c>
      <c r="FC88" s="434" t="str">
        <f>IF(A88=FALSE,"",IF(LISTES!$A$17=1,FB88,INDEX(colMOD2,MATCH(Cotations!AH88,colchoice,0))))</f>
        <v/>
      </c>
      <c r="FD88" s="277" t="str">
        <f t="shared" si="378"/>
        <v/>
      </c>
      <c r="FE88" s="443" t="str">
        <f>IF(A88=FALSE,"",IF(Detail!AM88="","",Detail!AM88))</f>
        <v/>
      </c>
      <c r="FF88" s="277"/>
      <c r="FG88" s="277"/>
      <c r="FH88" s="277" t="str">
        <f t="shared" si="379"/>
        <v/>
      </c>
      <c r="FI88" s="1104"/>
      <c r="FJ88" s="1104"/>
      <c r="FK88" s="443" t="str">
        <f>IF(A88=FALSE,"",IF(Cotations!AF88="monthly",FH88/12*L88,FH88/365*M88))</f>
        <v/>
      </c>
      <c r="FL88" s="1103" t="str">
        <f>IF(A88=FALSE,"",IF(Cotations!AF88="monthly",FJ88/12*L88,FJ88/365*M88))</f>
        <v/>
      </c>
      <c r="FM88" s="433" t="str">
        <f>IF(A88=FALSE,"",IF(Cotations!AJ88="","",Cotations!AJ88))</f>
        <v/>
      </c>
      <c r="FN88" s="277" t="str">
        <f t="shared" si="475"/>
        <v/>
      </c>
      <c r="FO88" s="277" t="str">
        <f t="shared" si="476"/>
        <v/>
      </c>
      <c r="FP88" s="1104"/>
      <c r="FQ88" s="277" t="str">
        <f t="shared" si="477"/>
        <v/>
      </c>
      <c r="FR88" s="759" t="str">
        <f>IF(A88=FALSE,"",((FH88*TAXE)-(FH88*TAXE*FM88))+IF(#REF!="N/A",0,IF(INDEX(LISTES!$F$105:$F$109,MATCH(#REF!,LISTES!$C$105:$C$109,0))="FIX",#REF!,#REF!*FQ88)))</f>
        <v/>
      </c>
      <c r="FS88" s="422"/>
      <c r="FT88" s="422"/>
      <c r="FU88" s="422"/>
      <c r="FV88" s="422"/>
      <c r="FW88" s="422"/>
      <c r="FX88" s="422"/>
      <c r="FY88" s="422"/>
      <c r="FZ88" s="422"/>
      <c r="GA88" s="432" t="str">
        <f t="shared" si="380"/>
        <v/>
      </c>
      <c r="GB88" s="1234" t="str">
        <f>IF(A88=FALSE,"",IF(Detail!DF88="","N/A",YEAR(Detail!F88)&amp;Detail!DI88&amp;Detail!DF88&amp;"-"&amp;Detail!$DF$13))</f>
        <v/>
      </c>
      <c r="GC88" s="434" t="str">
        <f>IF(A88=FALSE,"",IF(LISTES!$A$17=1,GB88,INDEX(colMOD3,MATCH(Cotations!AH88,colchoice,0))))</f>
        <v/>
      </c>
      <c r="GD88" s="277" t="str">
        <f t="shared" si="381"/>
        <v/>
      </c>
      <c r="GE88" s="277" t="str">
        <f t="shared" si="382"/>
        <v/>
      </c>
      <c r="GF88" s="277"/>
      <c r="GG88" s="277"/>
      <c r="GH88" s="277" t="str">
        <f t="shared" si="478"/>
        <v/>
      </c>
      <c r="GI88" s="1104" t="str">
        <f t="shared" si="479"/>
        <v/>
      </c>
      <c r="GJ88" s="1104" t="str">
        <f t="shared" si="480"/>
        <v/>
      </c>
      <c r="GK88" s="443" t="str">
        <f>IF(A88=FALSE,"",IF(Cotations!AF88="monthly",GH88/12*L88,GH88/365*M88))</f>
        <v/>
      </c>
      <c r="GL88" s="1103" t="str">
        <f>IF(A88=FALSE,"",IF(Cotations!AF88="monthly",GJ88/12*L88,GJ88/365*M88))</f>
        <v/>
      </c>
      <c r="GM88" s="433" t="str">
        <f>IF(A88=FALSE,"",IF(Cotations!AK88="","",Cotations!AK88))</f>
        <v/>
      </c>
      <c r="GN88" s="277" t="str">
        <f t="shared" si="481"/>
        <v/>
      </c>
      <c r="GO88" s="277" t="str">
        <f t="shared" si="482"/>
        <v/>
      </c>
      <c r="GP88" s="1104" t="str">
        <f t="shared" si="483"/>
        <v/>
      </c>
      <c r="GQ88" s="277" t="str">
        <f t="shared" si="484"/>
        <v/>
      </c>
      <c r="GR88" s="759" t="str">
        <f>IF(A88=FALSE,"",((GH88*TAXE)-(GH88*TAXE*GM88)+GI88)+IF(CQ88="N/A",0,IF(INDEX(LISTES!$F$105:$F$109,MATCH(CQ88,LISTES!$C$105:$C$109,0))="FIX",CR88,CS88*GQ88)))</f>
        <v/>
      </c>
      <c r="GS88" s="412"/>
      <c r="GT88" s="412"/>
      <c r="GU88" s="412"/>
      <c r="GV88" s="412"/>
      <c r="GW88" s="412"/>
      <c r="GX88" s="412"/>
      <c r="GY88" s="412"/>
      <c r="GZ88" s="412"/>
      <c r="HA88" s="432" t="str">
        <f t="shared" si="383"/>
        <v/>
      </c>
      <c r="HB88" s="1234" t="str">
        <f>IF(A88=FALSE,"",IF(Detail!DF88="","N/A",YEAR(Detail!F88)&amp;Detail!DI88&amp;Detail!DF88&amp;"-"&amp;Detail!$DF$13))</f>
        <v/>
      </c>
      <c r="HC88" s="434" t="str">
        <f>IF(A88=FALSE,"",IF(LISTES!$A$17=1,HB88,INDEX(colMOD4,MATCH(Cotations!AH88,colchoice,0))))</f>
        <v/>
      </c>
      <c r="HD88" s="277" t="str">
        <f t="shared" si="485"/>
        <v/>
      </c>
      <c r="HE88" s="277" t="str">
        <f t="shared" si="486"/>
        <v/>
      </c>
      <c r="HF88" s="277"/>
      <c r="HG88" s="277"/>
      <c r="HH88" s="277" t="str">
        <f t="shared" si="487"/>
        <v/>
      </c>
      <c r="HI88" s="1104" t="str">
        <f t="shared" si="488"/>
        <v/>
      </c>
      <c r="HJ88" s="1104" t="str">
        <f t="shared" si="489"/>
        <v/>
      </c>
      <c r="HK88" s="443" t="str">
        <f>IF(A88=FALSE,"",IF(Cotations!AF88="monthly",HH88/12*L88,HH88/365*M88))</f>
        <v/>
      </c>
      <c r="HL88" s="1103" t="str">
        <f>IF(A88=FALSE,"",IF(Cotations!AF88="monthly",HJ88/12*L88,HJ88/365*M88))</f>
        <v/>
      </c>
      <c r="HM88" s="433" t="str">
        <f>IF(A88=FALSE,"",IF(Cotations!AL88="","",Cotations!AL88))</f>
        <v/>
      </c>
      <c r="HN88" s="277" t="str">
        <f t="shared" si="490"/>
        <v/>
      </c>
      <c r="HO88" s="277" t="str">
        <f t="shared" si="491"/>
        <v/>
      </c>
      <c r="HP88" s="1104" t="str">
        <f t="shared" si="492"/>
        <v/>
      </c>
      <c r="HQ88" s="277" t="str">
        <f t="shared" si="493"/>
        <v/>
      </c>
      <c r="HR88" s="759" t="str">
        <f>IF(A88=FALSE,"",((HH88*TAXE)-(HH88*TAXE*HM88)+HI88)+IF(CQ88="N/A",0,IF(INDEX(LISTES!$F$105:$F$109,MATCH(CQ88,LISTES!$C$105:$C$109,0))="FIX",CR88,CS88*HQ88)))</f>
        <v/>
      </c>
      <c r="HS88" s="412"/>
      <c r="HT88" s="412"/>
      <c r="HU88" s="412"/>
      <c r="HV88" s="412"/>
      <c r="HW88" s="412"/>
      <c r="HX88" s="412"/>
      <c r="HY88" s="412"/>
      <c r="HZ88" s="1262"/>
      <c r="IA88" s="432" t="str">
        <f>IF(A88=FALSE,"",Cotations!AT88)</f>
        <v/>
      </c>
      <c r="IB88" s="1253" t="str">
        <f>IF(A88=FALSE,"",IF(Detail!AT88="","N/A",YEAR(Detail!F88)&amp;Detail!AW88&amp;Detail!AT88&amp;"-"&amp;Detail!$AT$13&amp;Detail!AU88))</f>
        <v/>
      </c>
      <c r="IC88" s="431" t="str">
        <f>IF(A88=FALSE,"",IF(LISTES!$A$17=1,IB88,INDEX(colMOD1,MATCH(DA88,colchoice,0))))</f>
        <v/>
      </c>
      <c r="ID88" s="759" t="str">
        <f t="shared" si="358"/>
        <v/>
      </c>
      <c r="IE88" s="292" t="str">
        <f>IF(A88=FALSE,"",IF(LISTES!$A$17=1,Detail!AU88,INDEX(Rates!$M$1:$M$270,MATCH(IC88,colMOD1,0))))</f>
        <v/>
      </c>
      <c r="IF88" s="409" t="str">
        <f t="shared" si="359"/>
        <v/>
      </c>
      <c r="IG88" s="430" t="str">
        <f>IF(A88=FALSE,"",IF(IA88="POEA",Cotations!AY88,IF(IA88="FIXE",Cotations!AZ88,IF(Cotations!BA88*Y88&lt;50000,Z88,Cotations!BA88*Y88))))</f>
        <v/>
      </c>
      <c r="IH88" s="292" t="str">
        <f t="shared" si="360"/>
        <v/>
      </c>
      <c r="II88" s="446" t="str">
        <f>IF(A88=FALSE,"",IF(Cotations!AU88="monthly",IH88/12*L88,IH88/365*M88))</f>
        <v/>
      </c>
      <c r="IJ88" s="429" t="str">
        <f>IF(A88=FALSE,"",IF(Cotations!BB88="","",Cotations!BB88))</f>
        <v/>
      </c>
      <c r="IK88" s="292" t="str">
        <f t="shared" si="361"/>
        <v/>
      </c>
      <c r="IL88" s="292" t="str">
        <f t="shared" si="362"/>
        <v/>
      </c>
      <c r="IM88" s="759" t="str">
        <f t="shared" si="363"/>
        <v/>
      </c>
      <c r="IN88" s="759" t="str">
        <f>IF(A88=FALSE,"",((IH88*TAXE)-(IH88*TAXE*IJ88))+IF(DQ88="N/A",0,IF(INDEX(LISTES!$F$105:$F$109,MATCH(DQ88,LISTES!$C$105:$C$109,0))="FIX",DR88,DS88*IM88)))</f>
        <v/>
      </c>
      <c r="JA88" s="432" t="str">
        <f>IF(A88=FALSE,"",Cotations!AT88)</f>
        <v/>
      </c>
      <c r="JB88" s="1234" t="str">
        <f>IF(A88=FALSE,"",IF(Detail!BB88="","N/A",YEAR(Detail!F88)&amp;Detail!BE88&amp;Detail!BB88&amp;"-"&amp;Detail!$BB$13&amp;Detail!BC88))</f>
        <v/>
      </c>
      <c r="JC88" s="431" t="str">
        <f>IF(A88=FALSE,"",IF(LISTES!$A$17=1,JB88,INDEX(colMOD2,MATCH(DA88,colchoice,0))))</f>
        <v/>
      </c>
      <c r="JD88" s="759" t="str">
        <f t="shared" si="384"/>
        <v/>
      </c>
      <c r="JE88" s="292"/>
      <c r="JF88" s="409" t="str">
        <f t="shared" si="385"/>
        <v/>
      </c>
      <c r="JG88" s="430" t="str">
        <f>IF(A88=FALSE,"",IF(JA88="POEA",Cotations!BC88,IF(JA88="FIXE",Cotations!BD88,IF(Cotations!BE88*Y88&lt;50000,Z88,Cotations!BE88*Y88))))</f>
        <v/>
      </c>
      <c r="JH88" s="292" t="str">
        <f t="shared" si="386"/>
        <v/>
      </c>
      <c r="JI88" s="446" t="str">
        <f>IF(A88=FALSE,"",IF(Cotations!AU88="monthly",JH88/12*L88,JH88/365*M88))</f>
        <v/>
      </c>
      <c r="JJ88" s="429" t="str">
        <f>IF(A88=FALSE,"",IF(Cotations!BF88="","",Cotations!BF88))</f>
        <v/>
      </c>
      <c r="JK88" s="292" t="str">
        <f t="shared" si="387"/>
        <v/>
      </c>
      <c r="JL88" s="292" t="str">
        <f t="shared" si="388"/>
        <v/>
      </c>
      <c r="JM88" s="759" t="str">
        <f t="shared" si="389"/>
        <v/>
      </c>
      <c r="JN88" s="759" t="str">
        <f>IF(A88=FALSE,"",((JH88*TAXE)-(JH88*TAXE*JJ88))+IF(#REF!="N/A",0,IF(INDEX(LISTES!$F$105:$F$109,MATCH(#REF!,LISTES!$C$105:$C$109,0))="FIX",#REF!,#REF!*JM88)))</f>
        <v/>
      </c>
      <c r="KA88" s="432" t="str">
        <f>IF(A88=FALSE,"",Cotations!AT88)</f>
        <v/>
      </c>
      <c r="KB88" s="1234" t="str">
        <f>IF(A88=FALSE,"",IF(Detail!BJ88="","N/A",YEAR(Detail!F88)&amp;Detail!BM88&amp;Detail!BJ88&amp;"-"&amp;Detail!$BJ$13&amp;Detail!BK88))</f>
        <v/>
      </c>
      <c r="KC88" s="431" t="str">
        <f>IF(A88=FALSE,"",IF(LISTES!$A$17=1,KB88,INDEX(colMOD3,MATCH(DA88,colchoice,0))))</f>
        <v/>
      </c>
      <c r="KD88" s="759" t="str">
        <f t="shared" si="390"/>
        <v/>
      </c>
      <c r="KE88" s="292"/>
      <c r="KF88" s="409" t="str">
        <f t="shared" si="391"/>
        <v/>
      </c>
      <c r="KG88" s="430" t="str">
        <f>IF(A88=FALSE,"",IF(KA88="POEA",Cotations!BG88,IF(KA88="FIXE",Cotations!BH88,IF(Cotations!BI88*Y88&lt;50000,Z88,Cotations!BI88*Y88))))</f>
        <v/>
      </c>
      <c r="KH88" s="292" t="str">
        <f t="shared" si="392"/>
        <v/>
      </c>
      <c r="KI88" s="446" t="str">
        <f>IF(A88=FALSE,"",IF(Cotations!AU88="monthly",KH88/12*L88,KH88/365*M88))</f>
        <v/>
      </c>
      <c r="KJ88" s="429" t="str">
        <f>IF(A88=FALSE,"",IF(Cotations!BJ88="","",Cotations!BJ88))</f>
        <v/>
      </c>
      <c r="KK88" s="292" t="str">
        <f t="shared" si="393"/>
        <v/>
      </c>
      <c r="KL88" s="292" t="str">
        <f t="shared" si="394"/>
        <v/>
      </c>
      <c r="KM88" s="759" t="str">
        <f t="shared" si="395"/>
        <v/>
      </c>
      <c r="KN88" s="759" t="str">
        <f>IF(A88=FALSE,"",((KH88*TAXE)-(KH88*TAXE*KJ88))+IF(#REF!="N/A",0,IF(INDEX(LISTES!$F$105:$F$109,MATCH(#REF!,LISTES!$C$105:$C$109,0))="FIX",#REF!,#REF!*KM88)))</f>
        <v/>
      </c>
      <c r="LA88" s="432" t="str">
        <f>IF(A88=FALSE,"",Cotations!AT88)</f>
        <v/>
      </c>
      <c r="LB88" s="1234" t="str">
        <f>IF(A88=FALSE,"",IF(Detail!BR88="","N/A",YEAR(Detail!F88)&amp;Detail!BU88&amp;Detail!BR88&amp;"-"&amp;Detail!$BR$13&amp;Detail!BS88))</f>
        <v/>
      </c>
      <c r="LC88" s="431" t="str">
        <f>IF(A88=FALSE,"",IF(LISTES!$A$17=1,LB88,INDEX(colMOD4,MATCH(DA88,colchoice,0))))</f>
        <v/>
      </c>
      <c r="LD88" s="759" t="str">
        <f t="shared" si="396"/>
        <v/>
      </c>
      <c r="LE88" s="292"/>
      <c r="LF88" s="409" t="str">
        <f t="shared" si="397"/>
        <v/>
      </c>
      <c r="LG88" s="430" t="str">
        <f>IF(A88=FALSE,"",IF(LA88="POEA",Cotations!BK88,IF(LA88="FIXE",Cotations!BL88,IF(Cotations!BM88*Y88&lt;50000,Z88,Cotations!BM88*Y88))))</f>
        <v/>
      </c>
      <c r="LH88" s="292" t="str">
        <f t="shared" si="398"/>
        <v/>
      </c>
      <c r="LI88" s="446" t="str">
        <f>IF(A88=FALSE,"",IF(Cotations!AU88="monthly",LH88/12*L88,LH88/365*M88))</f>
        <v/>
      </c>
      <c r="LJ88" s="429" t="str">
        <f>IF(A88=FALSE,"",IF(Cotations!BN88="","",Cotations!BN88))</f>
        <v/>
      </c>
      <c r="LK88" s="292" t="str">
        <f t="shared" si="399"/>
        <v/>
      </c>
      <c r="LL88" s="292" t="str">
        <f t="shared" si="400"/>
        <v/>
      </c>
      <c r="LM88" s="759" t="str">
        <f t="shared" si="401"/>
        <v/>
      </c>
      <c r="LN88" s="759" t="str">
        <f>IF(A88=FALSE,"",((LH88*TAXE)-(LH88*TAXE*LJ88))+IF(#REF!="N/A",0,IF(INDEX(LISTES!$F$105:$F$109,MATCH(#REF!,LISTES!$C$105:$C$109,0))="FIX",#REF!,#REF!*LM88)))</f>
        <v/>
      </c>
      <c r="MA88" s="432" t="str">
        <f t="shared" si="402"/>
        <v/>
      </c>
      <c r="MB88" s="1234" t="str">
        <f>IF(A88=FALSE,"",IF(Detail!BZ88="","N/A",YEAR(Detail!F88)&amp;Detail!CC88&amp;Detail!BZ88&amp;"-"&amp;Detail!$BZ$13&amp;" (100%/"&amp;Detail!CD88&amp;"/"&amp;Detail!CE88&amp;")"))</f>
        <v/>
      </c>
      <c r="MC88" s="431" t="str">
        <f>IF(A88=FALSE,"",IF(LISTES!$A$17=1,MB88,INDEX(colMOD5,MATCH(DA88,colchoice,0))))</f>
        <v/>
      </c>
      <c r="MD88" s="759" t="str">
        <f t="shared" si="403"/>
        <v/>
      </c>
      <c r="ME88" s="292"/>
      <c r="MF88" s="409" t="str">
        <f t="shared" si="404"/>
        <v/>
      </c>
      <c r="MG88" s="430" t="str">
        <f>IF(A88=FALSE,"",Cotations!BQ88*AA88)</f>
        <v/>
      </c>
      <c r="MH88" s="292" t="str">
        <f t="shared" si="405"/>
        <v/>
      </c>
      <c r="MI88" s="446" t="str">
        <f>IF(A88=FALSE,"",IF(Cotations!AU88="monthly",MH88/12*L88,MH88/365*M88))</f>
        <v/>
      </c>
      <c r="MJ88" s="429" t="str">
        <f>IF(A88=FALSE,"",IF(Cotations!BR88="","",Cotations!BR88))</f>
        <v/>
      </c>
      <c r="MK88" s="292" t="str">
        <f t="shared" si="406"/>
        <v/>
      </c>
      <c r="ML88" s="292" t="str">
        <f t="shared" si="407"/>
        <v/>
      </c>
      <c r="MM88" s="759" t="str">
        <f t="shared" si="408"/>
        <v/>
      </c>
      <c r="MN88" s="759" t="str">
        <f>IF(A88=FALSE,"",((MH88*TAXE)-(MH88*TAXE*MJ88))+IF(#REF!="N/A",0,IF(INDEX(LISTES!$F$105:$F$109,MATCH(#REF!,LISTES!$C$105:$C$109,0))="FIX",#REF!,#REF!*MM88)))</f>
        <v/>
      </c>
      <c r="NA88" s="432" t="str">
        <f t="shared" si="409"/>
        <v/>
      </c>
      <c r="NB88" s="1234" t="str">
        <f>IF(A88=FALSE,"",IF(Detail!CH88="","N/A",YEAR(Detail!F88)&amp;Detail!CK88&amp;Detail!CH88&amp;"-"&amp;Detail!$CH$13&amp;" (100%/"&amp;Detail!CL88&amp;"/"&amp;Detail!CM88&amp;")"))</f>
        <v/>
      </c>
      <c r="NC88" s="431" t="str">
        <f>IF(A88=FALSE,"",IF(LISTES!$A$17=1,NB88,INDEX(colMOD6,MATCH(DA88,colchoice,0))))</f>
        <v/>
      </c>
      <c r="ND88" s="759" t="str">
        <f t="shared" si="410"/>
        <v/>
      </c>
      <c r="NE88" s="292"/>
      <c r="NF88" s="409" t="str">
        <f t="shared" si="411"/>
        <v/>
      </c>
      <c r="NG88" s="430" t="str">
        <f>IF(A88=FALSE,"",Cotations!BU88*AA88)</f>
        <v/>
      </c>
      <c r="NH88" s="292" t="str">
        <f t="shared" si="412"/>
        <v/>
      </c>
      <c r="NI88" s="446" t="str">
        <f>IF(A88=FALSE,"",IF(Cotations!AU88="monthly",NH88/12*L88,NH88/365*M88))</f>
        <v/>
      </c>
      <c r="NJ88" s="429" t="str">
        <f>IF(A88=FALSE,"",IF(Cotations!BV88="","",Cotations!BV88))</f>
        <v/>
      </c>
      <c r="NK88" s="292" t="str">
        <f t="shared" si="413"/>
        <v/>
      </c>
      <c r="NL88" s="292" t="str">
        <f t="shared" si="414"/>
        <v/>
      </c>
      <c r="NM88" s="759" t="str">
        <f t="shared" si="415"/>
        <v/>
      </c>
      <c r="NN88" s="759" t="str">
        <f>IF(A88=FALSE,"",((NH88*TAXE)-(NH88*TAXE*NJ88))+IF(#REF!="N/A",0,IF(INDEX(LISTES!$F$105:$F$109,MATCH(#REF!,LISTES!$C$105:$C$109,0))="FIX",#REF!,#REF!*NM88)))</f>
        <v/>
      </c>
      <c r="NZ88" s="1281" t="str">
        <f>IF(A88=FALSE,"",IF(Detail!CP88="","N/A",YEAR(Detail!F88)&amp;Detail!CS88&amp;Detail!CP88&amp;"-"&amp;Detail!CQ88))</f>
        <v/>
      </c>
      <c r="OA88" s="432" t="str">
        <f>IF(A88=FALSE,"",Cotations!CF88)</f>
        <v/>
      </c>
      <c r="OB88" s="1282" t="str">
        <f>IF(A88=FALSE,"",IF(Detail!CP88="","N/A",YEAR(Detail!F88)&amp;Detail!CS88&amp;Detail!CP88&amp;"-"&amp;Detail!$CP$13&amp;Detail!CQ88))</f>
        <v/>
      </c>
      <c r="OC88" s="1283" t="str">
        <f>IF(A88=FALSE,"",IF(LISTES!$A$17=1,OB88,INDEX(colMOD1,MATCH(Cotations!CE88,colchoice,0))))</f>
        <v/>
      </c>
      <c r="OD88" s="759" t="str">
        <f t="shared" si="416"/>
        <v/>
      </c>
      <c r="OE88" s="292" t="str">
        <f>IF(A88=FALSE,"",Detail!CQ88)</f>
        <v/>
      </c>
      <c r="OF88" s="409" t="str">
        <f t="shared" si="417"/>
        <v/>
      </c>
      <c r="OG88" s="430" t="str">
        <f>IF(A88=FALSE,"",IF(OA88="FIXE",Cotations!CM88,Cotations!CN88*AA88))</f>
        <v/>
      </c>
      <c r="OH88" s="292" t="str">
        <f t="shared" si="494"/>
        <v/>
      </c>
      <c r="OI88" s="446" t="str">
        <f>IF(A88=FALSE,"",IF(Cotations!CF88="monthly",OH88/12*L88,OH88/365*M88))</f>
        <v/>
      </c>
      <c r="OJ88" s="429" t="str">
        <f>IF(A88=FALSE,"",IF(Cotations!CO88="","",Cotations!CO88))</f>
        <v/>
      </c>
      <c r="OK88" s="292" t="str">
        <f t="shared" si="495"/>
        <v/>
      </c>
      <c r="OL88" s="292" t="str">
        <f t="shared" si="496"/>
        <v/>
      </c>
      <c r="OM88" s="759" t="str">
        <f t="shared" si="418"/>
        <v/>
      </c>
      <c r="ON88" s="759" t="str">
        <f>IF(A88=FALSE,"",((OH88*(1+TAXE)-(OH88*(1+TAXE)*OJ88))+IF(#REF!="N/A",0,IF(INDEX(LISTES!$F$105:$F$109,MATCH(#REF!,LISTES!$C$105:$C$109,0))="FIX",#REF!,#REF!*OM88))))</f>
        <v/>
      </c>
      <c r="PA88" s="432" t="str">
        <f>IF(A88=FALSE,"",Cotations!CF88)</f>
        <v/>
      </c>
      <c r="PB88" s="1282" t="str">
        <f>IF(A88=FALSE,"",IF(Detail!CX88="","N/A",YEAR(Detail!F88)&amp;Detail!DA88&amp;Detail!CX88&amp;"-"&amp;Detail!$CX$13&amp;Detail!CY88))</f>
        <v/>
      </c>
      <c r="PC88" s="1283" t="str">
        <f>IF(A88=FALSE,"",IF(LISTES!$A$17=1,PB88,INDEX(colMOD3,MATCH(Cotations!CE88,colchoice,0))))</f>
        <v/>
      </c>
      <c r="PD88" s="759" t="str">
        <f t="shared" si="419"/>
        <v/>
      </c>
      <c r="PE88" s="292" t="str">
        <f>IF(A88=FALSE,"",IF(Detail!CY88="","",Detail!CY88))</f>
        <v/>
      </c>
      <c r="PF88" s="409" t="str">
        <f t="shared" si="497"/>
        <v/>
      </c>
      <c r="PG88" s="430" t="str">
        <f>IF(A88=FALSE,"",IF(PA88="FIXE",Cotations!CP88,Cotations!CQ88*AA88))</f>
        <v/>
      </c>
      <c r="PH88" s="292" t="str">
        <f t="shared" si="498"/>
        <v/>
      </c>
      <c r="PI88" s="446" t="str">
        <f>IF(A88=FALSE,"",IF(Cotations!CG88="monthly",PH88/12*L88,PH88/365*M88))</f>
        <v/>
      </c>
      <c r="PJ88" s="429" t="str">
        <f>IF(A88=FALSE,"",IF(Cotations!DA88="",0,Cotations!DA88))</f>
        <v/>
      </c>
      <c r="PK88" s="292" t="str">
        <f t="shared" si="499"/>
        <v/>
      </c>
      <c r="PL88" s="292" t="str">
        <f t="shared" si="500"/>
        <v/>
      </c>
      <c r="PM88" s="759" t="str">
        <f t="shared" si="420"/>
        <v/>
      </c>
      <c r="PN88" s="759" t="str">
        <f>IF(A88=FALSE,"",((PH88*(1+TAXE)-(PH88*(1+TAXE)*PJ88))+IF(#REF!="N/A",0,IF(INDEX(LISTES!$F$105:$F$109,MATCH(#REF!,LISTES!$C$105:$C$109,0))="FIX",#REF!,#REF!*PM88))))</f>
        <v/>
      </c>
    </row>
    <row r="89" spans="1:430">
      <c r="A89" s="779" t="b">
        <f t="shared" si="364"/>
        <v>0</v>
      </c>
      <c r="B89" s="779" t="b">
        <f>IF(NAMES!$B$9=TRUE,TRUE,FALSE)</f>
        <v>1</v>
      </c>
      <c r="C89" s="779" t="b">
        <f t="shared" si="421"/>
        <v>0</v>
      </c>
      <c r="D89" s="779" t="b">
        <f t="shared" si="422"/>
        <v>0</v>
      </c>
      <c r="E89" s="267" t="b">
        <f>IF(Cotations!C89="","",Cotations!C89)</f>
        <v>0</v>
      </c>
      <c r="F89" s="267" t="str">
        <f>IF(Cotations!AT89="","",Cotations!AT89)</f>
        <v>PROP</v>
      </c>
      <c r="G89" s="267" t="str">
        <f>IF(Cotations!D89="","",Cotations!D89)</f>
        <v>2016-2017!</v>
      </c>
      <c r="H89" s="267" t="str">
        <f>IF(Cotations!E89="","",Cotations!E89)</f>
        <v>SINGLE</v>
      </c>
      <c r="I89" s="267" t="str">
        <f>IF(Cotations!F89="","",Cotations!F89)</f>
        <v/>
      </c>
      <c r="J89" s="267" t="str">
        <f>IF(Cotations!G89="","",Cotations!G89)</f>
        <v/>
      </c>
      <c r="K89" s="267" t="str">
        <f>IF(Cotations!H89="","",Cotations!H89)</f>
        <v/>
      </c>
      <c r="L89" s="267" t="str">
        <f>IF(A89=FALSE,"",IF(Cotations!M89="","",Cotations!M89))</f>
        <v/>
      </c>
      <c r="M89" s="267" t="str">
        <f>IF(Cotations!O89="","",Cotations!O89)</f>
        <v/>
      </c>
      <c r="N89" s="588" t="str">
        <f>IF(NAMES!$B$10=TRUE,Cotations!I89,Cotations!K89)</f>
        <v/>
      </c>
      <c r="O89" s="588" t="str">
        <f>IF(NAMES!$B$10=TRUE,Cotations!J89,Cotations!L89)</f>
        <v/>
      </c>
      <c r="P89" s="780" t="str">
        <f t="shared" si="423"/>
        <v/>
      </c>
      <c r="Q89" s="588" t="str">
        <f>IF(A89=FALSE,"",IF(Crewlist!Y89="","",Crewlist!Y89))</f>
        <v/>
      </c>
      <c r="R89" s="78" t="str">
        <f>IF(Cotations!T89="","",Cotations!T89)</f>
        <v/>
      </c>
      <c r="S89" s="780" t="str">
        <f t="shared" si="424"/>
        <v/>
      </c>
      <c r="T89" s="759" t="str">
        <f>IF(A89=FALSE,"",VLOOKUP($U$15:$U$120,Currency!$A$2:$D$10,4,0)*Crewlist!N89)</f>
        <v/>
      </c>
      <c r="U89" s="1097" t="str">
        <f>IF(A89=FALSE,"",IF(DP89=0,Crewlist!M89&amp;"/"&amp;CP89,Crewlist!M89&amp;"/"&amp;DP89))</f>
        <v/>
      </c>
      <c r="V89" s="759" t="str">
        <f>IF(A89=FALSE,"",VLOOKUP($U$15:$U$120,Currency!$A$2:$D$10,4,0)*Detail!Q89)</f>
        <v/>
      </c>
      <c r="W89" s="1097" t="str">
        <f>IF(A89=FALSE,"",IF(DP89=0,Detail!R89&amp;"/"&amp;CP89,Detail!R89&amp;"/"&amp;DP89))</f>
        <v/>
      </c>
      <c r="X89" s="759" t="str">
        <f>IF(A89=FALSE,"",IF(LISTES!$C$17="Crewlist",Calcul!T89,Calcul!V89))</f>
        <v/>
      </c>
      <c r="Y89" s="618" t="str">
        <f t="shared" si="425"/>
        <v/>
      </c>
      <c r="Z89" s="618" t="str">
        <f>IF(A89=FALSE,"",IF(X89=0,0,IF((Cotations!BA89*12*X89)&lt;50000,50000,(12*X89))))</f>
        <v/>
      </c>
      <c r="AA89" s="618" t="str">
        <f t="shared" si="426"/>
        <v/>
      </c>
      <c r="AB89" s="618" t="str">
        <f>IF(A89=FALSE,"",IF(Crewlist!O89=0,"",Crewlist!O89))</f>
        <v/>
      </c>
      <c r="AC89" s="618" t="str">
        <f>IF(I89="","",VLOOKUP($AB$15:$AB$120,Currency!$A$15:$B$34,2,0))</f>
        <v/>
      </c>
      <c r="AD89" s="618" t="str">
        <f t="shared" si="427"/>
        <v/>
      </c>
      <c r="AE89" s="618" t="str">
        <f t="shared" si="428"/>
        <v/>
      </c>
      <c r="AF89" s="618" t="str">
        <f t="shared" si="429"/>
        <v/>
      </c>
      <c r="AG89" s="618" t="str">
        <f t="shared" si="430"/>
        <v/>
      </c>
      <c r="AH89" s="1097" t="str">
        <f t="shared" si="365"/>
        <v/>
      </c>
      <c r="AI89" s="759" t="str">
        <f t="shared" si="431"/>
        <v/>
      </c>
      <c r="AJ89" s="1120" t="str">
        <f t="shared" si="432"/>
        <v/>
      </c>
      <c r="AK89" s="1120" t="str">
        <f t="shared" si="433"/>
        <v/>
      </c>
      <c r="AL89" s="236" t="str">
        <f t="shared" si="434"/>
        <v/>
      </c>
      <c r="AM89" s="236" t="str">
        <f t="shared" si="435"/>
        <v/>
      </c>
      <c r="AN89" s="1112" t="str">
        <f t="shared" si="436"/>
        <v/>
      </c>
      <c r="AO89" s="236" t="str">
        <f t="shared" si="437"/>
        <v/>
      </c>
      <c r="AP89" s="327" t="str">
        <f>IF(A89=FALSE,"",INDEX(Rates!$Q$1:$Q$278,MATCH(CA89,colchoice,0)))</f>
        <v/>
      </c>
      <c r="AQ89" s="236" t="str">
        <f t="shared" si="438"/>
        <v/>
      </c>
      <c r="AR89" s="236" t="str">
        <f t="shared" si="439"/>
        <v/>
      </c>
      <c r="AS89" s="236" t="str">
        <f t="shared" si="366"/>
        <v/>
      </c>
      <c r="AT89" s="236" t="str">
        <f t="shared" si="367"/>
        <v/>
      </c>
      <c r="AU89" s="236" t="str">
        <f t="shared" si="440"/>
        <v/>
      </c>
      <c r="AV89" s="236" t="str">
        <f t="shared" si="441"/>
        <v/>
      </c>
      <c r="AW89" s="236" t="str">
        <f t="shared" si="442"/>
        <v/>
      </c>
      <c r="AX89" s="236" t="str">
        <f t="shared" si="443"/>
        <v/>
      </c>
      <c r="AY89" s="236" t="str">
        <f t="shared" si="444"/>
        <v/>
      </c>
      <c r="AZ89" s="236" t="str">
        <f t="shared" si="445"/>
        <v/>
      </c>
      <c r="BA89" s="236" t="str">
        <f t="shared" si="446"/>
        <v/>
      </c>
      <c r="BB89" s="467" t="str">
        <f t="shared" si="447"/>
        <v/>
      </c>
      <c r="BC89" s="329" t="str">
        <f t="shared" si="448"/>
        <v/>
      </c>
      <c r="BD89" s="237" t="str">
        <f t="shared" si="449"/>
        <v/>
      </c>
      <c r="BE89" s="237" t="str">
        <f>IF(A89=FALSE,"",IF(ED89&lt;&gt;$BC$7,0,INDEX(EA89:EZ89,1,MATCH(Structure!$J$16,$EA$14:$EZ$14,0))))</f>
        <v/>
      </c>
      <c r="BF89" s="237" t="str">
        <f>IF(A89=FALSE,"",IF(FD89&lt;&gt;$BC$7,0,INDEX(FA89:FZ89,1,MATCH(Structure!$J$16,$FA$14:$FZ$14,0))))</f>
        <v/>
      </c>
      <c r="BG89" s="237" t="str">
        <f>IF(A89=FALSE,"",IF(GD89&lt;&gt;$BC$7,0,INDEX(GA89:GZ89,1,MATCH(Structure!$J$16,$GA$14:$GZ$14,0))))</f>
        <v/>
      </c>
      <c r="BH89" s="237" t="str">
        <f>IF(A89=FALSE,"",IF(HD89&lt;&gt;$BC$7,0,INDEX(HA89:HZ89,1,MATCH(Structure!$J$16,$HA$14:$HZ$14,0))))</f>
        <v/>
      </c>
      <c r="BI89" s="621" t="str">
        <f>IF(A89=FALSE,"",IF(ID89&lt;&gt;$BC$7,0,INDEX(IA89:IZ89,1,MATCH(Structure!$C$12,$IA$14:$IZ$14,0)))+OL89)</f>
        <v/>
      </c>
      <c r="BJ89" s="237" t="str">
        <f>IF(A89=FALSE,"",IF(JD89&lt;&gt;$BC$7,0,INDEX(JA89:JZ89,1,MATCH(Structure!$C$12,$JA$14:$JZ$14,0))))</f>
        <v/>
      </c>
      <c r="BK89" s="621" t="str">
        <f>IF(A89=FALSE,"",IF(KD89&lt;&gt;$BC$7,0,INDEX(KA89:KZ89,1,MATCH(Structure!$C$12,$KA$14:$KZ$14,0)))+PL89)</f>
        <v/>
      </c>
      <c r="BL89" s="237" t="str">
        <f>IF(A89=FALSE,"",IF(LD89&lt;&gt;$BC$7,0,INDEX(LA89:LZ89,1,MATCH(Structure!$C$12,$LA$14:$LZ$14,0))))</f>
        <v/>
      </c>
      <c r="BM89" s="237" t="str">
        <f>IF(A89=FALSE,"",IF(MD89&lt;&gt;$BC$7,0,INDEX(MA89:MZ89,1,MATCH(Structure!$C$12,$MA$14:$MZ$14,0))))</f>
        <v/>
      </c>
      <c r="BN89" s="326" t="str">
        <f>IF(A89=FALSE,"",IF(ND89&lt;&gt;$BC$7,0,INDEX(NA89:OC89,1,MATCH(Structure!$C$12,$NA$14:$OC$14,0))))</f>
        <v/>
      </c>
      <c r="BO89" s="435" t="str">
        <f t="shared" si="450"/>
        <v/>
      </c>
      <c r="BP89" s="237" t="str">
        <f t="shared" si="451"/>
        <v/>
      </c>
      <c r="BQ89" s="237" t="str">
        <f>IF(A89=FALSE,"",IF(ED89&lt;&gt;$BO$7,0,INDEX(EA89:EZ89,1,MATCH(Structure!$C$12,$EA$14:$EZ$14,0))))</f>
        <v/>
      </c>
      <c r="BR89" s="237" t="str">
        <f>IF(A89=FALSE,"",IF(FD89&lt;&gt;$BO$7,0,INDEX(FA89:FZ89,1,MATCH(Structure!$C$12,$FA$14:$FZ$14,0))))</f>
        <v/>
      </c>
      <c r="BS89" s="237" t="str">
        <f>IF(A89=FALSE,"",IF(ID89&lt;&gt;$BO$7,0,INDEX(IA89:IZ89,1,MATCH(Structure!$C$13,$IA$14:$IZ$14,0))))</f>
        <v/>
      </c>
      <c r="BT89" s="237" t="str">
        <f>IF(A89=FALSE,"",IF(JD89&lt;&gt;$BO$7,0,INDEX(JA89:JZ89,1,MATCH(Structure!$C$13,$JA$14:$JZ$14,0))))</f>
        <v/>
      </c>
      <c r="BU89" s="237" t="str">
        <f>IF(A89=FALSE,"",IF(KD89&lt;&gt;$BO$7,0,INDEX(KA89:KZ89,1,MATCH(Structure!$C$13,$KA$14:$KZ$14,0))))</f>
        <v/>
      </c>
      <c r="BV89" s="237" t="str">
        <f>IF(A89=FALSE,"",IF(LD89&lt;&gt;$BO$7,0,INDEX(LA89:LZ89,1,MATCH(Structure!$C$13,$LA$14:$LZ$14,0))))</f>
        <v/>
      </c>
      <c r="BW89" s="237" t="str">
        <f>IF(A89=FALSE,"",IF(MD89&lt;&gt;$BO$7,0,INDEX(MA89:MZ89,1,MATCH(Structure!$C$13,$MA$14:$MZ$14,0))))</f>
        <v/>
      </c>
      <c r="BX89" s="326" t="str">
        <f>IF(A89=FALSE,"",IF(ND89&lt;&gt;$BO$7,0,INDEX(NA89:OC89,1,MATCH(Structure!$C$13,$NA$14:$OC$14,0))))</f>
        <v/>
      </c>
      <c r="BY89" s="412"/>
      <c r="BZ89" s="412"/>
      <c r="CA89" s="1255" t="str">
        <f>IF(A89=FALSE,"",IF(LISTES!$A$17=1,Cotations!AG89,Cotations!AH89))</f>
        <v/>
      </c>
      <c r="CB89" s="1266" t="str">
        <f t="shared" si="452"/>
        <v/>
      </c>
      <c r="CC89" s="1120" t="str">
        <f t="shared" si="453"/>
        <v/>
      </c>
      <c r="CD89" s="1120" t="str">
        <f t="shared" si="454"/>
        <v/>
      </c>
      <c r="CE89" s="1120" t="str">
        <f t="shared" si="455"/>
        <v/>
      </c>
      <c r="CF89" s="1120" t="str">
        <f t="shared" si="456"/>
        <v/>
      </c>
      <c r="CG89" s="1267"/>
      <c r="CH89" s="1267"/>
      <c r="CI89" s="1268" t="str">
        <f t="shared" si="457"/>
        <v/>
      </c>
      <c r="CJ89" s="286" t="str">
        <f t="shared" si="458"/>
        <v/>
      </c>
      <c r="CK89" s="286" t="str">
        <f t="shared" si="459"/>
        <v/>
      </c>
      <c r="CL89" s="1263"/>
      <c r="CM89" s="1263"/>
      <c r="CN89" s="1263"/>
      <c r="CO89" s="1263"/>
      <c r="CP89" s="319" t="str">
        <f t="shared" si="460"/>
        <v/>
      </c>
      <c r="CQ89" s="443" t="str">
        <f>IF(A89=FALSE,"",Cotations!AM89)</f>
        <v/>
      </c>
      <c r="CR89" s="443" t="str">
        <f>IF(A89=FALSE,"",IF(Cotations!AN89="","",Cotations!AN89))</f>
        <v/>
      </c>
      <c r="CS89" s="433" t="str">
        <f>IF(A89=FALSE,"",Cotations!AO89)</f>
        <v/>
      </c>
      <c r="CT89" s="443" t="str">
        <f>IF(A89=FALSE,"",IF(CQ89="N/A",0,IF(INDEX(LISTES!$F$105:$F$109,MATCH(CQ89,LISTES!$C$105:$C$109,0))="FIX",IF(INDEX(LISTES!$E$105:$E$109,MATCH(CQ89,LISTES!$C$105:$C$109,0))=12,CR89/12*L89,CR89/365*M89),CS89*EQ89)))</f>
        <v/>
      </c>
      <c r="CU89" s="434" t="str">
        <f>IF(A89=FALSE,"",(CJ89+CK89)*Cotations!AP89)</f>
        <v/>
      </c>
      <c r="CV89" s="434" t="str">
        <f>IF(A89=FALSE,"",(CJ89+CK89)*Cotations!AQ89)</f>
        <v/>
      </c>
      <c r="DA89" s="1253" t="str">
        <f>IF(A89=FALSE,"",IF(LISTES!$A$17=1,Cotations!AV89,Cotations!AW89))</f>
        <v/>
      </c>
      <c r="DB89" s="1271" t="str">
        <f t="shared" si="461"/>
        <v/>
      </c>
      <c r="DC89" s="1270" t="str">
        <f t="shared" si="462"/>
        <v/>
      </c>
      <c r="DD89" s="1270" t="str">
        <f t="shared" si="463"/>
        <v/>
      </c>
      <c r="DE89" s="1270" t="str">
        <f t="shared" si="464"/>
        <v/>
      </c>
      <c r="DF89" s="1270" t="str">
        <f t="shared" si="465"/>
        <v/>
      </c>
      <c r="DG89" s="1270" t="str">
        <f t="shared" si="466"/>
        <v/>
      </c>
      <c r="DH89" s="1270" t="str">
        <f t="shared" si="467"/>
        <v/>
      </c>
      <c r="DI89" s="1271" t="str">
        <f t="shared" si="468"/>
        <v/>
      </c>
      <c r="DJ89" s="286" t="str">
        <f t="shared" si="469"/>
        <v/>
      </c>
      <c r="DK89" s="286" t="str">
        <f t="shared" si="470"/>
        <v/>
      </c>
      <c r="DL89" s="1264" t="str">
        <f t="shared" si="471"/>
        <v/>
      </c>
      <c r="DM89" s="1264" t="str">
        <f t="shared" si="472"/>
        <v/>
      </c>
      <c r="DN89" s="1264" t="str">
        <f t="shared" si="473"/>
        <v/>
      </c>
      <c r="DO89" s="1264" t="str">
        <f t="shared" si="474"/>
        <v/>
      </c>
      <c r="DP89" s="323" t="str">
        <f t="shared" si="368"/>
        <v/>
      </c>
      <c r="DQ89" s="444" t="str">
        <f>IF(A89=FALSE,"",Cotations!BW89)</f>
        <v/>
      </c>
      <c r="DR89" s="444" t="str">
        <f>IF(A89=FALSE,"",Cotations!BX89)</f>
        <v/>
      </c>
      <c r="DS89" s="433" t="str">
        <f>IF(A89=FALSE,"",Cotations!BY89)</f>
        <v/>
      </c>
      <c r="DT89" s="830" t="str">
        <f>IF(A89=FALSE,"",IF(DQ89="N/A",0,IF(INDEX(LISTES!$F$105:$F$109,MATCH(DQ89,LISTES!$C$105:$C$109,0))="FIX",IF(INDEX(LISTES!$E$105:$E$109,MATCH(DQ89,LISTES!$C$105:$C$109,0))=12,DR89/12*L89,DR89/365*M89),DS89*(DN89+DO89))))</f>
        <v/>
      </c>
      <c r="DU89" s="434" t="str">
        <f>IF(A89=FALSE,"",DJ89*Cotations!BZ89)</f>
        <v/>
      </c>
      <c r="DV89" s="434" t="str">
        <f>IF(A89=FALSE,"",DJ89*Cotations!CA89)</f>
        <v/>
      </c>
      <c r="EA89" s="432" t="str">
        <f>IF(A89=FALSE,"",Cotations!AT89)</f>
        <v/>
      </c>
      <c r="EB89" s="1234" t="str">
        <f>IF(A89=FALSE,"",YEAR(Detail!F89)&amp;Detail!AG89&amp;Detail!AD89&amp;"-"&amp;Detail!$AD$13&amp;Detail!AE89)</f>
        <v/>
      </c>
      <c r="EC89" s="434" t="str">
        <f>IF(A89=FALSE,"",IF(LISTES!$A$17=1,EB89,INDEX(colMOD1,MATCH(Cotations!AH89,colchoice,0))))</f>
        <v/>
      </c>
      <c r="ED89" s="277" t="str">
        <f t="shared" si="369"/>
        <v/>
      </c>
      <c r="EE89" s="277" t="str">
        <f t="shared" si="370"/>
        <v/>
      </c>
      <c r="EF89" s="277"/>
      <c r="EG89" s="277"/>
      <c r="EH89" s="277" t="str">
        <f t="shared" si="371"/>
        <v/>
      </c>
      <c r="EI89" s="1104" t="str">
        <f t="shared" si="372"/>
        <v/>
      </c>
      <c r="EJ89" s="1104" t="str">
        <f t="shared" si="373"/>
        <v/>
      </c>
      <c r="EK89" s="443" t="str">
        <f>IF(A89=FALSE,"",IF(Cotations!AF89="monthly",EH89/12*L89,EH89/365*M89))</f>
        <v/>
      </c>
      <c r="EL89" s="1103" t="str">
        <f>IF(A89=FALSE,"",IF(Cotations!AF89="monthly",EJ89/12*L89,EJ89/365*M89))</f>
        <v/>
      </c>
      <c r="EM89" s="433" t="str">
        <f>IF(A89=FALSE,"",IF(Cotations!AI89="","",Cotations!AI89))</f>
        <v/>
      </c>
      <c r="EN89" s="277" t="str">
        <f t="shared" si="374"/>
        <v/>
      </c>
      <c r="EO89" s="277" t="str">
        <f t="shared" si="375"/>
        <v/>
      </c>
      <c r="EP89" s="1104" t="str">
        <f t="shared" si="376"/>
        <v/>
      </c>
      <c r="EQ89" s="277" t="str">
        <f t="shared" si="377"/>
        <v/>
      </c>
      <c r="ER89" s="759" t="str">
        <f>IF(A89=FALSE,"",((EH89*TAXE)-(EH89*TAXE*EM89)+EI89)+IF(CQ89="N/A",0,IF(INDEX(LISTES!$F$105:$F$109,MATCH(CQ89,LISTES!$C$105:$C$109,0))="FIX",CR89,CS89*EQ89)))</f>
        <v/>
      </c>
      <c r="ET89" s="422"/>
      <c r="EU89" s="422"/>
      <c r="EV89" s="422"/>
      <c r="EW89" s="422"/>
      <c r="EX89" s="422"/>
      <c r="EY89" s="422"/>
      <c r="EZ89" s="422"/>
      <c r="FA89" s="432" t="str">
        <f>IF(A89=FALSE,"",Cotations!AT89)</f>
        <v/>
      </c>
      <c r="FB89" s="1235" t="str">
        <f>IF(A89=FALSE,"",IF(Detail!AL89="","N/A",YEAR(Detail!F89)&amp;Detail!AO89&amp;Detail!AL89&amp;"-"&amp;Detail!$AL$13&amp;Detail!AM89))</f>
        <v/>
      </c>
      <c r="FC89" s="434" t="str">
        <f>IF(A89=FALSE,"",IF(LISTES!$A$17=1,FB89,INDEX(colMOD2,MATCH(Cotations!AH89,colchoice,0))))</f>
        <v/>
      </c>
      <c r="FD89" s="277" t="str">
        <f t="shared" si="378"/>
        <v/>
      </c>
      <c r="FE89" s="443" t="str">
        <f>IF(A89=FALSE,"",IF(Detail!AM89="","",Detail!AM89))</f>
        <v/>
      </c>
      <c r="FF89" s="277"/>
      <c r="FG89" s="277"/>
      <c r="FH89" s="277" t="str">
        <f t="shared" si="379"/>
        <v/>
      </c>
      <c r="FI89" s="1104"/>
      <c r="FJ89" s="1104"/>
      <c r="FK89" s="443" t="str">
        <f>IF(A89=FALSE,"",IF(Cotations!AF89="monthly",FH89/12*L89,FH89/365*M89))</f>
        <v/>
      </c>
      <c r="FL89" s="1103" t="str">
        <f>IF(A89=FALSE,"",IF(Cotations!AF89="monthly",FJ89/12*L89,FJ89/365*M89))</f>
        <v/>
      </c>
      <c r="FM89" s="433" t="str">
        <f>IF(A89=FALSE,"",IF(Cotations!AJ89="","",Cotations!AJ89))</f>
        <v/>
      </c>
      <c r="FN89" s="277" t="str">
        <f t="shared" si="475"/>
        <v/>
      </c>
      <c r="FO89" s="277" t="str">
        <f t="shared" si="476"/>
        <v/>
      </c>
      <c r="FP89" s="1104"/>
      <c r="FQ89" s="277" t="str">
        <f t="shared" si="477"/>
        <v/>
      </c>
      <c r="FR89" s="759" t="str">
        <f>IF(A89=FALSE,"",((FH89*TAXE)-(FH89*TAXE*FM89))+IF(#REF!="N/A",0,IF(INDEX(LISTES!$F$105:$F$109,MATCH(#REF!,LISTES!$C$105:$C$109,0))="FIX",#REF!,#REF!*FQ89)))</f>
        <v/>
      </c>
      <c r="FS89" s="422"/>
      <c r="FT89" s="422"/>
      <c r="FU89" s="422"/>
      <c r="FV89" s="422"/>
      <c r="FW89" s="422"/>
      <c r="FX89" s="422"/>
      <c r="FY89" s="422"/>
      <c r="FZ89" s="422"/>
      <c r="GA89" s="432" t="str">
        <f t="shared" si="380"/>
        <v/>
      </c>
      <c r="GB89" s="1234" t="str">
        <f>IF(A89=FALSE,"",IF(Detail!DF89="","N/A",YEAR(Detail!F89)&amp;Detail!DI89&amp;Detail!DF89&amp;"-"&amp;Detail!$DF$13))</f>
        <v/>
      </c>
      <c r="GC89" s="434" t="str">
        <f>IF(A89=FALSE,"",IF(LISTES!$A$17=1,GB89,INDEX(colMOD3,MATCH(Cotations!AH89,colchoice,0))))</f>
        <v/>
      </c>
      <c r="GD89" s="277" t="str">
        <f t="shared" si="381"/>
        <v/>
      </c>
      <c r="GE89" s="277" t="str">
        <f t="shared" si="382"/>
        <v/>
      </c>
      <c r="GF89" s="277"/>
      <c r="GG89" s="277"/>
      <c r="GH89" s="277" t="str">
        <f t="shared" si="478"/>
        <v/>
      </c>
      <c r="GI89" s="1104" t="str">
        <f t="shared" si="479"/>
        <v/>
      </c>
      <c r="GJ89" s="1104" t="str">
        <f t="shared" si="480"/>
        <v/>
      </c>
      <c r="GK89" s="443" t="str">
        <f>IF(A89=FALSE,"",IF(Cotations!AF89="monthly",GH89/12*L89,GH89/365*M89))</f>
        <v/>
      </c>
      <c r="GL89" s="1103" t="str">
        <f>IF(A89=FALSE,"",IF(Cotations!AF89="monthly",GJ89/12*L89,GJ89/365*M89))</f>
        <v/>
      </c>
      <c r="GM89" s="433" t="str">
        <f>IF(A89=FALSE,"",IF(Cotations!AK89="","",Cotations!AK89))</f>
        <v/>
      </c>
      <c r="GN89" s="277" t="str">
        <f t="shared" si="481"/>
        <v/>
      </c>
      <c r="GO89" s="277" t="str">
        <f t="shared" si="482"/>
        <v/>
      </c>
      <c r="GP89" s="1104" t="str">
        <f t="shared" si="483"/>
        <v/>
      </c>
      <c r="GQ89" s="277" t="str">
        <f t="shared" si="484"/>
        <v/>
      </c>
      <c r="GR89" s="759" t="str">
        <f>IF(A89=FALSE,"",((GH89*TAXE)-(GH89*TAXE*GM89)+GI89)+IF(CQ89="N/A",0,IF(INDEX(LISTES!$F$105:$F$109,MATCH(CQ89,LISTES!$C$105:$C$109,0))="FIX",CR89,CS89*GQ89)))</f>
        <v/>
      </c>
      <c r="GS89" s="412"/>
      <c r="GT89" s="412"/>
      <c r="GU89" s="412"/>
      <c r="GV89" s="412"/>
      <c r="GW89" s="412"/>
      <c r="GX89" s="412"/>
      <c r="GY89" s="412"/>
      <c r="GZ89" s="412"/>
      <c r="HA89" s="432" t="str">
        <f t="shared" si="383"/>
        <v/>
      </c>
      <c r="HB89" s="1234" t="str">
        <f>IF(A89=FALSE,"",IF(Detail!DF89="","N/A",YEAR(Detail!F89)&amp;Detail!DI89&amp;Detail!DF89&amp;"-"&amp;Detail!$DF$13))</f>
        <v/>
      </c>
      <c r="HC89" s="434" t="str">
        <f>IF(A89=FALSE,"",IF(LISTES!$A$17=1,HB89,INDEX(colMOD4,MATCH(Cotations!AH89,colchoice,0))))</f>
        <v/>
      </c>
      <c r="HD89" s="277" t="str">
        <f t="shared" si="485"/>
        <v/>
      </c>
      <c r="HE89" s="277" t="str">
        <f t="shared" si="486"/>
        <v/>
      </c>
      <c r="HF89" s="277"/>
      <c r="HG89" s="277"/>
      <c r="HH89" s="277" t="str">
        <f t="shared" si="487"/>
        <v/>
      </c>
      <c r="HI89" s="1104" t="str">
        <f t="shared" si="488"/>
        <v/>
      </c>
      <c r="HJ89" s="1104" t="str">
        <f t="shared" si="489"/>
        <v/>
      </c>
      <c r="HK89" s="443" t="str">
        <f>IF(A89=FALSE,"",IF(Cotations!AF89="monthly",HH89/12*L89,HH89/365*M89))</f>
        <v/>
      </c>
      <c r="HL89" s="1103" t="str">
        <f>IF(A89=FALSE,"",IF(Cotations!AF89="monthly",HJ89/12*L89,HJ89/365*M89))</f>
        <v/>
      </c>
      <c r="HM89" s="433" t="str">
        <f>IF(A89=FALSE,"",IF(Cotations!AL89="","",Cotations!AL89))</f>
        <v/>
      </c>
      <c r="HN89" s="277" t="str">
        <f t="shared" si="490"/>
        <v/>
      </c>
      <c r="HO89" s="277" t="str">
        <f t="shared" si="491"/>
        <v/>
      </c>
      <c r="HP89" s="1104" t="str">
        <f t="shared" si="492"/>
        <v/>
      </c>
      <c r="HQ89" s="277" t="str">
        <f t="shared" si="493"/>
        <v/>
      </c>
      <c r="HR89" s="759" t="str">
        <f>IF(A89=FALSE,"",((HH89*TAXE)-(HH89*TAXE*HM89)+HI89)+IF(CQ89="N/A",0,IF(INDEX(LISTES!$F$105:$F$109,MATCH(CQ89,LISTES!$C$105:$C$109,0))="FIX",CR89,CS89*HQ89)))</f>
        <v/>
      </c>
      <c r="HS89" s="412"/>
      <c r="HT89" s="412"/>
      <c r="HU89" s="412"/>
      <c r="HV89" s="412"/>
      <c r="HW89" s="412"/>
      <c r="HX89" s="412"/>
      <c r="HY89" s="412"/>
      <c r="HZ89" s="1262"/>
      <c r="IA89" s="432" t="str">
        <f>IF(A89=FALSE,"",Cotations!AT89)</f>
        <v/>
      </c>
      <c r="IB89" s="1253" t="str">
        <f>IF(A89=FALSE,"",IF(Detail!AT89="","N/A",YEAR(Detail!F89)&amp;Detail!AW89&amp;Detail!AT89&amp;"-"&amp;Detail!$AT$13&amp;Detail!AU89))</f>
        <v/>
      </c>
      <c r="IC89" s="431" t="str">
        <f>IF(A89=FALSE,"",IF(LISTES!$A$17=1,IB89,INDEX(colMOD1,MATCH(DA89,colchoice,0))))</f>
        <v/>
      </c>
      <c r="ID89" s="759" t="str">
        <f t="shared" si="358"/>
        <v/>
      </c>
      <c r="IE89" s="292" t="str">
        <f>IF(A89=FALSE,"",IF(LISTES!$A$17=1,Detail!AU89,INDEX(Rates!$M$1:$M$270,MATCH(IC89,colMOD1,0))))</f>
        <v/>
      </c>
      <c r="IF89" s="409" t="str">
        <f t="shared" si="359"/>
        <v/>
      </c>
      <c r="IG89" s="430" t="str">
        <f>IF(A89=FALSE,"",IF(IA89="POEA",Cotations!AY89,IF(IA89="FIXE",Cotations!AZ89,IF(Cotations!BA89*Y89&lt;50000,Z89,Cotations!BA89*Y89))))</f>
        <v/>
      </c>
      <c r="IH89" s="292" t="str">
        <f t="shared" si="360"/>
        <v/>
      </c>
      <c r="II89" s="446" t="str">
        <f>IF(A89=FALSE,"",IF(Cotations!AU89="monthly",IH89/12*L89,IH89/365*M89))</f>
        <v/>
      </c>
      <c r="IJ89" s="429" t="str">
        <f>IF(A89=FALSE,"",IF(Cotations!BB89="","",Cotations!BB89))</f>
        <v/>
      </c>
      <c r="IK89" s="292" t="str">
        <f t="shared" si="361"/>
        <v/>
      </c>
      <c r="IL89" s="292" t="str">
        <f t="shared" si="362"/>
        <v/>
      </c>
      <c r="IM89" s="759" t="str">
        <f t="shared" si="363"/>
        <v/>
      </c>
      <c r="IN89" s="759" t="str">
        <f>IF(A89=FALSE,"",((IH89*TAXE)-(IH89*TAXE*IJ89))+IF(DQ89="N/A",0,IF(INDEX(LISTES!$F$105:$F$109,MATCH(DQ89,LISTES!$C$105:$C$109,0))="FIX",DR89,DS89*IM89)))</f>
        <v/>
      </c>
      <c r="JA89" s="432" t="str">
        <f>IF(A89=FALSE,"",Cotations!AT89)</f>
        <v/>
      </c>
      <c r="JB89" s="1234" t="str">
        <f>IF(A89=FALSE,"",IF(Detail!BB89="","N/A",YEAR(Detail!F89)&amp;Detail!BE89&amp;Detail!BB89&amp;"-"&amp;Detail!$BB$13&amp;Detail!BC89))</f>
        <v/>
      </c>
      <c r="JC89" s="431" t="str">
        <f>IF(A89=FALSE,"",IF(LISTES!$A$17=1,JB89,INDEX(colMOD2,MATCH(DA89,colchoice,0))))</f>
        <v/>
      </c>
      <c r="JD89" s="759" t="str">
        <f t="shared" si="384"/>
        <v/>
      </c>
      <c r="JE89" s="292"/>
      <c r="JF89" s="409" t="str">
        <f t="shared" si="385"/>
        <v/>
      </c>
      <c r="JG89" s="430" t="str">
        <f>IF(A89=FALSE,"",IF(JA89="POEA",Cotations!BC89,IF(JA89="FIXE",Cotations!BD89,IF(Cotations!BE89*Y89&lt;50000,Z89,Cotations!BE89*Y89))))</f>
        <v/>
      </c>
      <c r="JH89" s="292" t="str">
        <f t="shared" si="386"/>
        <v/>
      </c>
      <c r="JI89" s="446" t="str">
        <f>IF(A89=FALSE,"",IF(Cotations!AU89="monthly",JH89/12*L89,JH89/365*M89))</f>
        <v/>
      </c>
      <c r="JJ89" s="429" t="str">
        <f>IF(A89=FALSE,"",IF(Cotations!BF89="","",Cotations!BF89))</f>
        <v/>
      </c>
      <c r="JK89" s="292" t="str">
        <f t="shared" si="387"/>
        <v/>
      </c>
      <c r="JL89" s="292" t="str">
        <f t="shared" si="388"/>
        <v/>
      </c>
      <c r="JM89" s="759" t="str">
        <f t="shared" si="389"/>
        <v/>
      </c>
      <c r="JN89" s="759" t="str">
        <f>IF(A89=FALSE,"",((JH89*TAXE)-(JH89*TAXE*JJ89))+IF(#REF!="N/A",0,IF(INDEX(LISTES!$F$105:$F$109,MATCH(#REF!,LISTES!$C$105:$C$109,0))="FIX",#REF!,#REF!*JM89)))</f>
        <v/>
      </c>
      <c r="KA89" s="432" t="str">
        <f>IF(A89=FALSE,"",Cotations!AT89)</f>
        <v/>
      </c>
      <c r="KB89" s="1234" t="str">
        <f>IF(A89=FALSE,"",IF(Detail!BJ89="","N/A",YEAR(Detail!F89)&amp;Detail!BM89&amp;Detail!BJ89&amp;"-"&amp;Detail!$BJ$13&amp;Detail!BK89))</f>
        <v/>
      </c>
      <c r="KC89" s="431" t="str">
        <f>IF(A89=FALSE,"",IF(LISTES!$A$17=1,KB89,INDEX(colMOD3,MATCH(DA89,colchoice,0))))</f>
        <v/>
      </c>
      <c r="KD89" s="759" t="str">
        <f t="shared" si="390"/>
        <v/>
      </c>
      <c r="KE89" s="292"/>
      <c r="KF89" s="409" t="str">
        <f t="shared" si="391"/>
        <v/>
      </c>
      <c r="KG89" s="430" t="str">
        <f>IF(A89=FALSE,"",IF(KA89="POEA",Cotations!BG89,IF(KA89="FIXE",Cotations!BH89,IF(Cotations!BI89*Y89&lt;50000,Z89,Cotations!BI89*Y89))))</f>
        <v/>
      </c>
      <c r="KH89" s="292" t="str">
        <f t="shared" si="392"/>
        <v/>
      </c>
      <c r="KI89" s="446" t="str">
        <f>IF(A89=FALSE,"",IF(Cotations!AU89="monthly",KH89/12*L89,KH89/365*M89))</f>
        <v/>
      </c>
      <c r="KJ89" s="429" t="str">
        <f>IF(A89=FALSE,"",IF(Cotations!BJ89="","",Cotations!BJ89))</f>
        <v/>
      </c>
      <c r="KK89" s="292" t="str">
        <f t="shared" si="393"/>
        <v/>
      </c>
      <c r="KL89" s="292" t="str">
        <f t="shared" si="394"/>
        <v/>
      </c>
      <c r="KM89" s="759" t="str">
        <f t="shared" si="395"/>
        <v/>
      </c>
      <c r="KN89" s="759" t="str">
        <f>IF(A89=FALSE,"",((KH89*TAXE)-(KH89*TAXE*KJ89))+IF(#REF!="N/A",0,IF(INDEX(LISTES!$F$105:$F$109,MATCH(#REF!,LISTES!$C$105:$C$109,0))="FIX",#REF!,#REF!*KM89)))</f>
        <v/>
      </c>
      <c r="LA89" s="432" t="str">
        <f>IF(A89=FALSE,"",Cotations!AT89)</f>
        <v/>
      </c>
      <c r="LB89" s="1234" t="str">
        <f>IF(A89=FALSE,"",IF(Detail!BR89="","N/A",YEAR(Detail!F89)&amp;Detail!BU89&amp;Detail!BR89&amp;"-"&amp;Detail!$BR$13&amp;Detail!BS89))</f>
        <v/>
      </c>
      <c r="LC89" s="431" t="str">
        <f>IF(A89=FALSE,"",IF(LISTES!$A$17=1,LB89,INDEX(colMOD4,MATCH(DA89,colchoice,0))))</f>
        <v/>
      </c>
      <c r="LD89" s="759" t="str">
        <f t="shared" si="396"/>
        <v/>
      </c>
      <c r="LE89" s="292"/>
      <c r="LF89" s="409" t="str">
        <f t="shared" si="397"/>
        <v/>
      </c>
      <c r="LG89" s="430" t="str">
        <f>IF(A89=FALSE,"",IF(LA89="POEA",Cotations!BK89,IF(LA89="FIXE",Cotations!BL89,IF(Cotations!BM89*Y89&lt;50000,Z89,Cotations!BM89*Y89))))</f>
        <v/>
      </c>
      <c r="LH89" s="292" t="str">
        <f t="shared" si="398"/>
        <v/>
      </c>
      <c r="LI89" s="446" t="str">
        <f>IF(A89=FALSE,"",IF(Cotations!AU89="monthly",LH89/12*L89,LH89/365*M89))</f>
        <v/>
      </c>
      <c r="LJ89" s="429" t="str">
        <f>IF(A89=FALSE,"",IF(Cotations!BN89="","",Cotations!BN89))</f>
        <v/>
      </c>
      <c r="LK89" s="292" t="str">
        <f t="shared" si="399"/>
        <v/>
      </c>
      <c r="LL89" s="292" t="str">
        <f t="shared" si="400"/>
        <v/>
      </c>
      <c r="LM89" s="759" t="str">
        <f t="shared" si="401"/>
        <v/>
      </c>
      <c r="LN89" s="759" t="str">
        <f>IF(A89=FALSE,"",((LH89*TAXE)-(LH89*TAXE*LJ89))+IF(#REF!="N/A",0,IF(INDEX(LISTES!$F$105:$F$109,MATCH(#REF!,LISTES!$C$105:$C$109,0))="FIX",#REF!,#REF!*LM89)))</f>
        <v/>
      </c>
      <c r="MA89" s="432" t="str">
        <f t="shared" si="402"/>
        <v/>
      </c>
      <c r="MB89" s="1234" t="str">
        <f>IF(A89=FALSE,"",IF(Detail!BZ89="","N/A",YEAR(Detail!F89)&amp;Detail!CC89&amp;Detail!BZ89&amp;"-"&amp;Detail!$BZ$13&amp;" (100%/"&amp;Detail!CD89&amp;"/"&amp;Detail!CE89&amp;")"))</f>
        <v/>
      </c>
      <c r="MC89" s="431" t="str">
        <f>IF(A89=FALSE,"",IF(LISTES!$A$17=1,MB89,INDEX(colMOD5,MATCH(DA89,colchoice,0))))</f>
        <v/>
      </c>
      <c r="MD89" s="759" t="str">
        <f t="shared" si="403"/>
        <v/>
      </c>
      <c r="ME89" s="292"/>
      <c r="MF89" s="409" t="str">
        <f t="shared" si="404"/>
        <v/>
      </c>
      <c r="MG89" s="430" t="str">
        <f>IF(A89=FALSE,"",Cotations!BQ89*AA89)</f>
        <v/>
      </c>
      <c r="MH89" s="292" t="str">
        <f t="shared" si="405"/>
        <v/>
      </c>
      <c r="MI89" s="446" t="str">
        <f>IF(A89=FALSE,"",IF(Cotations!AU89="monthly",MH89/12*L89,MH89/365*M89))</f>
        <v/>
      </c>
      <c r="MJ89" s="429" t="str">
        <f>IF(A89=FALSE,"",IF(Cotations!BR89="","",Cotations!BR89))</f>
        <v/>
      </c>
      <c r="MK89" s="292" t="str">
        <f t="shared" si="406"/>
        <v/>
      </c>
      <c r="ML89" s="292" t="str">
        <f t="shared" si="407"/>
        <v/>
      </c>
      <c r="MM89" s="759" t="str">
        <f t="shared" si="408"/>
        <v/>
      </c>
      <c r="MN89" s="759" t="str">
        <f>IF(A89=FALSE,"",((MH89*TAXE)-(MH89*TAXE*MJ89))+IF(#REF!="N/A",0,IF(INDEX(LISTES!$F$105:$F$109,MATCH(#REF!,LISTES!$C$105:$C$109,0))="FIX",#REF!,#REF!*MM89)))</f>
        <v/>
      </c>
      <c r="NA89" s="432" t="str">
        <f t="shared" si="409"/>
        <v/>
      </c>
      <c r="NB89" s="1234" t="str">
        <f>IF(A89=FALSE,"",IF(Detail!CH89="","N/A",YEAR(Detail!F89)&amp;Detail!CK89&amp;Detail!CH89&amp;"-"&amp;Detail!$CH$13&amp;" (100%/"&amp;Detail!CL89&amp;"/"&amp;Detail!CM89&amp;")"))</f>
        <v/>
      </c>
      <c r="NC89" s="431" t="str">
        <f>IF(A89=FALSE,"",IF(LISTES!$A$17=1,NB89,INDEX(colMOD6,MATCH(DA89,colchoice,0))))</f>
        <v/>
      </c>
      <c r="ND89" s="759" t="str">
        <f t="shared" si="410"/>
        <v/>
      </c>
      <c r="NE89" s="292"/>
      <c r="NF89" s="409" t="str">
        <f t="shared" si="411"/>
        <v/>
      </c>
      <c r="NG89" s="430" t="str">
        <f>IF(A89=FALSE,"",Cotations!BU89*AA89)</f>
        <v/>
      </c>
      <c r="NH89" s="292" t="str">
        <f t="shared" si="412"/>
        <v/>
      </c>
      <c r="NI89" s="446" t="str">
        <f>IF(A89=FALSE,"",IF(Cotations!AU89="monthly",NH89/12*L89,NH89/365*M89))</f>
        <v/>
      </c>
      <c r="NJ89" s="429" t="str">
        <f>IF(A89=FALSE,"",IF(Cotations!BV89="","",Cotations!BV89))</f>
        <v/>
      </c>
      <c r="NK89" s="292" t="str">
        <f t="shared" si="413"/>
        <v/>
      </c>
      <c r="NL89" s="292" t="str">
        <f t="shared" si="414"/>
        <v/>
      </c>
      <c r="NM89" s="759" t="str">
        <f t="shared" si="415"/>
        <v/>
      </c>
      <c r="NN89" s="759" t="str">
        <f>IF(A89=FALSE,"",((NH89*TAXE)-(NH89*TAXE*NJ89))+IF(#REF!="N/A",0,IF(INDEX(LISTES!$F$105:$F$109,MATCH(#REF!,LISTES!$C$105:$C$109,0))="FIX",#REF!,#REF!*NM89)))</f>
        <v/>
      </c>
      <c r="NZ89" s="1281" t="str">
        <f>IF(A89=FALSE,"",IF(Detail!CP89="","N/A",YEAR(Detail!F89)&amp;Detail!CS89&amp;Detail!CP89&amp;"-"&amp;Detail!CQ89))</f>
        <v/>
      </c>
      <c r="OA89" s="432" t="str">
        <f>IF(A89=FALSE,"",Cotations!CF89)</f>
        <v/>
      </c>
      <c r="OB89" s="1282" t="str">
        <f>IF(A89=FALSE,"",IF(Detail!CP89="","N/A",YEAR(Detail!F89)&amp;Detail!CS89&amp;Detail!CP89&amp;"-"&amp;Detail!$CP$13&amp;Detail!CQ89))</f>
        <v/>
      </c>
      <c r="OC89" s="1283" t="str">
        <f>IF(A89=FALSE,"",IF(LISTES!$A$17=1,OB89,INDEX(colMOD1,MATCH(Cotations!CE89,colchoice,0))))</f>
        <v/>
      </c>
      <c r="OD89" s="759" t="str">
        <f t="shared" si="416"/>
        <v/>
      </c>
      <c r="OE89" s="292" t="str">
        <f>IF(A89=FALSE,"",Detail!CQ89)</f>
        <v/>
      </c>
      <c r="OF89" s="409" t="str">
        <f t="shared" si="417"/>
        <v/>
      </c>
      <c r="OG89" s="430" t="str">
        <f>IF(A89=FALSE,"",IF(OA89="FIXE",Cotations!CM89,Cotations!CN89*AA89))</f>
        <v/>
      </c>
      <c r="OH89" s="292" t="str">
        <f t="shared" si="494"/>
        <v/>
      </c>
      <c r="OI89" s="446" t="str">
        <f>IF(A89=FALSE,"",IF(Cotations!CF89="monthly",OH89/12*L89,OH89/365*M89))</f>
        <v/>
      </c>
      <c r="OJ89" s="429" t="str">
        <f>IF(A89=FALSE,"",IF(Cotations!CO89="","",Cotations!CO89))</f>
        <v/>
      </c>
      <c r="OK89" s="292" t="str">
        <f t="shared" si="495"/>
        <v/>
      </c>
      <c r="OL89" s="292" t="str">
        <f t="shared" si="496"/>
        <v/>
      </c>
      <c r="OM89" s="759" t="str">
        <f t="shared" si="418"/>
        <v/>
      </c>
      <c r="ON89" s="759" t="str">
        <f>IF(A89=FALSE,"",((OH89*(1+TAXE)-(OH89*(1+TAXE)*OJ89))+IF(#REF!="N/A",0,IF(INDEX(LISTES!$F$105:$F$109,MATCH(#REF!,LISTES!$C$105:$C$109,0))="FIX",#REF!,#REF!*OM89))))</f>
        <v/>
      </c>
      <c r="PA89" s="432" t="str">
        <f>IF(A89=FALSE,"",Cotations!CF89)</f>
        <v/>
      </c>
      <c r="PB89" s="1282" t="str">
        <f>IF(A89=FALSE,"",IF(Detail!CX89="","N/A",YEAR(Detail!F89)&amp;Detail!DA89&amp;Detail!CX89&amp;"-"&amp;Detail!$CX$13&amp;Detail!CY89))</f>
        <v/>
      </c>
      <c r="PC89" s="1283" t="str">
        <f>IF(A89=FALSE,"",IF(LISTES!$A$17=1,PB89,INDEX(colMOD3,MATCH(Cotations!CE89,colchoice,0))))</f>
        <v/>
      </c>
      <c r="PD89" s="759" t="str">
        <f t="shared" si="419"/>
        <v/>
      </c>
      <c r="PE89" s="292" t="str">
        <f>IF(A89=FALSE,"",IF(Detail!CY89="","",Detail!CY89))</f>
        <v/>
      </c>
      <c r="PF89" s="409" t="str">
        <f t="shared" si="497"/>
        <v/>
      </c>
      <c r="PG89" s="430" t="str">
        <f>IF(A89=FALSE,"",IF(PA89="FIXE",Cotations!CP89,Cotations!CQ89*AA89))</f>
        <v/>
      </c>
      <c r="PH89" s="292" t="str">
        <f t="shared" si="498"/>
        <v/>
      </c>
      <c r="PI89" s="446" t="str">
        <f>IF(A89=FALSE,"",IF(Cotations!CG89="monthly",PH89/12*L89,PH89/365*M89))</f>
        <v/>
      </c>
      <c r="PJ89" s="429" t="str">
        <f>IF(A89=FALSE,"",IF(Cotations!DA89="",0,Cotations!DA89))</f>
        <v/>
      </c>
      <c r="PK89" s="292" t="str">
        <f t="shared" si="499"/>
        <v/>
      </c>
      <c r="PL89" s="292" t="str">
        <f t="shared" si="500"/>
        <v/>
      </c>
      <c r="PM89" s="759" t="str">
        <f t="shared" si="420"/>
        <v/>
      </c>
      <c r="PN89" s="759" t="str">
        <f>IF(A89=FALSE,"",((PH89*(1+TAXE)-(PH89*(1+TAXE)*PJ89))+IF(#REF!="N/A",0,IF(INDEX(LISTES!$F$105:$F$109,MATCH(#REF!,LISTES!$C$105:$C$109,0))="FIX",#REF!,#REF!*PM89))))</f>
        <v/>
      </c>
    </row>
    <row r="90" spans="1:430">
      <c r="A90" s="779" t="b">
        <f t="shared" si="364"/>
        <v>0</v>
      </c>
      <c r="B90" s="779" t="b">
        <f>IF(NAMES!$B$9=TRUE,TRUE,FALSE)</f>
        <v>1</v>
      </c>
      <c r="C90" s="779" t="b">
        <f t="shared" si="421"/>
        <v>0</v>
      </c>
      <c r="D90" s="779" t="b">
        <f t="shared" si="422"/>
        <v>0</v>
      </c>
      <c r="E90" s="267" t="b">
        <f>IF(Cotations!C90="","",Cotations!C90)</f>
        <v>0</v>
      </c>
      <c r="F90" s="267" t="str">
        <f>IF(Cotations!AT90="","",Cotations!AT90)</f>
        <v>PROP</v>
      </c>
      <c r="G90" s="267" t="str">
        <f>IF(Cotations!D90="","",Cotations!D90)</f>
        <v>2016-2017!</v>
      </c>
      <c r="H90" s="267" t="str">
        <f>IF(Cotations!E90="","",Cotations!E90)</f>
        <v>SINGLE</v>
      </c>
      <c r="I90" s="267" t="str">
        <f>IF(Cotations!F90="","",Cotations!F90)</f>
        <v/>
      </c>
      <c r="J90" s="267" t="str">
        <f>IF(Cotations!G90="","",Cotations!G90)</f>
        <v/>
      </c>
      <c r="K90" s="267" t="str">
        <f>IF(Cotations!H90="","",Cotations!H90)</f>
        <v/>
      </c>
      <c r="L90" s="267" t="str">
        <f>IF(A90=FALSE,"",IF(Cotations!M90="","",Cotations!M90))</f>
        <v/>
      </c>
      <c r="M90" s="267" t="str">
        <f>IF(Cotations!O90="","",Cotations!O90)</f>
        <v/>
      </c>
      <c r="N90" s="588" t="str">
        <f>IF(NAMES!$B$10=TRUE,Cotations!I90,Cotations!K90)</f>
        <v/>
      </c>
      <c r="O90" s="588" t="str">
        <f>IF(NAMES!$B$10=TRUE,Cotations!J90,Cotations!L90)</f>
        <v/>
      </c>
      <c r="P90" s="780" t="str">
        <f t="shared" si="423"/>
        <v/>
      </c>
      <c r="Q90" s="588" t="str">
        <f>IF(A90=FALSE,"",IF(Crewlist!Y90="","",Crewlist!Y90))</f>
        <v/>
      </c>
      <c r="R90" s="78" t="str">
        <f>IF(Cotations!T90="","",Cotations!T90)</f>
        <v/>
      </c>
      <c r="S90" s="780" t="str">
        <f t="shared" si="424"/>
        <v/>
      </c>
      <c r="T90" s="759" t="str">
        <f>IF(A90=FALSE,"",VLOOKUP($U$15:$U$120,Currency!$A$2:$D$10,4,0)*Crewlist!N90)</f>
        <v/>
      </c>
      <c r="U90" s="1097" t="str">
        <f>IF(A90=FALSE,"",IF(DP90=0,Crewlist!M90&amp;"/"&amp;CP90,Crewlist!M90&amp;"/"&amp;DP90))</f>
        <v/>
      </c>
      <c r="V90" s="759" t="str">
        <f>IF(A90=FALSE,"",VLOOKUP($U$15:$U$120,Currency!$A$2:$D$10,4,0)*Detail!Q90)</f>
        <v/>
      </c>
      <c r="W90" s="1097" t="str">
        <f>IF(A90=FALSE,"",IF(DP90=0,Detail!R90&amp;"/"&amp;CP90,Detail!R90&amp;"/"&amp;DP90))</f>
        <v/>
      </c>
      <c r="X90" s="759" t="str">
        <f>IF(A90=FALSE,"",IF(LISTES!$C$17="Crewlist",Calcul!T90,Calcul!V90))</f>
        <v/>
      </c>
      <c r="Y90" s="618" t="str">
        <f t="shared" si="425"/>
        <v/>
      </c>
      <c r="Z90" s="618" t="str">
        <f>IF(A90=FALSE,"",IF(X90=0,0,IF((Cotations!BA90*12*X90)&lt;50000,50000,(12*X90))))</f>
        <v/>
      </c>
      <c r="AA90" s="618" t="str">
        <f t="shared" si="426"/>
        <v/>
      </c>
      <c r="AB90" s="618" t="str">
        <f>IF(A90=FALSE,"",IF(Crewlist!O90=0,"",Crewlist!O90))</f>
        <v/>
      </c>
      <c r="AC90" s="618" t="str">
        <f>IF(I90="","",VLOOKUP($AB$15:$AB$120,Currency!$A$15:$B$34,2,0))</f>
        <v/>
      </c>
      <c r="AD90" s="618" t="str">
        <f t="shared" si="427"/>
        <v/>
      </c>
      <c r="AE90" s="618" t="str">
        <f t="shared" si="428"/>
        <v/>
      </c>
      <c r="AF90" s="618" t="str">
        <f t="shared" si="429"/>
        <v/>
      </c>
      <c r="AG90" s="618" t="str">
        <f t="shared" si="430"/>
        <v/>
      </c>
      <c r="AH90" s="1097" t="str">
        <f t="shared" si="365"/>
        <v/>
      </c>
      <c r="AI90" s="759" t="str">
        <f t="shared" si="431"/>
        <v/>
      </c>
      <c r="AJ90" s="1120" t="str">
        <f t="shared" si="432"/>
        <v/>
      </c>
      <c r="AK90" s="1120" t="str">
        <f t="shared" si="433"/>
        <v/>
      </c>
      <c r="AL90" s="236" t="str">
        <f t="shared" si="434"/>
        <v/>
      </c>
      <c r="AM90" s="236" t="str">
        <f t="shared" si="435"/>
        <v/>
      </c>
      <c r="AN90" s="1112" t="str">
        <f t="shared" si="436"/>
        <v/>
      </c>
      <c r="AO90" s="236" t="str">
        <f t="shared" si="437"/>
        <v/>
      </c>
      <c r="AP90" s="327" t="str">
        <f>IF(A90=FALSE,"",INDEX(Rates!$Q$1:$Q$278,MATCH(CA90,colchoice,0)))</f>
        <v/>
      </c>
      <c r="AQ90" s="236" t="str">
        <f t="shared" si="438"/>
        <v/>
      </c>
      <c r="AR90" s="236" t="str">
        <f t="shared" si="439"/>
        <v/>
      </c>
      <c r="AS90" s="236" t="str">
        <f t="shared" si="366"/>
        <v/>
      </c>
      <c r="AT90" s="236" t="str">
        <f t="shared" si="367"/>
        <v/>
      </c>
      <c r="AU90" s="236" t="str">
        <f t="shared" si="440"/>
        <v/>
      </c>
      <c r="AV90" s="236" t="str">
        <f t="shared" si="441"/>
        <v/>
      </c>
      <c r="AW90" s="236" t="str">
        <f t="shared" si="442"/>
        <v/>
      </c>
      <c r="AX90" s="236" t="str">
        <f t="shared" si="443"/>
        <v/>
      </c>
      <c r="AY90" s="236" t="str">
        <f t="shared" si="444"/>
        <v/>
      </c>
      <c r="AZ90" s="236" t="str">
        <f t="shared" si="445"/>
        <v/>
      </c>
      <c r="BA90" s="236" t="str">
        <f t="shared" si="446"/>
        <v/>
      </c>
      <c r="BB90" s="467" t="str">
        <f t="shared" si="447"/>
        <v/>
      </c>
      <c r="BC90" s="329" t="str">
        <f t="shared" si="448"/>
        <v/>
      </c>
      <c r="BD90" s="237" t="str">
        <f t="shared" si="449"/>
        <v/>
      </c>
      <c r="BE90" s="237" t="str">
        <f>IF(A90=FALSE,"",IF(ED90&lt;&gt;$BC$7,0,INDEX(EA90:EZ90,1,MATCH(Structure!$J$16,$EA$14:$EZ$14,0))))</f>
        <v/>
      </c>
      <c r="BF90" s="237" t="str">
        <f>IF(A90=FALSE,"",IF(FD90&lt;&gt;$BC$7,0,INDEX(FA90:FZ90,1,MATCH(Structure!$J$16,$FA$14:$FZ$14,0))))</f>
        <v/>
      </c>
      <c r="BG90" s="237" t="str">
        <f>IF(A90=FALSE,"",IF(GD90&lt;&gt;$BC$7,0,INDEX(GA90:GZ90,1,MATCH(Structure!$J$16,$GA$14:$GZ$14,0))))</f>
        <v/>
      </c>
      <c r="BH90" s="237" t="str">
        <f>IF(A90=FALSE,"",IF(HD90&lt;&gt;$BC$7,0,INDEX(HA90:HZ90,1,MATCH(Structure!$J$16,$HA$14:$HZ$14,0))))</f>
        <v/>
      </c>
      <c r="BI90" s="621" t="str">
        <f>IF(A90=FALSE,"",IF(ID90&lt;&gt;$BC$7,0,INDEX(IA90:IZ90,1,MATCH(Structure!$C$12,$IA$14:$IZ$14,0)))+OL90)</f>
        <v/>
      </c>
      <c r="BJ90" s="237" t="str">
        <f>IF(A90=FALSE,"",IF(JD90&lt;&gt;$BC$7,0,INDEX(JA90:JZ90,1,MATCH(Structure!$C$12,$JA$14:$JZ$14,0))))</f>
        <v/>
      </c>
      <c r="BK90" s="621" t="str">
        <f>IF(A90=FALSE,"",IF(KD90&lt;&gt;$BC$7,0,INDEX(KA90:KZ90,1,MATCH(Structure!$C$12,$KA$14:$KZ$14,0)))+PL90)</f>
        <v/>
      </c>
      <c r="BL90" s="237" t="str">
        <f>IF(A90=FALSE,"",IF(LD90&lt;&gt;$BC$7,0,INDEX(LA90:LZ90,1,MATCH(Structure!$C$12,$LA$14:$LZ$14,0))))</f>
        <v/>
      </c>
      <c r="BM90" s="237" t="str">
        <f>IF(A90=FALSE,"",IF(MD90&lt;&gt;$BC$7,0,INDEX(MA90:MZ90,1,MATCH(Structure!$C$12,$MA$14:$MZ$14,0))))</f>
        <v/>
      </c>
      <c r="BN90" s="326" t="str">
        <f>IF(A90=FALSE,"",IF(ND90&lt;&gt;$BC$7,0,INDEX(NA90:OC90,1,MATCH(Structure!$C$12,$NA$14:$OC$14,0))))</f>
        <v/>
      </c>
      <c r="BO90" s="435" t="str">
        <f t="shared" si="450"/>
        <v/>
      </c>
      <c r="BP90" s="237" t="str">
        <f t="shared" si="451"/>
        <v/>
      </c>
      <c r="BQ90" s="237" t="str">
        <f>IF(A90=FALSE,"",IF(ED90&lt;&gt;$BO$7,0,INDEX(EA90:EZ90,1,MATCH(Structure!$C$12,$EA$14:$EZ$14,0))))</f>
        <v/>
      </c>
      <c r="BR90" s="237" t="str">
        <f>IF(A90=FALSE,"",IF(FD90&lt;&gt;$BO$7,0,INDEX(FA90:FZ90,1,MATCH(Structure!$C$12,$FA$14:$FZ$14,0))))</f>
        <v/>
      </c>
      <c r="BS90" s="237" t="str">
        <f>IF(A90=FALSE,"",IF(ID90&lt;&gt;$BO$7,0,INDEX(IA90:IZ90,1,MATCH(Structure!$C$13,$IA$14:$IZ$14,0))))</f>
        <v/>
      </c>
      <c r="BT90" s="237" t="str">
        <f>IF(A90=FALSE,"",IF(JD90&lt;&gt;$BO$7,0,INDEX(JA90:JZ90,1,MATCH(Structure!$C$13,$JA$14:$JZ$14,0))))</f>
        <v/>
      </c>
      <c r="BU90" s="237" t="str">
        <f>IF(A90=FALSE,"",IF(KD90&lt;&gt;$BO$7,0,INDEX(KA90:KZ90,1,MATCH(Structure!$C$13,$KA$14:$KZ$14,0))))</f>
        <v/>
      </c>
      <c r="BV90" s="237" t="str">
        <f>IF(A90=FALSE,"",IF(LD90&lt;&gt;$BO$7,0,INDEX(LA90:LZ90,1,MATCH(Structure!$C$13,$LA$14:$LZ$14,0))))</f>
        <v/>
      </c>
      <c r="BW90" s="237" t="str">
        <f>IF(A90=FALSE,"",IF(MD90&lt;&gt;$BO$7,0,INDEX(MA90:MZ90,1,MATCH(Structure!$C$13,$MA$14:$MZ$14,0))))</f>
        <v/>
      </c>
      <c r="BX90" s="326" t="str">
        <f>IF(A90=FALSE,"",IF(ND90&lt;&gt;$BO$7,0,INDEX(NA90:OC90,1,MATCH(Structure!$C$13,$NA$14:$OC$14,0))))</f>
        <v/>
      </c>
      <c r="BY90" s="412"/>
      <c r="BZ90" s="412"/>
      <c r="CA90" s="1255" t="str">
        <f>IF(A90=FALSE,"",IF(LISTES!$A$17=1,Cotations!AG90,Cotations!AH90))</f>
        <v/>
      </c>
      <c r="CB90" s="1266" t="str">
        <f t="shared" si="452"/>
        <v/>
      </c>
      <c r="CC90" s="1120" t="str">
        <f t="shared" si="453"/>
        <v/>
      </c>
      <c r="CD90" s="1120" t="str">
        <f t="shared" si="454"/>
        <v/>
      </c>
      <c r="CE90" s="1120" t="str">
        <f t="shared" si="455"/>
        <v/>
      </c>
      <c r="CF90" s="1120" t="str">
        <f t="shared" si="456"/>
        <v/>
      </c>
      <c r="CG90" s="1267"/>
      <c r="CH90" s="1267"/>
      <c r="CI90" s="1268" t="str">
        <f t="shared" si="457"/>
        <v/>
      </c>
      <c r="CJ90" s="286" t="str">
        <f t="shared" si="458"/>
        <v/>
      </c>
      <c r="CK90" s="286" t="str">
        <f t="shared" si="459"/>
        <v/>
      </c>
      <c r="CL90" s="1263"/>
      <c r="CM90" s="1263"/>
      <c r="CN90" s="1263"/>
      <c r="CO90" s="1263"/>
      <c r="CP90" s="319" t="str">
        <f t="shared" si="460"/>
        <v/>
      </c>
      <c r="CQ90" s="443" t="str">
        <f>IF(A90=FALSE,"",Cotations!AM90)</f>
        <v/>
      </c>
      <c r="CR90" s="443" t="str">
        <f>IF(A90=FALSE,"",IF(Cotations!AN90="","",Cotations!AN90))</f>
        <v/>
      </c>
      <c r="CS90" s="433" t="str">
        <f>IF(A90=FALSE,"",Cotations!AO90)</f>
        <v/>
      </c>
      <c r="CT90" s="443" t="str">
        <f>IF(A90=FALSE,"",IF(CQ90="N/A",0,IF(INDEX(LISTES!$F$105:$F$109,MATCH(CQ90,LISTES!$C$105:$C$109,0))="FIX",IF(INDEX(LISTES!$E$105:$E$109,MATCH(CQ90,LISTES!$C$105:$C$109,0))=12,CR90/12*L90,CR90/365*M90),CS90*EQ90)))</f>
        <v/>
      </c>
      <c r="CU90" s="434" t="str">
        <f>IF(A90=FALSE,"",(CJ90+CK90)*Cotations!AP90)</f>
        <v/>
      </c>
      <c r="CV90" s="434" t="str">
        <f>IF(A90=FALSE,"",(CJ90+CK90)*Cotations!AQ90)</f>
        <v/>
      </c>
      <c r="DA90" s="1253" t="str">
        <f>IF(A90=FALSE,"",IF(LISTES!$A$17=1,Cotations!AV90,Cotations!AW90))</f>
        <v/>
      </c>
      <c r="DB90" s="1271" t="str">
        <f t="shared" si="461"/>
        <v/>
      </c>
      <c r="DC90" s="1270" t="str">
        <f t="shared" si="462"/>
        <v/>
      </c>
      <c r="DD90" s="1270" t="str">
        <f t="shared" si="463"/>
        <v/>
      </c>
      <c r="DE90" s="1270" t="str">
        <f t="shared" si="464"/>
        <v/>
      </c>
      <c r="DF90" s="1270" t="str">
        <f t="shared" si="465"/>
        <v/>
      </c>
      <c r="DG90" s="1270" t="str">
        <f t="shared" si="466"/>
        <v/>
      </c>
      <c r="DH90" s="1270" t="str">
        <f t="shared" si="467"/>
        <v/>
      </c>
      <c r="DI90" s="1271" t="str">
        <f t="shared" si="468"/>
        <v/>
      </c>
      <c r="DJ90" s="286" t="str">
        <f t="shared" si="469"/>
        <v/>
      </c>
      <c r="DK90" s="286" t="str">
        <f t="shared" si="470"/>
        <v/>
      </c>
      <c r="DL90" s="1264" t="str">
        <f t="shared" si="471"/>
        <v/>
      </c>
      <c r="DM90" s="1264" t="str">
        <f t="shared" si="472"/>
        <v/>
      </c>
      <c r="DN90" s="1264" t="str">
        <f t="shared" si="473"/>
        <v/>
      </c>
      <c r="DO90" s="1264" t="str">
        <f t="shared" si="474"/>
        <v/>
      </c>
      <c r="DP90" s="323" t="str">
        <f t="shared" si="368"/>
        <v/>
      </c>
      <c r="DQ90" s="444" t="str">
        <f>IF(A90=FALSE,"",Cotations!BW90)</f>
        <v/>
      </c>
      <c r="DR90" s="444" t="str">
        <f>IF(A90=FALSE,"",Cotations!BX90)</f>
        <v/>
      </c>
      <c r="DS90" s="433" t="str">
        <f>IF(A90=FALSE,"",Cotations!BY90)</f>
        <v/>
      </c>
      <c r="DT90" s="830" t="str">
        <f>IF(A90=FALSE,"",IF(DQ90="N/A",0,IF(INDEX(LISTES!$F$105:$F$109,MATCH(DQ90,LISTES!$C$105:$C$109,0))="FIX",IF(INDEX(LISTES!$E$105:$E$109,MATCH(DQ90,LISTES!$C$105:$C$109,0))=12,DR90/12*L90,DR90/365*M90),DS90*(DN90+DO90))))</f>
        <v/>
      </c>
      <c r="DU90" s="434" t="str">
        <f>IF(A90=FALSE,"",DJ90*Cotations!BZ90)</f>
        <v/>
      </c>
      <c r="DV90" s="434" t="str">
        <f>IF(A90=FALSE,"",DJ90*Cotations!CA90)</f>
        <v/>
      </c>
      <c r="EA90" s="432" t="str">
        <f>IF(A90=FALSE,"",Cotations!AT90)</f>
        <v/>
      </c>
      <c r="EB90" s="1234" t="str">
        <f>IF(A90=FALSE,"",YEAR(Detail!F90)&amp;Detail!AG90&amp;Detail!AD90&amp;"-"&amp;Detail!$AD$13&amp;Detail!AE90)</f>
        <v/>
      </c>
      <c r="EC90" s="434" t="str">
        <f>IF(A90=FALSE,"",IF(LISTES!$A$17=1,EB90,INDEX(colMOD1,MATCH(Cotations!AH90,colchoice,0))))</f>
        <v/>
      </c>
      <c r="ED90" s="277" t="str">
        <f t="shared" si="369"/>
        <v/>
      </c>
      <c r="EE90" s="277" t="str">
        <f t="shared" si="370"/>
        <v/>
      </c>
      <c r="EF90" s="277"/>
      <c r="EG90" s="277"/>
      <c r="EH90" s="277" t="str">
        <f t="shared" si="371"/>
        <v/>
      </c>
      <c r="EI90" s="1104" t="str">
        <f t="shared" si="372"/>
        <v/>
      </c>
      <c r="EJ90" s="1104" t="str">
        <f t="shared" si="373"/>
        <v/>
      </c>
      <c r="EK90" s="443" t="str">
        <f>IF(A90=FALSE,"",IF(Cotations!AF90="monthly",EH90/12*L90,EH90/365*M90))</f>
        <v/>
      </c>
      <c r="EL90" s="1103" t="str">
        <f>IF(A90=FALSE,"",IF(Cotations!AF90="monthly",EJ90/12*L90,EJ90/365*M90))</f>
        <v/>
      </c>
      <c r="EM90" s="433" t="str">
        <f>IF(A90=FALSE,"",IF(Cotations!AI90="","",Cotations!AI90))</f>
        <v/>
      </c>
      <c r="EN90" s="277" t="str">
        <f t="shared" si="374"/>
        <v/>
      </c>
      <c r="EO90" s="277" t="str">
        <f t="shared" si="375"/>
        <v/>
      </c>
      <c r="EP90" s="1104" t="str">
        <f t="shared" si="376"/>
        <v/>
      </c>
      <c r="EQ90" s="277" t="str">
        <f t="shared" si="377"/>
        <v/>
      </c>
      <c r="ER90" s="759" t="str">
        <f>IF(A90=FALSE,"",((EH90*TAXE)-(EH90*TAXE*EM90)+EI90)+IF(CQ90="N/A",0,IF(INDEX(LISTES!$F$105:$F$109,MATCH(CQ90,LISTES!$C$105:$C$109,0))="FIX",CR90,CS90*EQ90)))</f>
        <v/>
      </c>
      <c r="ET90" s="422"/>
      <c r="EU90" s="422"/>
      <c r="EV90" s="422"/>
      <c r="EW90" s="422"/>
      <c r="EX90" s="422"/>
      <c r="EY90" s="422"/>
      <c r="EZ90" s="422"/>
      <c r="FA90" s="432" t="str">
        <f>IF(A90=FALSE,"",Cotations!AT90)</f>
        <v/>
      </c>
      <c r="FB90" s="1235" t="str">
        <f>IF(A90=FALSE,"",IF(Detail!AL90="","N/A",YEAR(Detail!F90)&amp;Detail!AO90&amp;Detail!AL90&amp;"-"&amp;Detail!$AL$13&amp;Detail!AM90))</f>
        <v/>
      </c>
      <c r="FC90" s="434" t="str">
        <f>IF(A90=FALSE,"",IF(LISTES!$A$17=1,FB90,INDEX(colMOD2,MATCH(Cotations!AH90,colchoice,0))))</f>
        <v/>
      </c>
      <c r="FD90" s="277" t="str">
        <f t="shared" si="378"/>
        <v/>
      </c>
      <c r="FE90" s="443" t="str">
        <f>IF(A90=FALSE,"",IF(Detail!AM90="","",Detail!AM90))</f>
        <v/>
      </c>
      <c r="FF90" s="277"/>
      <c r="FG90" s="277"/>
      <c r="FH90" s="277" t="str">
        <f t="shared" si="379"/>
        <v/>
      </c>
      <c r="FI90" s="1104"/>
      <c r="FJ90" s="1104"/>
      <c r="FK90" s="443" t="str">
        <f>IF(A90=FALSE,"",IF(Cotations!AF90="monthly",FH90/12*L90,FH90/365*M90))</f>
        <v/>
      </c>
      <c r="FL90" s="1103" t="str">
        <f>IF(A90=FALSE,"",IF(Cotations!AF90="monthly",FJ90/12*L90,FJ90/365*M90))</f>
        <v/>
      </c>
      <c r="FM90" s="433" t="str">
        <f>IF(A90=FALSE,"",IF(Cotations!AJ90="","",Cotations!AJ90))</f>
        <v/>
      </c>
      <c r="FN90" s="277" t="str">
        <f t="shared" si="475"/>
        <v/>
      </c>
      <c r="FO90" s="277" t="str">
        <f t="shared" si="476"/>
        <v/>
      </c>
      <c r="FP90" s="1104"/>
      <c r="FQ90" s="277" t="str">
        <f t="shared" si="477"/>
        <v/>
      </c>
      <c r="FR90" s="759" t="str">
        <f>IF(A90=FALSE,"",((FH90*TAXE)-(FH90*TAXE*FM90))+IF(#REF!="N/A",0,IF(INDEX(LISTES!$F$105:$F$109,MATCH(#REF!,LISTES!$C$105:$C$109,0))="FIX",#REF!,#REF!*FQ90)))</f>
        <v/>
      </c>
      <c r="FS90" s="422"/>
      <c r="FT90" s="422"/>
      <c r="FU90" s="422"/>
      <c r="FV90" s="422"/>
      <c r="FW90" s="422"/>
      <c r="FX90" s="422"/>
      <c r="FY90" s="422"/>
      <c r="FZ90" s="422"/>
      <c r="GA90" s="432" t="str">
        <f t="shared" si="380"/>
        <v/>
      </c>
      <c r="GB90" s="1234" t="str">
        <f>IF(A90=FALSE,"",IF(Detail!DF90="","N/A",YEAR(Detail!F90)&amp;Detail!DI90&amp;Detail!DF90&amp;"-"&amp;Detail!$DF$13))</f>
        <v/>
      </c>
      <c r="GC90" s="434" t="str">
        <f>IF(A90=FALSE,"",IF(LISTES!$A$17=1,GB90,INDEX(colMOD3,MATCH(Cotations!AH90,colchoice,0))))</f>
        <v/>
      </c>
      <c r="GD90" s="277" t="str">
        <f t="shared" si="381"/>
        <v/>
      </c>
      <c r="GE90" s="277" t="str">
        <f t="shared" si="382"/>
        <v/>
      </c>
      <c r="GF90" s="277"/>
      <c r="GG90" s="277"/>
      <c r="GH90" s="277" t="str">
        <f t="shared" si="478"/>
        <v/>
      </c>
      <c r="GI90" s="1104" t="str">
        <f t="shared" si="479"/>
        <v/>
      </c>
      <c r="GJ90" s="1104" t="str">
        <f t="shared" si="480"/>
        <v/>
      </c>
      <c r="GK90" s="443" t="str">
        <f>IF(A90=FALSE,"",IF(Cotations!AF90="monthly",GH90/12*L90,GH90/365*M90))</f>
        <v/>
      </c>
      <c r="GL90" s="1103" t="str">
        <f>IF(A90=FALSE,"",IF(Cotations!AF90="monthly",GJ90/12*L90,GJ90/365*M90))</f>
        <v/>
      </c>
      <c r="GM90" s="433" t="str">
        <f>IF(A90=FALSE,"",IF(Cotations!AK90="","",Cotations!AK90))</f>
        <v/>
      </c>
      <c r="GN90" s="277" t="str">
        <f t="shared" si="481"/>
        <v/>
      </c>
      <c r="GO90" s="277" t="str">
        <f t="shared" si="482"/>
        <v/>
      </c>
      <c r="GP90" s="1104" t="str">
        <f t="shared" si="483"/>
        <v/>
      </c>
      <c r="GQ90" s="277" t="str">
        <f t="shared" si="484"/>
        <v/>
      </c>
      <c r="GR90" s="759" t="str">
        <f>IF(A90=FALSE,"",((GH90*TAXE)-(GH90*TAXE*GM90)+GI90)+IF(CQ90="N/A",0,IF(INDEX(LISTES!$F$105:$F$109,MATCH(CQ90,LISTES!$C$105:$C$109,0))="FIX",CR90,CS90*GQ90)))</f>
        <v/>
      </c>
      <c r="GS90" s="412"/>
      <c r="GT90" s="412"/>
      <c r="GU90" s="412"/>
      <c r="GV90" s="412"/>
      <c r="GW90" s="412"/>
      <c r="GX90" s="412"/>
      <c r="GY90" s="412"/>
      <c r="GZ90" s="412"/>
      <c r="HA90" s="432" t="str">
        <f t="shared" si="383"/>
        <v/>
      </c>
      <c r="HB90" s="1234" t="str">
        <f>IF(A90=FALSE,"",IF(Detail!DF90="","N/A",YEAR(Detail!F90)&amp;Detail!DI90&amp;Detail!DF90&amp;"-"&amp;Detail!$DF$13))</f>
        <v/>
      </c>
      <c r="HC90" s="434" t="str">
        <f>IF(A90=FALSE,"",IF(LISTES!$A$17=1,HB90,INDEX(colMOD4,MATCH(Cotations!AH90,colchoice,0))))</f>
        <v/>
      </c>
      <c r="HD90" s="277" t="str">
        <f t="shared" si="485"/>
        <v/>
      </c>
      <c r="HE90" s="277" t="str">
        <f t="shared" si="486"/>
        <v/>
      </c>
      <c r="HF90" s="277"/>
      <c r="HG90" s="277"/>
      <c r="HH90" s="277" t="str">
        <f t="shared" si="487"/>
        <v/>
      </c>
      <c r="HI90" s="1104" t="str">
        <f t="shared" si="488"/>
        <v/>
      </c>
      <c r="HJ90" s="1104" t="str">
        <f t="shared" si="489"/>
        <v/>
      </c>
      <c r="HK90" s="443" t="str">
        <f>IF(A90=FALSE,"",IF(Cotations!AF90="monthly",HH90/12*L90,HH90/365*M90))</f>
        <v/>
      </c>
      <c r="HL90" s="1103" t="str">
        <f>IF(A90=FALSE,"",IF(Cotations!AF90="monthly",HJ90/12*L90,HJ90/365*M90))</f>
        <v/>
      </c>
      <c r="HM90" s="433" t="str">
        <f>IF(A90=FALSE,"",IF(Cotations!AL90="","",Cotations!AL90))</f>
        <v/>
      </c>
      <c r="HN90" s="277" t="str">
        <f t="shared" si="490"/>
        <v/>
      </c>
      <c r="HO90" s="277" t="str">
        <f t="shared" si="491"/>
        <v/>
      </c>
      <c r="HP90" s="1104" t="str">
        <f t="shared" si="492"/>
        <v/>
      </c>
      <c r="HQ90" s="277" t="str">
        <f t="shared" si="493"/>
        <v/>
      </c>
      <c r="HR90" s="759" t="str">
        <f>IF(A90=FALSE,"",((HH90*TAXE)-(HH90*TAXE*HM90)+HI90)+IF(CQ90="N/A",0,IF(INDEX(LISTES!$F$105:$F$109,MATCH(CQ90,LISTES!$C$105:$C$109,0))="FIX",CR90,CS90*HQ90)))</f>
        <v/>
      </c>
      <c r="HS90" s="412"/>
      <c r="HT90" s="412"/>
      <c r="HU90" s="412"/>
      <c r="HV90" s="412"/>
      <c r="HW90" s="412"/>
      <c r="HX90" s="412"/>
      <c r="HY90" s="412"/>
      <c r="HZ90" s="1262"/>
      <c r="IA90" s="432" t="str">
        <f>IF(A90=FALSE,"",Cotations!AT90)</f>
        <v/>
      </c>
      <c r="IB90" s="1253" t="str">
        <f>IF(A90=FALSE,"",IF(Detail!AT90="","N/A",YEAR(Detail!F90)&amp;Detail!AW90&amp;Detail!AT90&amp;"-"&amp;Detail!$AT$13&amp;Detail!AU90))</f>
        <v/>
      </c>
      <c r="IC90" s="431" t="str">
        <f>IF(A90=FALSE,"",IF(LISTES!$A$17=1,IB90,INDEX(colMOD1,MATCH(DA90,colchoice,0))))</f>
        <v/>
      </c>
      <c r="ID90" s="759" t="str">
        <f t="shared" si="358"/>
        <v/>
      </c>
      <c r="IE90" s="292" t="str">
        <f>IF(A90=FALSE,"",IF(LISTES!$A$17=1,Detail!AU90,INDEX(Rates!$M$1:$M$270,MATCH(IC90,colMOD1,0))))</f>
        <v/>
      </c>
      <c r="IF90" s="409" t="str">
        <f t="shared" si="359"/>
        <v/>
      </c>
      <c r="IG90" s="430" t="str">
        <f>IF(A90=FALSE,"",IF(IA90="POEA",Cotations!AY90,IF(IA90="FIXE",Cotations!AZ90,IF(Cotations!BA90*Y90&lt;50000,Z90,Cotations!BA90*Y90))))</f>
        <v/>
      </c>
      <c r="IH90" s="292" t="str">
        <f t="shared" si="360"/>
        <v/>
      </c>
      <c r="II90" s="446" t="str">
        <f>IF(A90=FALSE,"",IF(Cotations!AU90="monthly",IH90/12*L90,IH90/365*M90))</f>
        <v/>
      </c>
      <c r="IJ90" s="429" t="str">
        <f>IF(A90=FALSE,"",IF(Cotations!BB90="","",Cotations!BB90))</f>
        <v/>
      </c>
      <c r="IK90" s="292" t="str">
        <f t="shared" si="361"/>
        <v/>
      </c>
      <c r="IL90" s="292" t="str">
        <f t="shared" si="362"/>
        <v/>
      </c>
      <c r="IM90" s="759" t="str">
        <f t="shared" si="363"/>
        <v/>
      </c>
      <c r="IN90" s="759" t="str">
        <f>IF(A90=FALSE,"",((IH90*TAXE)-(IH90*TAXE*IJ90))+IF(DQ90="N/A",0,IF(INDEX(LISTES!$F$105:$F$109,MATCH(DQ90,LISTES!$C$105:$C$109,0))="FIX",DR90,DS90*IM90)))</f>
        <v/>
      </c>
      <c r="JA90" s="432" t="str">
        <f>IF(A90=FALSE,"",Cotations!AT90)</f>
        <v/>
      </c>
      <c r="JB90" s="1234" t="str">
        <f>IF(A90=FALSE,"",IF(Detail!BB90="","N/A",YEAR(Detail!F90)&amp;Detail!BE90&amp;Detail!BB90&amp;"-"&amp;Detail!$BB$13&amp;Detail!BC90))</f>
        <v/>
      </c>
      <c r="JC90" s="431" t="str">
        <f>IF(A90=FALSE,"",IF(LISTES!$A$17=1,JB90,INDEX(colMOD2,MATCH(DA90,colchoice,0))))</f>
        <v/>
      </c>
      <c r="JD90" s="759" t="str">
        <f t="shared" si="384"/>
        <v/>
      </c>
      <c r="JE90" s="292"/>
      <c r="JF90" s="409" t="str">
        <f t="shared" si="385"/>
        <v/>
      </c>
      <c r="JG90" s="430" t="str">
        <f>IF(A90=FALSE,"",IF(JA90="POEA",Cotations!BC90,IF(JA90="FIXE",Cotations!BD90,IF(Cotations!BE90*Y90&lt;50000,Z90,Cotations!BE90*Y90))))</f>
        <v/>
      </c>
      <c r="JH90" s="292" t="str">
        <f t="shared" si="386"/>
        <v/>
      </c>
      <c r="JI90" s="446" t="str">
        <f>IF(A90=FALSE,"",IF(Cotations!AU90="monthly",JH90/12*L90,JH90/365*M90))</f>
        <v/>
      </c>
      <c r="JJ90" s="429" t="str">
        <f>IF(A90=FALSE,"",IF(Cotations!BF90="","",Cotations!BF90))</f>
        <v/>
      </c>
      <c r="JK90" s="292" t="str">
        <f t="shared" si="387"/>
        <v/>
      </c>
      <c r="JL90" s="292" t="str">
        <f t="shared" si="388"/>
        <v/>
      </c>
      <c r="JM90" s="759" t="str">
        <f t="shared" si="389"/>
        <v/>
      </c>
      <c r="JN90" s="759" t="str">
        <f>IF(A90=FALSE,"",((JH90*TAXE)-(JH90*TAXE*JJ90))+IF(#REF!="N/A",0,IF(INDEX(LISTES!$F$105:$F$109,MATCH(#REF!,LISTES!$C$105:$C$109,0))="FIX",#REF!,#REF!*JM90)))</f>
        <v/>
      </c>
      <c r="KA90" s="432" t="str">
        <f>IF(A90=FALSE,"",Cotations!AT90)</f>
        <v/>
      </c>
      <c r="KB90" s="1234" t="str">
        <f>IF(A90=FALSE,"",IF(Detail!BJ90="","N/A",YEAR(Detail!F90)&amp;Detail!BM90&amp;Detail!BJ90&amp;"-"&amp;Detail!$BJ$13&amp;Detail!BK90))</f>
        <v/>
      </c>
      <c r="KC90" s="431" t="str">
        <f>IF(A90=FALSE,"",IF(LISTES!$A$17=1,KB90,INDEX(colMOD3,MATCH(DA90,colchoice,0))))</f>
        <v/>
      </c>
      <c r="KD90" s="759" t="str">
        <f t="shared" si="390"/>
        <v/>
      </c>
      <c r="KE90" s="292"/>
      <c r="KF90" s="409" t="str">
        <f t="shared" si="391"/>
        <v/>
      </c>
      <c r="KG90" s="430" t="str">
        <f>IF(A90=FALSE,"",IF(KA90="POEA",Cotations!BG90,IF(KA90="FIXE",Cotations!BH90,IF(Cotations!BI90*Y90&lt;50000,Z90,Cotations!BI90*Y90))))</f>
        <v/>
      </c>
      <c r="KH90" s="292" t="str">
        <f t="shared" si="392"/>
        <v/>
      </c>
      <c r="KI90" s="446" t="str">
        <f>IF(A90=FALSE,"",IF(Cotations!AU90="monthly",KH90/12*L90,KH90/365*M90))</f>
        <v/>
      </c>
      <c r="KJ90" s="429" t="str">
        <f>IF(A90=FALSE,"",IF(Cotations!BJ90="","",Cotations!BJ90))</f>
        <v/>
      </c>
      <c r="KK90" s="292" t="str">
        <f t="shared" si="393"/>
        <v/>
      </c>
      <c r="KL90" s="292" t="str">
        <f t="shared" si="394"/>
        <v/>
      </c>
      <c r="KM90" s="759" t="str">
        <f t="shared" si="395"/>
        <v/>
      </c>
      <c r="KN90" s="759" t="str">
        <f>IF(A90=FALSE,"",((KH90*TAXE)-(KH90*TAXE*KJ90))+IF(#REF!="N/A",0,IF(INDEX(LISTES!$F$105:$F$109,MATCH(#REF!,LISTES!$C$105:$C$109,0))="FIX",#REF!,#REF!*KM90)))</f>
        <v/>
      </c>
      <c r="LA90" s="432" t="str">
        <f>IF(A90=FALSE,"",Cotations!AT90)</f>
        <v/>
      </c>
      <c r="LB90" s="1234" t="str">
        <f>IF(A90=FALSE,"",IF(Detail!BR90="","N/A",YEAR(Detail!F90)&amp;Detail!BU90&amp;Detail!BR90&amp;"-"&amp;Detail!$BR$13&amp;Detail!BS90))</f>
        <v/>
      </c>
      <c r="LC90" s="431" t="str">
        <f>IF(A90=FALSE,"",IF(LISTES!$A$17=1,LB90,INDEX(colMOD4,MATCH(DA90,colchoice,0))))</f>
        <v/>
      </c>
      <c r="LD90" s="759" t="str">
        <f t="shared" si="396"/>
        <v/>
      </c>
      <c r="LE90" s="292"/>
      <c r="LF90" s="409" t="str">
        <f t="shared" si="397"/>
        <v/>
      </c>
      <c r="LG90" s="430" t="str">
        <f>IF(A90=FALSE,"",IF(LA90="POEA",Cotations!BK90,IF(LA90="FIXE",Cotations!BL90,IF(Cotations!BM90*Y90&lt;50000,Z90,Cotations!BM90*Y90))))</f>
        <v/>
      </c>
      <c r="LH90" s="292" t="str">
        <f t="shared" si="398"/>
        <v/>
      </c>
      <c r="LI90" s="446" t="str">
        <f>IF(A90=FALSE,"",IF(Cotations!AU90="monthly",LH90/12*L90,LH90/365*M90))</f>
        <v/>
      </c>
      <c r="LJ90" s="429" t="str">
        <f>IF(A90=FALSE,"",IF(Cotations!BN90="","",Cotations!BN90))</f>
        <v/>
      </c>
      <c r="LK90" s="292" t="str">
        <f t="shared" si="399"/>
        <v/>
      </c>
      <c r="LL90" s="292" t="str">
        <f t="shared" si="400"/>
        <v/>
      </c>
      <c r="LM90" s="759" t="str">
        <f t="shared" si="401"/>
        <v/>
      </c>
      <c r="LN90" s="759" t="str">
        <f>IF(A90=FALSE,"",((LH90*TAXE)-(LH90*TAXE*LJ90))+IF(#REF!="N/A",0,IF(INDEX(LISTES!$F$105:$F$109,MATCH(#REF!,LISTES!$C$105:$C$109,0))="FIX",#REF!,#REF!*LM90)))</f>
        <v/>
      </c>
      <c r="MA90" s="432" t="str">
        <f t="shared" si="402"/>
        <v/>
      </c>
      <c r="MB90" s="1234" t="str">
        <f>IF(A90=FALSE,"",IF(Detail!BZ90="","N/A",YEAR(Detail!F90)&amp;Detail!CC90&amp;Detail!BZ90&amp;"-"&amp;Detail!$BZ$13&amp;" (100%/"&amp;Detail!CD90&amp;"/"&amp;Detail!CE90&amp;")"))</f>
        <v/>
      </c>
      <c r="MC90" s="431" t="str">
        <f>IF(A90=FALSE,"",IF(LISTES!$A$17=1,MB90,INDEX(colMOD5,MATCH(DA90,colchoice,0))))</f>
        <v/>
      </c>
      <c r="MD90" s="759" t="str">
        <f t="shared" si="403"/>
        <v/>
      </c>
      <c r="ME90" s="292"/>
      <c r="MF90" s="409" t="str">
        <f t="shared" si="404"/>
        <v/>
      </c>
      <c r="MG90" s="430" t="str">
        <f>IF(A90=FALSE,"",Cotations!BQ90*AA90)</f>
        <v/>
      </c>
      <c r="MH90" s="292" t="str">
        <f t="shared" si="405"/>
        <v/>
      </c>
      <c r="MI90" s="446" t="str">
        <f>IF(A90=FALSE,"",IF(Cotations!AU90="monthly",MH90/12*L90,MH90/365*M90))</f>
        <v/>
      </c>
      <c r="MJ90" s="429" t="str">
        <f>IF(A90=FALSE,"",IF(Cotations!BR90="","",Cotations!BR90))</f>
        <v/>
      </c>
      <c r="MK90" s="292" t="str">
        <f t="shared" si="406"/>
        <v/>
      </c>
      <c r="ML90" s="292" t="str">
        <f t="shared" si="407"/>
        <v/>
      </c>
      <c r="MM90" s="759" t="str">
        <f t="shared" si="408"/>
        <v/>
      </c>
      <c r="MN90" s="759" t="str">
        <f>IF(A90=FALSE,"",((MH90*TAXE)-(MH90*TAXE*MJ90))+IF(#REF!="N/A",0,IF(INDEX(LISTES!$F$105:$F$109,MATCH(#REF!,LISTES!$C$105:$C$109,0))="FIX",#REF!,#REF!*MM90)))</f>
        <v/>
      </c>
      <c r="NA90" s="432" t="str">
        <f t="shared" si="409"/>
        <v/>
      </c>
      <c r="NB90" s="1234" t="str">
        <f>IF(A90=FALSE,"",IF(Detail!CH90="","N/A",YEAR(Detail!F90)&amp;Detail!CK90&amp;Detail!CH90&amp;"-"&amp;Detail!$CH$13&amp;" (100%/"&amp;Detail!CL90&amp;"/"&amp;Detail!CM90&amp;")"))</f>
        <v/>
      </c>
      <c r="NC90" s="431" t="str">
        <f>IF(A90=FALSE,"",IF(LISTES!$A$17=1,NB90,INDEX(colMOD6,MATCH(DA90,colchoice,0))))</f>
        <v/>
      </c>
      <c r="ND90" s="759" t="str">
        <f t="shared" si="410"/>
        <v/>
      </c>
      <c r="NE90" s="292"/>
      <c r="NF90" s="409" t="str">
        <f t="shared" si="411"/>
        <v/>
      </c>
      <c r="NG90" s="430" t="str">
        <f>IF(A90=FALSE,"",Cotations!BU90*AA90)</f>
        <v/>
      </c>
      <c r="NH90" s="292" t="str">
        <f t="shared" si="412"/>
        <v/>
      </c>
      <c r="NI90" s="446" t="str">
        <f>IF(A90=FALSE,"",IF(Cotations!AU90="monthly",NH90/12*L90,NH90/365*M90))</f>
        <v/>
      </c>
      <c r="NJ90" s="429" t="str">
        <f>IF(A90=FALSE,"",IF(Cotations!BV90="","",Cotations!BV90))</f>
        <v/>
      </c>
      <c r="NK90" s="292" t="str">
        <f t="shared" si="413"/>
        <v/>
      </c>
      <c r="NL90" s="292" t="str">
        <f t="shared" si="414"/>
        <v/>
      </c>
      <c r="NM90" s="759" t="str">
        <f t="shared" si="415"/>
        <v/>
      </c>
      <c r="NN90" s="759" t="str">
        <f>IF(A90=FALSE,"",((NH90*TAXE)-(NH90*TAXE*NJ90))+IF(#REF!="N/A",0,IF(INDEX(LISTES!$F$105:$F$109,MATCH(#REF!,LISTES!$C$105:$C$109,0))="FIX",#REF!,#REF!*NM90)))</f>
        <v/>
      </c>
      <c r="NZ90" s="1281" t="str">
        <f>IF(A90=FALSE,"",IF(Detail!CP90="","N/A",YEAR(Detail!F90)&amp;Detail!CS90&amp;Detail!CP90&amp;"-"&amp;Detail!CQ90))</f>
        <v/>
      </c>
      <c r="OA90" s="432" t="str">
        <f>IF(A90=FALSE,"",Cotations!CF90)</f>
        <v/>
      </c>
      <c r="OB90" s="1282" t="str">
        <f>IF(A90=FALSE,"",IF(Detail!CP90="","N/A",YEAR(Detail!F90)&amp;Detail!CS90&amp;Detail!CP90&amp;"-"&amp;Detail!$CP$13&amp;Detail!CQ90))</f>
        <v/>
      </c>
      <c r="OC90" s="1283" t="str">
        <f>IF(A90=FALSE,"",IF(LISTES!$A$17=1,OB90,INDEX(colMOD1,MATCH(Cotations!CE90,colchoice,0))))</f>
        <v/>
      </c>
      <c r="OD90" s="759" t="str">
        <f t="shared" si="416"/>
        <v/>
      </c>
      <c r="OE90" s="292" t="str">
        <f>IF(A90=FALSE,"",Detail!CQ90)</f>
        <v/>
      </c>
      <c r="OF90" s="409" t="str">
        <f t="shared" si="417"/>
        <v/>
      </c>
      <c r="OG90" s="430" t="str">
        <f>IF(A90=FALSE,"",IF(OA90="FIXE",Cotations!CM90,Cotations!CN90*AA90))</f>
        <v/>
      </c>
      <c r="OH90" s="292" t="str">
        <f t="shared" si="494"/>
        <v/>
      </c>
      <c r="OI90" s="446" t="str">
        <f>IF(A90=FALSE,"",IF(Cotations!CF90="monthly",OH90/12*L90,OH90/365*M90))</f>
        <v/>
      </c>
      <c r="OJ90" s="429" t="str">
        <f>IF(A90=FALSE,"",IF(Cotations!CO90="","",Cotations!CO90))</f>
        <v/>
      </c>
      <c r="OK90" s="292" t="str">
        <f t="shared" si="495"/>
        <v/>
      </c>
      <c r="OL90" s="292" t="str">
        <f t="shared" si="496"/>
        <v/>
      </c>
      <c r="OM90" s="759" t="str">
        <f t="shared" si="418"/>
        <v/>
      </c>
      <c r="ON90" s="759" t="str">
        <f>IF(A90=FALSE,"",((OH90*(1+TAXE)-(OH90*(1+TAXE)*OJ90))+IF(#REF!="N/A",0,IF(INDEX(LISTES!$F$105:$F$109,MATCH(#REF!,LISTES!$C$105:$C$109,0))="FIX",#REF!,#REF!*OM90))))</f>
        <v/>
      </c>
      <c r="PA90" s="432" t="str">
        <f>IF(A90=FALSE,"",Cotations!CF90)</f>
        <v/>
      </c>
      <c r="PB90" s="1282" t="str">
        <f>IF(A90=FALSE,"",IF(Detail!CX90="","N/A",YEAR(Detail!F90)&amp;Detail!DA90&amp;Detail!CX90&amp;"-"&amp;Detail!$CX$13&amp;Detail!CY90))</f>
        <v/>
      </c>
      <c r="PC90" s="1283" t="str">
        <f>IF(A90=FALSE,"",IF(LISTES!$A$17=1,PB90,INDEX(colMOD3,MATCH(Cotations!CE90,colchoice,0))))</f>
        <v/>
      </c>
      <c r="PD90" s="759" t="str">
        <f t="shared" si="419"/>
        <v/>
      </c>
      <c r="PE90" s="292" t="str">
        <f>IF(A90=FALSE,"",IF(Detail!CY90="","",Detail!CY90))</f>
        <v/>
      </c>
      <c r="PF90" s="409" t="str">
        <f t="shared" si="497"/>
        <v/>
      </c>
      <c r="PG90" s="430" t="str">
        <f>IF(A90=FALSE,"",IF(PA90="FIXE",Cotations!CP90,Cotations!CQ90*AA90))</f>
        <v/>
      </c>
      <c r="PH90" s="292" t="str">
        <f t="shared" si="498"/>
        <v/>
      </c>
      <c r="PI90" s="446" t="str">
        <f>IF(A90=FALSE,"",IF(Cotations!CG90="monthly",PH90/12*L90,PH90/365*M90))</f>
        <v/>
      </c>
      <c r="PJ90" s="429" t="str">
        <f>IF(A90=FALSE,"",IF(Cotations!DA90="",0,Cotations!DA90))</f>
        <v/>
      </c>
      <c r="PK90" s="292" t="str">
        <f t="shared" si="499"/>
        <v/>
      </c>
      <c r="PL90" s="292" t="str">
        <f t="shared" si="500"/>
        <v/>
      </c>
      <c r="PM90" s="759" t="str">
        <f t="shared" si="420"/>
        <v/>
      </c>
      <c r="PN90" s="759" t="str">
        <f>IF(A90=FALSE,"",((PH90*(1+TAXE)-(PH90*(1+TAXE)*PJ90))+IF(#REF!="N/A",0,IF(INDEX(LISTES!$F$105:$F$109,MATCH(#REF!,LISTES!$C$105:$C$109,0))="FIX",#REF!,#REF!*PM90))))</f>
        <v/>
      </c>
    </row>
    <row r="91" spans="1:430">
      <c r="A91" s="779" t="b">
        <f t="shared" si="364"/>
        <v>0</v>
      </c>
      <c r="B91" s="779" t="b">
        <f>IF(NAMES!$B$9=TRUE,TRUE,FALSE)</f>
        <v>1</v>
      </c>
      <c r="C91" s="779" t="b">
        <f t="shared" si="421"/>
        <v>0</v>
      </c>
      <c r="D91" s="779" t="b">
        <f t="shared" si="422"/>
        <v>0</v>
      </c>
      <c r="E91" s="267" t="b">
        <f>IF(Cotations!C91="","",Cotations!C91)</f>
        <v>0</v>
      </c>
      <c r="F91" s="267" t="str">
        <f>IF(Cotations!AT91="","",Cotations!AT91)</f>
        <v>PROP</v>
      </c>
      <c r="G91" s="267" t="str">
        <f>IF(Cotations!D91="","",Cotations!D91)</f>
        <v>2016-2017!</v>
      </c>
      <c r="H91" s="267" t="str">
        <f>IF(Cotations!E91="","",Cotations!E91)</f>
        <v>SINGLE</v>
      </c>
      <c r="I91" s="267" t="str">
        <f>IF(Cotations!F91="","",Cotations!F91)</f>
        <v/>
      </c>
      <c r="J91" s="267" t="str">
        <f>IF(Cotations!G91="","",Cotations!G91)</f>
        <v/>
      </c>
      <c r="K91" s="267" t="str">
        <f>IF(Cotations!H91="","",Cotations!H91)</f>
        <v/>
      </c>
      <c r="L91" s="267" t="str">
        <f>IF(A91=FALSE,"",IF(Cotations!M91="","",Cotations!M91))</f>
        <v/>
      </c>
      <c r="M91" s="267" t="str">
        <f>IF(Cotations!O91="","",Cotations!O91)</f>
        <v/>
      </c>
      <c r="N91" s="588" t="str">
        <f>IF(NAMES!$B$10=TRUE,Cotations!I91,Cotations!K91)</f>
        <v/>
      </c>
      <c r="O91" s="588" t="str">
        <f>IF(NAMES!$B$10=TRUE,Cotations!J91,Cotations!L91)</f>
        <v/>
      </c>
      <c r="P91" s="780" t="str">
        <f t="shared" si="423"/>
        <v/>
      </c>
      <c r="Q91" s="588" t="str">
        <f>IF(A91=FALSE,"",IF(Crewlist!Y91="","",Crewlist!Y91))</f>
        <v/>
      </c>
      <c r="R91" s="78" t="str">
        <f>IF(Cotations!T91="","",Cotations!T91)</f>
        <v/>
      </c>
      <c r="S91" s="780" t="str">
        <f t="shared" si="424"/>
        <v/>
      </c>
      <c r="T91" s="759" t="str">
        <f>IF(A91=FALSE,"",VLOOKUP($U$15:$U$120,Currency!$A$2:$D$10,4,0)*Crewlist!N91)</f>
        <v/>
      </c>
      <c r="U91" s="1097" t="str">
        <f>IF(A91=FALSE,"",IF(DP91=0,Crewlist!M91&amp;"/"&amp;CP91,Crewlist!M91&amp;"/"&amp;DP91))</f>
        <v/>
      </c>
      <c r="V91" s="759" t="str">
        <f>IF(A91=FALSE,"",VLOOKUP($U$15:$U$120,Currency!$A$2:$D$10,4,0)*Detail!Q91)</f>
        <v/>
      </c>
      <c r="W91" s="1097" t="str">
        <f>IF(A91=FALSE,"",IF(DP91=0,Detail!R91&amp;"/"&amp;CP91,Detail!R91&amp;"/"&amp;DP91))</f>
        <v/>
      </c>
      <c r="X91" s="759" t="str">
        <f>IF(A91=FALSE,"",IF(LISTES!$C$17="Crewlist",Calcul!T91,Calcul!V91))</f>
        <v/>
      </c>
      <c r="Y91" s="618" t="str">
        <f t="shared" si="425"/>
        <v/>
      </c>
      <c r="Z91" s="618" t="str">
        <f>IF(A91=FALSE,"",IF(X91=0,0,IF((Cotations!BA91*12*X91)&lt;50000,50000,(12*X91))))</f>
        <v/>
      </c>
      <c r="AA91" s="618" t="str">
        <f t="shared" si="426"/>
        <v/>
      </c>
      <c r="AB91" s="618" t="str">
        <f>IF(A91=FALSE,"",IF(Crewlist!O91=0,"",Crewlist!O91))</f>
        <v/>
      </c>
      <c r="AC91" s="618" t="str">
        <f>IF(I91="","",VLOOKUP($AB$15:$AB$120,Currency!$A$15:$B$34,2,0))</f>
        <v/>
      </c>
      <c r="AD91" s="618" t="str">
        <f t="shared" si="427"/>
        <v/>
      </c>
      <c r="AE91" s="618" t="str">
        <f t="shared" si="428"/>
        <v/>
      </c>
      <c r="AF91" s="618" t="str">
        <f t="shared" si="429"/>
        <v/>
      </c>
      <c r="AG91" s="618" t="str">
        <f t="shared" si="430"/>
        <v/>
      </c>
      <c r="AH91" s="1097" t="str">
        <f t="shared" si="365"/>
        <v/>
      </c>
      <c r="AI91" s="759" t="str">
        <f t="shared" si="431"/>
        <v/>
      </c>
      <c r="AJ91" s="1120" t="str">
        <f t="shared" si="432"/>
        <v/>
      </c>
      <c r="AK91" s="1120" t="str">
        <f t="shared" si="433"/>
        <v/>
      </c>
      <c r="AL91" s="236" t="str">
        <f t="shared" si="434"/>
        <v/>
      </c>
      <c r="AM91" s="236" t="str">
        <f t="shared" si="435"/>
        <v/>
      </c>
      <c r="AN91" s="1112" t="str">
        <f t="shared" si="436"/>
        <v/>
      </c>
      <c r="AO91" s="236" t="str">
        <f t="shared" si="437"/>
        <v/>
      </c>
      <c r="AP91" s="327" t="str">
        <f>IF(A91=FALSE,"",INDEX(Rates!$Q$1:$Q$278,MATCH(CA91,colchoice,0)))</f>
        <v/>
      </c>
      <c r="AQ91" s="236" t="str">
        <f t="shared" si="438"/>
        <v/>
      </c>
      <c r="AR91" s="236" t="str">
        <f t="shared" si="439"/>
        <v/>
      </c>
      <c r="AS91" s="236" t="str">
        <f t="shared" si="366"/>
        <v/>
      </c>
      <c r="AT91" s="236" t="str">
        <f t="shared" si="367"/>
        <v/>
      </c>
      <c r="AU91" s="236" t="str">
        <f t="shared" si="440"/>
        <v/>
      </c>
      <c r="AV91" s="236" t="str">
        <f t="shared" si="441"/>
        <v/>
      </c>
      <c r="AW91" s="236" t="str">
        <f t="shared" si="442"/>
        <v/>
      </c>
      <c r="AX91" s="236" t="str">
        <f t="shared" si="443"/>
        <v/>
      </c>
      <c r="AY91" s="236" t="str">
        <f t="shared" si="444"/>
        <v/>
      </c>
      <c r="AZ91" s="236" t="str">
        <f t="shared" si="445"/>
        <v/>
      </c>
      <c r="BA91" s="236" t="str">
        <f t="shared" si="446"/>
        <v/>
      </c>
      <c r="BB91" s="467" t="str">
        <f t="shared" si="447"/>
        <v/>
      </c>
      <c r="BC91" s="329" t="str">
        <f t="shared" si="448"/>
        <v/>
      </c>
      <c r="BD91" s="237" t="str">
        <f t="shared" si="449"/>
        <v/>
      </c>
      <c r="BE91" s="237" t="str">
        <f>IF(A91=FALSE,"",IF(ED91&lt;&gt;$BC$7,0,INDEX(EA91:EZ91,1,MATCH(Structure!$J$16,$EA$14:$EZ$14,0))))</f>
        <v/>
      </c>
      <c r="BF91" s="237" t="str">
        <f>IF(A91=FALSE,"",IF(FD91&lt;&gt;$BC$7,0,INDEX(FA91:FZ91,1,MATCH(Structure!$J$16,$FA$14:$FZ$14,0))))</f>
        <v/>
      </c>
      <c r="BG91" s="237" t="str">
        <f>IF(A91=FALSE,"",IF(GD91&lt;&gt;$BC$7,0,INDEX(GA91:GZ91,1,MATCH(Structure!$J$16,$GA$14:$GZ$14,0))))</f>
        <v/>
      </c>
      <c r="BH91" s="237" t="str">
        <f>IF(A91=FALSE,"",IF(HD91&lt;&gt;$BC$7,0,INDEX(HA91:HZ91,1,MATCH(Structure!$J$16,$HA$14:$HZ$14,0))))</f>
        <v/>
      </c>
      <c r="BI91" s="621" t="str">
        <f>IF(A91=FALSE,"",IF(ID91&lt;&gt;$BC$7,0,INDEX(IA91:IZ91,1,MATCH(Structure!$C$12,$IA$14:$IZ$14,0)))+OL91)</f>
        <v/>
      </c>
      <c r="BJ91" s="237" t="str">
        <f>IF(A91=FALSE,"",IF(JD91&lt;&gt;$BC$7,0,INDEX(JA91:JZ91,1,MATCH(Structure!$C$12,$JA$14:$JZ$14,0))))</f>
        <v/>
      </c>
      <c r="BK91" s="621" t="str">
        <f>IF(A91=FALSE,"",IF(KD91&lt;&gt;$BC$7,0,INDEX(KA91:KZ91,1,MATCH(Structure!$C$12,$KA$14:$KZ$14,0)))+PL91)</f>
        <v/>
      </c>
      <c r="BL91" s="237" t="str">
        <f>IF(A91=FALSE,"",IF(LD91&lt;&gt;$BC$7,0,INDEX(LA91:LZ91,1,MATCH(Structure!$C$12,$LA$14:$LZ$14,0))))</f>
        <v/>
      </c>
      <c r="BM91" s="237" t="str">
        <f>IF(A91=FALSE,"",IF(MD91&lt;&gt;$BC$7,0,INDEX(MA91:MZ91,1,MATCH(Structure!$C$12,$MA$14:$MZ$14,0))))</f>
        <v/>
      </c>
      <c r="BN91" s="326" t="str">
        <f>IF(A91=FALSE,"",IF(ND91&lt;&gt;$BC$7,0,INDEX(NA91:OC91,1,MATCH(Structure!$C$12,$NA$14:$OC$14,0))))</f>
        <v/>
      </c>
      <c r="BO91" s="435" t="str">
        <f t="shared" si="450"/>
        <v/>
      </c>
      <c r="BP91" s="237" t="str">
        <f t="shared" si="451"/>
        <v/>
      </c>
      <c r="BQ91" s="237" t="str">
        <f>IF(A91=FALSE,"",IF(ED91&lt;&gt;$BO$7,0,INDEX(EA91:EZ91,1,MATCH(Structure!$C$12,$EA$14:$EZ$14,0))))</f>
        <v/>
      </c>
      <c r="BR91" s="237" t="str">
        <f>IF(A91=FALSE,"",IF(FD91&lt;&gt;$BO$7,0,INDEX(FA91:FZ91,1,MATCH(Structure!$C$12,$FA$14:$FZ$14,0))))</f>
        <v/>
      </c>
      <c r="BS91" s="237" t="str">
        <f>IF(A91=FALSE,"",IF(ID91&lt;&gt;$BO$7,0,INDEX(IA91:IZ91,1,MATCH(Structure!$C$13,$IA$14:$IZ$14,0))))</f>
        <v/>
      </c>
      <c r="BT91" s="237" t="str">
        <f>IF(A91=FALSE,"",IF(JD91&lt;&gt;$BO$7,0,INDEX(JA91:JZ91,1,MATCH(Structure!$C$13,$JA$14:$JZ$14,0))))</f>
        <v/>
      </c>
      <c r="BU91" s="237" t="str">
        <f>IF(A91=FALSE,"",IF(KD91&lt;&gt;$BO$7,0,INDEX(KA91:KZ91,1,MATCH(Structure!$C$13,$KA$14:$KZ$14,0))))</f>
        <v/>
      </c>
      <c r="BV91" s="237" t="str">
        <f>IF(A91=FALSE,"",IF(LD91&lt;&gt;$BO$7,0,INDEX(LA91:LZ91,1,MATCH(Structure!$C$13,$LA$14:$LZ$14,0))))</f>
        <v/>
      </c>
      <c r="BW91" s="237" t="str">
        <f>IF(A91=FALSE,"",IF(MD91&lt;&gt;$BO$7,0,INDEX(MA91:MZ91,1,MATCH(Structure!$C$13,$MA$14:$MZ$14,0))))</f>
        <v/>
      </c>
      <c r="BX91" s="326" t="str">
        <f>IF(A91=FALSE,"",IF(ND91&lt;&gt;$BO$7,0,INDEX(NA91:OC91,1,MATCH(Structure!$C$13,$NA$14:$OC$14,0))))</f>
        <v/>
      </c>
      <c r="BY91" s="412"/>
      <c r="BZ91" s="412"/>
      <c r="CA91" s="1255" t="str">
        <f>IF(A91=FALSE,"",IF(LISTES!$A$17=1,Cotations!AG91,Cotations!AH91))</f>
        <v/>
      </c>
      <c r="CB91" s="1266" t="str">
        <f t="shared" si="452"/>
        <v/>
      </c>
      <c r="CC91" s="1120" t="str">
        <f t="shared" si="453"/>
        <v/>
      </c>
      <c r="CD91" s="1120" t="str">
        <f t="shared" si="454"/>
        <v/>
      </c>
      <c r="CE91" s="1120" t="str">
        <f t="shared" si="455"/>
        <v/>
      </c>
      <c r="CF91" s="1120" t="str">
        <f t="shared" si="456"/>
        <v/>
      </c>
      <c r="CG91" s="1267"/>
      <c r="CH91" s="1267"/>
      <c r="CI91" s="1268" t="str">
        <f t="shared" si="457"/>
        <v/>
      </c>
      <c r="CJ91" s="286" t="str">
        <f t="shared" si="458"/>
        <v/>
      </c>
      <c r="CK91" s="286" t="str">
        <f t="shared" si="459"/>
        <v/>
      </c>
      <c r="CL91" s="1263"/>
      <c r="CM91" s="1263"/>
      <c r="CN91" s="1263"/>
      <c r="CO91" s="1263"/>
      <c r="CP91" s="319" t="str">
        <f t="shared" si="460"/>
        <v/>
      </c>
      <c r="CQ91" s="443" t="str">
        <f>IF(A91=FALSE,"",Cotations!AM91)</f>
        <v/>
      </c>
      <c r="CR91" s="443" t="str">
        <f>IF(A91=FALSE,"",IF(Cotations!AN91="","",Cotations!AN91))</f>
        <v/>
      </c>
      <c r="CS91" s="433" t="str">
        <f>IF(A91=FALSE,"",Cotations!AO91)</f>
        <v/>
      </c>
      <c r="CT91" s="443" t="str">
        <f>IF(A91=FALSE,"",IF(CQ91="N/A",0,IF(INDEX(LISTES!$F$105:$F$109,MATCH(CQ91,LISTES!$C$105:$C$109,0))="FIX",IF(INDEX(LISTES!$E$105:$E$109,MATCH(CQ91,LISTES!$C$105:$C$109,0))=12,CR91/12*L91,CR91/365*M91),CS91*EQ91)))</f>
        <v/>
      </c>
      <c r="CU91" s="434" t="str">
        <f>IF(A91=FALSE,"",(CJ91+CK91)*Cotations!AP91)</f>
        <v/>
      </c>
      <c r="CV91" s="434" t="str">
        <f>IF(A91=FALSE,"",(CJ91+CK91)*Cotations!AQ91)</f>
        <v/>
      </c>
      <c r="DA91" s="1253" t="str">
        <f>IF(A91=FALSE,"",IF(LISTES!$A$17=1,Cotations!AV91,Cotations!AW91))</f>
        <v/>
      </c>
      <c r="DB91" s="1271" t="str">
        <f t="shared" si="461"/>
        <v/>
      </c>
      <c r="DC91" s="1270" t="str">
        <f t="shared" si="462"/>
        <v/>
      </c>
      <c r="DD91" s="1270" t="str">
        <f t="shared" si="463"/>
        <v/>
      </c>
      <c r="DE91" s="1270" t="str">
        <f t="shared" si="464"/>
        <v/>
      </c>
      <c r="DF91" s="1270" t="str">
        <f t="shared" si="465"/>
        <v/>
      </c>
      <c r="DG91" s="1270" t="str">
        <f t="shared" si="466"/>
        <v/>
      </c>
      <c r="DH91" s="1270" t="str">
        <f t="shared" si="467"/>
        <v/>
      </c>
      <c r="DI91" s="1271" t="str">
        <f t="shared" si="468"/>
        <v/>
      </c>
      <c r="DJ91" s="286" t="str">
        <f t="shared" si="469"/>
        <v/>
      </c>
      <c r="DK91" s="286" t="str">
        <f t="shared" si="470"/>
        <v/>
      </c>
      <c r="DL91" s="1264" t="str">
        <f t="shared" si="471"/>
        <v/>
      </c>
      <c r="DM91" s="1264" t="str">
        <f t="shared" si="472"/>
        <v/>
      </c>
      <c r="DN91" s="1264" t="str">
        <f t="shared" si="473"/>
        <v/>
      </c>
      <c r="DO91" s="1264" t="str">
        <f t="shared" si="474"/>
        <v/>
      </c>
      <c r="DP91" s="323" t="str">
        <f t="shared" si="368"/>
        <v/>
      </c>
      <c r="DQ91" s="444" t="str">
        <f>IF(A91=FALSE,"",Cotations!BW91)</f>
        <v/>
      </c>
      <c r="DR91" s="444" t="str">
        <f>IF(A91=FALSE,"",Cotations!BX91)</f>
        <v/>
      </c>
      <c r="DS91" s="433" t="str">
        <f>IF(A91=FALSE,"",Cotations!BY91)</f>
        <v/>
      </c>
      <c r="DT91" s="830" t="str">
        <f>IF(A91=FALSE,"",IF(DQ91="N/A",0,IF(INDEX(LISTES!$F$105:$F$109,MATCH(DQ91,LISTES!$C$105:$C$109,0))="FIX",IF(INDEX(LISTES!$E$105:$E$109,MATCH(DQ91,LISTES!$C$105:$C$109,0))=12,DR91/12*L91,DR91/365*M91),DS91*(DN91+DO91))))</f>
        <v/>
      </c>
      <c r="DU91" s="434" t="str">
        <f>IF(A91=FALSE,"",DJ91*Cotations!BZ91)</f>
        <v/>
      </c>
      <c r="DV91" s="434" t="str">
        <f>IF(A91=FALSE,"",DJ91*Cotations!CA91)</f>
        <v/>
      </c>
      <c r="EA91" s="432" t="str">
        <f>IF(A91=FALSE,"",Cotations!AT91)</f>
        <v/>
      </c>
      <c r="EB91" s="1234" t="str">
        <f>IF(A91=FALSE,"",YEAR(Detail!F91)&amp;Detail!AG91&amp;Detail!AD91&amp;"-"&amp;Detail!$AD$13&amp;Detail!AE91)</f>
        <v/>
      </c>
      <c r="EC91" s="434" t="str">
        <f>IF(A91=FALSE,"",IF(LISTES!$A$17=1,EB91,INDEX(colMOD1,MATCH(Cotations!AH91,colchoice,0))))</f>
        <v/>
      </c>
      <c r="ED91" s="277" t="str">
        <f t="shared" si="369"/>
        <v/>
      </c>
      <c r="EE91" s="277" t="str">
        <f t="shared" si="370"/>
        <v/>
      </c>
      <c r="EF91" s="277"/>
      <c r="EG91" s="277"/>
      <c r="EH91" s="277" t="str">
        <f t="shared" si="371"/>
        <v/>
      </c>
      <c r="EI91" s="1104" t="str">
        <f t="shared" si="372"/>
        <v/>
      </c>
      <c r="EJ91" s="1104" t="str">
        <f t="shared" si="373"/>
        <v/>
      </c>
      <c r="EK91" s="443" t="str">
        <f>IF(A91=FALSE,"",IF(Cotations!AF91="monthly",EH91/12*L91,EH91/365*M91))</f>
        <v/>
      </c>
      <c r="EL91" s="1103" t="str">
        <f>IF(A91=FALSE,"",IF(Cotations!AF91="monthly",EJ91/12*L91,EJ91/365*M91))</f>
        <v/>
      </c>
      <c r="EM91" s="433" t="str">
        <f>IF(A91=FALSE,"",IF(Cotations!AI91="","",Cotations!AI91))</f>
        <v/>
      </c>
      <c r="EN91" s="277" t="str">
        <f t="shared" si="374"/>
        <v/>
      </c>
      <c r="EO91" s="277" t="str">
        <f t="shared" si="375"/>
        <v/>
      </c>
      <c r="EP91" s="1104" t="str">
        <f t="shared" si="376"/>
        <v/>
      </c>
      <c r="EQ91" s="277" t="str">
        <f t="shared" si="377"/>
        <v/>
      </c>
      <c r="ER91" s="759" t="str">
        <f>IF(A91=FALSE,"",((EH91*TAXE)-(EH91*TAXE*EM91)+EI91)+IF(CQ91="N/A",0,IF(INDEX(LISTES!$F$105:$F$109,MATCH(CQ91,LISTES!$C$105:$C$109,0))="FIX",CR91,CS91*EQ91)))</f>
        <v/>
      </c>
      <c r="ET91" s="422"/>
      <c r="EU91" s="422"/>
      <c r="EV91" s="422"/>
      <c r="EW91" s="422"/>
      <c r="EX91" s="422"/>
      <c r="EY91" s="422"/>
      <c r="EZ91" s="422"/>
      <c r="FA91" s="432" t="str">
        <f>IF(A91=FALSE,"",Cotations!AT91)</f>
        <v/>
      </c>
      <c r="FB91" s="1235" t="str">
        <f>IF(A91=FALSE,"",IF(Detail!AL91="","N/A",YEAR(Detail!F91)&amp;Detail!AO91&amp;Detail!AL91&amp;"-"&amp;Detail!$AL$13&amp;Detail!AM91))</f>
        <v/>
      </c>
      <c r="FC91" s="434" t="str">
        <f>IF(A91=FALSE,"",IF(LISTES!$A$17=1,FB91,INDEX(colMOD2,MATCH(Cotations!AH91,colchoice,0))))</f>
        <v/>
      </c>
      <c r="FD91" s="277" t="str">
        <f t="shared" si="378"/>
        <v/>
      </c>
      <c r="FE91" s="443" t="str">
        <f>IF(A91=FALSE,"",IF(Detail!AM91="","",Detail!AM91))</f>
        <v/>
      </c>
      <c r="FF91" s="277"/>
      <c r="FG91" s="277"/>
      <c r="FH91" s="277" t="str">
        <f t="shared" si="379"/>
        <v/>
      </c>
      <c r="FI91" s="1104"/>
      <c r="FJ91" s="1104"/>
      <c r="FK91" s="443" t="str">
        <f>IF(A91=FALSE,"",IF(Cotations!AF91="monthly",FH91/12*L91,FH91/365*M91))</f>
        <v/>
      </c>
      <c r="FL91" s="1103" t="str">
        <f>IF(A91=FALSE,"",IF(Cotations!AF91="monthly",FJ91/12*L91,FJ91/365*M91))</f>
        <v/>
      </c>
      <c r="FM91" s="433" t="str">
        <f>IF(A91=FALSE,"",IF(Cotations!AJ91="","",Cotations!AJ91))</f>
        <v/>
      </c>
      <c r="FN91" s="277" t="str">
        <f t="shared" si="475"/>
        <v/>
      </c>
      <c r="FO91" s="277" t="str">
        <f t="shared" si="476"/>
        <v/>
      </c>
      <c r="FP91" s="1104"/>
      <c r="FQ91" s="277" t="str">
        <f t="shared" si="477"/>
        <v/>
      </c>
      <c r="FR91" s="759" t="str">
        <f>IF(A91=FALSE,"",((FH91*TAXE)-(FH91*TAXE*FM91))+IF(#REF!="N/A",0,IF(INDEX(LISTES!$F$105:$F$109,MATCH(#REF!,LISTES!$C$105:$C$109,0))="FIX",#REF!,#REF!*FQ91)))</f>
        <v/>
      </c>
      <c r="FS91" s="422"/>
      <c r="FT91" s="422"/>
      <c r="FU91" s="422"/>
      <c r="FV91" s="422"/>
      <c r="FW91" s="422"/>
      <c r="FX91" s="422"/>
      <c r="FY91" s="422"/>
      <c r="FZ91" s="422"/>
      <c r="GA91" s="432" t="str">
        <f t="shared" si="380"/>
        <v/>
      </c>
      <c r="GB91" s="1234" t="str">
        <f>IF(A91=FALSE,"",IF(Detail!DF91="","N/A",YEAR(Detail!F91)&amp;Detail!DI91&amp;Detail!DF91&amp;"-"&amp;Detail!$DF$13))</f>
        <v/>
      </c>
      <c r="GC91" s="434" t="str">
        <f>IF(A91=FALSE,"",IF(LISTES!$A$17=1,GB91,INDEX(colMOD3,MATCH(Cotations!AH91,colchoice,0))))</f>
        <v/>
      </c>
      <c r="GD91" s="277" t="str">
        <f t="shared" si="381"/>
        <v/>
      </c>
      <c r="GE91" s="277" t="str">
        <f t="shared" si="382"/>
        <v/>
      </c>
      <c r="GF91" s="277"/>
      <c r="GG91" s="277"/>
      <c r="GH91" s="277" t="str">
        <f t="shared" si="478"/>
        <v/>
      </c>
      <c r="GI91" s="1104" t="str">
        <f t="shared" si="479"/>
        <v/>
      </c>
      <c r="GJ91" s="1104" t="str">
        <f t="shared" si="480"/>
        <v/>
      </c>
      <c r="GK91" s="443" t="str">
        <f>IF(A91=FALSE,"",IF(Cotations!AF91="monthly",GH91/12*L91,GH91/365*M91))</f>
        <v/>
      </c>
      <c r="GL91" s="1103" t="str">
        <f>IF(A91=FALSE,"",IF(Cotations!AF91="monthly",GJ91/12*L91,GJ91/365*M91))</f>
        <v/>
      </c>
      <c r="GM91" s="433" t="str">
        <f>IF(A91=FALSE,"",IF(Cotations!AK91="","",Cotations!AK91))</f>
        <v/>
      </c>
      <c r="GN91" s="277" t="str">
        <f t="shared" si="481"/>
        <v/>
      </c>
      <c r="GO91" s="277" t="str">
        <f t="shared" si="482"/>
        <v/>
      </c>
      <c r="GP91" s="1104" t="str">
        <f t="shared" si="483"/>
        <v/>
      </c>
      <c r="GQ91" s="277" t="str">
        <f t="shared" si="484"/>
        <v/>
      </c>
      <c r="GR91" s="759" t="str">
        <f>IF(A91=FALSE,"",((GH91*TAXE)-(GH91*TAXE*GM91)+GI91)+IF(CQ91="N/A",0,IF(INDEX(LISTES!$F$105:$F$109,MATCH(CQ91,LISTES!$C$105:$C$109,0))="FIX",CR91,CS91*GQ91)))</f>
        <v/>
      </c>
      <c r="GS91" s="412"/>
      <c r="GT91" s="412"/>
      <c r="GU91" s="412"/>
      <c r="GV91" s="412"/>
      <c r="GW91" s="412"/>
      <c r="GX91" s="412"/>
      <c r="GY91" s="412"/>
      <c r="GZ91" s="412"/>
      <c r="HA91" s="432" t="str">
        <f t="shared" si="383"/>
        <v/>
      </c>
      <c r="HB91" s="1234" t="str">
        <f>IF(A91=FALSE,"",IF(Detail!DF91="","N/A",YEAR(Detail!F91)&amp;Detail!DI91&amp;Detail!DF91&amp;"-"&amp;Detail!$DF$13))</f>
        <v/>
      </c>
      <c r="HC91" s="434" t="str">
        <f>IF(A91=FALSE,"",IF(LISTES!$A$17=1,HB91,INDEX(colMOD4,MATCH(Cotations!AH91,colchoice,0))))</f>
        <v/>
      </c>
      <c r="HD91" s="277" t="str">
        <f t="shared" si="485"/>
        <v/>
      </c>
      <c r="HE91" s="277" t="str">
        <f t="shared" si="486"/>
        <v/>
      </c>
      <c r="HF91" s="277"/>
      <c r="HG91" s="277"/>
      <c r="HH91" s="277" t="str">
        <f t="shared" si="487"/>
        <v/>
      </c>
      <c r="HI91" s="1104" t="str">
        <f t="shared" si="488"/>
        <v/>
      </c>
      <c r="HJ91" s="1104" t="str">
        <f t="shared" si="489"/>
        <v/>
      </c>
      <c r="HK91" s="443" t="str">
        <f>IF(A91=FALSE,"",IF(Cotations!AF91="monthly",HH91/12*L91,HH91/365*M91))</f>
        <v/>
      </c>
      <c r="HL91" s="1103" t="str">
        <f>IF(A91=FALSE,"",IF(Cotations!AF91="monthly",HJ91/12*L91,HJ91/365*M91))</f>
        <v/>
      </c>
      <c r="HM91" s="433" t="str">
        <f>IF(A91=FALSE,"",IF(Cotations!AL91="","",Cotations!AL91))</f>
        <v/>
      </c>
      <c r="HN91" s="277" t="str">
        <f t="shared" si="490"/>
        <v/>
      </c>
      <c r="HO91" s="277" t="str">
        <f t="shared" si="491"/>
        <v/>
      </c>
      <c r="HP91" s="1104" t="str">
        <f t="shared" si="492"/>
        <v/>
      </c>
      <c r="HQ91" s="277" t="str">
        <f t="shared" si="493"/>
        <v/>
      </c>
      <c r="HR91" s="759" t="str">
        <f>IF(A91=FALSE,"",((HH91*TAXE)-(HH91*TAXE*HM91)+HI91)+IF(CQ91="N/A",0,IF(INDEX(LISTES!$F$105:$F$109,MATCH(CQ91,LISTES!$C$105:$C$109,0))="FIX",CR91,CS91*HQ91)))</f>
        <v/>
      </c>
      <c r="HS91" s="412"/>
      <c r="HT91" s="412"/>
      <c r="HU91" s="412"/>
      <c r="HV91" s="412"/>
      <c r="HW91" s="412"/>
      <c r="HX91" s="412"/>
      <c r="HY91" s="412"/>
      <c r="HZ91" s="1262"/>
      <c r="IA91" s="432" t="str">
        <f>IF(A91=FALSE,"",Cotations!AT91)</f>
        <v/>
      </c>
      <c r="IB91" s="1253" t="str">
        <f>IF(A91=FALSE,"",IF(Detail!AT91="","N/A",YEAR(Detail!F91)&amp;Detail!AW91&amp;Detail!AT91&amp;"-"&amp;Detail!$AT$13&amp;Detail!AU91))</f>
        <v/>
      </c>
      <c r="IC91" s="431" t="str">
        <f>IF(A91=FALSE,"",IF(LISTES!$A$17=1,IB91,INDEX(colMOD1,MATCH(DA91,colchoice,0))))</f>
        <v/>
      </c>
      <c r="ID91" s="759" t="str">
        <f t="shared" si="358"/>
        <v/>
      </c>
      <c r="IE91" s="292" t="str">
        <f>IF(A91=FALSE,"",IF(LISTES!$A$17=1,Detail!AU91,INDEX(Rates!$M$1:$M$270,MATCH(IC91,colMOD1,0))))</f>
        <v/>
      </c>
      <c r="IF91" s="409" t="str">
        <f t="shared" si="359"/>
        <v/>
      </c>
      <c r="IG91" s="430" t="str">
        <f>IF(A91=FALSE,"",IF(IA91="POEA",Cotations!AY91,IF(IA91="FIXE",Cotations!AZ91,IF(Cotations!BA91*Y91&lt;50000,Z91,Cotations!BA91*Y91))))</f>
        <v/>
      </c>
      <c r="IH91" s="292" t="str">
        <f t="shared" si="360"/>
        <v/>
      </c>
      <c r="II91" s="446" t="str">
        <f>IF(A91=FALSE,"",IF(Cotations!AU91="monthly",IH91/12*L91,IH91/365*M91))</f>
        <v/>
      </c>
      <c r="IJ91" s="429" t="str">
        <f>IF(A91=FALSE,"",IF(Cotations!BB91="","",Cotations!BB91))</f>
        <v/>
      </c>
      <c r="IK91" s="292" t="str">
        <f t="shared" si="361"/>
        <v/>
      </c>
      <c r="IL91" s="292" t="str">
        <f t="shared" si="362"/>
        <v/>
      </c>
      <c r="IM91" s="759" t="str">
        <f t="shared" si="363"/>
        <v/>
      </c>
      <c r="IN91" s="759" t="str">
        <f>IF(A91=FALSE,"",((IH91*TAXE)-(IH91*TAXE*IJ91))+IF(DQ91="N/A",0,IF(INDEX(LISTES!$F$105:$F$109,MATCH(DQ91,LISTES!$C$105:$C$109,0))="FIX",DR91,DS91*IM91)))</f>
        <v/>
      </c>
      <c r="JA91" s="432" t="str">
        <f>IF(A91=FALSE,"",Cotations!AT91)</f>
        <v/>
      </c>
      <c r="JB91" s="1234" t="str">
        <f>IF(A91=FALSE,"",IF(Detail!BB91="","N/A",YEAR(Detail!F91)&amp;Detail!BE91&amp;Detail!BB91&amp;"-"&amp;Detail!$BB$13&amp;Detail!BC91))</f>
        <v/>
      </c>
      <c r="JC91" s="431" t="str">
        <f>IF(A91=FALSE,"",IF(LISTES!$A$17=1,JB91,INDEX(colMOD2,MATCH(DA91,colchoice,0))))</f>
        <v/>
      </c>
      <c r="JD91" s="759" t="str">
        <f t="shared" si="384"/>
        <v/>
      </c>
      <c r="JE91" s="292"/>
      <c r="JF91" s="409" t="str">
        <f t="shared" si="385"/>
        <v/>
      </c>
      <c r="JG91" s="430" t="str">
        <f>IF(A91=FALSE,"",IF(JA91="POEA",Cotations!BC91,IF(JA91="FIXE",Cotations!BD91,IF(Cotations!BE91*Y91&lt;50000,Z91,Cotations!BE91*Y91))))</f>
        <v/>
      </c>
      <c r="JH91" s="292" t="str">
        <f t="shared" si="386"/>
        <v/>
      </c>
      <c r="JI91" s="446" t="str">
        <f>IF(A91=FALSE,"",IF(Cotations!AU91="monthly",JH91/12*L91,JH91/365*M91))</f>
        <v/>
      </c>
      <c r="JJ91" s="429" t="str">
        <f>IF(A91=FALSE,"",IF(Cotations!BF91="","",Cotations!BF91))</f>
        <v/>
      </c>
      <c r="JK91" s="292" t="str">
        <f t="shared" si="387"/>
        <v/>
      </c>
      <c r="JL91" s="292" t="str">
        <f t="shared" si="388"/>
        <v/>
      </c>
      <c r="JM91" s="759" t="str">
        <f t="shared" si="389"/>
        <v/>
      </c>
      <c r="JN91" s="759" t="str">
        <f>IF(A91=FALSE,"",((JH91*TAXE)-(JH91*TAXE*JJ91))+IF(#REF!="N/A",0,IF(INDEX(LISTES!$F$105:$F$109,MATCH(#REF!,LISTES!$C$105:$C$109,0))="FIX",#REF!,#REF!*JM91)))</f>
        <v/>
      </c>
      <c r="KA91" s="432" t="str">
        <f>IF(A91=FALSE,"",Cotations!AT91)</f>
        <v/>
      </c>
      <c r="KB91" s="1234" t="str">
        <f>IF(A91=FALSE,"",IF(Detail!BJ91="","N/A",YEAR(Detail!F91)&amp;Detail!BM91&amp;Detail!BJ91&amp;"-"&amp;Detail!$BJ$13&amp;Detail!BK91))</f>
        <v/>
      </c>
      <c r="KC91" s="431" t="str">
        <f>IF(A91=FALSE,"",IF(LISTES!$A$17=1,KB91,INDEX(colMOD3,MATCH(DA91,colchoice,0))))</f>
        <v/>
      </c>
      <c r="KD91" s="759" t="str">
        <f t="shared" si="390"/>
        <v/>
      </c>
      <c r="KE91" s="292"/>
      <c r="KF91" s="409" t="str">
        <f t="shared" si="391"/>
        <v/>
      </c>
      <c r="KG91" s="430" t="str">
        <f>IF(A91=FALSE,"",IF(KA91="POEA",Cotations!BG91,IF(KA91="FIXE",Cotations!BH91,IF(Cotations!BI91*Y91&lt;50000,Z91,Cotations!BI91*Y91))))</f>
        <v/>
      </c>
      <c r="KH91" s="292" t="str">
        <f t="shared" si="392"/>
        <v/>
      </c>
      <c r="KI91" s="446" t="str">
        <f>IF(A91=FALSE,"",IF(Cotations!AU91="monthly",KH91/12*L91,KH91/365*M91))</f>
        <v/>
      </c>
      <c r="KJ91" s="429" t="str">
        <f>IF(A91=FALSE,"",IF(Cotations!BJ91="","",Cotations!BJ91))</f>
        <v/>
      </c>
      <c r="KK91" s="292" t="str">
        <f t="shared" si="393"/>
        <v/>
      </c>
      <c r="KL91" s="292" t="str">
        <f t="shared" si="394"/>
        <v/>
      </c>
      <c r="KM91" s="759" t="str">
        <f t="shared" si="395"/>
        <v/>
      </c>
      <c r="KN91" s="759" t="str">
        <f>IF(A91=FALSE,"",((KH91*TAXE)-(KH91*TAXE*KJ91))+IF(#REF!="N/A",0,IF(INDEX(LISTES!$F$105:$F$109,MATCH(#REF!,LISTES!$C$105:$C$109,0))="FIX",#REF!,#REF!*KM91)))</f>
        <v/>
      </c>
      <c r="LA91" s="432" t="str">
        <f>IF(A91=FALSE,"",Cotations!AT91)</f>
        <v/>
      </c>
      <c r="LB91" s="1234" t="str">
        <f>IF(A91=FALSE,"",IF(Detail!BR91="","N/A",YEAR(Detail!F91)&amp;Detail!BU91&amp;Detail!BR91&amp;"-"&amp;Detail!$BR$13&amp;Detail!BS91))</f>
        <v/>
      </c>
      <c r="LC91" s="431" t="str">
        <f>IF(A91=FALSE,"",IF(LISTES!$A$17=1,LB91,INDEX(colMOD4,MATCH(DA91,colchoice,0))))</f>
        <v/>
      </c>
      <c r="LD91" s="759" t="str">
        <f t="shared" si="396"/>
        <v/>
      </c>
      <c r="LE91" s="292"/>
      <c r="LF91" s="409" t="str">
        <f t="shared" si="397"/>
        <v/>
      </c>
      <c r="LG91" s="430" t="str">
        <f>IF(A91=FALSE,"",IF(LA91="POEA",Cotations!BK91,IF(LA91="FIXE",Cotations!BL91,IF(Cotations!BM91*Y91&lt;50000,Z91,Cotations!BM91*Y91))))</f>
        <v/>
      </c>
      <c r="LH91" s="292" t="str">
        <f t="shared" si="398"/>
        <v/>
      </c>
      <c r="LI91" s="446" t="str">
        <f>IF(A91=FALSE,"",IF(Cotations!AU91="monthly",LH91/12*L91,LH91/365*M91))</f>
        <v/>
      </c>
      <c r="LJ91" s="429" t="str">
        <f>IF(A91=FALSE,"",IF(Cotations!BN91="","",Cotations!BN91))</f>
        <v/>
      </c>
      <c r="LK91" s="292" t="str">
        <f t="shared" si="399"/>
        <v/>
      </c>
      <c r="LL91" s="292" t="str">
        <f t="shared" si="400"/>
        <v/>
      </c>
      <c r="LM91" s="759" t="str">
        <f t="shared" si="401"/>
        <v/>
      </c>
      <c r="LN91" s="759" t="str">
        <f>IF(A91=FALSE,"",((LH91*TAXE)-(LH91*TAXE*LJ91))+IF(#REF!="N/A",0,IF(INDEX(LISTES!$F$105:$F$109,MATCH(#REF!,LISTES!$C$105:$C$109,0))="FIX",#REF!,#REF!*LM91)))</f>
        <v/>
      </c>
      <c r="MA91" s="432" t="str">
        <f t="shared" si="402"/>
        <v/>
      </c>
      <c r="MB91" s="1234" t="str">
        <f>IF(A91=FALSE,"",IF(Detail!BZ91="","N/A",YEAR(Detail!F91)&amp;Detail!CC91&amp;Detail!BZ91&amp;"-"&amp;Detail!$BZ$13&amp;" (100%/"&amp;Detail!CD91&amp;"/"&amp;Detail!CE91&amp;")"))</f>
        <v/>
      </c>
      <c r="MC91" s="431" t="str">
        <f>IF(A91=FALSE,"",IF(LISTES!$A$17=1,MB91,INDEX(colMOD5,MATCH(DA91,colchoice,0))))</f>
        <v/>
      </c>
      <c r="MD91" s="759" t="str">
        <f t="shared" si="403"/>
        <v/>
      </c>
      <c r="ME91" s="292"/>
      <c r="MF91" s="409" t="str">
        <f t="shared" si="404"/>
        <v/>
      </c>
      <c r="MG91" s="430" t="str">
        <f>IF(A91=FALSE,"",Cotations!BQ91*AA91)</f>
        <v/>
      </c>
      <c r="MH91" s="292" t="str">
        <f t="shared" si="405"/>
        <v/>
      </c>
      <c r="MI91" s="446" t="str">
        <f>IF(A91=FALSE,"",IF(Cotations!AU91="monthly",MH91/12*L91,MH91/365*M91))</f>
        <v/>
      </c>
      <c r="MJ91" s="429" t="str">
        <f>IF(A91=FALSE,"",IF(Cotations!BR91="","",Cotations!BR91))</f>
        <v/>
      </c>
      <c r="MK91" s="292" t="str">
        <f t="shared" si="406"/>
        <v/>
      </c>
      <c r="ML91" s="292" t="str">
        <f t="shared" si="407"/>
        <v/>
      </c>
      <c r="MM91" s="759" t="str">
        <f t="shared" si="408"/>
        <v/>
      </c>
      <c r="MN91" s="759" t="str">
        <f>IF(A91=FALSE,"",((MH91*TAXE)-(MH91*TAXE*MJ91))+IF(#REF!="N/A",0,IF(INDEX(LISTES!$F$105:$F$109,MATCH(#REF!,LISTES!$C$105:$C$109,0))="FIX",#REF!,#REF!*MM91)))</f>
        <v/>
      </c>
      <c r="NA91" s="432" t="str">
        <f t="shared" si="409"/>
        <v/>
      </c>
      <c r="NB91" s="1234" t="str">
        <f>IF(A91=FALSE,"",IF(Detail!CH91="","N/A",YEAR(Detail!F91)&amp;Detail!CK91&amp;Detail!CH91&amp;"-"&amp;Detail!$CH$13&amp;" (100%/"&amp;Detail!CL91&amp;"/"&amp;Detail!CM91&amp;")"))</f>
        <v/>
      </c>
      <c r="NC91" s="431" t="str">
        <f>IF(A91=FALSE,"",IF(LISTES!$A$17=1,NB91,INDEX(colMOD6,MATCH(DA91,colchoice,0))))</f>
        <v/>
      </c>
      <c r="ND91" s="759" t="str">
        <f t="shared" si="410"/>
        <v/>
      </c>
      <c r="NE91" s="292"/>
      <c r="NF91" s="409" t="str">
        <f t="shared" si="411"/>
        <v/>
      </c>
      <c r="NG91" s="430" t="str">
        <f>IF(A91=FALSE,"",Cotations!BU91*AA91)</f>
        <v/>
      </c>
      <c r="NH91" s="292" t="str">
        <f t="shared" si="412"/>
        <v/>
      </c>
      <c r="NI91" s="446" t="str">
        <f>IF(A91=FALSE,"",IF(Cotations!AU91="monthly",NH91/12*L91,NH91/365*M91))</f>
        <v/>
      </c>
      <c r="NJ91" s="429" t="str">
        <f>IF(A91=FALSE,"",IF(Cotations!BV91="","",Cotations!BV91))</f>
        <v/>
      </c>
      <c r="NK91" s="292" t="str">
        <f t="shared" si="413"/>
        <v/>
      </c>
      <c r="NL91" s="292" t="str">
        <f t="shared" si="414"/>
        <v/>
      </c>
      <c r="NM91" s="759" t="str">
        <f t="shared" si="415"/>
        <v/>
      </c>
      <c r="NN91" s="759" t="str">
        <f>IF(A91=FALSE,"",((NH91*TAXE)-(NH91*TAXE*NJ91))+IF(#REF!="N/A",0,IF(INDEX(LISTES!$F$105:$F$109,MATCH(#REF!,LISTES!$C$105:$C$109,0))="FIX",#REF!,#REF!*NM91)))</f>
        <v/>
      </c>
      <c r="NZ91" s="1281" t="str">
        <f>IF(A91=FALSE,"",IF(Detail!CP91="","N/A",YEAR(Detail!F91)&amp;Detail!CS91&amp;Detail!CP91&amp;"-"&amp;Detail!CQ91))</f>
        <v/>
      </c>
      <c r="OA91" s="432" t="str">
        <f>IF(A91=FALSE,"",Cotations!CF91)</f>
        <v/>
      </c>
      <c r="OB91" s="1282" t="str">
        <f>IF(A91=FALSE,"",IF(Detail!CP91="","N/A",YEAR(Detail!F91)&amp;Detail!CS91&amp;Detail!CP91&amp;"-"&amp;Detail!$CP$13&amp;Detail!CQ91))</f>
        <v/>
      </c>
      <c r="OC91" s="1283" t="str">
        <f>IF(A91=FALSE,"",IF(LISTES!$A$17=1,OB91,INDEX(colMOD1,MATCH(Cotations!CE91,colchoice,0))))</f>
        <v/>
      </c>
      <c r="OD91" s="759" t="str">
        <f t="shared" si="416"/>
        <v/>
      </c>
      <c r="OE91" s="292" t="str">
        <f>IF(A91=FALSE,"",Detail!CQ91)</f>
        <v/>
      </c>
      <c r="OF91" s="409" t="str">
        <f t="shared" si="417"/>
        <v/>
      </c>
      <c r="OG91" s="430" t="str">
        <f>IF(A91=FALSE,"",IF(OA91="FIXE",Cotations!CM91,Cotations!CN91*AA91))</f>
        <v/>
      </c>
      <c r="OH91" s="292" t="str">
        <f t="shared" si="494"/>
        <v/>
      </c>
      <c r="OI91" s="446" t="str">
        <f>IF(A91=FALSE,"",IF(Cotations!CF91="monthly",OH91/12*L91,OH91/365*M91))</f>
        <v/>
      </c>
      <c r="OJ91" s="429" t="str">
        <f>IF(A91=FALSE,"",IF(Cotations!CO91="","",Cotations!CO91))</f>
        <v/>
      </c>
      <c r="OK91" s="292" t="str">
        <f t="shared" si="495"/>
        <v/>
      </c>
      <c r="OL91" s="292" t="str">
        <f t="shared" si="496"/>
        <v/>
      </c>
      <c r="OM91" s="759" t="str">
        <f t="shared" si="418"/>
        <v/>
      </c>
      <c r="ON91" s="759" t="str">
        <f>IF(A91=FALSE,"",((OH91*(1+TAXE)-(OH91*(1+TAXE)*OJ91))+IF(#REF!="N/A",0,IF(INDEX(LISTES!$F$105:$F$109,MATCH(#REF!,LISTES!$C$105:$C$109,0))="FIX",#REF!,#REF!*OM91))))</f>
        <v/>
      </c>
      <c r="PA91" s="432" t="str">
        <f>IF(A91=FALSE,"",Cotations!CF91)</f>
        <v/>
      </c>
      <c r="PB91" s="1282" t="str">
        <f>IF(A91=FALSE,"",IF(Detail!CX91="","N/A",YEAR(Detail!F91)&amp;Detail!DA91&amp;Detail!CX91&amp;"-"&amp;Detail!$CX$13&amp;Detail!CY91))</f>
        <v/>
      </c>
      <c r="PC91" s="1283" t="str">
        <f>IF(A91=FALSE,"",IF(LISTES!$A$17=1,PB91,INDEX(colMOD3,MATCH(Cotations!CE91,colchoice,0))))</f>
        <v/>
      </c>
      <c r="PD91" s="759" t="str">
        <f t="shared" si="419"/>
        <v/>
      </c>
      <c r="PE91" s="292" t="str">
        <f>IF(A91=FALSE,"",IF(Detail!CY91="","",Detail!CY91))</f>
        <v/>
      </c>
      <c r="PF91" s="409" t="str">
        <f t="shared" si="497"/>
        <v/>
      </c>
      <c r="PG91" s="430" t="str">
        <f>IF(A91=FALSE,"",IF(PA91="FIXE",Cotations!CP91,Cotations!CQ91*AA91))</f>
        <v/>
      </c>
      <c r="PH91" s="292" t="str">
        <f t="shared" si="498"/>
        <v/>
      </c>
      <c r="PI91" s="446" t="str">
        <f>IF(A91=FALSE,"",IF(Cotations!CG91="monthly",PH91/12*L91,PH91/365*M91))</f>
        <v/>
      </c>
      <c r="PJ91" s="429" t="str">
        <f>IF(A91=FALSE,"",IF(Cotations!DA91="",0,Cotations!DA91))</f>
        <v/>
      </c>
      <c r="PK91" s="292" t="str">
        <f t="shared" si="499"/>
        <v/>
      </c>
      <c r="PL91" s="292" t="str">
        <f t="shared" si="500"/>
        <v/>
      </c>
      <c r="PM91" s="759" t="str">
        <f t="shared" si="420"/>
        <v/>
      </c>
      <c r="PN91" s="759" t="str">
        <f>IF(A91=FALSE,"",((PH91*(1+TAXE)-(PH91*(1+TAXE)*PJ91))+IF(#REF!="N/A",0,IF(INDEX(LISTES!$F$105:$F$109,MATCH(#REF!,LISTES!$C$105:$C$109,0))="FIX",#REF!,#REF!*PM91))))</f>
        <v/>
      </c>
    </row>
    <row r="92" spans="1:430">
      <c r="A92" s="779" t="b">
        <f t="shared" si="364"/>
        <v>0</v>
      </c>
      <c r="B92" s="779" t="b">
        <f>IF(NAMES!$B$9=TRUE,TRUE,FALSE)</f>
        <v>1</v>
      </c>
      <c r="C92" s="779" t="b">
        <f t="shared" si="421"/>
        <v>0</v>
      </c>
      <c r="D92" s="779" t="b">
        <f t="shared" si="422"/>
        <v>0</v>
      </c>
      <c r="E92" s="267" t="b">
        <f>IF(Cotations!C92="","",Cotations!C92)</f>
        <v>0</v>
      </c>
      <c r="F92" s="267" t="str">
        <f>IF(Cotations!AT92="","",Cotations!AT92)</f>
        <v>PROP</v>
      </c>
      <c r="G92" s="267" t="str">
        <f>IF(Cotations!D92="","",Cotations!D92)</f>
        <v>2016-2017!</v>
      </c>
      <c r="H92" s="267" t="str">
        <f>IF(Cotations!E92="","",Cotations!E92)</f>
        <v>SINGLE</v>
      </c>
      <c r="I92" s="267" t="str">
        <f>IF(Cotations!F92="","",Cotations!F92)</f>
        <v/>
      </c>
      <c r="J92" s="267" t="str">
        <f>IF(Cotations!G92="","",Cotations!G92)</f>
        <v/>
      </c>
      <c r="K92" s="267" t="str">
        <f>IF(Cotations!H92="","",Cotations!H92)</f>
        <v/>
      </c>
      <c r="L92" s="267" t="str">
        <f>IF(A92=FALSE,"",IF(Cotations!M92="","",Cotations!M92))</f>
        <v/>
      </c>
      <c r="M92" s="267" t="str">
        <f>IF(Cotations!O92="","",Cotations!O92)</f>
        <v/>
      </c>
      <c r="N92" s="588" t="str">
        <f>IF(NAMES!$B$10=TRUE,Cotations!I92,Cotations!K92)</f>
        <v/>
      </c>
      <c r="O92" s="588" t="str">
        <f>IF(NAMES!$B$10=TRUE,Cotations!J92,Cotations!L92)</f>
        <v/>
      </c>
      <c r="P92" s="780" t="str">
        <f t="shared" si="423"/>
        <v/>
      </c>
      <c r="Q92" s="588" t="str">
        <f>IF(A92=FALSE,"",IF(Crewlist!Y92="","",Crewlist!Y92))</f>
        <v/>
      </c>
      <c r="R92" s="78" t="str">
        <f>IF(Cotations!T92="","",Cotations!T92)</f>
        <v/>
      </c>
      <c r="S92" s="780" t="str">
        <f t="shared" si="424"/>
        <v/>
      </c>
      <c r="T92" s="759" t="str">
        <f>IF(A92=FALSE,"",VLOOKUP($U$15:$U$120,Currency!$A$2:$D$10,4,0)*Crewlist!N92)</f>
        <v/>
      </c>
      <c r="U92" s="1097" t="str">
        <f>IF(A92=FALSE,"",IF(DP92=0,Crewlist!M92&amp;"/"&amp;CP92,Crewlist!M92&amp;"/"&amp;DP92))</f>
        <v/>
      </c>
      <c r="V92" s="759" t="str">
        <f>IF(A92=FALSE,"",VLOOKUP($U$15:$U$120,Currency!$A$2:$D$10,4,0)*Detail!Q92)</f>
        <v/>
      </c>
      <c r="W92" s="1097" t="str">
        <f>IF(A92=FALSE,"",IF(DP92=0,Detail!R92&amp;"/"&amp;CP92,Detail!R92&amp;"/"&amp;DP92))</f>
        <v/>
      </c>
      <c r="X92" s="759" t="str">
        <f>IF(A92=FALSE,"",IF(LISTES!$C$17="Crewlist",Calcul!T92,Calcul!V92))</f>
        <v/>
      </c>
      <c r="Y92" s="618" t="str">
        <f t="shared" si="425"/>
        <v/>
      </c>
      <c r="Z92" s="618" t="str">
        <f>IF(A92=FALSE,"",IF(X92=0,0,IF((Cotations!BA92*12*X92)&lt;50000,50000,(12*X92))))</f>
        <v/>
      </c>
      <c r="AA92" s="618" t="str">
        <f t="shared" si="426"/>
        <v/>
      </c>
      <c r="AB92" s="618" t="str">
        <f>IF(A92=FALSE,"",IF(Crewlist!O92=0,"",Crewlist!O92))</f>
        <v/>
      </c>
      <c r="AC92" s="618" t="str">
        <f>IF(I92="","",VLOOKUP($AB$15:$AB$120,Currency!$A$15:$B$34,2,0))</f>
        <v/>
      </c>
      <c r="AD92" s="618" t="str">
        <f t="shared" si="427"/>
        <v/>
      </c>
      <c r="AE92" s="618" t="str">
        <f t="shared" si="428"/>
        <v/>
      </c>
      <c r="AF92" s="618" t="str">
        <f t="shared" si="429"/>
        <v/>
      </c>
      <c r="AG92" s="618" t="str">
        <f t="shared" si="430"/>
        <v/>
      </c>
      <c r="AH92" s="1097" t="str">
        <f t="shared" si="365"/>
        <v/>
      </c>
      <c r="AI92" s="759" t="str">
        <f t="shared" si="431"/>
        <v/>
      </c>
      <c r="AJ92" s="1120" t="str">
        <f t="shared" si="432"/>
        <v/>
      </c>
      <c r="AK92" s="1120" t="str">
        <f t="shared" si="433"/>
        <v/>
      </c>
      <c r="AL92" s="236" t="str">
        <f t="shared" si="434"/>
        <v/>
      </c>
      <c r="AM92" s="236" t="str">
        <f t="shared" si="435"/>
        <v/>
      </c>
      <c r="AN92" s="1112" t="str">
        <f t="shared" si="436"/>
        <v/>
      </c>
      <c r="AO92" s="236" t="str">
        <f t="shared" si="437"/>
        <v/>
      </c>
      <c r="AP92" s="327" t="str">
        <f>IF(A92=FALSE,"",INDEX(Rates!$Q$1:$Q$278,MATCH(CA92,colchoice,0)))</f>
        <v/>
      </c>
      <c r="AQ92" s="236" t="str">
        <f t="shared" si="438"/>
        <v/>
      </c>
      <c r="AR92" s="236" t="str">
        <f t="shared" si="439"/>
        <v/>
      </c>
      <c r="AS92" s="236" t="str">
        <f t="shared" si="366"/>
        <v/>
      </c>
      <c r="AT92" s="236" t="str">
        <f t="shared" si="367"/>
        <v/>
      </c>
      <c r="AU92" s="236" t="str">
        <f t="shared" si="440"/>
        <v/>
      </c>
      <c r="AV92" s="236" t="str">
        <f t="shared" si="441"/>
        <v/>
      </c>
      <c r="AW92" s="236" t="str">
        <f t="shared" si="442"/>
        <v/>
      </c>
      <c r="AX92" s="236" t="str">
        <f t="shared" si="443"/>
        <v/>
      </c>
      <c r="AY92" s="236" t="str">
        <f t="shared" si="444"/>
        <v/>
      </c>
      <c r="AZ92" s="236" t="str">
        <f t="shared" si="445"/>
        <v/>
      </c>
      <c r="BA92" s="236" t="str">
        <f t="shared" si="446"/>
        <v/>
      </c>
      <c r="BB92" s="467" t="str">
        <f t="shared" si="447"/>
        <v/>
      </c>
      <c r="BC92" s="329" t="str">
        <f t="shared" si="448"/>
        <v/>
      </c>
      <c r="BD92" s="237" t="str">
        <f t="shared" si="449"/>
        <v/>
      </c>
      <c r="BE92" s="237" t="str">
        <f>IF(A92=FALSE,"",IF(ED92&lt;&gt;$BC$7,0,INDEX(EA92:EZ92,1,MATCH(Structure!$J$16,$EA$14:$EZ$14,0))))</f>
        <v/>
      </c>
      <c r="BF92" s="237" t="str">
        <f>IF(A92=FALSE,"",IF(FD92&lt;&gt;$BC$7,0,INDEX(FA92:FZ92,1,MATCH(Structure!$J$16,$FA$14:$FZ$14,0))))</f>
        <v/>
      </c>
      <c r="BG92" s="237" t="str">
        <f>IF(A92=FALSE,"",IF(GD92&lt;&gt;$BC$7,0,INDEX(GA92:GZ92,1,MATCH(Structure!$J$16,$GA$14:$GZ$14,0))))</f>
        <v/>
      </c>
      <c r="BH92" s="237" t="str">
        <f>IF(A92=FALSE,"",IF(HD92&lt;&gt;$BC$7,0,INDEX(HA92:HZ92,1,MATCH(Structure!$J$16,$HA$14:$HZ$14,0))))</f>
        <v/>
      </c>
      <c r="BI92" s="621" t="str">
        <f>IF(A92=FALSE,"",IF(ID92&lt;&gt;$BC$7,0,INDEX(IA92:IZ92,1,MATCH(Structure!$C$12,$IA$14:$IZ$14,0)))+OL92)</f>
        <v/>
      </c>
      <c r="BJ92" s="237" t="str">
        <f>IF(A92=FALSE,"",IF(JD92&lt;&gt;$BC$7,0,INDEX(JA92:JZ92,1,MATCH(Structure!$C$12,$JA$14:$JZ$14,0))))</f>
        <v/>
      </c>
      <c r="BK92" s="621" t="str">
        <f>IF(A92=FALSE,"",IF(KD92&lt;&gt;$BC$7,0,INDEX(KA92:KZ92,1,MATCH(Structure!$C$12,$KA$14:$KZ$14,0)))+PL92)</f>
        <v/>
      </c>
      <c r="BL92" s="237" t="str">
        <f>IF(A92=FALSE,"",IF(LD92&lt;&gt;$BC$7,0,INDEX(LA92:LZ92,1,MATCH(Structure!$C$12,$LA$14:$LZ$14,0))))</f>
        <v/>
      </c>
      <c r="BM92" s="237" t="str">
        <f>IF(A92=FALSE,"",IF(MD92&lt;&gt;$BC$7,0,INDEX(MA92:MZ92,1,MATCH(Structure!$C$12,$MA$14:$MZ$14,0))))</f>
        <v/>
      </c>
      <c r="BN92" s="326" t="str">
        <f>IF(A92=FALSE,"",IF(ND92&lt;&gt;$BC$7,0,INDEX(NA92:OC92,1,MATCH(Structure!$C$12,$NA$14:$OC$14,0))))</f>
        <v/>
      </c>
      <c r="BO92" s="435" t="str">
        <f t="shared" si="450"/>
        <v/>
      </c>
      <c r="BP92" s="237" t="str">
        <f t="shared" si="451"/>
        <v/>
      </c>
      <c r="BQ92" s="237" t="str">
        <f>IF(A92=FALSE,"",IF(ED92&lt;&gt;$BO$7,0,INDEX(EA92:EZ92,1,MATCH(Structure!$C$12,$EA$14:$EZ$14,0))))</f>
        <v/>
      </c>
      <c r="BR92" s="237" t="str">
        <f>IF(A92=FALSE,"",IF(FD92&lt;&gt;$BO$7,0,INDEX(FA92:FZ92,1,MATCH(Structure!$C$12,$FA$14:$FZ$14,0))))</f>
        <v/>
      </c>
      <c r="BS92" s="237" t="str">
        <f>IF(A92=FALSE,"",IF(ID92&lt;&gt;$BO$7,0,INDEX(IA92:IZ92,1,MATCH(Structure!$C$13,$IA$14:$IZ$14,0))))</f>
        <v/>
      </c>
      <c r="BT92" s="237" t="str">
        <f>IF(A92=FALSE,"",IF(JD92&lt;&gt;$BO$7,0,INDEX(JA92:JZ92,1,MATCH(Structure!$C$13,$JA$14:$JZ$14,0))))</f>
        <v/>
      </c>
      <c r="BU92" s="237" t="str">
        <f>IF(A92=FALSE,"",IF(KD92&lt;&gt;$BO$7,0,INDEX(KA92:KZ92,1,MATCH(Structure!$C$13,$KA$14:$KZ$14,0))))</f>
        <v/>
      </c>
      <c r="BV92" s="237" t="str">
        <f>IF(A92=FALSE,"",IF(LD92&lt;&gt;$BO$7,0,INDEX(LA92:LZ92,1,MATCH(Structure!$C$13,$LA$14:$LZ$14,0))))</f>
        <v/>
      </c>
      <c r="BW92" s="237" t="str">
        <f>IF(A92=FALSE,"",IF(MD92&lt;&gt;$BO$7,0,INDEX(MA92:MZ92,1,MATCH(Structure!$C$13,$MA$14:$MZ$14,0))))</f>
        <v/>
      </c>
      <c r="BX92" s="326" t="str">
        <f>IF(A92=FALSE,"",IF(ND92&lt;&gt;$BO$7,0,INDEX(NA92:OC92,1,MATCH(Structure!$C$13,$NA$14:$OC$14,0))))</f>
        <v/>
      </c>
      <c r="BY92" s="412"/>
      <c r="BZ92" s="412"/>
      <c r="CA92" s="1255" t="str">
        <f>IF(A92=FALSE,"",IF(LISTES!$A$17=1,Cotations!AG92,Cotations!AH92))</f>
        <v/>
      </c>
      <c r="CB92" s="1266" t="str">
        <f t="shared" si="452"/>
        <v/>
      </c>
      <c r="CC92" s="1120" t="str">
        <f t="shared" si="453"/>
        <v/>
      </c>
      <c r="CD92" s="1120" t="str">
        <f t="shared" si="454"/>
        <v/>
      </c>
      <c r="CE92" s="1120" t="str">
        <f t="shared" si="455"/>
        <v/>
      </c>
      <c r="CF92" s="1120" t="str">
        <f t="shared" si="456"/>
        <v/>
      </c>
      <c r="CG92" s="1267"/>
      <c r="CH92" s="1267"/>
      <c r="CI92" s="1268" t="str">
        <f t="shared" si="457"/>
        <v/>
      </c>
      <c r="CJ92" s="286" t="str">
        <f t="shared" si="458"/>
        <v/>
      </c>
      <c r="CK92" s="286" t="str">
        <f t="shared" si="459"/>
        <v/>
      </c>
      <c r="CL92" s="1263"/>
      <c r="CM92" s="1263"/>
      <c r="CN92" s="1263"/>
      <c r="CO92" s="1263"/>
      <c r="CP92" s="319" t="str">
        <f t="shared" si="460"/>
        <v/>
      </c>
      <c r="CQ92" s="443" t="str">
        <f>IF(A92=FALSE,"",Cotations!AM92)</f>
        <v/>
      </c>
      <c r="CR92" s="443" t="str">
        <f>IF(A92=FALSE,"",IF(Cotations!AN92="","",Cotations!AN92))</f>
        <v/>
      </c>
      <c r="CS92" s="433" t="str">
        <f>IF(A92=FALSE,"",Cotations!AO92)</f>
        <v/>
      </c>
      <c r="CT92" s="443" t="str">
        <f>IF(A92=FALSE,"",IF(CQ92="N/A",0,IF(INDEX(LISTES!$F$105:$F$109,MATCH(CQ92,LISTES!$C$105:$C$109,0))="FIX",IF(INDEX(LISTES!$E$105:$E$109,MATCH(CQ92,LISTES!$C$105:$C$109,0))=12,CR92/12*L92,CR92/365*M92),CS92*EQ92)))</f>
        <v/>
      </c>
      <c r="CU92" s="434" t="str">
        <f>IF(A92=FALSE,"",(CJ92+CK92)*Cotations!AP92)</f>
        <v/>
      </c>
      <c r="CV92" s="434" t="str">
        <f>IF(A92=FALSE,"",(CJ92+CK92)*Cotations!AQ92)</f>
        <v/>
      </c>
      <c r="DA92" s="1253" t="str">
        <f>IF(A92=FALSE,"",IF(LISTES!$A$17=1,Cotations!AV92,Cotations!AW92))</f>
        <v/>
      </c>
      <c r="DB92" s="1271" t="str">
        <f t="shared" si="461"/>
        <v/>
      </c>
      <c r="DC92" s="1270" t="str">
        <f t="shared" si="462"/>
        <v/>
      </c>
      <c r="DD92" s="1270" t="str">
        <f t="shared" si="463"/>
        <v/>
      </c>
      <c r="DE92" s="1270" t="str">
        <f t="shared" si="464"/>
        <v/>
      </c>
      <c r="DF92" s="1270" t="str">
        <f t="shared" si="465"/>
        <v/>
      </c>
      <c r="DG92" s="1270" t="str">
        <f t="shared" si="466"/>
        <v/>
      </c>
      <c r="DH92" s="1270" t="str">
        <f t="shared" si="467"/>
        <v/>
      </c>
      <c r="DI92" s="1271" t="str">
        <f t="shared" si="468"/>
        <v/>
      </c>
      <c r="DJ92" s="286" t="str">
        <f t="shared" si="469"/>
        <v/>
      </c>
      <c r="DK92" s="286" t="str">
        <f t="shared" si="470"/>
        <v/>
      </c>
      <c r="DL92" s="1264" t="str">
        <f t="shared" si="471"/>
        <v/>
      </c>
      <c r="DM92" s="1264" t="str">
        <f t="shared" si="472"/>
        <v/>
      </c>
      <c r="DN92" s="1264" t="str">
        <f t="shared" si="473"/>
        <v/>
      </c>
      <c r="DO92" s="1264" t="str">
        <f t="shared" si="474"/>
        <v/>
      </c>
      <c r="DP92" s="323" t="str">
        <f t="shared" si="368"/>
        <v/>
      </c>
      <c r="DQ92" s="444" t="str">
        <f>IF(A92=FALSE,"",Cotations!BW92)</f>
        <v/>
      </c>
      <c r="DR92" s="444" t="str">
        <f>IF(A92=FALSE,"",Cotations!BX92)</f>
        <v/>
      </c>
      <c r="DS92" s="433" t="str">
        <f>IF(A92=FALSE,"",Cotations!BY92)</f>
        <v/>
      </c>
      <c r="DT92" s="830" t="str">
        <f>IF(A92=FALSE,"",IF(DQ92="N/A",0,IF(INDEX(LISTES!$F$105:$F$109,MATCH(DQ92,LISTES!$C$105:$C$109,0))="FIX",IF(INDEX(LISTES!$E$105:$E$109,MATCH(DQ92,LISTES!$C$105:$C$109,0))=12,DR92/12*L92,DR92/365*M92),DS92*(DN92+DO92))))</f>
        <v/>
      </c>
      <c r="DU92" s="434" t="str">
        <f>IF(A92=FALSE,"",DJ92*Cotations!BZ92)</f>
        <v/>
      </c>
      <c r="DV92" s="434" t="str">
        <f>IF(A92=FALSE,"",DJ92*Cotations!CA92)</f>
        <v/>
      </c>
      <c r="EA92" s="432" t="str">
        <f>IF(A92=FALSE,"",Cotations!AT92)</f>
        <v/>
      </c>
      <c r="EB92" s="1234" t="str">
        <f>IF(A92=FALSE,"",YEAR(Detail!F92)&amp;Detail!AG92&amp;Detail!AD92&amp;"-"&amp;Detail!$AD$13&amp;Detail!AE92)</f>
        <v/>
      </c>
      <c r="EC92" s="434" t="str">
        <f>IF(A92=FALSE,"",IF(LISTES!$A$17=1,EB92,INDEX(colMOD1,MATCH(Cotations!AH92,colchoice,0))))</f>
        <v/>
      </c>
      <c r="ED92" s="277" t="str">
        <f t="shared" si="369"/>
        <v/>
      </c>
      <c r="EE92" s="277" t="str">
        <f t="shared" si="370"/>
        <v/>
      </c>
      <c r="EF92" s="277"/>
      <c r="EG92" s="277"/>
      <c r="EH92" s="277" t="str">
        <f t="shared" si="371"/>
        <v/>
      </c>
      <c r="EI92" s="1104" t="str">
        <f t="shared" si="372"/>
        <v/>
      </c>
      <c r="EJ92" s="1104" t="str">
        <f t="shared" si="373"/>
        <v/>
      </c>
      <c r="EK92" s="443" t="str">
        <f>IF(A92=FALSE,"",IF(Cotations!AF92="monthly",EH92/12*L92,EH92/365*M92))</f>
        <v/>
      </c>
      <c r="EL92" s="1103" t="str">
        <f>IF(A92=FALSE,"",IF(Cotations!AF92="monthly",EJ92/12*L92,EJ92/365*M92))</f>
        <v/>
      </c>
      <c r="EM92" s="433" t="str">
        <f>IF(A92=FALSE,"",IF(Cotations!AI92="","",Cotations!AI92))</f>
        <v/>
      </c>
      <c r="EN92" s="277" t="str">
        <f t="shared" si="374"/>
        <v/>
      </c>
      <c r="EO92" s="277" t="str">
        <f t="shared" si="375"/>
        <v/>
      </c>
      <c r="EP92" s="1104" t="str">
        <f t="shared" si="376"/>
        <v/>
      </c>
      <c r="EQ92" s="277" t="str">
        <f t="shared" si="377"/>
        <v/>
      </c>
      <c r="ER92" s="759" t="str">
        <f>IF(A92=FALSE,"",((EH92*TAXE)-(EH92*TAXE*EM92)+EI92)+IF(CQ92="N/A",0,IF(INDEX(LISTES!$F$105:$F$109,MATCH(CQ92,LISTES!$C$105:$C$109,0))="FIX",CR92,CS92*EQ92)))</f>
        <v/>
      </c>
      <c r="ET92" s="422"/>
      <c r="EU92" s="422"/>
      <c r="EV92" s="422"/>
      <c r="EW92" s="422"/>
      <c r="EX92" s="422"/>
      <c r="EY92" s="422"/>
      <c r="EZ92" s="422"/>
      <c r="FA92" s="432" t="str">
        <f>IF(A92=FALSE,"",Cotations!AT92)</f>
        <v/>
      </c>
      <c r="FB92" s="1235" t="str">
        <f>IF(A92=FALSE,"",IF(Detail!AL92="","N/A",YEAR(Detail!F92)&amp;Detail!AO92&amp;Detail!AL92&amp;"-"&amp;Detail!$AL$13&amp;Detail!AM92))</f>
        <v/>
      </c>
      <c r="FC92" s="434" t="str">
        <f>IF(A92=FALSE,"",IF(LISTES!$A$17=1,FB92,INDEX(colMOD2,MATCH(Cotations!AH92,colchoice,0))))</f>
        <v/>
      </c>
      <c r="FD92" s="277" t="str">
        <f t="shared" si="378"/>
        <v/>
      </c>
      <c r="FE92" s="443" t="str">
        <f>IF(A92=FALSE,"",IF(Detail!AM92="","",Detail!AM92))</f>
        <v/>
      </c>
      <c r="FF92" s="277"/>
      <c r="FG92" s="277"/>
      <c r="FH92" s="277" t="str">
        <f t="shared" si="379"/>
        <v/>
      </c>
      <c r="FI92" s="1104"/>
      <c r="FJ92" s="1104"/>
      <c r="FK92" s="443" t="str">
        <f>IF(A92=FALSE,"",IF(Cotations!AF92="monthly",FH92/12*L92,FH92/365*M92))</f>
        <v/>
      </c>
      <c r="FL92" s="1103" t="str">
        <f>IF(A92=FALSE,"",IF(Cotations!AF92="monthly",FJ92/12*L92,FJ92/365*M92))</f>
        <v/>
      </c>
      <c r="FM92" s="433" t="str">
        <f>IF(A92=FALSE,"",IF(Cotations!AJ92="","",Cotations!AJ92))</f>
        <v/>
      </c>
      <c r="FN92" s="277" t="str">
        <f t="shared" si="475"/>
        <v/>
      </c>
      <c r="FO92" s="277" t="str">
        <f t="shared" si="476"/>
        <v/>
      </c>
      <c r="FP92" s="1104"/>
      <c r="FQ92" s="277" t="str">
        <f t="shared" si="477"/>
        <v/>
      </c>
      <c r="FR92" s="759" t="str">
        <f>IF(A92=FALSE,"",((FH92*TAXE)-(FH92*TAXE*FM92))+IF(#REF!="N/A",0,IF(INDEX(LISTES!$F$105:$F$109,MATCH(#REF!,LISTES!$C$105:$C$109,0))="FIX",#REF!,#REF!*FQ92)))</f>
        <v/>
      </c>
      <c r="FS92" s="422"/>
      <c r="FT92" s="422"/>
      <c r="FU92" s="422"/>
      <c r="FV92" s="422"/>
      <c r="FW92" s="422"/>
      <c r="FX92" s="422"/>
      <c r="FY92" s="422"/>
      <c r="FZ92" s="422"/>
      <c r="GA92" s="432" t="str">
        <f t="shared" si="380"/>
        <v/>
      </c>
      <c r="GB92" s="1234" t="str">
        <f>IF(A92=FALSE,"",IF(Detail!DF92="","N/A",YEAR(Detail!F92)&amp;Detail!DI92&amp;Detail!DF92&amp;"-"&amp;Detail!$DF$13))</f>
        <v/>
      </c>
      <c r="GC92" s="434" t="str">
        <f>IF(A92=FALSE,"",IF(LISTES!$A$17=1,GB92,INDEX(colMOD3,MATCH(Cotations!AH92,colchoice,0))))</f>
        <v/>
      </c>
      <c r="GD92" s="277" t="str">
        <f t="shared" si="381"/>
        <v/>
      </c>
      <c r="GE92" s="277" t="str">
        <f t="shared" si="382"/>
        <v/>
      </c>
      <c r="GF92" s="277"/>
      <c r="GG92" s="277"/>
      <c r="GH92" s="277" t="str">
        <f t="shared" si="478"/>
        <v/>
      </c>
      <c r="GI92" s="1104" t="str">
        <f t="shared" si="479"/>
        <v/>
      </c>
      <c r="GJ92" s="1104" t="str">
        <f t="shared" si="480"/>
        <v/>
      </c>
      <c r="GK92" s="443" t="str">
        <f>IF(A92=FALSE,"",IF(Cotations!AF92="monthly",GH92/12*L92,GH92/365*M92))</f>
        <v/>
      </c>
      <c r="GL92" s="1103" t="str">
        <f>IF(A92=FALSE,"",IF(Cotations!AF92="monthly",GJ92/12*L92,GJ92/365*M92))</f>
        <v/>
      </c>
      <c r="GM92" s="433" t="str">
        <f>IF(A92=FALSE,"",IF(Cotations!AK92="","",Cotations!AK92))</f>
        <v/>
      </c>
      <c r="GN92" s="277" t="str">
        <f t="shared" si="481"/>
        <v/>
      </c>
      <c r="GO92" s="277" t="str">
        <f t="shared" si="482"/>
        <v/>
      </c>
      <c r="GP92" s="1104" t="str">
        <f t="shared" si="483"/>
        <v/>
      </c>
      <c r="GQ92" s="277" t="str">
        <f t="shared" si="484"/>
        <v/>
      </c>
      <c r="GR92" s="759" t="str">
        <f>IF(A92=FALSE,"",((GH92*TAXE)-(GH92*TAXE*GM92)+GI92)+IF(CQ92="N/A",0,IF(INDEX(LISTES!$F$105:$F$109,MATCH(CQ92,LISTES!$C$105:$C$109,0))="FIX",CR92,CS92*GQ92)))</f>
        <v/>
      </c>
      <c r="GS92" s="412"/>
      <c r="GT92" s="412"/>
      <c r="GU92" s="412"/>
      <c r="GV92" s="412"/>
      <c r="GW92" s="412"/>
      <c r="GX92" s="412"/>
      <c r="GY92" s="412"/>
      <c r="GZ92" s="412"/>
      <c r="HA92" s="432" t="str">
        <f t="shared" si="383"/>
        <v/>
      </c>
      <c r="HB92" s="1234" t="str">
        <f>IF(A92=FALSE,"",IF(Detail!DF92="","N/A",YEAR(Detail!F92)&amp;Detail!DI92&amp;Detail!DF92&amp;"-"&amp;Detail!$DF$13))</f>
        <v/>
      </c>
      <c r="HC92" s="434" t="str">
        <f>IF(A92=FALSE,"",IF(LISTES!$A$17=1,HB92,INDEX(colMOD4,MATCH(Cotations!AH92,colchoice,0))))</f>
        <v/>
      </c>
      <c r="HD92" s="277" t="str">
        <f t="shared" si="485"/>
        <v/>
      </c>
      <c r="HE92" s="277" t="str">
        <f t="shared" si="486"/>
        <v/>
      </c>
      <c r="HF92" s="277"/>
      <c r="HG92" s="277"/>
      <c r="HH92" s="277" t="str">
        <f t="shared" si="487"/>
        <v/>
      </c>
      <c r="HI92" s="1104" t="str">
        <f t="shared" si="488"/>
        <v/>
      </c>
      <c r="HJ92" s="1104" t="str">
        <f t="shared" si="489"/>
        <v/>
      </c>
      <c r="HK92" s="443" t="str">
        <f>IF(A92=FALSE,"",IF(Cotations!AF92="monthly",HH92/12*L92,HH92/365*M92))</f>
        <v/>
      </c>
      <c r="HL92" s="1103" t="str">
        <f>IF(A92=FALSE,"",IF(Cotations!AF92="monthly",HJ92/12*L92,HJ92/365*M92))</f>
        <v/>
      </c>
      <c r="HM92" s="433" t="str">
        <f>IF(A92=FALSE,"",IF(Cotations!AL92="","",Cotations!AL92))</f>
        <v/>
      </c>
      <c r="HN92" s="277" t="str">
        <f t="shared" si="490"/>
        <v/>
      </c>
      <c r="HO92" s="277" t="str">
        <f t="shared" si="491"/>
        <v/>
      </c>
      <c r="HP92" s="1104" t="str">
        <f t="shared" si="492"/>
        <v/>
      </c>
      <c r="HQ92" s="277" t="str">
        <f t="shared" si="493"/>
        <v/>
      </c>
      <c r="HR92" s="759" t="str">
        <f>IF(A92=FALSE,"",((HH92*TAXE)-(HH92*TAXE*HM92)+HI92)+IF(CQ92="N/A",0,IF(INDEX(LISTES!$F$105:$F$109,MATCH(CQ92,LISTES!$C$105:$C$109,0))="FIX",CR92,CS92*HQ92)))</f>
        <v/>
      </c>
      <c r="HS92" s="412"/>
      <c r="HT92" s="412"/>
      <c r="HU92" s="412"/>
      <c r="HV92" s="412"/>
      <c r="HW92" s="412"/>
      <c r="HX92" s="412"/>
      <c r="HY92" s="412"/>
      <c r="HZ92" s="1262"/>
      <c r="IA92" s="432" t="str">
        <f>IF(A92=FALSE,"",Cotations!AT92)</f>
        <v/>
      </c>
      <c r="IB92" s="1253" t="str">
        <f>IF(A92=FALSE,"",IF(Detail!AT92="","N/A",YEAR(Detail!F92)&amp;Detail!AW92&amp;Detail!AT92&amp;"-"&amp;Detail!$AT$13&amp;Detail!AU92))</f>
        <v/>
      </c>
      <c r="IC92" s="431" t="str">
        <f>IF(A92=FALSE,"",IF(LISTES!$A$17=1,IB92,INDEX(colMOD1,MATCH(DA92,colchoice,0))))</f>
        <v/>
      </c>
      <c r="ID92" s="759" t="str">
        <f t="shared" si="358"/>
        <v/>
      </c>
      <c r="IE92" s="292" t="str">
        <f>IF(A92=FALSE,"",IF(LISTES!$A$17=1,Detail!AU92,INDEX(Rates!$M$1:$M$270,MATCH(IC92,colMOD1,0))))</f>
        <v/>
      </c>
      <c r="IF92" s="409" t="str">
        <f t="shared" si="359"/>
        <v/>
      </c>
      <c r="IG92" s="430" t="str">
        <f>IF(A92=FALSE,"",IF(IA92="POEA",Cotations!AY92,IF(IA92="FIXE",Cotations!AZ92,IF(Cotations!BA92*Y92&lt;50000,Z92,Cotations!BA92*Y92))))</f>
        <v/>
      </c>
      <c r="IH92" s="292" t="str">
        <f t="shared" si="360"/>
        <v/>
      </c>
      <c r="II92" s="446" t="str">
        <f>IF(A92=FALSE,"",IF(Cotations!AU92="monthly",IH92/12*L92,IH92/365*M92))</f>
        <v/>
      </c>
      <c r="IJ92" s="429" t="str">
        <f>IF(A92=FALSE,"",IF(Cotations!BB92="","",Cotations!BB92))</f>
        <v/>
      </c>
      <c r="IK92" s="292" t="str">
        <f t="shared" si="361"/>
        <v/>
      </c>
      <c r="IL92" s="292" t="str">
        <f t="shared" si="362"/>
        <v/>
      </c>
      <c r="IM92" s="759" t="str">
        <f t="shared" si="363"/>
        <v/>
      </c>
      <c r="IN92" s="759" t="str">
        <f>IF(A92=FALSE,"",((IH92*TAXE)-(IH92*TAXE*IJ92))+IF(DQ92="N/A",0,IF(INDEX(LISTES!$F$105:$F$109,MATCH(DQ92,LISTES!$C$105:$C$109,0))="FIX",DR92,DS92*IM92)))</f>
        <v/>
      </c>
      <c r="JA92" s="432" t="str">
        <f>IF(A92=FALSE,"",Cotations!AT92)</f>
        <v/>
      </c>
      <c r="JB92" s="1234" t="str">
        <f>IF(A92=FALSE,"",IF(Detail!BB92="","N/A",YEAR(Detail!F92)&amp;Detail!BE92&amp;Detail!BB92&amp;"-"&amp;Detail!$BB$13&amp;Detail!BC92))</f>
        <v/>
      </c>
      <c r="JC92" s="431" t="str">
        <f>IF(A92=FALSE,"",IF(LISTES!$A$17=1,JB92,INDEX(colMOD2,MATCH(DA92,colchoice,0))))</f>
        <v/>
      </c>
      <c r="JD92" s="759" t="str">
        <f t="shared" si="384"/>
        <v/>
      </c>
      <c r="JE92" s="292"/>
      <c r="JF92" s="409" t="str">
        <f t="shared" si="385"/>
        <v/>
      </c>
      <c r="JG92" s="430" t="str">
        <f>IF(A92=FALSE,"",IF(JA92="POEA",Cotations!BC92,IF(JA92="FIXE",Cotations!BD92,IF(Cotations!BE92*Y92&lt;50000,Z92,Cotations!BE92*Y92))))</f>
        <v/>
      </c>
      <c r="JH92" s="292" t="str">
        <f t="shared" si="386"/>
        <v/>
      </c>
      <c r="JI92" s="446" t="str">
        <f>IF(A92=FALSE,"",IF(Cotations!AU92="monthly",JH92/12*L92,JH92/365*M92))</f>
        <v/>
      </c>
      <c r="JJ92" s="429" t="str">
        <f>IF(A92=FALSE,"",IF(Cotations!BF92="","",Cotations!BF92))</f>
        <v/>
      </c>
      <c r="JK92" s="292" t="str">
        <f t="shared" si="387"/>
        <v/>
      </c>
      <c r="JL92" s="292" t="str">
        <f t="shared" si="388"/>
        <v/>
      </c>
      <c r="JM92" s="759" t="str">
        <f t="shared" si="389"/>
        <v/>
      </c>
      <c r="JN92" s="759" t="str">
        <f>IF(A92=FALSE,"",((JH92*TAXE)-(JH92*TAXE*JJ92))+IF(#REF!="N/A",0,IF(INDEX(LISTES!$F$105:$F$109,MATCH(#REF!,LISTES!$C$105:$C$109,0))="FIX",#REF!,#REF!*JM92)))</f>
        <v/>
      </c>
      <c r="KA92" s="432" t="str">
        <f>IF(A92=FALSE,"",Cotations!AT92)</f>
        <v/>
      </c>
      <c r="KB92" s="1234" t="str">
        <f>IF(A92=FALSE,"",IF(Detail!BJ92="","N/A",YEAR(Detail!F92)&amp;Detail!BM92&amp;Detail!BJ92&amp;"-"&amp;Detail!$BJ$13&amp;Detail!BK92))</f>
        <v/>
      </c>
      <c r="KC92" s="431" t="str">
        <f>IF(A92=FALSE,"",IF(LISTES!$A$17=1,KB92,INDEX(colMOD3,MATCH(DA92,colchoice,0))))</f>
        <v/>
      </c>
      <c r="KD92" s="759" t="str">
        <f t="shared" si="390"/>
        <v/>
      </c>
      <c r="KE92" s="292"/>
      <c r="KF92" s="409" t="str">
        <f t="shared" si="391"/>
        <v/>
      </c>
      <c r="KG92" s="430" t="str">
        <f>IF(A92=FALSE,"",IF(KA92="POEA",Cotations!BG92,IF(KA92="FIXE",Cotations!BH92,IF(Cotations!BI92*Y92&lt;50000,Z92,Cotations!BI92*Y92))))</f>
        <v/>
      </c>
      <c r="KH92" s="292" t="str">
        <f t="shared" si="392"/>
        <v/>
      </c>
      <c r="KI92" s="446" t="str">
        <f>IF(A92=FALSE,"",IF(Cotations!AU92="monthly",KH92/12*L92,KH92/365*M92))</f>
        <v/>
      </c>
      <c r="KJ92" s="429" t="str">
        <f>IF(A92=FALSE,"",IF(Cotations!BJ92="","",Cotations!BJ92))</f>
        <v/>
      </c>
      <c r="KK92" s="292" t="str">
        <f t="shared" si="393"/>
        <v/>
      </c>
      <c r="KL92" s="292" t="str">
        <f t="shared" si="394"/>
        <v/>
      </c>
      <c r="KM92" s="759" t="str">
        <f t="shared" si="395"/>
        <v/>
      </c>
      <c r="KN92" s="759" t="str">
        <f>IF(A92=FALSE,"",((KH92*TAXE)-(KH92*TAXE*KJ92))+IF(#REF!="N/A",0,IF(INDEX(LISTES!$F$105:$F$109,MATCH(#REF!,LISTES!$C$105:$C$109,0))="FIX",#REF!,#REF!*KM92)))</f>
        <v/>
      </c>
      <c r="LA92" s="432" t="str">
        <f>IF(A92=FALSE,"",Cotations!AT92)</f>
        <v/>
      </c>
      <c r="LB92" s="1234" t="str">
        <f>IF(A92=FALSE,"",IF(Detail!BR92="","N/A",YEAR(Detail!F92)&amp;Detail!BU92&amp;Detail!BR92&amp;"-"&amp;Detail!$BR$13&amp;Detail!BS92))</f>
        <v/>
      </c>
      <c r="LC92" s="431" t="str">
        <f>IF(A92=FALSE,"",IF(LISTES!$A$17=1,LB92,INDEX(colMOD4,MATCH(DA92,colchoice,0))))</f>
        <v/>
      </c>
      <c r="LD92" s="759" t="str">
        <f t="shared" si="396"/>
        <v/>
      </c>
      <c r="LE92" s="292"/>
      <c r="LF92" s="409" t="str">
        <f t="shared" si="397"/>
        <v/>
      </c>
      <c r="LG92" s="430" t="str">
        <f>IF(A92=FALSE,"",IF(LA92="POEA",Cotations!BK92,IF(LA92="FIXE",Cotations!BL92,IF(Cotations!BM92*Y92&lt;50000,Z92,Cotations!BM92*Y92))))</f>
        <v/>
      </c>
      <c r="LH92" s="292" t="str">
        <f t="shared" si="398"/>
        <v/>
      </c>
      <c r="LI92" s="446" t="str">
        <f>IF(A92=FALSE,"",IF(Cotations!AU92="monthly",LH92/12*L92,LH92/365*M92))</f>
        <v/>
      </c>
      <c r="LJ92" s="429" t="str">
        <f>IF(A92=FALSE,"",IF(Cotations!BN92="","",Cotations!BN92))</f>
        <v/>
      </c>
      <c r="LK92" s="292" t="str">
        <f t="shared" si="399"/>
        <v/>
      </c>
      <c r="LL92" s="292" t="str">
        <f t="shared" si="400"/>
        <v/>
      </c>
      <c r="LM92" s="759" t="str">
        <f t="shared" si="401"/>
        <v/>
      </c>
      <c r="LN92" s="759" t="str">
        <f>IF(A92=FALSE,"",((LH92*TAXE)-(LH92*TAXE*LJ92))+IF(#REF!="N/A",0,IF(INDEX(LISTES!$F$105:$F$109,MATCH(#REF!,LISTES!$C$105:$C$109,0))="FIX",#REF!,#REF!*LM92)))</f>
        <v/>
      </c>
      <c r="MA92" s="432" t="str">
        <f t="shared" si="402"/>
        <v/>
      </c>
      <c r="MB92" s="1234" t="str">
        <f>IF(A92=FALSE,"",IF(Detail!BZ92="","N/A",YEAR(Detail!F92)&amp;Detail!CC92&amp;Detail!BZ92&amp;"-"&amp;Detail!$BZ$13&amp;" (100%/"&amp;Detail!CD92&amp;"/"&amp;Detail!CE92&amp;")"))</f>
        <v/>
      </c>
      <c r="MC92" s="431" t="str">
        <f>IF(A92=FALSE,"",IF(LISTES!$A$17=1,MB92,INDEX(colMOD5,MATCH(DA92,colchoice,0))))</f>
        <v/>
      </c>
      <c r="MD92" s="759" t="str">
        <f t="shared" si="403"/>
        <v/>
      </c>
      <c r="ME92" s="292"/>
      <c r="MF92" s="409" t="str">
        <f t="shared" si="404"/>
        <v/>
      </c>
      <c r="MG92" s="430" t="str">
        <f>IF(A92=FALSE,"",Cotations!BQ92*AA92)</f>
        <v/>
      </c>
      <c r="MH92" s="292" t="str">
        <f t="shared" si="405"/>
        <v/>
      </c>
      <c r="MI92" s="446" t="str">
        <f>IF(A92=FALSE,"",IF(Cotations!AU92="monthly",MH92/12*L92,MH92/365*M92))</f>
        <v/>
      </c>
      <c r="MJ92" s="429" t="str">
        <f>IF(A92=FALSE,"",IF(Cotations!BR92="","",Cotations!BR92))</f>
        <v/>
      </c>
      <c r="MK92" s="292" t="str">
        <f t="shared" si="406"/>
        <v/>
      </c>
      <c r="ML92" s="292" t="str">
        <f t="shared" si="407"/>
        <v/>
      </c>
      <c r="MM92" s="759" t="str">
        <f t="shared" si="408"/>
        <v/>
      </c>
      <c r="MN92" s="759" t="str">
        <f>IF(A92=FALSE,"",((MH92*TAXE)-(MH92*TAXE*MJ92))+IF(#REF!="N/A",0,IF(INDEX(LISTES!$F$105:$F$109,MATCH(#REF!,LISTES!$C$105:$C$109,0))="FIX",#REF!,#REF!*MM92)))</f>
        <v/>
      </c>
      <c r="NA92" s="432" t="str">
        <f t="shared" si="409"/>
        <v/>
      </c>
      <c r="NB92" s="1234" t="str">
        <f>IF(A92=FALSE,"",IF(Detail!CH92="","N/A",YEAR(Detail!F92)&amp;Detail!CK92&amp;Detail!CH92&amp;"-"&amp;Detail!$CH$13&amp;" (100%/"&amp;Detail!CL92&amp;"/"&amp;Detail!CM92&amp;")"))</f>
        <v/>
      </c>
      <c r="NC92" s="431" t="str">
        <f>IF(A92=FALSE,"",IF(LISTES!$A$17=1,NB92,INDEX(colMOD6,MATCH(DA92,colchoice,0))))</f>
        <v/>
      </c>
      <c r="ND92" s="759" t="str">
        <f t="shared" si="410"/>
        <v/>
      </c>
      <c r="NE92" s="292"/>
      <c r="NF92" s="409" t="str">
        <f t="shared" si="411"/>
        <v/>
      </c>
      <c r="NG92" s="430" t="str">
        <f>IF(A92=FALSE,"",Cotations!BU92*AA92)</f>
        <v/>
      </c>
      <c r="NH92" s="292" t="str">
        <f t="shared" si="412"/>
        <v/>
      </c>
      <c r="NI92" s="446" t="str">
        <f>IF(A92=FALSE,"",IF(Cotations!AU92="monthly",NH92/12*L92,NH92/365*M92))</f>
        <v/>
      </c>
      <c r="NJ92" s="429" t="str">
        <f>IF(A92=FALSE,"",IF(Cotations!BV92="","",Cotations!BV92))</f>
        <v/>
      </c>
      <c r="NK92" s="292" t="str">
        <f t="shared" si="413"/>
        <v/>
      </c>
      <c r="NL92" s="292" t="str">
        <f t="shared" si="414"/>
        <v/>
      </c>
      <c r="NM92" s="759" t="str">
        <f t="shared" si="415"/>
        <v/>
      </c>
      <c r="NN92" s="759" t="str">
        <f>IF(A92=FALSE,"",((NH92*TAXE)-(NH92*TAXE*NJ92))+IF(#REF!="N/A",0,IF(INDEX(LISTES!$F$105:$F$109,MATCH(#REF!,LISTES!$C$105:$C$109,0))="FIX",#REF!,#REF!*NM92)))</f>
        <v/>
      </c>
      <c r="NZ92" s="1281" t="str">
        <f>IF(A92=FALSE,"",IF(Detail!CP92="","N/A",YEAR(Detail!F92)&amp;Detail!CS92&amp;Detail!CP92&amp;"-"&amp;Detail!CQ92))</f>
        <v/>
      </c>
      <c r="OA92" s="432" t="str">
        <f>IF(A92=FALSE,"",Cotations!CF92)</f>
        <v/>
      </c>
      <c r="OB92" s="1282" t="str">
        <f>IF(A92=FALSE,"",IF(Detail!CP92="","N/A",YEAR(Detail!F92)&amp;Detail!CS92&amp;Detail!CP92&amp;"-"&amp;Detail!$CP$13&amp;Detail!CQ92))</f>
        <v/>
      </c>
      <c r="OC92" s="1283" t="str">
        <f>IF(A92=FALSE,"",IF(LISTES!$A$17=1,OB92,INDEX(colMOD1,MATCH(Cotations!CE92,colchoice,0))))</f>
        <v/>
      </c>
      <c r="OD92" s="759" t="str">
        <f t="shared" si="416"/>
        <v/>
      </c>
      <c r="OE92" s="292" t="str">
        <f>IF(A92=FALSE,"",Detail!CQ92)</f>
        <v/>
      </c>
      <c r="OF92" s="409" t="str">
        <f t="shared" si="417"/>
        <v/>
      </c>
      <c r="OG92" s="430" t="str">
        <f>IF(A92=FALSE,"",IF(OA92="FIXE",Cotations!CM92,Cotations!CN92*AA92))</f>
        <v/>
      </c>
      <c r="OH92" s="292" t="str">
        <f t="shared" si="494"/>
        <v/>
      </c>
      <c r="OI92" s="446" t="str">
        <f>IF(A92=FALSE,"",IF(Cotations!CF92="monthly",OH92/12*L92,OH92/365*M92))</f>
        <v/>
      </c>
      <c r="OJ92" s="429" t="str">
        <f>IF(A92=FALSE,"",IF(Cotations!CO92="","",Cotations!CO92))</f>
        <v/>
      </c>
      <c r="OK92" s="292" t="str">
        <f t="shared" si="495"/>
        <v/>
      </c>
      <c r="OL92" s="292" t="str">
        <f t="shared" si="496"/>
        <v/>
      </c>
      <c r="OM92" s="759" t="str">
        <f t="shared" si="418"/>
        <v/>
      </c>
      <c r="ON92" s="759" t="str">
        <f>IF(A92=FALSE,"",((OH92*(1+TAXE)-(OH92*(1+TAXE)*OJ92))+IF(#REF!="N/A",0,IF(INDEX(LISTES!$F$105:$F$109,MATCH(#REF!,LISTES!$C$105:$C$109,0))="FIX",#REF!,#REF!*OM92))))</f>
        <v/>
      </c>
      <c r="PA92" s="432" t="str">
        <f>IF(A92=FALSE,"",Cotations!CF92)</f>
        <v/>
      </c>
      <c r="PB92" s="1282" t="str">
        <f>IF(A92=FALSE,"",IF(Detail!CX92="","N/A",YEAR(Detail!F92)&amp;Detail!DA92&amp;Detail!CX92&amp;"-"&amp;Detail!$CX$13&amp;Detail!CY92))</f>
        <v/>
      </c>
      <c r="PC92" s="1283" t="str">
        <f>IF(A92=FALSE,"",IF(LISTES!$A$17=1,PB92,INDEX(colMOD3,MATCH(Cotations!CE92,colchoice,0))))</f>
        <v/>
      </c>
      <c r="PD92" s="759" t="str">
        <f t="shared" si="419"/>
        <v/>
      </c>
      <c r="PE92" s="292" t="str">
        <f>IF(A92=FALSE,"",IF(Detail!CY92="","",Detail!CY92))</f>
        <v/>
      </c>
      <c r="PF92" s="409" t="str">
        <f t="shared" si="497"/>
        <v/>
      </c>
      <c r="PG92" s="430" t="str">
        <f>IF(A92=FALSE,"",IF(PA92="FIXE",Cotations!CP92,Cotations!CQ92*AA92))</f>
        <v/>
      </c>
      <c r="PH92" s="292" t="str">
        <f t="shared" si="498"/>
        <v/>
      </c>
      <c r="PI92" s="446" t="str">
        <f>IF(A92=FALSE,"",IF(Cotations!CG92="monthly",PH92/12*L92,PH92/365*M92))</f>
        <v/>
      </c>
      <c r="PJ92" s="429" t="str">
        <f>IF(A92=FALSE,"",IF(Cotations!DA92="",0,Cotations!DA92))</f>
        <v/>
      </c>
      <c r="PK92" s="292" t="str">
        <f t="shared" si="499"/>
        <v/>
      </c>
      <c r="PL92" s="292" t="str">
        <f t="shared" si="500"/>
        <v/>
      </c>
      <c r="PM92" s="759" t="str">
        <f t="shared" si="420"/>
        <v/>
      </c>
      <c r="PN92" s="759" t="str">
        <f>IF(A92=FALSE,"",((PH92*(1+TAXE)-(PH92*(1+TAXE)*PJ92))+IF(#REF!="N/A",0,IF(INDEX(LISTES!$F$105:$F$109,MATCH(#REF!,LISTES!$C$105:$C$109,0))="FIX",#REF!,#REF!*PM92))))</f>
        <v/>
      </c>
    </row>
    <row r="93" spans="1:430">
      <c r="A93" s="779" t="b">
        <f t="shared" si="364"/>
        <v>0</v>
      </c>
      <c r="B93" s="779" t="b">
        <f>IF(NAMES!$B$9=TRUE,TRUE,FALSE)</f>
        <v>1</v>
      </c>
      <c r="C93" s="779" t="b">
        <f t="shared" si="421"/>
        <v>0</v>
      </c>
      <c r="D93" s="779" t="b">
        <f t="shared" si="422"/>
        <v>0</v>
      </c>
      <c r="E93" s="267" t="b">
        <f>IF(Cotations!C93="","",Cotations!C93)</f>
        <v>0</v>
      </c>
      <c r="F93" s="267" t="str">
        <f>IF(Cotations!AT93="","",Cotations!AT93)</f>
        <v>PROP</v>
      </c>
      <c r="G93" s="267" t="str">
        <f>IF(Cotations!D93="","",Cotations!D93)</f>
        <v>2016-2017!</v>
      </c>
      <c r="H93" s="267" t="str">
        <f>IF(Cotations!E93="","",Cotations!E93)</f>
        <v>SINGLE</v>
      </c>
      <c r="I93" s="267" t="str">
        <f>IF(Cotations!F93="","",Cotations!F93)</f>
        <v/>
      </c>
      <c r="J93" s="267" t="str">
        <f>IF(Cotations!G93="","",Cotations!G93)</f>
        <v/>
      </c>
      <c r="K93" s="267" t="str">
        <f>IF(Cotations!H93="","",Cotations!H93)</f>
        <v/>
      </c>
      <c r="L93" s="267" t="str">
        <f>IF(A93=FALSE,"",IF(Cotations!M93="","",Cotations!M93))</f>
        <v/>
      </c>
      <c r="M93" s="267" t="str">
        <f>IF(Cotations!O93="","",Cotations!O93)</f>
        <v/>
      </c>
      <c r="N93" s="588" t="str">
        <f>IF(NAMES!$B$10=TRUE,Cotations!I93,Cotations!K93)</f>
        <v/>
      </c>
      <c r="O93" s="588" t="str">
        <f>IF(NAMES!$B$10=TRUE,Cotations!J93,Cotations!L93)</f>
        <v/>
      </c>
      <c r="P93" s="780" t="str">
        <f t="shared" si="423"/>
        <v/>
      </c>
      <c r="Q93" s="588" t="str">
        <f>IF(A93=FALSE,"",IF(Crewlist!Y93="","",Crewlist!Y93))</f>
        <v/>
      </c>
      <c r="R93" s="78" t="str">
        <f>IF(Cotations!T93="","",Cotations!T93)</f>
        <v/>
      </c>
      <c r="S93" s="780" t="str">
        <f t="shared" si="424"/>
        <v/>
      </c>
      <c r="T93" s="759" t="str">
        <f>IF(A93=FALSE,"",VLOOKUP($U$15:$U$120,Currency!$A$2:$D$10,4,0)*Crewlist!N93)</f>
        <v/>
      </c>
      <c r="U93" s="1097" t="str">
        <f>IF(A93=FALSE,"",IF(DP93=0,Crewlist!M93&amp;"/"&amp;CP93,Crewlist!M93&amp;"/"&amp;DP93))</f>
        <v/>
      </c>
      <c r="V93" s="759" t="str">
        <f>IF(A93=FALSE,"",VLOOKUP($U$15:$U$120,Currency!$A$2:$D$10,4,0)*Detail!Q93)</f>
        <v/>
      </c>
      <c r="W93" s="1097" t="str">
        <f>IF(A93=FALSE,"",IF(DP93=0,Detail!R93&amp;"/"&amp;CP93,Detail!R93&amp;"/"&amp;DP93))</f>
        <v/>
      </c>
      <c r="X93" s="759" t="str">
        <f>IF(A93=FALSE,"",IF(LISTES!$C$17="Crewlist",Calcul!T93,Calcul!V93))</f>
        <v/>
      </c>
      <c r="Y93" s="618" t="str">
        <f t="shared" si="425"/>
        <v/>
      </c>
      <c r="Z93" s="618" t="str">
        <f>IF(A93=FALSE,"",IF(X93=0,0,IF((Cotations!BA93*12*X93)&lt;50000,50000,(12*X93))))</f>
        <v/>
      </c>
      <c r="AA93" s="618" t="str">
        <f t="shared" si="426"/>
        <v/>
      </c>
      <c r="AB93" s="618" t="str">
        <f>IF(A93=FALSE,"",IF(Crewlist!O93=0,"",Crewlist!O93))</f>
        <v/>
      </c>
      <c r="AC93" s="618" t="str">
        <f>IF(I93="","",VLOOKUP($AB$15:$AB$120,Currency!$A$15:$B$34,2,0))</f>
        <v/>
      </c>
      <c r="AD93" s="618" t="str">
        <f t="shared" si="427"/>
        <v/>
      </c>
      <c r="AE93" s="618" t="str">
        <f t="shared" si="428"/>
        <v/>
      </c>
      <c r="AF93" s="618" t="str">
        <f t="shared" si="429"/>
        <v/>
      </c>
      <c r="AG93" s="618" t="str">
        <f t="shared" si="430"/>
        <v/>
      </c>
      <c r="AH93" s="1097" t="str">
        <f t="shared" si="365"/>
        <v/>
      </c>
      <c r="AI93" s="759" t="str">
        <f t="shared" si="431"/>
        <v/>
      </c>
      <c r="AJ93" s="1120" t="str">
        <f t="shared" si="432"/>
        <v/>
      </c>
      <c r="AK93" s="1120" t="str">
        <f t="shared" si="433"/>
        <v/>
      </c>
      <c r="AL93" s="236" t="str">
        <f t="shared" si="434"/>
        <v/>
      </c>
      <c r="AM93" s="236" t="str">
        <f t="shared" si="435"/>
        <v/>
      </c>
      <c r="AN93" s="1112" t="str">
        <f t="shared" si="436"/>
        <v/>
      </c>
      <c r="AO93" s="236" t="str">
        <f t="shared" si="437"/>
        <v/>
      </c>
      <c r="AP93" s="327" t="str">
        <f>IF(A93=FALSE,"",INDEX(Rates!$Q$1:$Q$278,MATCH(CA93,colchoice,0)))</f>
        <v/>
      </c>
      <c r="AQ93" s="236" t="str">
        <f t="shared" si="438"/>
        <v/>
      </c>
      <c r="AR93" s="236" t="str">
        <f t="shared" si="439"/>
        <v/>
      </c>
      <c r="AS93" s="236" t="str">
        <f t="shared" si="366"/>
        <v/>
      </c>
      <c r="AT93" s="236" t="str">
        <f t="shared" si="367"/>
        <v/>
      </c>
      <c r="AU93" s="236" t="str">
        <f t="shared" si="440"/>
        <v/>
      </c>
      <c r="AV93" s="236" t="str">
        <f t="shared" si="441"/>
        <v/>
      </c>
      <c r="AW93" s="236" t="str">
        <f t="shared" si="442"/>
        <v/>
      </c>
      <c r="AX93" s="236" t="str">
        <f t="shared" si="443"/>
        <v/>
      </c>
      <c r="AY93" s="236" t="str">
        <f t="shared" si="444"/>
        <v/>
      </c>
      <c r="AZ93" s="236" t="str">
        <f t="shared" si="445"/>
        <v/>
      </c>
      <c r="BA93" s="236" t="str">
        <f t="shared" si="446"/>
        <v/>
      </c>
      <c r="BB93" s="467" t="str">
        <f t="shared" si="447"/>
        <v/>
      </c>
      <c r="BC93" s="329" t="str">
        <f t="shared" si="448"/>
        <v/>
      </c>
      <c r="BD93" s="237" t="str">
        <f t="shared" si="449"/>
        <v/>
      </c>
      <c r="BE93" s="237" t="str">
        <f>IF(A93=FALSE,"",IF(ED93&lt;&gt;$BC$7,0,INDEX(EA93:EZ93,1,MATCH(Structure!$J$16,$EA$14:$EZ$14,0))))</f>
        <v/>
      </c>
      <c r="BF93" s="237" t="str">
        <f>IF(A93=FALSE,"",IF(FD93&lt;&gt;$BC$7,0,INDEX(FA93:FZ93,1,MATCH(Structure!$J$16,$FA$14:$FZ$14,0))))</f>
        <v/>
      </c>
      <c r="BG93" s="237" t="str">
        <f>IF(A93=FALSE,"",IF(GD93&lt;&gt;$BC$7,0,INDEX(GA93:GZ93,1,MATCH(Structure!$J$16,$GA$14:$GZ$14,0))))</f>
        <v/>
      </c>
      <c r="BH93" s="237" t="str">
        <f>IF(A93=FALSE,"",IF(HD93&lt;&gt;$BC$7,0,INDEX(HA93:HZ93,1,MATCH(Structure!$J$16,$HA$14:$HZ$14,0))))</f>
        <v/>
      </c>
      <c r="BI93" s="621" t="str">
        <f>IF(A93=FALSE,"",IF(ID93&lt;&gt;$BC$7,0,INDEX(IA93:IZ93,1,MATCH(Structure!$C$12,$IA$14:$IZ$14,0)))+OL93)</f>
        <v/>
      </c>
      <c r="BJ93" s="237" t="str">
        <f>IF(A93=FALSE,"",IF(JD93&lt;&gt;$BC$7,0,INDEX(JA93:JZ93,1,MATCH(Structure!$C$12,$JA$14:$JZ$14,0))))</f>
        <v/>
      </c>
      <c r="BK93" s="621" t="str">
        <f>IF(A93=FALSE,"",IF(KD93&lt;&gt;$BC$7,0,INDEX(KA93:KZ93,1,MATCH(Structure!$C$12,$KA$14:$KZ$14,0)))+PL93)</f>
        <v/>
      </c>
      <c r="BL93" s="237" t="str">
        <f>IF(A93=FALSE,"",IF(LD93&lt;&gt;$BC$7,0,INDEX(LA93:LZ93,1,MATCH(Structure!$C$12,$LA$14:$LZ$14,0))))</f>
        <v/>
      </c>
      <c r="BM93" s="237" t="str">
        <f>IF(A93=FALSE,"",IF(MD93&lt;&gt;$BC$7,0,INDEX(MA93:MZ93,1,MATCH(Structure!$C$12,$MA$14:$MZ$14,0))))</f>
        <v/>
      </c>
      <c r="BN93" s="326" t="str">
        <f>IF(A93=FALSE,"",IF(ND93&lt;&gt;$BC$7,0,INDEX(NA93:OC93,1,MATCH(Structure!$C$12,$NA$14:$OC$14,0))))</f>
        <v/>
      </c>
      <c r="BO93" s="435" t="str">
        <f t="shared" si="450"/>
        <v/>
      </c>
      <c r="BP93" s="237" t="str">
        <f t="shared" si="451"/>
        <v/>
      </c>
      <c r="BQ93" s="237" t="str">
        <f>IF(A93=FALSE,"",IF(ED93&lt;&gt;$BO$7,0,INDEX(EA93:EZ93,1,MATCH(Structure!$C$12,$EA$14:$EZ$14,0))))</f>
        <v/>
      </c>
      <c r="BR93" s="237" t="str">
        <f>IF(A93=FALSE,"",IF(FD93&lt;&gt;$BO$7,0,INDEX(FA93:FZ93,1,MATCH(Structure!$C$12,$FA$14:$FZ$14,0))))</f>
        <v/>
      </c>
      <c r="BS93" s="237" t="str">
        <f>IF(A93=FALSE,"",IF(ID93&lt;&gt;$BO$7,0,INDEX(IA93:IZ93,1,MATCH(Structure!$C$13,$IA$14:$IZ$14,0))))</f>
        <v/>
      </c>
      <c r="BT93" s="237" t="str">
        <f>IF(A93=FALSE,"",IF(JD93&lt;&gt;$BO$7,0,INDEX(JA93:JZ93,1,MATCH(Structure!$C$13,$JA$14:$JZ$14,0))))</f>
        <v/>
      </c>
      <c r="BU93" s="237" t="str">
        <f>IF(A93=FALSE,"",IF(KD93&lt;&gt;$BO$7,0,INDEX(KA93:KZ93,1,MATCH(Structure!$C$13,$KA$14:$KZ$14,0))))</f>
        <v/>
      </c>
      <c r="BV93" s="237" t="str">
        <f>IF(A93=FALSE,"",IF(LD93&lt;&gt;$BO$7,0,INDEX(LA93:LZ93,1,MATCH(Structure!$C$13,$LA$14:$LZ$14,0))))</f>
        <v/>
      </c>
      <c r="BW93" s="237" t="str">
        <f>IF(A93=FALSE,"",IF(MD93&lt;&gt;$BO$7,0,INDEX(MA93:MZ93,1,MATCH(Structure!$C$13,$MA$14:$MZ$14,0))))</f>
        <v/>
      </c>
      <c r="BX93" s="326" t="str">
        <f>IF(A93=FALSE,"",IF(ND93&lt;&gt;$BO$7,0,INDEX(NA93:OC93,1,MATCH(Structure!$C$13,$NA$14:$OC$14,0))))</f>
        <v/>
      </c>
      <c r="BY93" s="412"/>
      <c r="BZ93" s="412"/>
      <c r="CA93" s="1255" t="str">
        <f>IF(A93=FALSE,"",IF(LISTES!$A$17=1,Cotations!AG93,Cotations!AH93))</f>
        <v/>
      </c>
      <c r="CB93" s="1266" t="str">
        <f t="shared" si="452"/>
        <v/>
      </c>
      <c r="CC93" s="1120" t="str">
        <f t="shared" si="453"/>
        <v/>
      </c>
      <c r="CD93" s="1120" t="str">
        <f t="shared" si="454"/>
        <v/>
      </c>
      <c r="CE93" s="1120" t="str">
        <f t="shared" si="455"/>
        <v/>
      </c>
      <c r="CF93" s="1120" t="str">
        <f t="shared" si="456"/>
        <v/>
      </c>
      <c r="CG93" s="1267"/>
      <c r="CH93" s="1267"/>
      <c r="CI93" s="1268" t="str">
        <f t="shared" si="457"/>
        <v/>
      </c>
      <c r="CJ93" s="286" t="str">
        <f t="shared" si="458"/>
        <v/>
      </c>
      <c r="CK93" s="286" t="str">
        <f t="shared" si="459"/>
        <v/>
      </c>
      <c r="CL93" s="1263"/>
      <c r="CM93" s="1263"/>
      <c r="CN93" s="1263"/>
      <c r="CO93" s="1263"/>
      <c r="CP93" s="319" t="str">
        <f t="shared" si="460"/>
        <v/>
      </c>
      <c r="CQ93" s="443" t="str">
        <f>IF(A93=FALSE,"",Cotations!AM93)</f>
        <v/>
      </c>
      <c r="CR93" s="443" t="str">
        <f>IF(A93=FALSE,"",IF(Cotations!AN93="","",Cotations!AN93))</f>
        <v/>
      </c>
      <c r="CS93" s="433" t="str">
        <f>IF(A93=FALSE,"",Cotations!AO93)</f>
        <v/>
      </c>
      <c r="CT93" s="443" t="str">
        <f>IF(A93=FALSE,"",IF(CQ93="N/A",0,IF(INDEX(LISTES!$F$105:$F$109,MATCH(CQ93,LISTES!$C$105:$C$109,0))="FIX",IF(INDEX(LISTES!$E$105:$E$109,MATCH(CQ93,LISTES!$C$105:$C$109,0))=12,CR93/12*L93,CR93/365*M93),CS93*EQ93)))</f>
        <v/>
      </c>
      <c r="CU93" s="434" t="str">
        <f>IF(A93=FALSE,"",(CJ93+CK93)*Cotations!AP93)</f>
        <v/>
      </c>
      <c r="CV93" s="434" t="str">
        <f>IF(A93=FALSE,"",(CJ93+CK93)*Cotations!AQ93)</f>
        <v/>
      </c>
      <c r="DA93" s="1253" t="str">
        <f>IF(A93=FALSE,"",IF(LISTES!$A$17=1,Cotations!AV93,Cotations!AW93))</f>
        <v/>
      </c>
      <c r="DB93" s="1271" t="str">
        <f t="shared" si="461"/>
        <v/>
      </c>
      <c r="DC93" s="1270" t="str">
        <f t="shared" si="462"/>
        <v/>
      </c>
      <c r="DD93" s="1270" t="str">
        <f t="shared" si="463"/>
        <v/>
      </c>
      <c r="DE93" s="1270" t="str">
        <f t="shared" si="464"/>
        <v/>
      </c>
      <c r="DF93" s="1270" t="str">
        <f t="shared" si="465"/>
        <v/>
      </c>
      <c r="DG93" s="1270" t="str">
        <f t="shared" si="466"/>
        <v/>
      </c>
      <c r="DH93" s="1270" t="str">
        <f t="shared" si="467"/>
        <v/>
      </c>
      <c r="DI93" s="1271" t="str">
        <f t="shared" si="468"/>
        <v/>
      </c>
      <c r="DJ93" s="286" t="str">
        <f t="shared" si="469"/>
        <v/>
      </c>
      <c r="DK93" s="286" t="str">
        <f t="shared" si="470"/>
        <v/>
      </c>
      <c r="DL93" s="1264" t="str">
        <f t="shared" si="471"/>
        <v/>
      </c>
      <c r="DM93" s="1264" t="str">
        <f t="shared" si="472"/>
        <v/>
      </c>
      <c r="DN93" s="1264" t="str">
        <f t="shared" si="473"/>
        <v/>
      </c>
      <c r="DO93" s="1264" t="str">
        <f t="shared" si="474"/>
        <v/>
      </c>
      <c r="DP93" s="323" t="str">
        <f t="shared" si="368"/>
        <v/>
      </c>
      <c r="DQ93" s="444" t="str">
        <f>IF(A93=FALSE,"",Cotations!BW93)</f>
        <v/>
      </c>
      <c r="DR93" s="444" t="str">
        <f>IF(A93=FALSE,"",Cotations!BX93)</f>
        <v/>
      </c>
      <c r="DS93" s="433" t="str">
        <f>IF(A93=FALSE,"",Cotations!BY93)</f>
        <v/>
      </c>
      <c r="DT93" s="830" t="str">
        <f>IF(A93=FALSE,"",IF(DQ93="N/A",0,IF(INDEX(LISTES!$F$105:$F$109,MATCH(DQ93,LISTES!$C$105:$C$109,0))="FIX",IF(INDEX(LISTES!$E$105:$E$109,MATCH(DQ93,LISTES!$C$105:$C$109,0))=12,DR93/12*L93,DR93/365*M93),DS93*(DN93+DO93))))</f>
        <v/>
      </c>
      <c r="DU93" s="434" t="str">
        <f>IF(A93=FALSE,"",DJ93*Cotations!BZ93)</f>
        <v/>
      </c>
      <c r="DV93" s="434" t="str">
        <f>IF(A93=FALSE,"",DJ93*Cotations!CA93)</f>
        <v/>
      </c>
      <c r="EA93" s="432" t="str">
        <f>IF(A93=FALSE,"",Cotations!AT93)</f>
        <v/>
      </c>
      <c r="EB93" s="1234" t="str">
        <f>IF(A93=FALSE,"",YEAR(Detail!F93)&amp;Detail!AG93&amp;Detail!AD93&amp;"-"&amp;Detail!$AD$13&amp;Detail!AE93)</f>
        <v/>
      </c>
      <c r="EC93" s="434" t="str">
        <f>IF(A93=FALSE,"",IF(LISTES!$A$17=1,EB93,INDEX(colMOD1,MATCH(Cotations!AH93,colchoice,0))))</f>
        <v/>
      </c>
      <c r="ED93" s="277" t="str">
        <f t="shared" si="369"/>
        <v/>
      </c>
      <c r="EE93" s="277" t="str">
        <f t="shared" si="370"/>
        <v/>
      </c>
      <c r="EF93" s="277"/>
      <c r="EG93" s="277"/>
      <c r="EH93" s="277" t="str">
        <f t="shared" si="371"/>
        <v/>
      </c>
      <c r="EI93" s="1104" t="str">
        <f t="shared" si="372"/>
        <v/>
      </c>
      <c r="EJ93" s="1104" t="str">
        <f t="shared" si="373"/>
        <v/>
      </c>
      <c r="EK93" s="443" t="str">
        <f>IF(A93=FALSE,"",IF(Cotations!AF93="monthly",EH93/12*L93,EH93/365*M93))</f>
        <v/>
      </c>
      <c r="EL93" s="1103" t="str">
        <f>IF(A93=FALSE,"",IF(Cotations!AF93="monthly",EJ93/12*L93,EJ93/365*M93))</f>
        <v/>
      </c>
      <c r="EM93" s="433" t="str">
        <f>IF(A93=FALSE,"",IF(Cotations!AI93="","",Cotations!AI93))</f>
        <v/>
      </c>
      <c r="EN93" s="277" t="str">
        <f t="shared" si="374"/>
        <v/>
      </c>
      <c r="EO93" s="277" t="str">
        <f t="shared" si="375"/>
        <v/>
      </c>
      <c r="EP93" s="1104" t="str">
        <f t="shared" si="376"/>
        <v/>
      </c>
      <c r="EQ93" s="277" t="str">
        <f t="shared" si="377"/>
        <v/>
      </c>
      <c r="ER93" s="759" t="str">
        <f>IF(A93=FALSE,"",((EH93*TAXE)-(EH93*TAXE*EM93)+EI93)+IF(CQ93="N/A",0,IF(INDEX(LISTES!$F$105:$F$109,MATCH(CQ93,LISTES!$C$105:$C$109,0))="FIX",CR93,CS93*EQ93)))</f>
        <v/>
      </c>
      <c r="ET93" s="422"/>
      <c r="EU93" s="422"/>
      <c r="EV93" s="422"/>
      <c r="EW93" s="422"/>
      <c r="EX93" s="422"/>
      <c r="EY93" s="422"/>
      <c r="EZ93" s="422"/>
      <c r="FA93" s="432" t="str">
        <f>IF(A93=FALSE,"",Cotations!AT93)</f>
        <v/>
      </c>
      <c r="FB93" s="1235" t="str">
        <f>IF(A93=FALSE,"",IF(Detail!AL93="","N/A",YEAR(Detail!F93)&amp;Detail!AO93&amp;Detail!AL93&amp;"-"&amp;Detail!$AL$13&amp;Detail!AM93))</f>
        <v/>
      </c>
      <c r="FC93" s="434" t="str">
        <f>IF(A93=FALSE,"",IF(LISTES!$A$17=1,FB93,INDEX(colMOD2,MATCH(Cotations!AH93,colchoice,0))))</f>
        <v/>
      </c>
      <c r="FD93" s="277" t="str">
        <f t="shared" si="378"/>
        <v/>
      </c>
      <c r="FE93" s="443" t="str">
        <f>IF(A93=FALSE,"",IF(Detail!AM93="","",Detail!AM93))</f>
        <v/>
      </c>
      <c r="FF93" s="277"/>
      <c r="FG93" s="277"/>
      <c r="FH93" s="277" t="str">
        <f t="shared" si="379"/>
        <v/>
      </c>
      <c r="FI93" s="1104"/>
      <c r="FJ93" s="1104"/>
      <c r="FK93" s="443" t="str">
        <f>IF(A93=FALSE,"",IF(Cotations!AF93="monthly",FH93/12*L93,FH93/365*M93))</f>
        <v/>
      </c>
      <c r="FL93" s="1103" t="str">
        <f>IF(A93=FALSE,"",IF(Cotations!AF93="monthly",FJ93/12*L93,FJ93/365*M93))</f>
        <v/>
      </c>
      <c r="FM93" s="433" t="str">
        <f>IF(A93=FALSE,"",IF(Cotations!AJ93="","",Cotations!AJ93))</f>
        <v/>
      </c>
      <c r="FN93" s="277" t="str">
        <f t="shared" si="475"/>
        <v/>
      </c>
      <c r="FO93" s="277" t="str">
        <f t="shared" si="476"/>
        <v/>
      </c>
      <c r="FP93" s="1104"/>
      <c r="FQ93" s="277" t="str">
        <f t="shared" si="477"/>
        <v/>
      </c>
      <c r="FR93" s="759" t="str">
        <f>IF(A93=FALSE,"",((FH93*TAXE)-(FH93*TAXE*FM93))+IF(#REF!="N/A",0,IF(INDEX(LISTES!$F$105:$F$109,MATCH(#REF!,LISTES!$C$105:$C$109,0))="FIX",#REF!,#REF!*FQ93)))</f>
        <v/>
      </c>
      <c r="FS93" s="422"/>
      <c r="FT93" s="422"/>
      <c r="FU93" s="422"/>
      <c r="FV93" s="422"/>
      <c r="FW93" s="422"/>
      <c r="FX93" s="422"/>
      <c r="FY93" s="422"/>
      <c r="FZ93" s="422"/>
      <c r="GA93" s="432" t="str">
        <f t="shared" si="380"/>
        <v/>
      </c>
      <c r="GB93" s="1234" t="str">
        <f>IF(A93=FALSE,"",IF(Detail!DF93="","N/A",YEAR(Detail!F93)&amp;Detail!DI93&amp;Detail!DF93&amp;"-"&amp;Detail!$DF$13))</f>
        <v/>
      </c>
      <c r="GC93" s="434" t="str">
        <f>IF(A93=FALSE,"",IF(LISTES!$A$17=1,GB93,INDEX(colMOD3,MATCH(Cotations!AH93,colchoice,0))))</f>
        <v/>
      </c>
      <c r="GD93" s="277" t="str">
        <f t="shared" si="381"/>
        <v/>
      </c>
      <c r="GE93" s="277" t="str">
        <f t="shared" si="382"/>
        <v/>
      </c>
      <c r="GF93" s="277"/>
      <c r="GG93" s="277"/>
      <c r="GH93" s="277" t="str">
        <f t="shared" si="478"/>
        <v/>
      </c>
      <c r="GI93" s="1104" t="str">
        <f t="shared" si="479"/>
        <v/>
      </c>
      <c r="GJ93" s="1104" t="str">
        <f t="shared" si="480"/>
        <v/>
      </c>
      <c r="GK93" s="443" t="str">
        <f>IF(A93=FALSE,"",IF(Cotations!AF93="monthly",GH93/12*L93,GH93/365*M93))</f>
        <v/>
      </c>
      <c r="GL93" s="1103" t="str">
        <f>IF(A93=FALSE,"",IF(Cotations!AF93="monthly",GJ93/12*L93,GJ93/365*M93))</f>
        <v/>
      </c>
      <c r="GM93" s="433" t="str">
        <f>IF(A93=FALSE,"",IF(Cotations!AK93="","",Cotations!AK93))</f>
        <v/>
      </c>
      <c r="GN93" s="277" t="str">
        <f t="shared" si="481"/>
        <v/>
      </c>
      <c r="GO93" s="277" t="str">
        <f t="shared" si="482"/>
        <v/>
      </c>
      <c r="GP93" s="1104" t="str">
        <f t="shared" si="483"/>
        <v/>
      </c>
      <c r="GQ93" s="277" t="str">
        <f t="shared" si="484"/>
        <v/>
      </c>
      <c r="GR93" s="759" t="str">
        <f>IF(A93=FALSE,"",((GH93*TAXE)-(GH93*TAXE*GM93)+GI93)+IF(CQ93="N/A",0,IF(INDEX(LISTES!$F$105:$F$109,MATCH(CQ93,LISTES!$C$105:$C$109,0))="FIX",CR93,CS93*GQ93)))</f>
        <v/>
      </c>
      <c r="GS93" s="412"/>
      <c r="GT93" s="412"/>
      <c r="GU93" s="412"/>
      <c r="GV93" s="412"/>
      <c r="GW93" s="412"/>
      <c r="GX93" s="412"/>
      <c r="GY93" s="412"/>
      <c r="GZ93" s="412"/>
      <c r="HA93" s="432" t="str">
        <f t="shared" si="383"/>
        <v/>
      </c>
      <c r="HB93" s="1234" t="str">
        <f>IF(A93=FALSE,"",IF(Detail!DF93="","N/A",YEAR(Detail!F93)&amp;Detail!DI93&amp;Detail!DF93&amp;"-"&amp;Detail!$DF$13))</f>
        <v/>
      </c>
      <c r="HC93" s="434" t="str">
        <f>IF(A93=FALSE,"",IF(LISTES!$A$17=1,HB93,INDEX(colMOD4,MATCH(Cotations!AH93,colchoice,0))))</f>
        <v/>
      </c>
      <c r="HD93" s="277" t="str">
        <f t="shared" si="485"/>
        <v/>
      </c>
      <c r="HE93" s="277" t="str">
        <f t="shared" si="486"/>
        <v/>
      </c>
      <c r="HF93" s="277"/>
      <c r="HG93" s="277"/>
      <c r="HH93" s="277" t="str">
        <f t="shared" si="487"/>
        <v/>
      </c>
      <c r="HI93" s="1104" t="str">
        <f t="shared" si="488"/>
        <v/>
      </c>
      <c r="HJ93" s="1104" t="str">
        <f t="shared" si="489"/>
        <v/>
      </c>
      <c r="HK93" s="443" t="str">
        <f>IF(A93=FALSE,"",IF(Cotations!AF93="monthly",HH93/12*L93,HH93/365*M93))</f>
        <v/>
      </c>
      <c r="HL93" s="1103" t="str">
        <f>IF(A93=FALSE,"",IF(Cotations!AF93="monthly",HJ93/12*L93,HJ93/365*M93))</f>
        <v/>
      </c>
      <c r="HM93" s="433" t="str">
        <f>IF(A93=FALSE,"",IF(Cotations!AL93="","",Cotations!AL93))</f>
        <v/>
      </c>
      <c r="HN93" s="277" t="str">
        <f t="shared" si="490"/>
        <v/>
      </c>
      <c r="HO93" s="277" t="str">
        <f t="shared" si="491"/>
        <v/>
      </c>
      <c r="HP93" s="1104" t="str">
        <f t="shared" si="492"/>
        <v/>
      </c>
      <c r="HQ93" s="277" t="str">
        <f t="shared" si="493"/>
        <v/>
      </c>
      <c r="HR93" s="759" t="str">
        <f>IF(A93=FALSE,"",((HH93*TAXE)-(HH93*TAXE*HM93)+HI93)+IF(CQ93="N/A",0,IF(INDEX(LISTES!$F$105:$F$109,MATCH(CQ93,LISTES!$C$105:$C$109,0))="FIX",CR93,CS93*HQ93)))</f>
        <v/>
      </c>
      <c r="HS93" s="412"/>
      <c r="HT93" s="412"/>
      <c r="HU93" s="412"/>
      <c r="HV93" s="412"/>
      <c r="HW93" s="412"/>
      <c r="HX93" s="412"/>
      <c r="HY93" s="412"/>
      <c r="HZ93" s="1262"/>
      <c r="IA93" s="432" t="str">
        <f>IF(A93=FALSE,"",Cotations!AT93)</f>
        <v/>
      </c>
      <c r="IB93" s="1253" t="str">
        <f>IF(A93=FALSE,"",IF(Detail!AT93="","N/A",YEAR(Detail!F93)&amp;Detail!AW93&amp;Detail!AT93&amp;"-"&amp;Detail!$AT$13&amp;Detail!AU93))</f>
        <v/>
      </c>
      <c r="IC93" s="431" t="str">
        <f>IF(A93=FALSE,"",IF(LISTES!$A$17=1,IB93,INDEX(colMOD1,MATCH(DA93,colchoice,0))))</f>
        <v/>
      </c>
      <c r="ID93" s="759" t="str">
        <f t="shared" si="358"/>
        <v/>
      </c>
      <c r="IE93" s="292" t="str">
        <f>IF(A93=FALSE,"",IF(LISTES!$A$17=1,Detail!AU93,INDEX(Rates!$M$1:$M$270,MATCH(IC93,colMOD1,0))))</f>
        <v/>
      </c>
      <c r="IF93" s="409" t="str">
        <f t="shared" si="359"/>
        <v/>
      </c>
      <c r="IG93" s="430" t="str">
        <f>IF(A93=FALSE,"",IF(IA93="POEA",Cotations!AY93,IF(IA93="FIXE",Cotations!AZ93,IF(Cotations!BA93*Y93&lt;50000,Z93,Cotations!BA93*Y93))))</f>
        <v/>
      </c>
      <c r="IH93" s="292" t="str">
        <f t="shared" si="360"/>
        <v/>
      </c>
      <c r="II93" s="446" t="str">
        <f>IF(A93=FALSE,"",IF(Cotations!AU93="monthly",IH93/12*L93,IH93/365*M93))</f>
        <v/>
      </c>
      <c r="IJ93" s="429" t="str">
        <f>IF(A93=FALSE,"",IF(Cotations!BB93="","",Cotations!BB93))</f>
        <v/>
      </c>
      <c r="IK93" s="292" t="str">
        <f t="shared" si="361"/>
        <v/>
      </c>
      <c r="IL93" s="292" t="str">
        <f t="shared" si="362"/>
        <v/>
      </c>
      <c r="IM93" s="759" t="str">
        <f t="shared" si="363"/>
        <v/>
      </c>
      <c r="IN93" s="759" t="str">
        <f>IF(A93=FALSE,"",((IH93*TAXE)-(IH93*TAXE*IJ93))+IF(DQ93="N/A",0,IF(INDEX(LISTES!$F$105:$F$109,MATCH(DQ93,LISTES!$C$105:$C$109,0))="FIX",DR93,DS93*IM93)))</f>
        <v/>
      </c>
      <c r="JA93" s="432" t="str">
        <f>IF(A93=FALSE,"",Cotations!AT93)</f>
        <v/>
      </c>
      <c r="JB93" s="1234" t="str">
        <f>IF(A93=FALSE,"",IF(Detail!BB93="","N/A",YEAR(Detail!F93)&amp;Detail!BE93&amp;Detail!BB93&amp;"-"&amp;Detail!$BB$13&amp;Detail!BC93))</f>
        <v/>
      </c>
      <c r="JC93" s="431" t="str">
        <f>IF(A93=FALSE,"",IF(LISTES!$A$17=1,JB93,INDEX(colMOD2,MATCH(DA93,colchoice,0))))</f>
        <v/>
      </c>
      <c r="JD93" s="759" t="str">
        <f t="shared" si="384"/>
        <v/>
      </c>
      <c r="JE93" s="292"/>
      <c r="JF93" s="409" t="str">
        <f t="shared" si="385"/>
        <v/>
      </c>
      <c r="JG93" s="430" t="str">
        <f>IF(A93=FALSE,"",IF(JA93="POEA",Cotations!BC93,IF(JA93="FIXE",Cotations!BD93,IF(Cotations!BE93*Y93&lt;50000,Z93,Cotations!BE93*Y93))))</f>
        <v/>
      </c>
      <c r="JH93" s="292" t="str">
        <f t="shared" si="386"/>
        <v/>
      </c>
      <c r="JI93" s="446" t="str">
        <f>IF(A93=FALSE,"",IF(Cotations!AU93="monthly",JH93/12*L93,JH93/365*M93))</f>
        <v/>
      </c>
      <c r="JJ93" s="429" t="str">
        <f>IF(A93=FALSE,"",IF(Cotations!BF93="","",Cotations!BF93))</f>
        <v/>
      </c>
      <c r="JK93" s="292" t="str">
        <f t="shared" si="387"/>
        <v/>
      </c>
      <c r="JL93" s="292" t="str">
        <f t="shared" si="388"/>
        <v/>
      </c>
      <c r="JM93" s="759" t="str">
        <f t="shared" si="389"/>
        <v/>
      </c>
      <c r="JN93" s="759" t="str">
        <f>IF(A93=FALSE,"",((JH93*TAXE)-(JH93*TAXE*JJ93))+IF(#REF!="N/A",0,IF(INDEX(LISTES!$F$105:$F$109,MATCH(#REF!,LISTES!$C$105:$C$109,0))="FIX",#REF!,#REF!*JM93)))</f>
        <v/>
      </c>
      <c r="KA93" s="432" t="str">
        <f>IF(A93=FALSE,"",Cotations!AT93)</f>
        <v/>
      </c>
      <c r="KB93" s="1234" t="str">
        <f>IF(A93=FALSE,"",IF(Detail!BJ93="","N/A",YEAR(Detail!F93)&amp;Detail!BM93&amp;Detail!BJ93&amp;"-"&amp;Detail!$BJ$13&amp;Detail!BK93))</f>
        <v/>
      </c>
      <c r="KC93" s="431" t="str">
        <f>IF(A93=FALSE,"",IF(LISTES!$A$17=1,KB93,INDEX(colMOD3,MATCH(DA93,colchoice,0))))</f>
        <v/>
      </c>
      <c r="KD93" s="759" t="str">
        <f t="shared" si="390"/>
        <v/>
      </c>
      <c r="KE93" s="292"/>
      <c r="KF93" s="409" t="str">
        <f t="shared" si="391"/>
        <v/>
      </c>
      <c r="KG93" s="430" t="str">
        <f>IF(A93=FALSE,"",IF(KA93="POEA",Cotations!BG93,IF(KA93="FIXE",Cotations!BH93,IF(Cotations!BI93*Y93&lt;50000,Z93,Cotations!BI93*Y93))))</f>
        <v/>
      </c>
      <c r="KH93" s="292" t="str">
        <f t="shared" si="392"/>
        <v/>
      </c>
      <c r="KI93" s="446" t="str">
        <f>IF(A93=FALSE,"",IF(Cotations!AU93="monthly",KH93/12*L93,KH93/365*M93))</f>
        <v/>
      </c>
      <c r="KJ93" s="429" t="str">
        <f>IF(A93=FALSE,"",IF(Cotations!BJ93="","",Cotations!BJ93))</f>
        <v/>
      </c>
      <c r="KK93" s="292" t="str">
        <f t="shared" si="393"/>
        <v/>
      </c>
      <c r="KL93" s="292" t="str">
        <f t="shared" si="394"/>
        <v/>
      </c>
      <c r="KM93" s="759" t="str">
        <f t="shared" si="395"/>
        <v/>
      </c>
      <c r="KN93" s="759" t="str">
        <f>IF(A93=FALSE,"",((KH93*TAXE)-(KH93*TAXE*KJ93))+IF(#REF!="N/A",0,IF(INDEX(LISTES!$F$105:$F$109,MATCH(#REF!,LISTES!$C$105:$C$109,0))="FIX",#REF!,#REF!*KM93)))</f>
        <v/>
      </c>
      <c r="LA93" s="432" t="str">
        <f>IF(A93=FALSE,"",Cotations!AT93)</f>
        <v/>
      </c>
      <c r="LB93" s="1234" t="str">
        <f>IF(A93=FALSE,"",IF(Detail!BR93="","N/A",YEAR(Detail!F93)&amp;Detail!BU93&amp;Detail!BR93&amp;"-"&amp;Detail!$BR$13&amp;Detail!BS93))</f>
        <v/>
      </c>
      <c r="LC93" s="431" t="str">
        <f>IF(A93=FALSE,"",IF(LISTES!$A$17=1,LB93,INDEX(colMOD4,MATCH(DA93,colchoice,0))))</f>
        <v/>
      </c>
      <c r="LD93" s="759" t="str">
        <f t="shared" si="396"/>
        <v/>
      </c>
      <c r="LE93" s="292"/>
      <c r="LF93" s="409" t="str">
        <f t="shared" si="397"/>
        <v/>
      </c>
      <c r="LG93" s="430" t="str">
        <f>IF(A93=FALSE,"",IF(LA93="POEA",Cotations!BK93,IF(LA93="FIXE",Cotations!BL93,IF(Cotations!BM93*Y93&lt;50000,Z93,Cotations!BM93*Y93))))</f>
        <v/>
      </c>
      <c r="LH93" s="292" t="str">
        <f t="shared" si="398"/>
        <v/>
      </c>
      <c r="LI93" s="446" t="str">
        <f>IF(A93=FALSE,"",IF(Cotations!AU93="monthly",LH93/12*L93,LH93/365*M93))</f>
        <v/>
      </c>
      <c r="LJ93" s="429" t="str">
        <f>IF(A93=FALSE,"",IF(Cotations!BN93="","",Cotations!BN93))</f>
        <v/>
      </c>
      <c r="LK93" s="292" t="str">
        <f t="shared" si="399"/>
        <v/>
      </c>
      <c r="LL93" s="292" t="str">
        <f t="shared" si="400"/>
        <v/>
      </c>
      <c r="LM93" s="759" t="str">
        <f t="shared" si="401"/>
        <v/>
      </c>
      <c r="LN93" s="759" t="str">
        <f>IF(A93=FALSE,"",((LH93*TAXE)-(LH93*TAXE*LJ93))+IF(#REF!="N/A",0,IF(INDEX(LISTES!$F$105:$F$109,MATCH(#REF!,LISTES!$C$105:$C$109,0))="FIX",#REF!,#REF!*LM93)))</f>
        <v/>
      </c>
      <c r="MA93" s="432" t="str">
        <f t="shared" si="402"/>
        <v/>
      </c>
      <c r="MB93" s="1234" t="str">
        <f>IF(A93=FALSE,"",IF(Detail!BZ93="","N/A",YEAR(Detail!F93)&amp;Detail!CC93&amp;Detail!BZ93&amp;"-"&amp;Detail!$BZ$13&amp;" (100%/"&amp;Detail!CD93&amp;"/"&amp;Detail!CE93&amp;")"))</f>
        <v/>
      </c>
      <c r="MC93" s="431" t="str">
        <f>IF(A93=FALSE,"",IF(LISTES!$A$17=1,MB93,INDEX(colMOD5,MATCH(DA93,colchoice,0))))</f>
        <v/>
      </c>
      <c r="MD93" s="759" t="str">
        <f t="shared" si="403"/>
        <v/>
      </c>
      <c r="ME93" s="292"/>
      <c r="MF93" s="409" t="str">
        <f t="shared" si="404"/>
        <v/>
      </c>
      <c r="MG93" s="430" t="str">
        <f>IF(A93=FALSE,"",Cotations!BQ93*AA93)</f>
        <v/>
      </c>
      <c r="MH93" s="292" t="str">
        <f t="shared" si="405"/>
        <v/>
      </c>
      <c r="MI93" s="446" t="str">
        <f>IF(A93=FALSE,"",IF(Cotations!AU93="monthly",MH93/12*L93,MH93/365*M93))</f>
        <v/>
      </c>
      <c r="MJ93" s="429" t="str">
        <f>IF(A93=FALSE,"",IF(Cotations!BR93="","",Cotations!BR93))</f>
        <v/>
      </c>
      <c r="MK93" s="292" t="str">
        <f t="shared" si="406"/>
        <v/>
      </c>
      <c r="ML93" s="292" t="str">
        <f t="shared" si="407"/>
        <v/>
      </c>
      <c r="MM93" s="759" t="str">
        <f t="shared" si="408"/>
        <v/>
      </c>
      <c r="MN93" s="759" t="str">
        <f>IF(A93=FALSE,"",((MH93*TAXE)-(MH93*TAXE*MJ93))+IF(#REF!="N/A",0,IF(INDEX(LISTES!$F$105:$F$109,MATCH(#REF!,LISTES!$C$105:$C$109,0))="FIX",#REF!,#REF!*MM93)))</f>
        <v/>
      </c>
      <c r="NA93" s="432" t="str">
        <f t="shared" si="409"/>
        <v/>
      </c>
      <c r="NB93" s="1234" t="str">
        <f>IF(A93=FALSE,"",IF(Detail!CH93="","N/A",YEAR(Detail!F93)&amp;Detail!CK93&amp;Detail!CH93&amp;"-"&amp;Detail!$CH$13&amp;" (100%/"&amp;Detail!CL93&amp;"/"&amp;Detail!CM93&amp;")"))</f>
        <v/>
      </c>
      <c r="NC93" s="431" t="str">
        <f>IF(A93=FALSE,"",IF(LISTES!$A$17=1,NB93,INDEX(colMOD6,MATCH(DA93,colchoice,0))))</f>
        <v/>
      </c>
      <c r="ND93" s="759" t="str">
        <f t="shared" si="410"/>
        <v/>
      </c>
      <c r="NE93" s="292"/>
      <c r="NF93" s="409" t="str">
        <f t="shared" si="411"/>
        <v/>
      </c>
      <c r="NG93" s="430" t="str">
        <f>IF(A93=FALSE,"",Cotations!BU93*AA93)</f>
        <v/>
      </c>
      <c r="NH93" s="292" t="str">
        <f t="shared" si="412"/>
        <v/>
      </c>
      <c r="NI93" s="446" t="str">
        <f>IF(A93=FALSE,"",IF(Cotations!AU93="monthly",NH93/12*L93,NH93/365*M93))</f>
        <v/>
      </c>
      <c r="NJ93" s="429" t="str">
        <f>IF(A93=FALSE,"",IF(Cotations!BV93="","",Cotations!BV93))</f>
        <v/>
      </c>
      <c r="NK93" s="292" t="str">
        <f t="shared" si="413"/>
        <v/>
      </c>
      <c r="NL93" s="292" t="str">
        <f t="shared" si="414"/>
        <v/>
      </c>
      <c r="NM93" s="759" t="str">
        <f t="shared" si="415"/>
        <v/>
      </c>
      <c r="NN93" s="759" t="str">
        <f>IF(A93=FALSE,"",((NH93*TAXE)-(NH93*TAXE*NJ93))+IF(#REF!="N/A",0,IF(INDEX(LISTES!$F$105:$F$109,MATCH(#REF!,LISTES!$C$105:$C$109,0))="FIX",#REF!,#REF!*NM93)))</f>
        <v/>
      </c>
      <c r="NZ93" s="1281" t="str">
        <f>IF(A93=FALSE,"",IF(Detail!CP93="","N/A",YEAR(Detail!F93)&amp;Detail!CS93&amp;Detail!CP93&amp;"-"&amp;Detail!CQ93))</f>
        <v/>
      </c>
      <c r="OA93" s="432" t="str">
        <f>IF(A93=FALSE,"",Cotations!CF93)</f>
        <v/>
      </c>
      <c r="OB93" s="1282" t="str">
        <f>IF(A93=FALSE,"",IF(Detail!CP93="","N/A",YEAR(Detail!F93)&amp;Detail!CS93&amp;Detail!CP93&amp;"-"&amp;Detail!$CP$13&amp;Detail!CQ93))</f>
        <v/>
      </c>
      <c r="OC93" s="1283" t="str">
        <f>IF(A93=FALSE,"",IF(LISTES!$A$17=1,OB93,INDEX(colMOD1,MATCH(Cotations!CE93,colchoice,0))))</f>
        <v/>
      </c>
      <c r="OD93" s="759" t="str">
        <f t="shared" si="416"/>
        <v/>
      </c>
      <c r="OE93" s="292" t="str">
        <f>IF(A93=FALSE,"",Detail!CQ93)</f>
        <v/>
      </c>
      <c r="OF93" s="409" t="str">
        <f t="shared" si="417"/>
        <v/>
      </c>
      <c r="OG93" s="430" t="str">
        <f>IF(A93=FALSE,"",IF(OA93="FIXE",Cotations!CM93,Cotations!CN93*AA93))</f>
        <v/>
      </c>
      <c r="OH93" s="292" t="str">
        <f t="shared" si="494"/>
        <v/>
      </c>
      <c r="OI93" s="446" t="str">
        <f>IF(A93=FALSE,"",IF(Cotations!CF93="monthly",OH93/12*L93,OH93/365*M93))</f>
        <v/>
      </c>
      <c r="OJ93" s="429" t="str">
        <f>IF(A93=FALSE,"",IF(Cotations!CO93="","",Cotations!CO93))</f>
        <v/>
      </c>
      <c r="OK93" s="292" t="str">
        <f t="shared" si="495"/>
        <v/>
      </c>
      <c r="OL93" s="292" t="str">
        <f t="shared" si="496"/>
        <v/>
      </c>
      <c r="OM93" s="759" t="str">
        <f t="shared" si="418"/>
        <v/>
      </c>
      <c r="ON93" s="759" t="str">
        <f>IF(A93=FALSE,"",((OH93*(1+TAXE)-(OH93*(1+TAXE)*OJ93))+IF(#REF!="N/A",0,IF(INDEX(LISTES!$F$105:$F$109,MATCH(#REF!,LISTES!$C$105:$C$109,0))="FIX",#REF!,#REF!*OM93))))</f>
        <v/>
      </c>
      <c r="PA93" s="432" t="str">
        <f>IF(A93=FALSE,"",Cotations!CF93)</f>
        <v/>
      </c>
      <c r="PB93" s="1282" t="str">
        <f>IF(A93=FALSE,"",IF(Detail!CX93="","N/A",YEAR(Detail!F93)&amp;Detail!DA93&amp;Detail!CX93&amp;"-"&amp;Detail!$CX$13&amp;Detail!CY93))</f>
        <v/>
      </c>
      <c r="PC93" s="1283" t="str">
        <f>IF(A93=FALSE,"",IF(LISTES!$A$17=1,PB93,INDEX(colMOD3,MATCH(Cotations!CE93,colchoice,0))))</f>
        <v/>
      </c>
      <c r="PD93" s="759" t="str">
        <f t="shared" si="419"/>
        <v/>
      </c>
      <c r="PE93" s="292" t="str">
        <f>IF(A93=FALSE,"",IF(Detail!CY93="","",Detail!CY93))</f>
        <v/>
      </c>
      <c r="PF93" s="409" t="str">
        <f t="shared" si="497"/>
        <v/>
      </c>
      <c r="PG93" s="430" t="str">
        <f>IF(A93=FALSE,"",IF(PA93="FIXE",Cotations!CP93,Cotations!CQ93*AA93))</f>
        <v/>
      </c>
      <c r="PH93" s="292" t="str">
        <f t="shared" si="498"/>
        <v/>
      </c>
      <c r="PI93" s="446" t="str">
        <f>IF(A93=FALSE,"",IF(Cotations!CG93="monthly",PH93/12*L93,PH93/365*M93))</f>
        <v/>
      </c>
      <c r="PJ93" s="429" t="str">
        <f>IF(A93=FALSE,"",IF(Cotations!DA93="",0,Cotations!DA93))</f>
        <v/>
      </c>
      <c r="PK93" s="292" t="str">
        <f t="shared" si="499"/>
        <v/>
      </c>
      <c r="PL93" s="292" t="str">
        <f t="shared" si="500"/>
        <v/>
      </c>
      <c r="PM93" s="759" t="str">
        <f t="shared" si="420"/>
        <v/>
      </c>
      <c r="PN93" s="759" t="str">
        <f>IF(A93=FALSE,"",((PH93*(1+TAXE)-(PH93*(1+TAXE)*PJ93))+IF(#REF!="N/A",0,IF(INDEX(LISTES!$F$105:$F$109,MATCH(#REF!,LISTES!$C$105:$C$109,0))="FIX",#REF!,#REF!*PM93))))</f>
        <v/>
      </c>
    </row>
    <row r="94" spans="1:430">
      <c r="A94" s="779" t="b">
        <f t="shared" si="364"/>
        <v>0</v>
      </c>
      <c r="B94" s="779" t="b">
        <f>IF(NAMES!$B$9=TRUE,TRUE,FALSE)</f>
        <v>1</v>
      </c>
      <c r="C94" s="779" t="b">
        <f t="shared" si="421"/>
        <v>0</v>
      </c>
      <c r="D94" s="779" t="b">
        <f t="shared" si="422"/>
        <v>0</v>
      </c>
      <c r="E94" s="267" t="b">
        <f>IF(Cotations!C94="","",Cotations!C94)</f>
        <v>0</v>
      </c>
      <c r="F94" s="267" t="str">
        <f>IF(Cotations!AT94="","",Cotations!AT94)</f>
        <v>PROP</v>
      </c>
      <c r="G94" s="267" t="str">
        <f>IF(Cotations!D94="","",Cotations!D94)</f>
        <v>2016-2017!</v>
      </c>
      <c r="H94" s="267" t="str">
        <f>IF(Cotations!E94="","",Cotations!E94)</f>
        <v>SINGLE</v>
      </c>
      <c r="I94" s="267" t="str">
        <f>IF(Cotations!F94="","",Cotations!F94)</f>
        <v/>
      </c>
      <c r="J94" s="267" t="str">
        <f>IF(Cotations!G94="","",Cotations!G94)</f>
        <v/>
      </c>
      <c r="K94" s="267" t="str">
        <f>IF(Cotations!H94="","",Cotations!H94)</f>
        <v/>
      </c>
      <c r="L94" s="267" t="str">
        <f>IF(A94=FALSE,"",IF(Cotations!M94="","",Cotations!M94))</f>
        <v/>
      </c>
      <c r="M94" s="267" t="str">
        <f>IF(Cotations!O94="","",Cotations!O94)</f>
        <v/>
      </c>
      <c r="N94" s="588" t="str">
        <f>IF(NAMES!$B$10=TRUE,Cotations!I94,Cotations!K94)</f>
        <v/>
      </c>
      <c r="O94" s="588" t="str">
        <f>IF(NAMES!$B$10=TRUE,Cotations!J94,Cotations!L94)</f>
        <v/>
      </c>
      <c r="P94" s="780" t="str">
        <f t="shared" si="423"/>
        <v/>
      </c>
      <c r="Q94" s="588" t="str">
        <f>IF(A94=FALSE,"",IF(Crewlist!Y94="","",Crewlist!Y94))</f>
        <v/>
      </c>
      <c r="R94" s="78" t="str">
        <f>IF(Cotations!T94="","",Cotations!T94)</f>
        <v/>
      </c>
      <c r="S94" s="780" t="str">
        <f t="shared" si="424"/>
        <v/>
      </c>
      <c r="T94" s="759" t="str">
        <f>IF(A94=FALSE,"",VLOOKUP($U$15:$U$120,Currency!$A$2:$D$10,4,0)*Crewlist!N94)</f>
        <v/>
      </c>
      <c r="U94" s="1097" t="str">
        <f>IF(A94=FALSE,"",IF(DP94=0,Crewlist!M94&amp;"/"&amp;CP94,Crewlist!M94&amp;"/"&amp;DP94))</f>
        <v/>
      </c>
      <c r="V94" s="759" t="str">
        <f>IF(A94=FALSE,"",VLOOKUP($U$15:$U$120,Currency!$A$2:$D$10,4,0)*Detail!Q94)</f>
        <v/>
      </c>
      <c r="W94" s="1097" t="str">
        <f>IF(A94=FALSE,"",IF(DP94=0,Detail!R94&amp;"/"&amp;CP94,Detail!R94&amp;"/"&amp;DP94))</f>
        <v/>
      </c>
      <c r="X94" s="759" t="str">
        <f>IF(A94=FALSE,"",IF(LISTES!$C$17="Crewlist",Calcul!T94,Calcul!V94))</f>
        <v/>
      </c>
      <c r="Y94" s="618" t="str">
        <f t="shared" si="425"/>
        <v/>
      </c>
      <c r="Z94" s="618" t="str">
        <f>IF(A94=FALSE,"",IF(X94=0,0,IF((Cotations!BA94*12*X94)&lt;50000,50000,(12*X94))))</f>
        <v/>
      </c>
      <c r="AA94" s="618" t="str">
        <f t="shared" si="426"/>
        <v/>
      </c>
      <c r="AB94" s="618" t="str">
        <f>IF(A94=FALSE,"",IF(Crewlist!O94=0,"",Crewlist!O94))</f>
        <v/>
      </c>
      <c r="AC94" s="618" t="str">
        <f>IF(I94="","",VLOOKUP($AB$15:$AB$120,Currency!$A$15:$B$34,2,0))</f>
        <v/>
      </c>
      <c r="AD94" s="618" t="str">
        <f t="shared" si="427"/>
        <v/>
      </c>
      <c r="AE94" s="618" t="str">
        <f t="shared" si="428"/>
        <v/>
      </c>
      <c r="AF94" s="618" t="str">
        <f t="shared" si="429"/>
        <v/>
      </c>
      <c r="AG94" s="618" t="str">
        <f t="shared" si="430"/>
        <v/>
      </c>
      <c r="AH94" s="1097" t="str">
        <f t="shared" si="365"/>
        <v/>
      </c>
      <c r="AI94" s="759" t="str">
        <f t="shared" si="431"/>
        <v/>
      </c>
      <c r="AJ94" s="1120" t="str">
        <f t="shared" si="432"/>
        <v/>
      </c>
      <c r="AK94" s="1120" t="str">
        <f t="shared" si="433"/>
        <v/>
      </c>
      <c r="AL94" s="236" t="str">
        <f t="shared" si="434"/>
        <v/>
      </c>
      <c r="AM94" s="236" t="str">
        <f t="shared" si="435"/>
        <v/>
      </c>
      <c r="AN94" s="1112" t="str">
        <f t="shared" si="436"/>
        <v/>
      </c>
      <c r="AO94" s="236" t="str">
        <f t="shared" si="437"/>
        <v/>
      </c>
      <c r="AP94" s="327" t="str">
        <f>IF(A94=FALSE,"",INDEX(Rates!$Q$1:$Q$278,MATCH(CA94,colchoice,0)))</f>
        <v/>
      </c>
      <c r="AQ94" s="236" t="str">
        <f t="shared" si="438"/>
        <v/>
      </c>
      <c r="AR94" s="236" t="str">
        <f t="shared" si="439"/>
        <v/>
      </c>
      <c r="AS94" s="236" t="str">
        <f t="shared" si="366"/>
        <v/>
      </c>
      <c r="AT94" s="236" t="str">
        <f t="shared" si="367"/>
        <v/>
      </c>
      <c r="AU94" s="236" t="str">
        <f t="shared" si="440"/>
        <v/>
      </c>
      <c r="AV94" s="236" t="str">
        <f t="shared" si="441"/>
        <v/>
      </c>
      <c r="AW94" s="236" t="str">
        <f t="shared" si="442"/>
        <v/>
      </c>
      <c r="AX94" s="236" t="str">
        <f t="shared" si="443"/>
        <v/>
      </c>
      <c r="AY94" s="236" t="str">
        <f t="shared" si="444"/>
        <v/>
      </c>
      <c r="AZ94" s="236" t="str">
        <f t="shared" si="445"/>
        <v/>
      </c>
      <c r="BA94" s="236" t="str">
        <f t="shared" si="446"/>
        <v/>
      </c>
      <c r="BB94" s="467" t="str">
        <f t="shared" si="447"/>
        <v/>
      </c>
      <c r="BC94" s="329" t="str">
        <f t="shared" si="448"/>
        <v/>
      </c>
      <c r="BD94" s="237" t="str">
        <f t="shared" si="449"/>
        <v/>
      </c>
      <c r="BE94" s="237" t="str">
        <f>IF(A94=FALSE,"",IF(ED94&lt;&gt;$BC$7,0,INDEX(EA94:EZ94,1,MATCH(Structure!$J$16,$EA$14:$EZ$14,0))))</f>
        <v/>
      </c>
      <c r="BF94" s="237" t="str">
        <f>IF(A94=FALSE,"",IF(FD94&lt;&gt;$BC$7,0,INDEX(FA94:FZ94,1,MATCH(Structure!$J$16,$FA$14:$FZ$14,0))))</f>
        <v/>
      </c>
      <c r="BG94" s="237" t="str">
        <f>IF(A94=FALSE,"",IF(GD94&lt;&gt;$BC$7,0,INDEX(GA94:GZ94,1,MATCH(Structure!$J$16,$GA$14:$GZ$14,0))))</f>
        <v/>
      </c>
      <c r="BH94" s="237" t="str">
        <f>IF(A94=FALSE,"",IF(HD94&lt;&gt;$BC$7,0,INDEX(HA94:HZ94,1,MATCH(Structure!$J$16,$HA$14:$HZ$14,0))))</f>
        <v/>
      </c>
      <c r="BI94" s="621" t="str">
        <f>IF(A94=FALSE,"",IF(ID94&lt;&gt;$BC$7,0,INDEX(IA94:IZ94,1,MATCH(Structure!$C$12,$IA$14:$IZ$14,0)))+OL94)</f>
        <v/>
      </c>
      <c r="BJ94" s="237" t="str">
        <f>IF(A94=FALSE,"",IF(JD94&lt;&gt;$BC$7,0,INDEX(JA94:JZ94,1,MATCH(Structure!$C$12,$JA$14:$JZ$14,0))))</f>
        <v/>
      </c>
      <c r="BK94" s="621" t="str">
        <f>IF(A94=FALSE,"",IF(KD94&lt;&gt;$BC$7,0,INDEX(KA94:KZ94,1,MATCH(Structure!$C$12,$KA$14:$KZ$14,0)))+PL94)</f>
        <v/>
      </c>
      <c r="BL94" s="237" t="str">
        <f>IF(A94=FALSE,"",IF(LD94&lt;&gt;$BC$7,0,INDEX(LA94:LZ94,1,MATCH(Structure!$C$12,$LA$14:$LZ$14,0))))</f>
        <v/>
      </c>
      <c r="BM94" s="237" t="str">
        <f>IF(A94=FALSE,"",IF(MD94&lt;&gt;$BC$7,0,INDEX(MA94:MZ94,1,MATCH(Structure!$C$12,$MA$14:$MZ$14,0))))</f>
        <v/>
      </c>
      <c r="BN94" s="326" t="str">
        <f>IF(A94=FALSE,"",IF(ND94&lt;&gt;$BC$7,0,INDEX(NA94:OC94,1,MATCH(Structure!$C$12,$NA$14:$OC$14,0))))</f>
        <v/>
      </c>
      <c r="BO94" s="435" t="str">
        <f t="shared" si="450"/>
        <v/>
      </c>
      <c r="BP94" s="237" t="str">
        <f t="shared" si="451"/>
        <v/>
      </c>
      <c r="BQ94" s="237" t="str">
        <f>IF(A94=FALSE,"",IF(ED94&lt;&gt;$BO$7,0,INDEX(EA94:EZ94,1,MATCH(Structure!$C$12,$EA$14:$EZ$14,0))))</f>
        <v/>
      </c>
      <c r="BR94" s="237" t="str">
        <f>IF(A94=FALSE,"",IF(FD94&lt;&gt;$BO$7,0,INDEX(FA94:FZ94,1,MATCH(Structure!$C$12,$FA$14:$FZ$14,0))))</f>
        <v/>
      </c>
      <c r="BS94" s="237" t="str">
        <f>IF(A94=FALSE,"",IF(ID94&lt;&gt;$BO$7,0,INDEX(IA94:IZ94,1,MATCH(Structure!$C$13,$IA$14:$IZ$14,0))))</f>
        <v/>
      </c>
      <c r="BT94" s="237" t="str">
        <f>IF(A94=FALSE,"",IF(JD94&lt;&gt;$BO$7,0,INDEX(JA94:JZ94,1,MATCH(Structure!$C$13,$JA$14:$JZ$14,0))))</f>
        <v/>
      </c>
      <c r="BU94" s="237" t="str">
        <f>IF(A94=FALSE,"",IF(KD94&lt;&gt;$BO$7,0,INDEX(KA94:KZ94,1,MATCH(Structure!$C$13,$KA$14:$KZ$14,0))))</f>
        <v/>
      </c>
      <c r="BV94" s="237" t="str">
        <f>IF(A94=FALSE,"",IF(LD94&lt;&gt;$BO$7,0,INDEX(LA94:LZ94,1,MATCH(Structure!$C$13,$LA$14:$LZ$14,0))))</f>
        <v/>
      </c>
      <c r="BW94" s="237" t="str">
        <f>IF(A94=FALSE,"",IF(MD94&lt;&gt;$BO$7,0,INDEX(MA94:MZ94,1,MATCH(Structure!$C$13,$MA$14:$MZ$14,0))))</f>
        <v/>
      </c>
      <c r="BX94" s="326" t="str">
        <f>IF(A94=FALSE,"",IF(ND94&lt;&gt;$BO$7,0,INDEX(NA94:OC94,1,MATCH(Structure!$C$13,$NA$14:$OC$14,0))))</f>
        <v/>
      </c>
      <c r="BY94" s="412"/>
      <c r="BZ94" s="412"/>
      <c r="CA94" s="1255" t="str">
        <f>IF(A94=FALSE,"",IF(LISTES!$A$17=1,Cotations!AG94,Cotations!AH94))</f>
        <v/>
      </c>
      <c r="CB94" s="1266" t="str">
        <f t="shared" si="452"/>
        <v/>
      </c>
      <c r="CC94" s="1120" t="str">
        <f t="shared" si="453"/>
        <v/>
      </c>
      <c r="CD94" s="1120" t="str">
        <f t="shared" si="454"/>
        <v/>
      </c>
      <c r="CE94" s="1120" t="str">
        <f t="shared" si="455"/>
        <v/>
      </c>
      <c r="CF94" s="1120" t="str">
        <f t="shared" si="456"/>
        <v/>
      </c>
      <c r="CG94" s="1267"/>
      <c r="CH94" s="1267"/>
      <c r="CI94" s="1268" t="str">
        <f t="shared" si="457"/>
        <v/>
      </c>
      <c r="CJ94" s="286" t="str">
        <f t="shared" si="458"/>
        <v/>
      </c>
      <c r="CK94" s="286" t="str">
        <f t="shared" si="459"/>
        <v/>
      </c>
      <c r="CL94" s="1263"/>
      <c r="CM94" s="1263"/>
      <c r="CN94" s="1263"/>
      <c r="CO94" s="1263"/>
      <c r="CP94" s="319" t="str">
        <f t="shared" si="460"/>
        <v/>
      </c>
      <c r="CQ94" s="443" t="str">
        <f>IF(A94=FALSE,"",Cotations!AM94)</f>
        <v/>
      </c>
      <c r="CR94" s="443" t="str">
        <f>IF(A94=FALSE,"",IF(Cotations!AN94="","",Cotations!AN94))</f>
        <v/>
      </c>
      <c r="CS94" s="433" t="str">
        <f>IF(A94=FALSE,"",Cotations!AO94)</f>
        <v/>
      </c>
      <c r="CT94" s="443" t="str">
        <f>IF(A94=FALSE,"",IF(CQ94="N/A",0,IF(INDEX(LISTES!$F$105:$F$109,MATCH(CQ94,LISTES!$C$105:$C$109,0))="FIX",IF(INDEX(LISTES!$E$105:$E$109,MATCH(CQ94,LISTES!$C$105:$C$109,0))=12,CR94/12*L94,CR94/365*M94),CS94*EQ94)))</f>
        <v/>
      </c>
      <c r="CU94" s="434" t="str">
        <f>IF(A94=FALSE,"",(CJ94+CK94)*Cotations!AP94)</f>
        <v/>
      </c>
      <c r="CV94" s="434" t="str">
        <f>IF(A94=FALSE,"",(CJ94+CK94)*Cotations!AQ94)</f>
        <v/>
      </c>
      <c r="DA94" s="1253" t="str">
        <f>IF(A94=FALSE,"",IF(LISTES!$A$17=1,Cotations!AV94,Cotations!AW94))</f>
        <v/>
      </c>
      <c r="DB94" s="1271" t="str">
        <f t="shared" si="461"/>
        <v/>
      </c>
      <c r="DC94" s="1270" t="str">
        <f t="shared" si="462"/>
        <v/>
      </c>
      <c r="DD94" s="1270" t="str">
        <f t="shared" si="463"/>
        <v/>
      </c>
      <c r="DE94" s="1270" t="str">
        <f t="shared" si="464"/>
        <v/>
      </c>
      <c r="DF94" s="1270" t="str">
        <f t="shared" si="465"/>
        <v/>
      </c>
      <c r="DG94" s="1270" t="str">
        <f t="shared" si="466"/>
        <v/>
      </c>
      <c r="DH94" s="1270" t="str">
        <f t="shared" si="467"/>
        <v/>
      </c>
      <c r="DI94" s="1271" t="str">
        <f t="shared" si="468"/>
        <v/>
      </c>
      <c r="DJ94" s="286" t="str">
        <f t="shared" si="469"/>
        <v/>
      </c>
      <c r="DK94" s="286" t="str">
        <f t="shared" si="470"/>
        <v/>
      </c>
      <c r="DL94" s="1264" t="str">
        <f t="shared" si="471"/>
        <v/>
      </c>
      <c r="DM94" s="1264" t="str">
        <f t="shared" si="472"/>
        <v/>
      </c>
      <c r="DN94" s="1264" t="str">
        <f t="shared" si="473"/>
        <v/>
      </c>
      <c r="DO94" s="1264" t="str">
        <f t="shared" si="474"/>
        <v/>
      </c>
      <c r="DP94" s="323" t="str">
        <f t="shared" si="368"/>
        <v/>
      </c>
      <c r="DQ94" s="444" t="str">
        <f>IF(A94=FALSE,"",Cotations!BW94)</f>
        <v/>
      </c>
      <c r="DR94" s="444" t="str">
        <f>IF(A94=FALSE,"",Cotations!BX94)</f>
        <v/>
      </c>
      <c r="DS94" s="433" t="str">
        <f>IF(A94=FALSE,"",Cotations!BY94)</f>
        <v/>
      </c>
      <c r="DT94" s="830" t="str">
        <f>IF(A94=FALSE,"",IF(DQ94="N/A",0,IF(INDEX(LISTES!$F$105:$F$109,MATCH(DQ94,LISTES!$C$105:$C$109,0))="FIX",IF(INDEX(LISTES!$E$105:$E$109,MATCH(DQ94,LISTES!$C$105:$C$109,0))=12,DR94/12*L94,DR94/365*M94),DS94*(DN94+DO94))))</f>
        <v/>
      </c>
      <c r="DU94" s="434" t="str">
        <f>IF(A94=FALSE,"",DJ94*Cotations!BZ94)</f>
        <v/>
      </c>
      <c r="DV94" s="434" t="str">
        <f>IF(A94=FALSE,"",DJ94*Cotations!CA94)</f>
        <v/>
      </c>
      <c r="EA94" s="432" t="str">
        <f>IF(A94=FALSE,"",Cotations!AT94)</f>
        <v/>
      </c>
      <c r="EB94" s="1234" t="str">
        <f>IF(A94=FALSE,"",YEAR(Detail!F94)&amp;Detail!AG94&amp;Detail!AD94&amp;"-"&amp;Detail!$AD$13&amp;Detail!AE94)</f>
        <v/>
      </c>
      <c r="EC94" s="434" t="str">
        <f>IF(A94=FALSE,"",IF(LISTES!$A$17=1,EB94,INDEX(colMOD1,MATCH(Cotations!AH94,colchoice,0))))</f>
        <v/>
      </c>
      <c r="ED94" s="277" t="str">
        <f t="shared" si="369"/>
        <v/>
      </c>
      <c r="EE94" s="277" t="str">
        <f t="shared" si="370"/>
        <v/>
      </c>
      <c r="EF94" s="277"/>
      <c r="EG94" s="277"/>
      <c r="EH94" s="277" t="str">
        <f t="shared" si="371"/>
        <v/>
      </c>
      <c r="EI94" s="1104" t="str">
        <f t="shared" si="372"/>
        <v/>
      </c>
      <c r="EJ94" s="1104" t="str">
        <f t="shared" si="373"/>
        <v/>
      </c>
      <c r="EK94" s="443" t="str">
        <f>IF(A94=FALSE,"",IF(Cotations!AF94="monthly",EH94/12*L94,EH94/365*M94))</f>
        <v/>
      </c>
      <c r="EL94" s="1103" t="str">
        <f>IF(A94=FALSE,"",IF(Cotations!AF94="monthly",EJ94/12*L94,EJ94/365*M94))</f>
        <v/>
      </c>
      <c r="EM94" s="433" t="str">
        <f>IF(A94=FALSE,"",IF(Cotations!AI94="","",Cotations!AI94))</f>
        <v/>
      </c>
      <c r="EN94" s="277" t="str">
        <f t="shared" si="374"/>
        <v/>
      </c>
      <c r="EO94" s="277" t="str">
        <f t="shared" si="375"/>
        <v/>
      </c>
      <c r="EP94" s="1104" t="str">
        <f t="shared" si="376"/>
        <v/>
      </c>
      <c r="EQ94" s="277" t="str">
        <f t="shared" si="377"/>
        <v/>
      </c>
      <c r="ER94" s="759" t="str">
        <f>IF(A94=FALSE,"",((EH94*TAXE)-(EH94*TAXE*EM94)+EI94)+IF(CQ94="N/A",0,IF(INDEX(LISTES!$F$105:$F$109,MATCH(CQ94,LISTES!$C$105:$C$109,0))="FIX",CR94,CS94*EQ94)))</f>
        <v/>
      </c>
      <c r="ET94" s="422"/>
      <c r="EU94" s="422"/>
      <c r="EV94" s="422"/>
      <c r="EW94" s="422"/>
      <c r="EX94" s="422"/>
      <c r="EY94" s="422"/>
      <c r="EZ94" s="422"/>
      <c r="FA94" s="432" t="str">
        <f>IF(A94=FALSE,"",Cotations!AT94)</f>
        <v/>
      </c>
      <c r="FB94" s="1235" t="str">
        <f>IF(A94=FALSE,"",IF(Detail!AL94="","N/A",YEAR(Detail!F94)&amp;Detail!AO94&amp;Detail!AL94&amp;"-"&amp;Detail!$AL$13&amp;Detail!AM94))</f>
        <v/>
      </c>
      <c r="FC94" s="434" t="str">
        <f>IF(A94=FALSE,"",IF(LISTES!$A$17=1,FB94,INDEX(colMOD2,MATCH(Cotations!AH94,colchoice,0))))</f>
        <v/>
      </c>
      <c r="FD94" s="277" t="str">
        <f t="shared" si="378"/>
        <v/>
      </c>
      <c r="FE94" s="443" t="str">
        <f>IF(A94=FALSE,"",IF(Detail!AM94="","",Detail!AM94))</f>
        <v/>
      </c>
      <c r="FF94" s="277"/>
      <c r="FG94" s="277"/>
      <c r="FH94" s="277" t="str">
        <f t="shared" si="379"/>
        <v/>
      </c>
      <c r="FI94" s="1104"/>
      <c r="FJ94" s="1104"/>
      <c r="FK94" s="443" t="str">
        <f>IF(A94=FALSE,"",IF(Cotations!AF94="monthly",FH94/12*L94,FH94/365*M94))</f>
        <v/>
      </c>
      <c r="FL94" s="1103" t="str">
        <f>IF(A94=FALSE,"",IF(Cotations!AF94="monthly",FJ94/12*L94,FJ94/365*M94))</f>
        <v/>
      </c>
      <c r="FM94" s="433" t="str">
        <f>IF(A94=FALSE,"",IF(Cotations!AJ94="","",Cotations!AJ94))</f>
        <v/>
      </c>
      <c r="FN94" s="277" t="str">
        <f t="shared" si="475"/>
        <v/>
      </c>
      <c r="FO94" s="277" t="str">
        <f t="shared" si="476"/>
        <v/>
      </c>
      <c r="FP94" s="1104"/>
      <c r="FQ94" s="277" t="str">
        <f t="shared" si="477"/>
        <v/>
      </c>
      <c r="FR94" s="759" t="str">
        <f>IF(A94=FALSE,"",((FH94*TAXE)-(FH94*TAXE*FM94))+IF(#REF!="N/A",0,IF(INDEX(LISTES!$F$105:$F$109,MATCH(#REF!,LISTES!$C$105:$C$109,0))="FIX",#REF!,#REF!*FQ94)))</f>
        <v/>
      </c>
      <c r="FS94" s="422"/>
      <c r="FT94" s="422"/>
      <c r="FU94" s="422"/>
      <c r="FV94" s="422"/>
      <c r="FW94" s="422"/>
      <c r="FX94" s="422"/>
      <c r="FY94" s="422"/>
      <c r="FZ94" s="422"/>
      <c r="GA94" s="432" t="str">
        <f t="shared" si="380"/>
        <v/>
      </c>
      <c r="GB94" s="1234" t="str">
        <f>IF(A94=FALSE,"",IF(Detail!DF94="","N/A",YEAR(Detail!F94)&amp;Detail!DI94&amp;Detail!DF94&amp;"-"&amp;Detail!$DF$13))</f>
        <v/>
      </c>
      <c r="GC94" s="434" t="str">
        <f>IF(A94=FALSE,"",IF(LISTES!$A$17=1,GB94,INDEX(colMOD3,MATCH(Cotations!AH94,colchoice,0))))</f>
        <v/>
      </c>
      <c r="GD94" s="277" t="str">
        <f t="shared" si="381"/>
        <v/>
      </c>
      <c r="GE94" s="277" t="str">
        <f t="shared" si="382"/>
        <v/>
      </c>
      <c r="GF94" s="277"/>
      <c r="GG94" s="277"/>
      <c r="GH94" s="277" t="str">
        <f t="shared" si="478"/>
        <v/>
      </c>
      <c r="GI94" s="1104" t="str">
        <f t="shared" si="479"/>
        <v/>
      </c>
      <c r="GJ94" s="1104" t="str">
        <f t="shared" si="480"/>
        <v/>
      </c>
      <c r="GK94" s="443" t="str">
        <f>IF(A94=FALSE,"",IF(Cotations!AF94="monthly",GH94/12*L94,GH94/365*M94))</f>
        <v/>
      </c>
      <c r="GL94" s="1103" t="str">
        <f>IF(A94=FALSE,"",IF(Cotations!AF94="monthly",GJ94/12*L94,GJ94/365*M94))</f>
        <v/>
      </c>
      <c r="GM94" s="433" t="str">
        <f>IF(A94=FALSE,"",IF(Cotations!AK94="","",Cotations!AK94))</f>
        <v/>
      </c>
      <c r="GN94" s="277" t="str">
        <f t="shared" si="481"/>
        <v/>
      </c>
      <c r="GO94" s="277" t="str">
        <f t="shared" si="482"/>
        <v/>
      </c>
      <c r="GP94" s="1104" t="str">
        <f t="shared" si="483"/>
        <v/>
      </c>
      <c r="GQ94" s="277" t="str">
        <f t="shared" si="484"/>
        <v/>
      </c>
      <c r="GR94" s="759" t="str">
        <f>IF(A94=FALSE,"",((GH94*TAXE)-(GH94*TAXE*GM94)+GI94)+IF(CQ94="N/A",0,IF(INDEX(LISTES!$F$105:$F$109,MATCH(CQ94,LISTES!$C$105:$C$109,0))="FIX",CR94,CS94*GQ94)))</f>
        <v/>
      </c>
      <c r="GS94" s="412"/>
      <c r="GT94" s="412"/>
      <c r="GU94" s="412"/>
      <c r="GV94" s="412"/>
      <c r="GW94" s="412"/>
      <c r="GX94" s="412"/>
      <c r="GY94" s="412"/>
      <c r="GZ94" s="412"/>
      <c r="HA94" s="432" t="str">
        <f t="shared" si="383"/>
        <v/>
      </c>
      <c r="HB94" s="1234" t="str">
        <f>IF(A94=FALSE,"",IF(Detail!DF94="","N/A",YEAR(Detail!F94)&amp;Detail!DI94&amp;Detail!DF94&amp;"-"&amp;Detail!$DF$13))</f>
        <v/>
      </c>
      <c r="HC94" s="434" t="str">
        <f>IF(A94=FALSE,"",IF(LISTES!$A$17=1,HB94,INDEX(colMOD4,MATCH(Cotations!AH94,colchoice,0))))</f>
        <v/>
      </c>
      <c r="HD94" s="277" t="str">
        <f t="shared" si="485"/>
        <v/>
      </c>
      <c r="HE94" s="277" t="str">
        <f t="shared" si="486"/>
        <v/>
      </c>
      <c r="HF94" s="277"/>
      <c r="HG94" s="277"/>
      <c r="HH94" s="277" t="str">
        <f t="shared" si="487"/>
        <v/>
      </c>
      <c r="HI94" s="1104" t="str">
        <f t="shared" si="488"/>
        <v/>
      </c>
      <c r="HJ94" s="1104" t="str">
        <f t="shared" si="489"/>
        <v/>
      </c>
      <c r="HK94" s="443" t="str">
        <f>IF(A94=FALSE,"",IF(Cotations!AF94="monthly",HH94/12*L94,HH94/365*M94))</f>
        <v/>
      </c>
      <c r="HL94" s="1103" t="str">
        <f>IF(A94=FALSE,"",IF(Cotations!AF94="monthly",HJ94/12*L94,HJ94/365*M94))</f>
        <v/>
      </c>
      <c r="HM94" s="433" t="str">
        <f>IF(A94=FALSE,"",IF(Cotations!AL94="","",Cotations!AL94))</f>
        <v/>
      </c>
      <c r="HN94" s="277" t="str">
        <f t="shared" si="490"/>
        <v/>
      </c>
      <c r="HO94" s="277" t="str">
        <f t="shared" si="491"/>
        <v/>
      </c>
      <c r="HP94" s="1104" t="str">
        <f t="shared" si="492"/>
        <v/>
      </c>
      <c r="HQ94" s="277" t="str">
        <f t="shared" si="493"/>
        <v/>
      </c>
      <c r="HR94" s="759" t="str">
        <f>IF(A94=FALSE,"",((HH94*TAXE)-(HH94*TAXE*HM94)+HI94)+IF(CQ94="N/A",0,IF(INDEX(LISTES!$F$105:$F$109,MATCH(CQ94,LISTES!$C$105:$C$109,0))="FIX",CR94,CS94*HQ94)))</f>
        <v/>
      </c>
      <c r="HS94" s="412"/>
      <c r="HT94" s="412"/>
      <c r="HU94" s="412"/>
      <c r="HV94" s="412"/>
      <c r="HW94" s="412"/>
      <c r="HX94" s="412"/>
      <c r="HY94" s="412"/>
      <c r="HZ94" s="1262"/>
      <c r="IA94" s="432" t="str">
        <f>IF(A94=FALSE,"",Cotations!AT94)</f>
        <v/>
      </c>
      <c r="IB94" s="1253" t="str">
        <f>IF(A94=FALSE,"",IF(Detail!AT94="","N/A",YEAR(Detail!F94)&amp;Detail!AW94&amp;Detail!AT94&amp;"-"&amp;Detail!$AT$13&amp;Detail!AU94))</f>
        <v/>
      </c>
      <c r="IC94" s="431" t="str">
        <f>IF(A94=FALSE,"",IF(LISTES!$A$17=1,IB94,INDEX(colMOD1,MATCH(DA94,colchoice,0))))</f>
        <v/>
      </c>
      <c r="ID94" s="759" t="str">
        <f t="shared" si="358"/>
        <v/>
      </c>
      <c r="IE94" s="292" t="str">
        <f>IF(A94=FALSE,"",IF(LISTES!$A$17=1,Detail!AU94,INDEX(Rates!$M$1:$M$270,MATCH(IC94,colMOD1,0))))</f>
        <v/>
      </c>
      <c r="IF94" s="409" t="str">
        <f t="shared" si="359"/>
        <v/>
      </c>
      <c r="IG94" s="430" t="str">
        <f>IF(A94=FALSE,"",IF(IA94="POEA",Cotations!AY94,IF(IA94="FIXE",Cotations!AZ94,IF(Cotations!BA94*Y94&lt;50000,Z94,Cotations!BA94*Y94))))</f>
        <v/>
      </c>
      <c r="IH94" s="292" t="str">
        <f t="shared" si="360"/>
        <v/>
      </c>
      <c r="II94" s="446" t="str">
        <f>IF(A94=FALSE,"",IF(Cotations!AU94="monthly",IH94/12*L94,IH94/365*M94))</f>
        <v/>
      </c>
      <c r="IJ94" s="429" t="str">
        <f>IF(A94=FALSE,"",IF(Cotations!BB94="","",Cotations!BB94))</f>
        <v/>
      </c>
      <c r="IK94" s="292" t="str">
        <f t="shared" si="361"/>
        <v/>
      </c>
      <c r="IL94" s="292" t="str">
        <f t="shared" si="362"/>
        <v/>
      </c>
      <c r="IM94" s="759" t="str">
        <f t="shared" si="363"/>
        <v/>
      </c>
      <c r="IN94" s="759" t="str">
        <f>IF(A94=FALSE,"",((IH94*TAXE)-(IH94*TAXE*IJ94))+IF(DQ94="N/A",0,IF(INDEX(LISTES!$F$105:$F$109,MATCH(DQ94,LISTES!$C$105:$C$109,0))="FIX",DR94,DS94*IM94)))</f>
        <v/>
      </c>
      <c r="JA94" s="432" t="str">
        <f>IF(A94=FALSE,"",Cotations!AT94)</f>
        <v/>
      </c>
      <c r="JB94" s="1234" t="str">
        <f>IF(A94=FALSE,"",IF(Detail!BB94="","N/A",YEAR(Detail!F94)&amp;Detail!BE94&amp;Detail!BB94&amp;"-"&amp;Detail!$BB$13&amp;Detail!BC94))</f>
        <v/>
      </c>
      <c r="JC94" s="431" t="str">
        <f>IF(A94=FALSE,"",IF(LISTES!$A$17=1,JB94,INDEX(colMOD2,MATCH(DA94,colchoice,0))))</f>
        <v/>
      </c>
      <c r="JD94" s="759" t="str">
        <f t="shared" si="384"/>
        <v/>
      </c>
      <c r="JE94" s="292"/>
      <c r="JF94" s="409" t="str">
        <f t="shared" si="385"/>
        <v/>
      </c>
      <c r="JG94" s="430" t="str">
        <f>IF(A94=FALSE,"",IF(JA94="POEA",Cotations!BC94,IF(JA94="FIXE",Cotations!BD94,IF(Cotations!BE94*Y94&lt;50000,Z94,Cotations!BE94*Y94))))</f>
        <v/>
      </c>
      <c r="JH94" s="292" t="str">
        <f t="shared" si="386"/>
        <v/>
      </c>
      <c r="JI94" s="446" t="str">
        <f>IF(A94=FALSE,"",IF(Cotations!AU94="monthly",JH94/12*L94,JH94/365*M94))</f>
        <v/>
      </c>
      <c r="JJ94" s="429" t="str">
        <f>IF(A94=FALSE,"",IF(Cotations!BF94="","",Cotations!BF94))</f>
        <v/>
      </c>
      <c r="JK94" s="292" t="str">
        <f t="shared" si="387"/>
        <v/>
      </c>
      <c r="JL94" s="292" t="str">
        <f t="shared" si="388"/>
        <v/>
      </c>
      <c r="JM94" s="759" t="str">
        <f t="shared" si="389"/>
        <v/>
      </c>
      <c r="JN94" s="759" t="str">
        <f>IF(A94=FALSE,"",((JH94*TAXE)-(JH94*TAXE*JJ94))+IF(#REF!="N/A",0,IF(INDEX(LISTES!$F$105:$F$109,MATCH(#REF!,LISTES!$C$105:$C$109,0))="FIX",#REF!,#REF!*JM94)))</f>
        <v/>
      </c>
      <c r="KA94" s="432" t="str">
        <f>IF(A94=FALSE,"",Cotations!AT94)</f>
        <v/>
      </c>
      <c r="KB94" s="1234" t="str">
        <f>IF(A94=FALSE,"",IF(Detail!BJ94="","N/A",YEAR(Detail!F94)&amp;Detail!BM94&amp;Detail!BJ94&amp;"-"&amp;Detail!$BJ$13&amp;Detail!BK94))</f>
        <v/>
      </c>
      <c r="KC94" s="431" t="str">
        <f>IF(A94=FALSE,"",IF(LISTES!$A$17=1,KB94,INDEX(colMOD3,MATCH(DA94,colchoice,0))))</f>
        <v/>
      </c>
      <c r="KD94" s="759" t="str">
        <f t="shared" si="390"/>
        <v/>
      </c>
      <c r="KE94" s="292"/>
      <c r="KF94" s="409" t="str">
        <f t="shared" si="391"/>
        <v/>
      </c>
      <c r="KG94" s="430" t="str">
        <f>IF(A94=FALSE,"",IF(KA94="POEA",Cotations!BG94,IF(KA94="FIXE",Cotations!BH94,IF(Cotations!BI94*Y94&lt;50000,Z94,Cotations!BI94*Y94))))</f>
        <v/>
      </c>
      <c r="KH94" s="292" t="str">
        <f t="shared" si="392"/>
        <v/>
      </c>
      <c r="KI94" s="446" t="str">
        <f>IF(A94=FALSE,"",IF(Cotations!AU94="monthly",KH94/12*L94,KH94/365*M94))</f>
        <v/>
      </c>
      <c r="KJ94" s="429" t="str">
        <f>IF(A94=FALSE,"",IF(Cotations!BJ94="","",Cotations!BJ94))</f>
        <v/>
      </c>
      <c r="KK94" s="292" t="str">
        <f t="shared" si="393"/>
        <v/>
      </c>
      <c r="KL94" s="292" t="str">
        <f t="shared" si="394"/>
        <v/>
      </c>
      <c r="KM94" s="759" t="str">
        <f t="shared" si="395"/>
        <v/>
      </c>
      <c r="KN94" s="759" t="str">
        <f>IF(A94=FALSE,"",((KH94*TAXE)-(KH94*TAXE*KJ94))+IF(#REF!="N/A",0,IF(INDEX(LISTES!$F$105:$F$109,MATCH(#REF!,LISTES!$C$105:$C$109,0))="FIX",#REF!,#REF!*KM94)))</f>
        <v/>
      </c>
      <c r="LA94" s="432" t="str">
        <f>IF(A94=FALSE,"",Cotations!AT94)</f>
        <v/>
      </c>
      <c r="LB94" s="1234" t="str">
        <f>IF(A94=FALSE,"",IF(Detail!BR94="","N/A",YEAR(Detail!F94)&amp;Detail!BU94&amp;Detail!BR94&amp;"-"&amp;Detail!$BR$13&amp;Detail!BS94))</f>
        <v/>
      </c>
      <c r="LC94" s="431" t="str">
        <f>IF(A94=FALSE,"",IF(LISTES!$A$17=1,LB94,INDEX(colMOD4,MATCH(DA94,colchoice,0))))</f>
        <v/>
      </c>
      <c r="LD94" s="759" t="str">
        <f t="shared" si="396"/>
        <v/>
      </c>
      <c r="LE94" s="292"/>
      <c r="LF94" s="409" t="str">
        <f t="shared" si="397"/>
        <v/>
      </c>
      <c r="LG94" s="430" t="str">
        <f>IF(A94=FALSE,"",IF(LA94="POEA",Cotations!BK94,IF(LA94="FIXE",Cotations!BL94,IF(Cotations!BM94*Y94&lt;50000,Z94,Cotations!BM94*Y94))))</f>
        <v/>
      </c>
      <c r="LH94" s="292" t="str">
        <f t="shared" si="398"/>
        <v/>
      </c>
      <c r="LI94" s="446" t="str">
        <f>IF(A94=FALSE,"",IF(Cotations!AU94="monthly",LH94/12*L94,LH94/365*M94))</f>
        <v/>
      </c>
      <c r="LJ94" s="429" t="str">
        <f>IF(A94=FALSE,"",IF(Cotations!BN94="","",Cotations!BN94))</f>
        <v/>
      </c>
      <c r="LK94" s="292" t="str">
        <f t="shared" si="399"/>
        <v/>
      </c>
      <c r="LL94" s="292" t="str">
        <f t="shared" si="400"/>
        <v/>
      </c>
      <c r="LM94" s="759" t="str">
        <f t="shared" si="401"/>
        <v/>
      </c>
      <c r="LN94" s="759" t="str">
        <f>IF(A94=FALSE,"",((LH94*TAXE)-(LH94*TAXE*LJ94))+IF(#REF!="N/A",0,IF(INDEX(LISTES!$F$105:$F$109,MATCH(#REF!,LISTES!$C$105:$C$109,0))="FIX",#REF!,#REF!*LM94)))</f>
        <v/>
      </c>
      <c r="MA94" s="432" t="str">
        <f t="shared" si="402"/>
        <v/>
      </c>
      <c r="MB94" s="1234" t="str">
        <f>IF(A94=FALSE,"",IF(Detail!BZ94="","N/A",YEAR(Detail!F94)&amp;Detail!CC94&amp;Detail!BZ94&amp;"-"&amp;Detail!$BZ$13&amp;" (100%/"&amp;Detail!CD94&amp;"/"&amp;Detail!CE94&amp;")"))</f>
        <v/>
      </c>
      <c r="MC94" s="431" t="str">
        <f>IF(A94=FALSE,"",IF(LISTES!$A$17=1,MB94,INDEX(colMOD5,MATCH(DA94,colchoice,0))))</f>
        <v/>
      </c>
      <c r="MD94" s="759" t="str">
        <f t="shared" si="403"/>
        <v/>
      </c>
      <c r="ME94" s="292"/>
      <c r="MF94" s="409" t="str">
        <f t="shared" si="404"/>
        <v/>
      </c>
      <c r="MG94" s="430" t="str">
        <f>IF(A94=FALSE,"",Cotations!BQ94*AA94)</f>
        <v/>
      </c>
      <c r="MH94" s="292" t="str">
        <f t="shared" si="405"/>
        <v/>
      </c>
      <c r="MI94" s="446" t="str">
        <f>IF(A94=FALSE,"",IF(Cotations!AU94="monthly",MH94/12*L94,MH94/365*M94))</f>
        <v/>
      </c>
      <c r="MJ94" s="429" t="str">
        <f>IF(A94=FALSE,"",IF(Cotations!BR94="","",Cotations!BR94))</f>
        <v/>
      </c>
      <c r="MK94" s="292" t="str">
        <f t="shared" si="406"/>
        <v/>
      </c>
      <c r="ML94" s="292" t="str">
        <f t="shared" si="407"/>
        <v/>
      </c>
      <c r="MM94" s="759" t="str">
        <f t="shared" si="408"/>
        <v/>
      </c>
      <c r="MN94" s="759" t="str">
        <f>IF(A94=FALSE,"",((MH94*TAXE)-(MH94*TAXE*MJ94))+IF(#REF!="N/A",0,IF(INDEX(LISTES!$F$105:$F$109,MATCH(#REF!,LISTES!$C$105:$C$109,0))="FIX",#REF!,#REF!*MM94)))</f>
        <v/>
      </c>
      <c r="NA94" s="432" t="str">
        <f t="shared" si="409"/>
        <v/>
      </c>
      <c r="NB94" s="1234" t="str">
        <f>IF(A94=FALSE,"",IF(Detail!CH94="","N/A",YEAR(Detail!F94)&amp;Detail!CK94&amp;Detail!CH94&amp;"-"&amp;Detail!$CH$13&amp;" (100%/"&amp;Detail!CL94&amp;"/"&amp;Detail!CM94&amp;")"))</f>
        <v/>
      </c>
      <c r="NC94" s="431" t="str">
        <f>IF(A94=FALSE,"",IF(LISTES!$A$17=1,NB94,INDEX(colMOD6,MATCH(DA94,colchoice,0))))</f>
        <v/>
      </c>
      <c r="ND94" s="759" t="str">
        <f t="shared" si="410"/>
        <v/>
      </c>
      <c r="NE94" s="292"/>
      <c r="NF94" s="409" t="str">
        <f t="shared" si="411"/>
        <v/>
      </c>
      <c r="NG94" s="430" t="str">
        <f>IF(A94=FALSE,"",Cotations!BU94*AA94)</f>
        <v/>
      </c>
      <c r="NH94" s="292" t="str">
        <f t="shared" si="412"/>
        <v/>
      </c>
      <c r="NI94" s="446" t="str">
        <f>IF(A94=FALSE,"",IF(Cotations!AU94="monthly",NH94/12*L94,NH94/365*M94))</f>
        <v/>
      </c>
      <c r="NJ94" s="429" t="str">
        <f>IF(A94=FALSE,"",IF(Cotations!BV94="","",Cotations!BV94))</f>
        <v/>
      </c>
      <c r="NK94" s="292" t="str">
        <f t="shared" si="413"/>
        <v/>
      </c>
      <c r="NL94" s="292" t="str">
        <f t="shared" si="414"/>
        <v/>
      </c>
      <c r="NM94" s="759" t="str">
        <f t="shared" si="415"/>
        <v/>
      </c>
      <c r="NN94" s="759" t="str">
        <f>IF(A94=FALSE,"",((NH94*TAXE)-(NH94*TAXE*NJ94))+IF(#REF!="N/A",0,IF(INDEX(LISTES!$F$105:$F$109,MATCH(#REF!,LISTES!$C$105:$C$109,0))="FIX",#REF!,#REF!*NM94)))</f>
        <v/>
      </c>
      <c r="NZ94" s="1281" t="str">
        <f>IF(A94=FALSE,"",IF(Detail!CP94="","N/A",YEAR(Detail!F94)&amp;Detail!CS94&amp;Detail!CP94&amp;"-"&amp;Detail!CQ94))</f>
        <v/>
      </c>
      <c r="OA94" s="432" t="str">
        <f>IF(A94=FALSE,"",Cotations!CF94)</f>
        <v/>
      </c>
      <c r="OB94" s="1282" t="str">
        <f>IF(A94=FALSE,"",IF(Detail!CP94="","N/A",YEAR(Detail!F94)&amp;Detail!CS94&amp;Detail!CP94&amp;"-"&amp;Detail!$CP$13&amp;Detail!CQ94))</f>
        <v/>
      </c>
      <c r="OC94" s="1283" t="str">
        <f>IF(A94=FALSE,"",IF(LISTES!$A$17=1,OB94,INDEX(colMOD1,MATCH(Cotations!CE94,colchoice,0))))</f>
        <v/>
      </c>
      <c r="OD94" s="759" t="str">
        <f t="shared" si="416"/>
        <v/>
      </c>
      <c r="OE94" s="292" t="str">
        <f>IF(A94=FALSE,"",Detail!CQ94)</f>
        <v/>
      </c>
      <c r="OF94" s="409" t="str">
        <f t="shared" si="417"/>
        <v/>
      </c>
      <c r="OG94" s="430" t="str">
        <f>IF(A94=FALSE,"",IF(OA94="FIXE",Cotations!CM94,Cotations!CN94*AA94))</f>
        <v/>
      </c>
      <c r="OH94" s="292" t="str">
        <f t="shared" si="494"/>
        <v/>
      </c>
      <c r="OI94" s="446" t="str">
        <f>IF(A94=FALSE,"",IF(Cotations!CF94="monthly",OH94/12*L94,OH94/365*M94))</f>
        <v/>
      </c>
      <c r="OJ94" s="429" t="str">
        <f>IF(A94=FALSE,"",IF(Cotations!CO94="","",Cotations!CO94))</f>
        <v/>
      </c>
      <c r="OK94" s="292" t="str">
        <f t="shared" si="495"/>
        <v/>
      </c>
      <c r="OL94" s="292" t="str">
        <f t="shared" si="496"/>
        <v/>
      </c>
      <c r="OM94" s="759" t="str">
        <f t="shared" si="418"/>
        <v/>
      </c>
      <c r="ON94" s="759" t="str">
        <f>IF(A94=FALSE,"",((OH94*(1+TAXE)-(OH94*(1+TAXE)*OJ94))+IF(#REF!="N/A",0,IF(INDEX(LISTES!$F$105:$F$109,MATCH(#REF!,LISTES!$C$105:$C$109,0))="FIX",#REF!,#REF!*OM94))))</f>
        <v/>
      </c>
      <c r="PA94" s="432" t="str">
        <f>IF(A94=FALSE,"",Cotations!CF94)</f>
        <v/>
      </c>
      <c r="PB94" s="1282" t="str">
        <f>IF(A94=FALSE,"",IF(Detail!CX94="","N/A",YEAR(Detail!F94)&amp;Detail!DA94&amp;Detail!CX94&amp;"-"&amp;Detail!$CX$13&amp;Detail!CY94))</f>
        <v/>
      </c>
      <c r="PC94" s="1283" t="str">
        <f>IF(A94=FALSE,"",IF(LISTES!$A$17=1,PB94,INDEX(colMOD3,MATCH(Cotations!CE94,colchoice,0))))</f>
        <v/>
      </c>
      <c r="PD94" s="759" t="str">
        <f t="shared" si="419"/>
        <v/>
      </c>
      <c r="PE94" s="292" t="str">
        <f>IF(A94=FALSE,"",IF(Detail!CY94="","",Detail!CY94))</f>
        <v/>
      </c>
      <c r="PF94" s="409" t="str">
        <f t="shared" si="497"/>
        <v/>
      </c>
      <c r="PG94" s="430" t="str">
        <f>IF(A94=FALSE,"",IF(PA94="FIXE",Cotations!CP94,Cotations!CQ94*AA94))</f>
        <v/>
      </c>
      <c r="PH94" s="292" t="str">
        <f t="shared" si="498"/>
        <v/>
      </c>
      <c r="PI94" s="446" t="str">
        <f>IF(A94=FALSE,"",IF(Cotations!CG94="monthly",PH94/12*L94,PH94/365*M94))</f>
        <v/>
      </c>
      <c r="PJ94" s="429" t="str">
        <f>IF(A94=FALSE,"",IF(Cotations!DA94="",0,Cotations!DA94))</f>
        <v/>
      </c>
      <c r="PK94" s="292" t="str">
        <f t="shared" si="499"/>
        <v/>
      </c>
      <c r="PL94" s="292" t="str">
        <f t="shared" si="500"/>
        <v/>
      </c>
      <c r="PM94" s="759" t="str">
        <f t="shared" si="420"/>
        <v/>
      </c>
      <c r="PN94" s="759" t="str">
        <f>IF(A94=FALSE,"",((PH94*(1+TAXE)-(PH94*(1+TAXE)*PJ94))+IF(#REF!="N/A",0,IF(INDEX(LISTES!$F$105:$F$109,MATCH(#REF!,LISTES!$C$105:$C$109,0))="FIX",#REF!,#REF!*PM94))))</f>
        <v/>
      </c>
    </row>
    <row r="95" spans="1:430">
      <c r="A95" s="779" t="b">
        <f t="shared" si="364"/>
        <v>0</v>
      </c>
      <c r="B95" s="779" t="b">
        <f>IF(NAMES!$B$9=TRUE,TRUE,FALSE)</f>
        <v>1</v>
      </c>
      <c r="C95" s="779" t="b">
        <f t="shared" si="421"/>
        <v>0</v>
      </c>
      <c r="D95" s="779" t="b">
        <f t="shared" si="422"/>
        <v>0</v>
      </c>
      <c r="E95" s="267" t="b">
        <f>IF(Cotations!C95="","",Cotations!C95)</f>
        <v>0</v>
      </c>
      <c r="F95" s="267" t="str">
        <f>IF(Cotations!AT95="","",Cotations!AT95)</f>
        <v>PROP</v>
      </c>
      <c r="G95" s="267" t="str">
        <f>IF(Cotations!D95="","",Cotations!D95)</f>
        <v>2016-2017!</v>
      </c>
      <c r="H95" s="267" t="str">
        <f>IF(Cotations!E95="","",Cotations!E95)</f>
        <v>SINGLE</v>
      </c>
      <c r="I95" s="267" t="str">
        <f>IF(Cotations!F95="","",Cotations!F95)</f>
        <v/>
      </c>
      <c r="J95" s="267" t="str">
        <f>IF(Cotations!G95="","",Cotations!G95)</f>
        <v/>
      </c>
      <c r="K95" s="267" t="str">
        <f>IF(Cotations!H95="","",Cotations!H95)</f>
        <v/>
      </c>
      <c r="L95" s="267" t="str">
        <f>IF(A95=FALSE,"",IF(Cotations!M95="","",Cotations!M95))</f>
        <v/>
      </c>
      <c r="M95" s="267" t="str">
        <f>IF(Cotations!O95="","",Cotations!O95)</f>
        <v/>
      </c>
      <c r="N95" s="588" t="str">
        <f>IF(NAMES!$B$10=TRUE,Cotations!I95,Cotations!K95)</f>
        <v/>
      </c>
      <c r="O95" s="588" t="str">
        <f>IF(NAMES!$B$10=TRUE,Cotations!J95,Cotations!L95)</f>
        <v/>
      </c>
      <c r="P95" s="780" t="str">
        <f t="shared" si="423"/>
        <v/>
      </c>
      <c r="Q95" s="588" t="str">
        <f>IF(A95=FALSE,"",IF(Crewlist!Y95="","",Crewlist!Y95))</f>
        <v/>
      </c>
      <c r="R95" s="78" t="str">
        <f>IF(Cotations!T95="","",Cotations!T95)</f>
        <v/>
      </c>
      <c r="S95" s="780" t="str">
        <f t="shared" si="424"/>
        <v/>
      </c>
      <c r="T95" s="759" t="str">
        <f>IF(A95=FALSE,"",VLOOKUP($U$15:$U$120,Currency!$A$2:$D$10,4,0)*Crewlist!N95)</f>
        <v/>
      </c>
      <c r="U95" s="1097" t="str">
        <f>IF(A95=FALSE,"",IF(DP95=0,Crewlist!M95&amp;"/"&amp;CP95,Crewlist!M95&amp;"/"&amp;DP95))</f>
        <v/>
      </c>
      <c r="V95" s="759" t="str">
        <f>IF(A95=FALSE,"",VLOOKUP($U$15:$U$120,Currency!$A$2:$D$10,4,0)*Detail!Q95)</f>
        <v/>
      </c>
      <c r="W95" s="1097" t="str">
        <f>IF(A95=FALSE,"",IF(DP95=0,Detail!R95&amp;"/"&amp;CP95,Detail!R95&amp;"/"&amp;DP95))</f>
        <v/>
      </c>
      <c r="X95" s="759" t="str">
        <f>IF(A95=FALSE,"",IF(LISTES!$C$17="Crewlist",Calcul!T95,Calcul!V95))</f>
        <v/>
      </c>
      <c r="Y95" s="618" t="str">
        <f t="shared" si="425"/>
        <v/>
      </c>
      <c r="Z95" s="618" t="str">
        <f>IF(A95=FALSE,"",IF(X95=0,0,IF((Cotations!BA95*12*X95)&lt;50000,50000,(12*X95))))</f>
        <v/>
      </c>
      <c r="AA95" s="618" t="str">
        <f t="shared" si="426"/>
        <v/>
      </c>
      <c r="AB95" s="618" t="str">
        <f>IF(A95=FALSE,"",IF(Crewlist!O95=0,"",Crewlist!O95))</f>
        <v/>
      </c>
      <c r="AC95" s="618" t="str">
        <f>IF(I95="","",VLOOKUP($AB$15:$AB$120,Currency!$A$15:$B$34,2,0))</f>
        <v/>
      </c>
      <c r="AD95" s="618" t="str">
        <f t="shared" si="427"/>
        <v/>
      </c>
      <c r="AE95" s="618" t="str">
        <f t="shared" si="428"/>
        <v/>
      </c>
      <c r="AF95" s="618" t="str">
        <f t="shared" si="429"/>
        <v/>
      </c>
      <c r="AG95" s="618" t="str">
        <f t="shared" si="430"/>
        <v/>
      </c>
      <c r="AH95" s="1097" t="str">
        <f t="shared" si="365"/>
        <v/>
      </c>
      <c r="AI95" s="759" t="str">
        <f t="shared" si="431"/>
        <v/>
      </c>
      <c r="AJ95" s="1120" t="str">
        <f t="shared" si="432"/>
        <v/>
      </c>
      <c r="AK95" s="1120" t="str">
        <f t="shared" si="433"/>
        <v/>
      </c>
      <c r="AL95" s="236" t="str">
        <f t="shared" si="434"/>
        <v/>
      </c>
      <c r="AM95" s="236" t="str">
        <f t="shared" si="435"/>
        <v/>
      </c>
      <c r="AN95" s="1112" t="str">
        <f t="shared" si="436"/>
        <v/>
      </c>
      <c r="AO95" s="236" t="str">
        <f t="shared" si="437"/>
        <v/>
      </c>
      <c r="AP95" s="327" t="str">
        <f>IF(A95=FALSE,"",INDEX(Rates!$Q$1:$Q$278,MATCH(CA95,colchoice,0)))</f>
        <v/>
      </c>
      <c r="AQ95" s="236" t="str">
        <f t="shared" si="438"/>
        <v/>
      </c>
      <c r="AR95" s="236" t="str">
        <f t="shared" si="439"/>
        <v/>
      </c>
      <c r="AS95" s="236" t="str">
        <f t="shared" si="366"/>
        <v/>
      </c>
      <c r="AT95" s="236" t="str">
        <f t="shared" si="367"/>
        <v/>
      </c>
      <c r="AU95" s="236" t="str">
        <f t="shared" si="440"/>
        <v/>
      </c>
      <c r="AV95" s="236" t="str">
        <f t="shared" si="441"/>
        <v/>
      </c>
      <c r="AW95" s="236" t="str">
        <f t="shared" si="442"/>
        <v/>
      </c>
      <c r="AX95" s="236" t="str">
        <f t="shared" si="443"/>
        <v/>
      </c>
      <c r="AY95" s="236" t="str">
        <f t="shared" si="444"/>
        <v/>
      </c>
      <c r="AZ95" s="236" t="str">
        <f t="shared" si="445"/>
        <v/>
      </c>
      <c r="BA95" s="236" t="str">
        <f t="shared" si="446"/>
        <v/>
      </c>
      <c r="BB95" s="467" t="str">
        <f t="shared" si="447"/>
        <v/>
      </c>
      <c r="BC95" s="329" t="str">
        <f t="shared" si="448"/>
        <v/>
      </c>
      <c r="BD95" s="237" t="str">
        <f t="shared" si="449"/>
        <v/>
      </c>
      <c r="BE95" s="237" t="str">
        <f>IF(A95=FALSE,"",IF(ED95&lt;&gt;$BC$7,0,INDEX(EA95:EZ95,1,MATCH(Structure!$J$16,$EA$14:$EZ$14,0))))</f>
        <v/>
      </c>
      <c r="BF95" s="237" t="str">
        <f>IF(A95=FALSE,"",IF(FD95&lt;&gt;$BC$7,0,INDEX(FA95:FZ95,1,MATCH(Structure!$J$16,$FA$14:$FZ$14,0))))</f>
        <v/>
      </c>
      <c r="BG95" s="237" t="str">
        <f>IF(A95=FALSE,"",IF(GD95&lt;&gt;$BC$7,0,INDEX(GA95:GZ95,1,MATCH(Structure!$J$16,$GA$14:$GZ$14,0))))</f>
        <v/>
      </c>
      <c r="BH95" s="237" t="str">
        <f>IF(A95=FALSE,"",IF(HD95&lt;&gt;$BC$7,0,INDEX(HA95:HZ95,1,MATCH(Structure!$J$16,$HA$14:$HZ$14,0))))</f>
        <v/>
      </c>
      <c r="BI95" s="621" t="str">
        <f>IF(A95=FALSE,"",IF(ID95&lt;&gt;$BC$7,0,INDEX(IA95:IZ95,1,MATCH(Structure!$C$12,$IA$14:$IZ$14,0)))+OL95)</f>
        <v/>
      </c>
      <c r="BJ95" s="237" t="str">
        <f>IF(A95=FALSE,"",IF(JD95&lt;&gt;$BC$7,0,INDEX(JA95:JZ95,1,MATCH(Structure!$C$12,$JA$14:$JZ$14,0))))</f>
        <v/>
      </c>
      <c r="BK95" s="621" t="str">
        <f>IF(A95=FALSE,"",IF(KD95&lt;&gt;$BC$7,0,INDEX(KA95:KZ95,1,MATCH(Structure!$C$12,$KA$14:$KZ$14,0)))+PL95)</f>
        <v/>
      </c>
      <c r="BL95" s="237" t="str">
        <f>IF(A95=FALSE,"",IF(LD95&lt;&gt;$BC$7,0,INDEX(LA95:LZ95,1,MATCH(Structure!$C$12,$LA$14:$LZ$14,0))))</f>
        <v/>
      </c>
      <c r="BM95" s="237" t="str">
        <f>IF(A95=FALSE,"",IF(MD95&lt;&gt;$BC$7,0,INDEX(MA95:MZ95,1,MATCH(Structure!$C$12,$MA$14:$MZ$14,0))))</f>
        <v/>
      </c>
      <c r="BN95" s="326" t="str">
        <f>IF(A95=FALSE,"",IF(ND95&lt;&gt;$BC$7,0,INDEX(NA95:OC95,1,MATCH(Structure!$C$12,$NA$14:$OC$14,0))))</f>
        <v/>
      </c>
      <c r="BO95" s="435" t="str">
        <f t="shared" si="450"/>
        <v/>
      </c>
      <c r="BP95" s="237" t="str">
        <f t="shared" si="451"/>
        <v/>
      </c>
      <c r="BQ95" s="237" t="str">
        <f>IF(A95=FALSE,"",IF(ED95&lt;&gt;$BO$7,0,INDEX(EA95:EZ95,1,MATCH(Structure!$C$12,$EA$14:$EZ$14,0))))</f>
        <v/>
      </c>
      <c r="BR95" s="237" t="str">
        <f>IF(A95=FALSE,"",IF(FD95&lt;&gt;$BO$7,0,INDEX(FA95:FZ95,1,MATCH(Structure!$C$12,$FA$14:$FZ$14,0))))</f>
        <v/>
      </c>
      <c r="BS95" s="237" t="str">
        <f>IF(A95=FALSE,"",IF(ID95&lt;&gt;$BO$7,0,INDEX(IA95:IZ95,1,MATCH(Structure!$C$13,$IA$14:$IZ$14,0))))</f>
        <v/>
      </c>
      <c r="BT95" s="237" t="str">
        <f>IF(A95=FALSE,"",IF(JD95&lt;&gt;$BO$7,0,INDEX(JA95:JZ95,1,MATCH(Structure!$C$13,$JA$14:$JZ$14,0))))</f>
        <v/>
      </c>
      <c r="BU95" s="237" t="str">
        <f>IF(A95=FALSE,"",IF(KD95&lt;&gt;$BO$7,0,INDEX(KA95:KZ95,1,MATCH(Structure!$C$13,$KA$14:$KZ$14,0))))</f>
        <v/>
      </c>
      <c r="BV95" s="237" t="str">
        <f>IF(A95=FALSE,"",IF(LD95&lt;&gt;$BO$7,0,INDEX(LA95:LZ95,1,MATCH(Structure!$C$13,$LA$14:$LZ$14,0))))</f>
        <v/>
      </c>
      <c r="BW95" s="237" t="str">
        <f>IF(A95=FALSE,"",IF(MD95&lt;&gt;$BO$7,0,INDEX(MA95:MZ95,1,MATCH(Structure!$C$13,$MA$14:$MZ$14,0))))</f>
        <v/>
      </c>
      <c r="BX95" s="326" t="str">
        <f>IF(A95=FALSE,"",IF(ND95&lt;&gt;$BO$7,0,INDEX(NA95:OC95,1,MATCH(Structure!$C$13,$NA$14:$OC$14,0))))</f>
        <v/>
      </c>
      <c r="BY95" s="412"/>
      <c r="BZ95" s="412"/>
      <c r="CA95" s="1255" t="str">
        <f>IF(A95=FALSE,"",IF(LISTES!$A$17=1,Cotations!AG95,Cotations!AH95))</f>
        <v/>
      </c>
      <c r="CB95" s="1266" t="str">
        <f t="shared" si="452"/>
        <v/>
      </c>
      <c r="CC95" s="1120" t="str">
        <f t="shared" si="453"/>
        <v/>
      </c>
      <c r="CD95" s="1120" t="str">
        <f t="shared" si="454"/>
        <v/>
      </c>
      <c r="CE95" s="1120" t="str">
        <f t="shared" si="455"/>
        <v/>
      </c>
      <c r="CF95" s="1120" t="str">
        <f t="shared" si="456"/>
        <v/>
      </c>
      <c r="CG95" s="1267"/>
      <c r="CH95" s="1267"/>
      <c r="CI95" s="1268" t="str">
        <f t="shared" si="457"/>
        <v/>
      </c>
      <c r="CJ95" s="286" t="str">
        <f t="shared" si="458"/>
        <v/>
      </c>
      <c r="CK95" s="286" t="str">
        <f t="shared" si="459"/>
        <v/>
      </c>
      <c r="CL95" s="1263"/>
      <c r="CM95" s="1263"/>
      <c r="CN95" s="1263"/>
      <c r="CO95" s="1263"/>
      <c r="CP95" s="319" t="str">
        <f t="shared" si="460"/>
        <v/>
      </c>
      <c r="CQ95" s="443" t="str">
        <f>IF(A95=FALSE,"",Cotations!AM95)</f>
        <v/>
      </c>
      <c r="CR95" s="443" t="str">
        <f>IF(A95=FALSE,"",IF(Cotations!AN95="","",Cotations!AN95))</f>
        <v/>
      </c>
      <c r="CS95" s="433" t="str">
        <f>IF(A95=FALSE,"",Cotations!AO95)</f>
        <v/>
      </c>
      <c r="CT95" s="443" t="str">
        <f>IF(A95=FALSE,"",IF(CQ95="N/A",0,IF(INDEX(LISTES!$F$105:$F$109,MATCH(CQ95,LISTES!$C$105:$C$109,0))="FIX",IF(INDEX(LISTES!$E$105:$E$109,MATCH(CQ95,LISTES!$C$105:$C$109,0))=12,CR95/12*L95,CR95/365*M95),CS95*EQ95)))</f>
        <v/>
      </c>
      <c r="CU95" s="434" t="str">
        <f>IF(A95=FALSE,"",(CJ95+CK95)*Cotations!AP95)</f>
        <v/>
      </c>
      <c r="CV95" s="434" t="str">
        <f>IF(A95=FALSE,"",(CJ95+CK95)*Cotations!AQ95)</f>
        <v/>
      </c>
      <c r="DA95" s="1253" t="str">
        <f>IF(A95=FALSE,"",IF(LISTES!$A$17=1,Cotations!AV95,Cotations!AW95))</f>
        <v/>
      </c>
      <c r="DB95" s="1271" t="str">
        <f t="shared" si="461"/>
        <v/>
      </c>
      <c r="DC95" s="1270" t="str">
        <f t="shared" si="462"/>
        <v/>
      </c>
      <c r="DD95" s="1270" t="str">
        <f t="shared" si="463"/>
        <v/>
      </c>
      <c r="DE95" s="1270" t="str">
        <f t="shared" si="464"/>
        <v/>
      </c>
      <c r="DF95" s="1270" t="str">
        <f t="shared" si="465"/>
        <v/>
      </c>
      <c r="DG95" s="1270" t="str">
        <f t="shared" si="466"/>
        <v/>
      </c>
      <c r="DH95" s="1270" t="str">
        <f t="shared" si="467"/>
        <v/>
      </c>
      <c r="DI95" s="1271" t="str">
        <f t="shared" si="468"/>
        <v/>
      </c>
      <c r="DJ95" s="286" t="str">
        <f t="shared" si="469"/>
        <v/>
      </c>
      <c r="DK95" s="286" t="str">
        <f t="shared" si="470"/>
        <v/>
      </c>
      <c r="DL95" s="1264" t="str">
        <f t="shared" si="471"/>
        <v/>
      </c>
      <c r="DM95" s="1264" t="str">
        <f t="shared" si="472"/>
        <v/>
      </c>
      <c r="DN95" s="1264" t="str">
        <f t="shared" si="473"/>
        <v/>
      </c>
      <c r="DO95" s="1264" t="str">
        <f t="shared" si="474"/>
        <v/>
      </c>
      <c r="DP95" s="323" t="str">
        <f t="shared" si="368"/>
        <v/>
      </c>
      <c r="DQ95" s="444" t="str">
        <f>IF(A95=FALSE,"",Cotations!BW95)</f>
        <v/>
      </c>
      <c r="DR95" s="444" t="str">
        <f>IF(A95=FALSE,"",Cotations!BX95)</f>
        <v/>
      </c>
      <c r="DS95" s="433" t="str">
        <f>IF(A95=FALSE,"",Cotations!BY95)</f>
        <v/>
      </c>
      <c r="DT95" s="830" t="str">
        <f>IF(A95=FALSE,"",IF(DQ95="N/A",0,IF(INDEX(LISTES!$F$105:$F$109,MATCH(DQ95,LISTES!$C$105:$C$109,0))="FIX",IF(INDEX(LISTES!$E$105:$E$109,MATCH(DQ95,LISTES!$C$105:$C$109,0))=12,DR95/12*L95,DR95/365*M95),DS95*(DN95+DO95))))</f>
        <v/>
      </c>
      <c r="DU95" s="434" t="str">
        <f>IF(A95=FALSE,"",DJ95*Cotations!BZ95)</f>
        <v/>
      </c>
      <c r="DV95" s="434" t="str">
        <f>IF(A95=FALSE,"",DJ95*Cotations!CA95)</f>
        <v/>
      </c>
      <c r="EA95" s="432" t="str">
        <f>IF(A95=FALSE,"",Cotations!AT95)</f>
        <v/>
      </c>
      <c r="EB95" s="1234" t="str">
        <f>IF(A95=FALSE,"",YEAR(Detail!F95)&amp;Detail!AG95&amp;Detail!AD95&amp;"-"&amp;Detail!$AD$13&amp;Detail!AE95)</f>
        <v/>
      </c>
      <c r="EC95" s="434" t="str">
        <f>IF(A95=FALSE,"",IF(LISTES!$A$17=1,EB95,INDEX(colMOD1,MATCH(Cotations!AH95,colchoice,0))))</f>
        <v/>
      </c>
      <c r="ED95" s="277" t="str">
        <f t="shared" si="369"/>
        <v/>
      </c>
      <c r="EE95" s="277" t="str">
        <f t="shared" si="370"/>
        <v/>
      </c>
      <c r="EF95" s="277"/>
      <c r="EG95" s="277"/>
      <c r="EH95" s="277" t="str">
        <f t="shared" si="371"/>
        <v/>
      </c>
      <c r="EI95" s="1104" t="str">
        <f t="shared" si="372"/>
        <v/>
      </c>
      <c r="EJ95" s="1104" t="str">
        <f t="shared" si="373"/>
        <v/>
      </c>
      <c r="EK95" s="443" t="str">
        <f>IF(A95=FALSE,"",IF(Cotations!AF95="monthly",EH95/12*L95,EH95/365*M95))</f>
        <v/>
      </c>
      <c r="EL95" s="1103" t="str">
        <f>IF(A95=FALSE,"",IF(Cotations!AF95="monthly",EJ95/12*L95,EJ95/365*M95))</f>
        <v/>
      </c>
      <c r="EM95" s="433" t="str">
        <f>IF(A95=FALSE,"",IF(Cotations!AI95="","",Cotations!AI95))</f>
        <v/>
      </c>
      <c r="EN95" s="277" t="str">
        <f t="shared" si="374"/>
        <v/>
      </c>
      <c r="EO95" s="277" t="str">
        <f t="shared" si="375"/>
        <v/>
      </c>
      <c r="EP95" s="1104" t="str">
        <f t="shared" si="376"/>
        <v/>
      </c>
      <c r="EQ95" s="277" t="str">
        <f t="shared" si="377"/>
        <v/>
      </c>
      <c r="ER95" s="759" t="str">
        <f>IF(A95=FALSE,"",((EH95*TAXE)-(EH95*TAXE*EM95)+EI95)+IF(CQ95="N/A",0,IF(INDEX(LISTES!$F$105:$F$109,MATCH(CQ95,LISTES!$C$105:$C$109,0))="FIX",CR95,CS95*EQ95)))</f>
        <v/>
      </c>
      <c r="ET95" s="422"/>
      <c r="EU95" s="422"/>
      <c r="EV95" s="422"/>
      <c r="EW95" s="422"/>
      <c r="EX95" s="422"/>
      <c r="EY95" s="422"/>
      <c r="EZ95" s="422"/>
      <c r="FA95" s="432" t="str">
        <f>IF(A95=FALSE,"",Cotations!AT95)</f>
        <v/>
      </c>
      <c r="FB95" s="1235" t="str">
        <f>IF(A95=FALSE,"",IF(Detail!AL95="","N/A",YEAR(Detail!F95)&amp;Detail!AO95&amp;Detail!AL95&amp;"-"&amp;Detail!$AL$13&amp;Detail!AM95))</f>
        <v/>
      </c>
      <c r="FC95" s="434" t="str">
        <f>IF(A95=FALSE,"",IF(LISTES!$A$17=1,FB95,INDEX(colMOD2,MATCH(Cotations!AH95,colchoice,0))))</f>
        <v/>
      </c>
      <c r="FD95" s="277" t="str">
        <f t="shared" si="378"/>
        <v/>
      </c>
      <c r="FE95" s="443" t="str">
        <f>IF(A95=FALSE,"",IF(Detail!AM95="","",Detail!AM95))</f>
        <v/>
      </c>
      <c r="FF95" s="277"/>
      <c r="FG95" s="277"/>
      <c r="FH95" s="277" t="str">
        <f t="shared" si="379"/>
        <v/>
      </c>
      <c r="FI95" s="1104"/>
      <c r="FJ95" s="1104"/>
      <c r="FK95" s="443" t="str">
        <f>IF(A95=FALSE,"",IF(Cotations!AF95="monthly",FH95/12*L95,FH95/365*M95))</f>
        <v/>
      </c>
      <c r="FL95" s="1103" t="str">
        <f>IF(A95=FALSE,"",IF(Cotations!AF95="monthly",FJ95/12*L95,FJ95/365*M95))</f>
        <v/>
      </c>
      <c r="FM95" s="433" t="str">
        <f>IF(A95=FALSE,"",IF(Cotations!AJ95="","",Cotations!AJ95))</f>
        <v/>
      </c>
      <c r="FN95" s="277" t="str">
        <f t="shared" si="475"/>
        <v/>
      </c>
      <c r="FO95" s="277" t="str">
        <f t="shared" si="476"/>
        <v/>
      </c>
      <c r="FP95" s="1104"/>
      <c r="FQ95" s="277" t="str">
        <f t="shared" si="477"/>
        <v/>
      </c>
      <c r="FR95" s="759" t="str">
        <f>IF(A95=FALSE,"",((FH95*TAXE)-(FH95*TAXE*FM95))+IF(#REF!="N/A",0,IF(INDEX(LISTES!$F$105:$F$109,MATCH(#REF!,LISTES!$C$105:$C$109,0))="FIX",#REF!,#REF!*FQ95)))</f>
        <v/>
      </c>
      <c r="FS95" s="422"/>
      <c r="FT95" s="422"/>
      <c r="FU95" s="422"/>
      <c r="FV95" s="422"/>
      <c r="FW95" s="422"/>
      <c r="FX95" s="422"/>
      <c r="FY95" s="422"/>
      <c r="FZ95" s="422"/>
      <c r="GA95" s="432" t="str">
        <f t="shared" si="380"/>
        <v/>
      </c>
      <c r="GB95" s="1234" t="str">
        <f>IF(A95=FALSE,"",IF(Detail!DF95="","N/A",YEAR(Detail!F95)&amp;Detail!DI95&amp;Detail!DF95&amp;"-"&amp;Detail!$DF$13))</f>
        <v/>
      </c>
      <c r="GC95" s="434" t="str">
        <f>IF(A95=FALSE,"",IF(LISTES!$A$17=1,GB95,INDEX(colMOD3,MATCH(Cotations!AH95,colchoice,0))))</f>
        <v/>
      </c>
      <c r="GD95" s="277" t="str">
        <f t="shared" si="381"/>
        <v/>
      </c>
      <c r="GE95" s="277" t="str">
        <f t="shared" si="382"/>
        <v/>
      </c>
      <c r="GF95" s="277"/>
      <c r="GG95" s="277"/>
      <c r="GH95" s="277" t="str">
        <f t="shared" si="478"/>
        <v/>
      </c>
      <c r="GI95" s="1104" t="str">
        <f t="shared" si="479"/>
        <v/>
      </c>
      <c r="GJ95" s="1104" t="str">
        <f t="shared" si="480"/>
        <v/>
      </c>
      <c r="GK95" s="443" t="str">
        <f>IF(A95=FALSE,"",IF(Cotations!AF95="monthly",GH95/12*L95,GH95/365*M95))</f>
        <v/>
      </c>
      <c r="GL95" s="1103" t="str">
        <f>IF(A95=FALSE,"",IF(Cotations!AF95="monthly",GJ95/12*L95,GJ95/365*M95))</f>
        <v/>
      </c>
      <c r="GM95" s="433" t="str">
        <f>IF(A95=FALSE,"",IF(Cotations!AK95="","",Cotations!AK95))</f>
        <v/>
      </c>
      <c r="GN95" s="277" t="str">
        <f t="shared" si="481"/>
        <v/>
      </c>
      <c r="GO95" s="277" t="str">
        <f t="shared" si="482"/>
        <v/>
      </c>
      <c r="GP95" s="1104" t="str">
        <f t="shared" si="483"/>
        <v/>
      </c>
      <c r="GQ95" s="277" t="str">
        <f t="shared" si="484"/>
        <v/>
      </c>
      <c r="GR95" s="759" t="str">
        <f>IF(A95=FALSE,"",((GH95*TAXE)-(GH95*TAXE*GM95)+GI95)+IF(CQ95="N/A",0,IF(INDEX(LISTES!$F$105:$F$109,MATCH(CQ95,LISTES!$C$105:$C$109,0))="FIX",CR95,CS95*GQ95)))</f>
        <v/>
      </c>
      <c r="GS95" s="412"/>
      <c r="GT95" s="412"/>
      <c r="GU95" s="412"/>
      <c r="GV95" s="412"/>
      <c r="GW95" s="412"/>
      <c r="GX95" s="412"/>
      <c r="GY95" s="412"/>
      <c r="GZ95" s="412"/>
      <c r="HA95" s="432" t="str">
        <f t="shared" si="383"/>
        <v/>
      </c>
      <c r="HB95" s="1234" t="str">
        <f>IF(A95=FALSE,"",IF(Detail!DF95="","N/A",YEAR(Detail!F95)&amp;Detail!DI95&amp;Detail!DF95&amp;"-"&amp;Detail!$DF$13))</f>
        <v/>
      </c>
      <c r="HC95" s="434" t="str">
        <f>IF(A95=FALSE,"",IF(LISTES!$A$17=1,HB95,INDEX(colMOD4,MATCH(Cotations!AH95,colchoice,0))))</f>
        <v/>
      </c>
      <c r="HD95" s="277" t="str">
        <f t="shared" si="485"/>
        <v/>
      </c>
      <c r="HE95" s="277" t="str">
        <f t="shared" si="486"/>
        <v/>
      </c>
      <c r="HF95" s="277"/>
      <c r="HG95" s="277"/>
      <c r="HH95" s="277" t="str">
        <f t="shared" si="487"/>
        <v/>
      </c>
      <c r="HI95" s="1104" t="str">
        <f t="shared" si="488"/>
        <v/>
      </c>
      <c r="HJ95" s="1104" t="str">
        <f t="shared" si="489"/>
        <v/>
      </c>
      <c r="HK95" s="443" t="str">
        <f>IF(A95=FALSE,"",IF(Cotations!AF95="monthly",HH95/12*L95,HH95/365*M95))</f>
        <v/>
      </c>
      <c r="HL95" s="1103" t="str">
        <f>IF(A95=FALSE,"",IF(Cotations!AF95="monthly",HJ95/12*L95,HJ95/365*M95))</f>
        <v/>
      </c>
      <c r="HM95" s="433" t="str">
        <f>IF(A95=FALSE,"",IF(Cotations!AL95="","",Cotations!AL95))</f>
        <v/>
      </c>
      <c r="HN95" s="277" t="str">
        <f t="shared" si="490"/>
        <v/>
      </c>
      <c r="HO95" s="277" t="str">
        <f t="shared" si="491"/>
        <v/>
      </c>
      <c r="HP95" s="1104" t="str">
        <f t="shared" si="492"/>
        <v/>
      </c>
      <c r="HQ95" s="277" t="str">
        <f t="shared" si="493"/>
        <v/>
      </c>
      <c r="HR95" s="759" t="str">
        <f>IF(A95=FALSE,"",((HH95*TAXE)-(HH95*TAXE*HM95)+HI95)+IF(CQ95="N/A",0,IF(INDEX(LISTES!$F$105:$F$109,MATCH(CQ95,LISTES!$C$105:$C$109,0))="FIX",CR95,CS95*HQ95)))</f>
        <v/>
      </c>
      <c r="HS95" s="412"/>
      <c r="HT95" s="412"/>
      <c r="HU95" s="412"/>
      <c r="HV95" s="412"/>
      <c r="HW95" s="412"/>
      <c r="HX95" s="412"/>
      <c r="HY95" s="412"/>
      <c r="HZ95" s="1262"/>
      <c r="IA95" s="432" t="str">
        <f>IF(A95=FALSE,"",Cotations!AT95)</f>
        <v/>
      </c>
      <c r="IB95" s="1253" t="str">
        <f>IF(A95=FALSE,"",IF(Detail!AT95="","N/A",YEAR(Detail!F95)&amp;Detail!AW95&amp;Detail!AT95&amp;"-"&amp;Detail!$AT$13&amp;Detail!AU95))</f>
        <v/>
      </c>
      <c r="IC95" s="431" t="str">
        <f>IF(A95=FALSE,"",IF(LISTES!$A$17=1,IB95,INDEX(colMOD1,MATCH(DA95,colchoice,0))))</f>
        <v/>
      </c>
      <c r="ID95" s="759" t="str">
        <f t="shared" si="358"/>
        <v/>
      </c>
      <c r="IE95" s="292" t="str">
        <f>IF(A95=FALSE,"",IF(LISTES!$A$17=1,Detail!AU95,INDEX(Rates!$M$1:$M$270,MATCH(IC95,colMOD1,0))))</f>
        <v/>
      </c>
      <c r="IF95" s="409" t="str">
        <f t="shared" si="359"/>
        <v/>
      </c>
      <c r="IG95" s="430" t="str">
        <f>IF(A95=FALSE,"",IF(IA95="POEA",Cotations!AY95,IF(IA95="FIXE",Cotations!AZ95,IF(Cotations!BA95*Y95&lt;50000,Z95,Cotations!BA95*Y95))))</f>
        <v/>
      </c>
      <c r="IH95" s="292" t="str">
        <f t="shared" si="360"/>
        <v/>
      </c>
      <c r="II95" s="446" t="str">
        <f>IF(A95=FALSE,"",IF(Cotations!AU95="monthly",IH95/12*L95,IH95/365*M95))</f>
        <v/>
      </c>
      <c r="IJ95" s="429" t="str">
        <f>IF(A95=FALSE,"",IF(Cotations!BB95="","",Cotations!BB95))</f>
        <v/>
      </c>
      <c r="IK95" s="292" t="str">
        <f t="shared" si="361"/>
        <v/>
      </c>
      <c r="IL95" s="292" t="str">
        <f t="shared" si="362"/>
        <v/>
      </c>
      <c r="IM95" s="759" t="str">
        <f t="shared" si="363"/>
        <v/>
      </c>
      <c r="IN95" s="759" t="str">
        <f>IF(A95=FALSE,"",((IH95*TAXE)-(IH95*TAXE*IJ95))+IF(DQ95="N/A",0,IF(INDEX(LISTES!$F$105:$F$109,MATCH(DQ95,LISTES!$C$105:$C$109,0))="FIX",DR95,DS95*IM95)))</f>
        <v/>
      </c>
      <c r="JA95" s="432" t="str">
        <f>IF(A95=FALSE,"",Cotations!AT95)</f>
        <v/>
      </c>
      <c r="JB95" s="1234" t="str">
        <f>IF(A95=FALSE,"",IF(Detail!BB95="","N/A",YEAR(Detail!F95)&amp;Detail!BE95&amp;Detail!BB95&amp;"-"&amp;Detail!$BB$13&amp;Detail!BC95))</f>
        <v/>
      </c>
      <c r="JC95" s="431" t="str">
        <f>IF(A95=FALSE,"",IF(LISTES!$A$17=1,JB95,INDEX(colMOD2,MATCH(DA95,colchoice,0))))</f>
        <v/>
      </c>
      <c r="JD95" s="759" t="str">
        <f t="shared" si="384"/>
        <v/>
      </c>
      <c r="JE95" s="292"/>
      <c r="JF95" s="409" t="str">
        <f t="shared" si="385"/>
        <v/>
      </c>
      <c r="JG95" s="430" t="str">
        <f>IF(A95=FALSE,"",IF(JA95="POEA",Cotations!BC95,IF(JA95="FIXE",Cotations!BD95,IF(Cotations!BE95*Y95&lt;50000,Z95,Cotations!BE95*Y95))))</f>
        <v/>
      </c>
      <c r="JH95" s="292" t="str">
        <f t="shared" si="386"/>
        <v/>
      </c>
      <c r="JI95" s="446" t="str">
        <f>IF(A95=FALSE,"",IF(Cotations!AU95="monthly",JH95/12*L95,JH95/365*M95))</f>
        <v/>
      </c>
      <c r="JJ95" s="429" t="str">
        <f>IF(A95=FALSE,"",IF(Cotations!BF95="","",Cotations!BF95))</f>
        <v/>
      </c>
      <c r="JK95" s="292" t="str">
        <f t="shared" si="387"/>
        <v/>
      </c>
      <c r="JL95" s="292" t="str">
        <f t="shared" si="388"/>
        <v/>
      </c>
      <c r="JM95" s="759" t="str">
        <f t="shared" si="389"/>
        <v/>
      </c>
      <c r="JN95" s="759" t="str">
        <f>IF(A95=FALSE,"",((JH95*TAXE)-(JH95*TAXE*JJ95))+IF(#REF!="N/A",0,IF(INDEX(LISTES!$F$105:$F$109,MATCH(#REF!,LISTES!$C$105:$C$109,0))="FIX",#REF!,#REF!*JM95)))</f>
        <v/>
      </c>
      <c r="KA95" s="432" t="str">
        <f>IF(A95=FALSE,"",Cotations!AT95)</f>
        <v/>
      </c>
      <c r="KB95" s="1234" t="str">
        <f>IF(A95=FALSE,"",IF(Detail!BJ95="","N/A",YEAR(Detail!F95)&amp;Detail!BM95&amp;Detail!BJ95&amp;"-"&amp;Detail!$BJ$13&amp;Detail!BK95))</f>
        <v/>
      </c>
      <c r="KC95" s="431" t="str">
        <f>IF(A95=FALSE,"",IF(LISTES!$A$17=1,KB95,INDEX(colMOD3,MATCH(DA95,colchoice,0))))</f>
        <v/>
      </c>
      <c r="KD95" s="759" t="str">
        <f t="shared" si="390"/>
        <v/>
      </c>
      <c r="KE95" s="292"/>
      <c r="KF95" s="409" t="str">
        <f t="shared" si="391"/>
        <v/>
      </c>
      <c r="KG95" s="430" t="str">
        <f>IF(A95=FALSE,"",IF(KA95="POEA",Cotations!BG95,IF(KA95="FIXE",Cotations!BH95,IF(Cotations!BI95*Y95&lt;50000,Z95,Cotations!BI95*Y95))))</f>
        <v/>
      </c>
      <c r="KH95" s="292" t="str">
        <f t="shared" si="392"/>
        <v/>
      </c>
      <c r="KI95" s="446" t="str">
        <f>IF(A95=FALSE,"",IF(Cotations!AU95="monthly",KH95/12*L95,KH95/365*M95))</f>
        <v/>
      </c>
      <c r="KJ95" s="429" t="str">
        <f>IF(A95=FALSE,"",IF(Cotations!BJ95="","",Cotations!BJ95))</f>
        <v/>
      </c>
      <c r="KK95" s="292" t="str">
        <f t="shared" si="393"/>
        <v/>
      </c>
      <c r="KL95" s="292" t="str">
        <f t="shared" si="394"/>
        <v/>
      </c>
      <c r="KM95" s="759" t="str">
        <f t="shared" si="395"/>
        <v/>
      </c>
      <c r="KN95" s="759" t="str">
        <f>IF(A95=FALSE,"",((KH95*TAXE)-(KH95*TAXE*KJ95))+IF(#REF!="N/A",0,IF(INDEX(LISTES!$F$105:$F$109,MATCH(#REF!,LISTES!$C$105:$C$109,0))="FIX",#REF!,#REF!*KM95)))</f>
        <v/>
      </c>
      <c r="LA95" s="432" t="str">
        <f>IF(A95=FALSE,"",Cotations!AT95)</f>
        <v/>
      </c>
      <c r="LB95" s="1234" t="str">
        <f>IF(A95=FALSE,"",IF(Detail!BR95="","N/A",YEAR(Detail!F95)&amp;Detail!BU95&amp;Detail!BR95&amp;"-"&amp;Detail!$BR$13&amp;Detail!BS95))</f>
        <v/>
      </c>
      <c r="LC95" s="431" t="str">
        <f>IF(A95=FALSE,"",IF(LISTES!$A$17=1,LB95,INDEX(colMOD4,MATCH(DA95,colchoice,0))))</f>
        <v/>
      </c>
      <c r="LD95" s="759" t="str">
        <f t="shared" si="396"/>
        <v/>
      </c>
      <c r="LE95" s="292"/>
      <c r="LF95" s="409" t="str">
        <f t="shared" si="397"/>
        <v/>
      </c>
      <c r="LG95" s="430" t="str">
        <f>IF(A95=FALSE,"",IF(LA95="POEA",Cotations!BK95,IF(LA95="FIXE",Cotations!BL95,IF(Cotations!BM95*Y95&lt;50000,Z95,Cotations!BM95*Y95))))</f>
        <v/>
      </c>
      <c r="LH95" s="292" t="str">
        <f t="shared" si="398"/>
        <v/>
      </c>
      <c r="LI95" s="446" t="str">
        <f>IF(A95=FALSE,"",IF(Cotations!AU95="monthly",LH95/12*L95,LH95/365*M95))</f>
        <v/>
      </c>
      <c r="LJ95" s="429" t="str">
        <f>IF(A95=FALSE,"",IF(Cotations!BN95="","",Cotations!BN95))</f>
        <v/>
      </c>
      <c r="LK95" s="292" t="str">
        <f t="shared" si="399"/>
        <v/>
      </c>
      <c r="LL95" s="292" t="str">
        <f t="shared" si="400"/>
        <v/>
      </c>
      <c r="LM95" s="759" t="str">
        <f t="shared" si="401"/>
        <v/>
      </c>
      <c r="LN95" s="759" t="str">
        <f>IF(A95=FALSE,"",((LH95*TAXE)-(LH95*TAXE*LJ95))+IF(#REF!="N/A",0,IF(INDEX(LISTES!$F$105:$F$109,MATCH(#REF!,LISTES!$C$105:$C$109,0))="FIX",#REF!,#REF!*LM95)))</f>
        <v/>
      </c>
      <c r="MA95" s="432" t="str">
        <f t="shared" si="402"/>
        <v/>
      </c>
      <c r="MB95" s="1234" t="str">
        <f>IF(A95=FALSE,"",IF(Detail!BZ95="","N/A",YEAR(Detail!F95)&amp;Detail!CC95&amp;Detail!BZ95&amp;"-"&amp;Detail!$BZ$13&amp;" (100%/"&amp;Detail!CD95&amp;"/"&amp;Detail!CE95&amp;")"))</f>
        <v/>
      </c>
      <c r="MC95" s="431" t="str">
        <f>IF(A95=FALSE,"",IF(LISTES!$A$17=1,MB95,INDEX(colMOD5,MATCH(DA95,colchoice,0))))</f>
        <v/>
      </c>
      <c r="MD95" s="759" t="str">
        <f t="shared" si="403"/>
        <v/>
      </c>
      <c r="ME95" s="292"/>
      <c r="MF95" s="409" t="str">
        <f t="shared" si="404"/>
        <v/>
      </c>
      <c r="MG95" s="430" t="str">
        <f>IF(A95=FALSE,"",Cotations!BQ95*AA95)</f>
        <v/>
      </c>
      <c r="MH95" s="292" t="str">
        <f t="shared" si="405"/>
        <v/>
      </c>
      <c r="MI95" s="446" t="str">
        <f>IF(A95=FALSE,"",IF(Cotations!AU95="monthly",MH95/12*L95,MH95/365*M95))</f>
        <v/>
      </c>
      <c r="MJ95" s="429" t="str">
        <f>IF(A95=FALSE,"",IF(Cotations!BR95="","",Cotations!BR95))</f>
        <v/>
      </c>
      <c r="MK95" s="292" t="str">
        <f t="shared" si="406"/>
        <v/>
      </c>
      <c r="ML95" s="292" t="str">
        <f t="shared" si="407"/>
        <v/>
      </c>
      <c r="MM95" s="759" t="str">
        <f t="shared" si="408"/>
        <v/>
      </c>
      <c r="MN95" s="759" t="str">
        <f>IF(A95=FALSE,"",((MH95*TAXE)-(MH95*TAXE*MJ95))+IF(#REF!="N/A",0,IF(INDEX(LISTES!$F$105:$F$109,MATCH(#REF!,LISTES!$C$105:$C$109,0))="FIX",#REF!,#REF!*MM95)))</f>
        <v/>
      </c>
      <c r="NA95" s="432" t="str">
        <f t="shared" si="409"/>
        <v/>
      </c>
      <c r="NB95" s="1234" t="str">
        <f>IF(A95=FALSE,"",IF(Detail!CH95="","N/A",YEAR(Detail!F95)&amp;Detail!CK95&amp;Detail!CH95&amp;"-"&amp;Detail!$CH$13&amp;" (100%/"&amp;Detail!CL95&amp;"/"&amp;Detail!CM95&amp;")"))</f>
        <v/>
      </c>
      <c r="NC95" s="431" t="str">
        <f>IF(A95=FALSE,"",IF(LISTES!$A$17=1,NB95,INDEX(colMOD6,MATCH(DA95,colchoice,0))))</f>
        <v/>
      </c>
      <c r="ND95" s="759" t="str">
        <f t="shared" si="410"/>
        <v/>
      </c>
      <c r="NE95" s="292"/>
      <c r="NF95" s="409" t="str">
        <f t="shared" si="411"/>
        <v/>
      </c>
      <c r="NG95" s="430" t="str">
        <f>IF(A95=FALSE,"",Cotations!BU95*AA95)</f>
        <v/>
      </c>
      <c r="NH95" s="292" t="str">
        <f t="shared" si="412"/>
        <v/>
      </c>
      <c r="NI95" s="446" t="str">
        <f>IF(A95=FALSE,"",IF(Cotations!AU95="monthly",NH95/12*L95,NH95/365*M95))</f>
        <v/>
      </c>
      <c r="NJ95" s="429" t="str">
        <f>IF(A95=FALSE,"",IF(Cotations!BV95="","",Cotations!BV95))</f>
        <v/>
      </c>
      <c r="NK95" s="292" t="str">
        <f t="shared" si="413"/>
        <v/>
      </c>
      <c r="NL95" s="292" t="str">
        <f t="shared" si="414"/>
        <v/>
      </c>
      <c r="NM95" s="759" t="str">
        <f t="shared" si="415"/>
        <v/>
      </c>
      <c r="NN95" s="759" t="str">
        <f>IF(A95=FALSE,"",((NH95*TAXE)-(NH95*TAXE*NJ95))+IF(#REF!="N/A",0,IF(INDEX(LISTES!$F$105:$F$109,MATCH(#REF!,LISTES!$C$105:$C$109,0))="FIX",#REF!,#REF!*NM95)))</f>
        <v/>
      </c>
      <c r="NZ95" s="1281" t="str">
        <f>IF(A95=FALSE,"",IF(Detail!CP95="","N/A",YEAR(Detail!F95)&amp;Detail!CS95&amp;Detail!CP95&amp;"-"&amp;Detail!CQ95))</f>
        <v/>
      </c>
      <c r="OA95" s="432" t="str">
        <f>IF(A95=FALSE,"",Cotations!CF95)</f>
        <v/>
      </c>
      <c r="OB95" s="1282" t="str">
        <f>IF(A95=FALSE,"",IF(Detail!CP95="","N/A",YEAR(Detail!F95)&amp;Detail!CS95&amp;Detail!CP95&amp;"-"&amp;Detail!$CP$13&amp;Detail!CQ95))</f>
        <v/>
      </c>
      <c r="OC95" s="1283" t="str">
        <f>IF(A95=FALSE,"",IF(LISTES!$A$17=1,OB95,INDEX(colMOD1,MATCH(Cotations!CE95,colchoice,0))))</f>
        <v/>
      </c>
      <c r="OD95" s="759" t="str">
        <f t="shared" si="416"/>
        <v/>
      </c>
      <c r="OE95" s="292" t="str">
        <f>IF(A95=FALSE,"",Detail!CQ95)</f>
        <v/>
      </c>
      <c r="OF95" s="409" t="str">
        <f t="shared" si="417"/>
        <v/>
      </c>
      <c r="OG95" s="430" t="str">
        <f>IF(A95=FALSE,"",IF(OA95="FIXE",Cotations!CM95,Cotations!CN95*AA95))</f>
        <v/>
      </c>
      <c r="OH95" s="292" t="str">
        <f t="shared" si="494"/>
        <v/>
      </c>
      <c r="OI95" s="446" t="str">
        <f>IF(A95=FALSE,"",IF(Cotations!CF95="monthly",OH95/12*L95,OH95/365*M95))</f>
        <v/>
      </c>
      <c r="OJ95" s="429" t="str">
        <f>IF(A95=FALSE,"",IF(Cotations!CO95="","",Cotations!CO95))</f>
        <v/>
      </c>
      <c r="OK95" s="292" t="str">
        <f t="shared" si="495"/>
        <v/>
      </c>
      <c r="OL95" s="292" t="str">
        <f t="shared" si="496"/>
        <v/>
      </c>
      <c r="OM95" s="759" t="str">
        <f t="shared" si="418"/>
        <v/>
      </c>
      <c r="ON95" s="759" t="str">
        <f>IF(A95=FALSE,"",((OH95*(1+TAXE)-(OH95*(1+TAXE)*OJ95))+IF(#REF!="N/A",0,IF(INDEX(LISTES!$F$105:$F$109,MATCH(#REF!,LISTES!$C$105:$C$109,0))="FIX",#REF!,#REF!*OM95))))</f>
        <v/>
      </c>
      <c r="PA95" s="432" t="str">
        <f>IF(A95=FALSE,"",Cotations!CF95)</f>
        <v/>
      </c>
      <c r="PB95" s="1282" t="str">
        <f>IF(A95=FALSE,"",IF(Detail!CX95="","N/A",YEAR(Detail!F95)&amp;Detail!DA95&amp;Detail!CX95&amp;"-"&amp;Detail!$CX$13&amp;Detail!CY95))</f>
        <v/>
      </c>
      <c r="PC95" s="1283" t="str">
        <f>IF(A95=FALSE,"",IF(LISTES!$A$17=1,PB95,INDEX(colMOD3,MATCH(Cotations!CE95,colchoice,0))))</f>
        <v/>
      </c>
      <c r="PD95" s="759" t="str">
        <f t="shared" si="419"/>
        <v/>
      </c>
      <c r="PE95" s="292" t="str">
        <f>IF(A95=FALSE,"",IF(Detail!CY95="","",Detail!CY95))</f>
        <v/>
      </c>
      <c r="PF95" s="409" t="str">
        <f t="shared" si="497"/>
        <v/>
      </c>
      <c r="PG95" s="430" t="str">
        <f>IF(A95=FALSE,"",IF(PA95="FIXE",Cotations!CP95,Cotations!CQ95*AA95))</f>
        <v/>
      </c>
      <c r="PH95" s="292" t="str">
        <f t="shared" si="498"/>
        <v/>
      </c>
      <c r="PI95" s="446" t="str">
        <f>IF(A95=FALSE,"",IF(Cotations!CG95="monthly",PH95/12*L95,PH95/365*M95))</f>
        <v/>
      </c>
      <c r="PJ95" s="429" t="str">
        <f>IF(A95=FALSE,"",IF(Cotations!DA95="",0,Cotations!DA95))</f>
        <v/>
      </c>
      <c r="PK95" s="292" t="str">
        <f t="shared" si="499"/>
        <v/>
      </c>
      <c r="PL95" s="292" t="str">
        <f t="shared" si="500"/>
        <v/>
      </c>
      <c r="PM95" s="759" t="str">
        <f t="shared" si="420"/>
        <v/>
      </c>
      <c r="PN95" s="759" t="str">
        <f>IF(A95=FALSE,"",((PH95*(1+TAXE)-(PH95*(1+TAXE)*PJ95))+IF(#REF!="N/A",0,IF(INDEX(LISTES!$F$105:$F$109,MATCH(#REF!,LISTES!$C$105:$C$109,0))="FIX",#REF!,#REF!*PM95))))</f>
        <v/>
      </c>
    </row>
    <row r="96" spans="1:430">
      <c r="A96" s="779" t="b">
        <f t="shared" si="364"/>
        <v>0</v>
      </c>
      <c r="B96" s="779" t="b">
        <f>IF(NAMES!$B$9=TRUE,TRUE,FALSE)</f>
        <v>1</v>
      </c>
      <c r="C96" s="779" t="b">
        <f t="shared" si="421"/>
        <v>0</v>
      </c>
      <c r="D96" s="779" t="b">
        <f t="shared" si="422"/>
        <v>0</v>
      </c>
      <c r="E96" s="267" t="b">
        <f>IF(Cotations!C96="","",Cotations!C96)</f>
        <v>0</v>
      </c>
      <c r="F96" s="267" t="str">
        <f>IF(Cotations!AT96="","",Cotations!AT96)</f>
        <v>PROP</v>
      </c>
      <c r="G96" s="267" t="str">
        <f>IF(Cotations!D96="","",Cotations!D96)</f>
        <v>2016-2017!</v>
      </c>
      <c r="H96" s="267" t="str">
        <f>IF(Cotations!E96="","",Cotations!E96)</f>
        <v>SINGLE</v>
      </c>
      <c r="I96" s="267" t="str">
        <f>IF(Cotations!F96="","",Cotations!F96)</f>
        <v/>
      </c>
      <c r="J96" s="267" t="str">
        <f>IF(Cotations!G96="","",Cotations!G96)</f>
        <v/>
      </c>
      <c r="K96" s="267" t="str">
        <f>IF(Cotations!H96="","",Cotations!H96)</f>
        <v/>
      </c>
      <c r="L96" s="267" t="str">
        <f>IF(A96=FALSE,"",IF(Cotations!M96="","",Cotations!M96))</f>
        <v/>
      </c>
      <c r="M96" s="267" t="str">
        <f>IF(Cotations!O96="","",Cotations!O96)</f>
        <v/>
      </c>
      <c r="N96" s="588" t="str">
        <f>IF(NAMES!$B$10=TRUE,Cotations!I96,Cotations!K96)</f>
        <v/>
      </c>
      <c r="O96" s="588" t="str">
        <f>IF(NAMES!$B$10=TRUE,Cotations!J96,Cotations!L96)</f>
        <v/>
      </c>
      <c r="P96" s="780" t="str">
        <f t="shared" si="423"/>
        <v/>
      </c>
      <c r="Q96" s="588" t="str">
        <f>IF(A96=FALSE,"",IF(Crewlist!Y96="","",Crewlist!Y96))</f>
        <v/>
      </c>
      <c r="R96" s="78" t="str">
        <f>IF(Cotations!T96="","",Cotations!T96)</f>
        <v/>
      </c>
      <c r="S96" s="780" t="str">
        <f t="shared" si="424"/>
        <v/>
      </c>
      <c r="T96" s="759" t="str">
        <f>IF(A96=FALSE,"",VLOOKUP($U$15:$U$120,Currency!$A$2:$D$10,4,0)*Crewlist!N96)</f>
        <v/>
      </c>
      <c r="U96" s="1097" t="str">
        <f>IF(A96=FALSE,"",IF(DP96=0,Crewlist!M96&amp;"/"&amp;CP96,Crewlist!M96&amp;"/"&amp;DP96))</f>
        <v/>
      </c>
      <c r="V96" s="759" t="str">
        <f>IF(A96=FALSE,"",VLOOKUP($U$15:$U$120,Currency!$A$2:$D$10,4,0)*Detail!Q96)</f>
        <v/>
      </c>
      <c r="W96" s="1097" t="str">
        <f>IF(A96=FALSE,"",IF(DP96=0,Detail!R96&amp;"/"&amp;CP96,Detail!R96&amp;"/"&amp;DP96))</f>
        <v/>
      </c>
      <c r="X96" s="759" t="str">
        <f>IF(A96=FALSE,"",IF(LISTES!$C$17="Crewlist",Calcul!T96,Calcul!V96))</f>
        <v/>
      </c>
      <c r="Y96" s="618" t="str">
        <f t="shared" si="425"/>
        <v/>
      </c>
      <c r="Z96" s="618" t="str">
        <f>IF(A96=FALSE,"",IF(X96=0,0,IF((Cotations!BA96*12*X96)&lt;50000,50000,(12*X96))))</f>
        <v/>
      </c>
      <c r="AA96" s="618" t="str">
        <f t="shared" si="426"/>
        <v/>
      </c>
      <c r="AB96" s="618" t="str">
        <f>IF(A96=FALSE,"",IF(Crewlist!O96=0,"",Crewlist!O96))</f>
        <v/>
      </c>
      <c r="AC96" s="618" t="str">
        <f>IF(I96="","",VLOOKUP($AB$15:$AB$120,Currency!$A$15:$B$34,2,0))</f>
        <v/>
      </c>
      <c r="AD96" s="618" t="str">
        <f t="shared" si="427"/>
        <v/>
      </c>
      <c r="AE96" s="618" t="str">
        <f t="shared" si="428"/>
        <v/>
      </c>
      <c r="AF96" s="618" t="str">
        <f t="shared" si="429"/>
        <v/>
      </c>
      <c r="AG96" s="618" t="str">
        <f t="shared" si="430"/>
        <v/>
      </c>
      <c r="AH96" s="1097" t="str">
        <f t="shared" si="365"/>
        <v/>
      </c>
      <c r="AI96" s="759" t="str">
        <f t="shared" si="431"/>
        <v/>
      </c>
      <c r="AJ96" s="1120" t="str">
        <f t="shared" si="432"/>
        <v/>
      </c>
      <c r="AK96" s="1120" t="str">
        <f t="shared" si="433"/>
        <v/>
      </c>
      <c r="AL96" s="236" t="str">
        <f t="shared" si="434"/>
        <v/>
      </c>
      <c r="AM96" s="236" t="str">
        <f t="shared" si="435"/>
        <v/>
      </c>
      <c r="AN96" s="1112" t="str">
        <f t="shared" si="436"/>
        <v/>
      </c>
      <c r="AO96" s="236" t="str">
        <f t="shared" si="437"/>
        <v/>
      </c>
      <c r="AP96" s="327" t="str">
        <f>IF(A96=FALSE,"",INDEX(Rates!$Q$1:$Q$278,MATCH(CA96,colchoice,0)))</f>
        <v/>
      </c>
      <c r="AQ96" s="236" t="str">
        <f t="shared" si="438"/>
        <v/>
      </c>
      <c r="AR96" s="236" t="str">
        <f t="shared" si="439"/>
        <v/>
      </c>
      <c r="AS96" s="236" t="str">
        <f t="shared" si="366"/>
        <v/>
      </c>
      <c r="AT96" s="236" t="str">
        <f t="shared" si="367"/>
        <v/>
      </c>
      <c r="AU96" s="236" t="str">
        <f t="shared" si="440"/>
        <v/>
      </c>
      <c r="AV96" s="236" t="str">
        <f t="shared" si="441"/>
        <v/>
      </c>
      <c r="AW96" s="236" t="str">
        <f t="shared" si="442"/>
        <v/>
      </c>
      <c r="AX96" s="236" t="str">
        <f t="shared" si="443"/>
        <v/>
      </c>
      <c r="AY96" s="236" t="str">
        <f t="shared" si="444"/>
        <v/>
      </c>
      <c r="AZ96" s="236" t="str">
        <f t="shared" si="445"/>
        <v/>
      </c>
      <c r="BA96" s="236" t="str">
        <f t="shared" si="446"/>
        <v/>
      </c>
      <c r="BB96" s="467" t="str">
        <f t="shared" si="447"/>
        <v/>
      </c>
      <c r="BC96" s="329" t="str">
        <f t="shared" si="448"/>
        <v/>
      </c>
      <c r="BD96" s="237" t="str">
        <f t="shared" si="449"/>
        <v/>
      </c>
      <c r="BE96" s="237" t="str">
        <f>IF(A96=FALSE,"",IF(ED96&lt;&gt;$BC$7,0,INDEX(EA96:EZ96,1,MATCH(Structure!$J$16,$EA$14:$EZ$14,0))))</f>
        <v/>
      </c>
      <c r="BF96" s="237" t="str">
        <f>IF(A96=FALSE,"",IF(FD96&lt;&gt;$BC$7,0,INDEX(FA96:FZ96,1,MATCH(Structure!$J$16,$FA$14:$FZ$14,0))))</f>
        <v/>
      </c>
      <c r="BG96" s="237" t="str">
        <f>IF(A96=FALSE,"",IF(GD96&lt;&gt;$BC$7,0,INDEX(GA96:GZ96,1,MATCH(Structure!$J$16,$GA$14:$GZ$14,0))))</f>
        <v/>
      </c>
      <c r="BH96" s="237" t="str">
        <f>IF(A96=FALSE,"",IF(HD96&lt;&gt;$BC$7,0,INDEX(HA96:HZ96,1,MATCH(Structure!$J$16,$HA$14:$HZ$14,0))))</f>
        <v/>
      </c>
      <c r="BI96" s="621" t="str">
        <f>IF(A96=FALSE,"",IF(ID96&lt;&gt;$BC$7,0,INDEX(IA96:IZ96,1,MATCH(Structure!$C$12,$IA$14:$IZ$14,0)))+OL96)</f>
        <v/>
      </c>
      <c r="BJ96" s="237" t="str">
        <f>IF(A96=FALSE,"",IF(JD96&lt;&gt;$BC$7,0,INDEX(JA96:JZ96,1,MATCH(Structure!$C$12,$JA$14:$JZ$14,0))))</f>
        <v/>
      </c>
      <c r="BK96" s="621" t="str">
        <f>IF(A96=FALSE,"",IF(KD96&lt;&gt;$BC$7,0,INDEX(KA96:KZ96,1,MATCH(Structure!$C$12,$KA$14:$KZ$14,0)))+PL96)</f>
        <v/>
      </c>
      <c r="BL96" s="237" t="str">
        <f>IF(A96=FALSE,"",IF(LD96&lt;&gt;$BC$7,0,INDEX(LA96:LZ96,1,MATCH(Structure!$C$12,$LA$14:$LZ$14,0))))</f>
        <v/>
      </c>
      <c r="BM96" s="237" t="str">
        <f>IF(A96=FALSE,"",IF(MD96&lt;&gt;$BC$7,0,INDEX(MA96:MZ96,1,MATCH(Structure!$C$12,$MA$14:$MZ$14,0))))</f>
        <v/>
      </c>
      <c r="BN96" s="326" t="str">
        <f>IF(A96=FALSE,"",IF(ND96&lt;&gt;$BC$7,0,INDEX(NA96:OC96,1,MATCH(Structure!$C$12,$NA$14:$OC$14,0))))</f>
        <v/>
      </c>
      <c r="BO96" s="435" t="str">
        <f t="shared" si="450"/>
        <v/>
      </c>
      <c r="BP96" s="237" t="str">
        <f t="shared" si="451"/>
        <v/>
      </c>
      <c r="BQ96" s="237" t="str">
        <f>IF(A96=FALSE,"",IF(ED96&lt;&gt;$BO$7,0,INDEX(EA96:EZ96,1,MATCH(Structure!$C$12,$EA$14:$EZ$14,0))))</f>
        <v/>
      </c>
      <c r="BR96" s="237" t="str">
        <f>IF(A96=FALSE,"",IF(FD96&lt;&gt;$BO$7,0,INDEX(FA96:FZ96,1,MATCH(Structure!$C$12,$FA$14:$FZ$14,0))))</f>
        <v/>
      </c>
      <c r="BS96" s="237" t="str">
        <f>IF(A96=FALSE,"",IF(ID96&lt;&gt;$BO$7,0,INDEX(IA96:IZ96,1,MATCH(Structure!$C$13,$IA$14:$IZ$14,0))))</f>
        <v/>
      </c>
      <c r="BT96" s="237" t="str">
        <f>IF(A96=FALSE,"",IF(JD96&lt;&gt;$BO$7,0,INDEX(JA96:JZ96,1,MATCH(Structure!$C$13,$JA$14:$JZ$14,0))))</f>
        <v/>
      </c>
      <c r="BU96" s="237" t="str">
        <f>IF(A96=FALSE,"",IF(KD96&lt;&gt;$BO$7,0,INDEX(KA96:KZ96,1,MATCH(Structure!$C$13,$KA$14:$KZ$14,0))))</f>
        <v/>
      </c>
      <c r="BV96" s="237" t="str">
        <f>IF(A96=FALSE,"",IF(LD96&lt;&gt;$BO$7,0,INDEX(LA96:LZ96,1,MATCH(Structure!$C$13,$LA$14:$LZ$14,0))))</f>
        <v/>
      </c>
      <c r="BW96" s="237" t="str">
        <f>IF(A96=FALSE,"",IF(MD96&lt;&gt;$BO$7,0,INDEX(MA96:MZ96,1,MATCH(Structure!$C$13,$MA$14:$MZ$14,0))))</f>
        <v/>
      </c>
      <c r="BX96" s="326" t="str">
        <f>IF(A96=FALSE,"",IF(ND96&lt;&gt;$BO$7,0,INDEX(NA96:OC96,1,MATCH(Structure!$C$13,$NA$14:$OC$14,0))))</f>
        <v/>
      </c>
      <c r="BY96" s="412"/>
      <c r="BZ96" s="412"/>
      <c r="CA96" s="1255" t="str">
        <f>IF(A96=FALSE,"",IF(LISTES!$A$17=1,Cotations!AG96,Cotations!AH96))</f>
        <v/>
      </c>
      <c r="CB96" s="1266" t="str">
        <f t="shared" si="452"/>
        <v/>
      </c>
      <c r="CC96" s="1120" t="str">
        <f t="shared" si="453"/>
        <v/>
      </c>
      <c r="CD96" s="1120" t="str">
        <f t="shared" si="454"/>
        <v/>
      </c>
      <c r="CE96" s="1120" t="str">
        <f t="shared" si="455"/>
        <v/>
      </c>
      <c r="CF96" s="1120" t="str">
        <f t="shared" si="456"/>
        <v/>
      </c>
      <c r="CG96" s="1267"/>
      <c r="CH96" s="1267"/>
      <c r="CI96" s="1268" t="str">
        <f t="shared" si="457"/>
        <v/>
      </c>
      <c r="CJ96" s="286" t="str">
        <f t="shared" si="458"/>
        <v/>
      </c>
      <c r="CK96" s="286" t="str">
        <f t="shared" si="459"/>
        <v/>
      </c>
      <c r="CL96" s="1263"/>
      <c r="CM96" s="1263"/>
      <c r="CN96" s="1263"/>
      <c r="CO96" s="1263"/>
      <c r="CP96" s="319" t="str">
        <f t="shared" si="460"/>
        <v/>
      </c>
      <c r="CQ96" s="443" t="str">
        <f>IF(A96=FALSE,"",Cotations!AM96)</f>
        <v/>
      </c>
      <c r="CR96" s="443" t="str">
        <f>IF(A96=FALSE,"",IF(Cotations!AN96="","",Cotations!AN96))</f>
        <v/>
      </c>
      <c r="CS96" s="433" t="str">
        <f>IF(A96=FALSE,"",Cotations!AO96)</f>
        <v/>
      </c>
      <c r="CT96" s="443" t="str">
        <f>IF(A96=FALSE,"",IF(CQ96="N/A",0,IF(INDEX(LISTES!$F$105:$F$109,MATCH(CQ96,LISTES!$C$105:$C$109,0))="FIX",IF(INDEX(LISTES!$E$105:$E$109,MATCH(CQ96,LISTES!$C$105:$C$109,0))=12,CR96/12*L96,CR96/365*M96),CS96*EQ96)))</f>
        <v/>
      </c>
      <c r="CU96" s="434" t="str">
        <f>IF(A96=FALSE,"",(CJ96+CK96)*Cotations!AP96)</f>
        <v/>
      </c>
      <c r="CV96" s="434" t="str">
        <f>IF(A96=FALSE,"",(CJ96+CK96)*Cotations!AQ96)</f>
        <v/>
      </c>
      <c r="DA96" s="1253" t="str">
        <f>IF(A96=FALSE,"",IF(LISTES!$A$17=1,Cotations!AV96,Cotations!AW96))</f>
        <v/>
      </c>
      <c r="DB96" s="1271" t="str">
        <f t="shared" si="461"/>
        <v/>
      </c>
      <c r="DC96" s="1270" t="str">
        <f t="shared" si="462"/>
        <v/>
      </c>
      <c r="DD96" s="1270" t="str">
        <f t="shared" si="463"/>
        <v/>
      </c>
      <c r="DE96" s="1270" t="str">
        <f t="shared" si="464"/>
        <v/>
      </c>
      <c r="DF96" s="1270" t="str">
        <f t="shared" si="465"/>
        <v/>
      </c>
      <c r="DG96" s="1270" t="str">
        <f t="shared" si="466"/>
        <v/>
      </c>
      <c r="DH96" s="1270" t="str">
        <f t="shared" si="467"/>
        <v/>
      </c>
      <c r="DI96" s="1271" t="str">
        <f t="shared" si="468"/>
        <v/>
      </c>
      <c r="DJ96" s="286" t="str">
        <f t="shared" si="469"/>
        <v/>
      </c>
      <c r="DK96" s="286" t="str">
        <f t="shared" si="470"/>
        <v/>
      </c>
      <c r="DL96" s="1264" t="str">
        <f t="shared" si="471"/>
        <v/>
      </c>
      <c r="DM96" s="1264" t="str">
        <f t="shared" si="472"/>
        <v/>
      </c>
      <c r="DN96" s="1264" t="str">
        <f t="shared" si="473"/>
        <v/>
      </c>
      <c r="DO96" s="1264" t="str">
        <f t="shared" si="474"/>
        <v/>
      </c>
      <c r="DP96" s="323" t="str">
        <f t="shared" si="368"/>
        <v/>
      </c>
      <c r="DQ96" s="444" t="str">
        <f>IF(A96=FALSE,"",Cotations!BW96)</f>
        <v/>
      </c>
      <c r="DR96" s="444" t="str">
        <f>IF(A96=FALSE,"",Cotations!BX96)</f>
        <v/>
      </c>
      <c r="DS96" s="433" t="str">
        <f>IF(A96=FALSE,"",Cotations!BY96)</f>
        <v/>
      </c>
      <c r="DT96" s="830" t="str">
        <f>IF(A96=FALSE,"",IF(DQ96="N/A",0,IF(INDEX(LISTES!$F$105:$F$109,MATCH(DQ96,LISTES!$C$105:$C$109,0))="FIX",IF(INDEX(LISTES!$E$105:$E$109,MATCH(DQ96,LISTES!$C$105:$C$109,0))=12,DR96/12*L96,DR96/365*M96),DS96*(DN96+DO96))))</f>
        <v/>
      </c>
      <c r="DU96" s="434" t="str">
        <f>IF(A96=FALSE,"",DJ96*Cotations!BZ96)</f>
        <v/>
      </c>
      <c r="DV96" s="434" t="str">
        <f>IF(A96=FALSE,"",DJ96*Cotations!CA96)</f>
        <v/>
      </c>
      <c r="EA96" s="432" t="str">
        <f>IF(A96=FALSE,"",Cotations!AT96)</f>
        <v/>
      </c>
      <c r="EB96" s="1234" t="str">
        <f>IF(A96=FALSE,"",YEAR(Detail!F96)&amp;Detail!AG96&amp;Detail!AD96&amp;"-"&amp;Detail!$AD$13&amp;Detail!AE96)</f>
        <v/>
      </c>
      <c r="EC96" s="434" t="str">
        <f>IF(A96=FALSE,"",IF(LISTES!$A$17=1,EB96,INDEX(colMOD1,MATCH(Cotations!AH96,colchoice,0))))</f>
        <v/>
      </c>
      <c r="ED96" s="277" t="str">
        <f t="shared" si="369"/>
        <v/>
      </c>
      <c r="EE96" s="277" t="str">
        <f t="shared" si="370"/>
        <v/>
      </c>
      <c r="EF96" s="277"/>
      <c r="EG96" s="277"/>
      <c r="EH96" s="277" t="str">
        <f t="shared" si="371"/>
        <v/>
      </c>
      <c r="EI96" s="1104" t="str">
        <f t="shared" si="372"/>
        <v/>
      </c>
      <c r="EJ96" s="1104" t="str">
        <f t="shared" si="373"/>
        <v/>
      </c>
      <c r="EK96" s="443" t="str">
        <f>IF(A96=FALSE,"",IF(Cotations!AF96="monthly",EH96/12*L96,EH96/365*M96))</f>
        <v/>
      </c>
      <c r="EL96" s="1103" t="str">
        <f>IF(A96=FALSE,"",IF(Cotations!AF96="monthly",EJ96/12*L96,EJ96/365*M96))</f>
        <v/>
      </c>
      <c r="EM96" s="433" t="str">
        <f>IF(A96=FALSE,"",IF(Cotations!AI96="","",Cotations!AI96))</f>
        <v/>
      </c>
      <c r="EN96" s="277" t="str">
        <f t="shared" si="374"/>
        <v/>
      </c>
      <c r="EO96" s="277" t="str">
        <f t="shared" si="375"/>
        <v/>
      </c>
      <c r="EP96" s="1104" t="str">
        <f t="shared" si="376"/>
        <v/>
      </c>
      <c r="EQ96" s="277" t="str">
        <f t="shared" si="377"/>
        <v/>
      </c>
      <c r="ER96" s="759" t="str">
        <f>IF(A96=FALSE,"",((EH96*TAXE)-(EH96*TAXE*EM96)+EI96)+IF(CQ96="N/A",0,IF(INDEX(LISTES!$F$105:$F$109,MATCH(CQ96,LISTES!$C$105:$C$109,0))="FIX",CR96,CS96*EQ96)))</f>
        <v/>
      </c>
      <c r="ET96" s="422"/>
      <c r="EU96" s="422"/>
      <c r="EV96" s="422"/>
      <c r="EW96" s="422"/>
      <c r="EX96" s="422"/>
      <c r="EY96" s="422"/>
      <c r="EZ96" s="422"/>
      <c r="FA96" s="432" t="str">
        <f>IF(A96=FALSE,"",Cotations!AT96)</f>
        <v/>
      </c>
      <c r="FB96" s="1235" t="str">
        <f>IF(A96=FALSE,"",IF(Detail!AL96="","N/A",YEAR(Detail!F96)&amp;Detail!AO96&amp;Detail!AL96&amp;"-"&amp;Detail!$AL$13&amp;Detail!AM96))</f>
        <v/>
      </c>
      <c r="FC96" s="434" t="str">
        <f>IF(A96=FALSE,"",IF(LISTES!$A$17=1,FB96,INDEX(colMOD2,MATCH(Cotations!AH96,colchoice,0))))</f>
        <v/>
      </c>
      <c r="FD96" s="277" t="str">
        <f t="shared" si="378"/>
        <v/>
      </c>
      <c r="FE96" s="443" t="str">
        <f>IF(A96=FALSE,"",IF(Detail!AM96="","",Detail!AM96))</f>
        <v/>
      </c>
      <c r="FF96" s="277"/>
      <c r="FG96" s="277"/>
      <c r="FH96" s="277" t="str">
        <f t="shared" si="379"/>
        <v/>
      </c>
      <c r="FI96" s="1104"/>
      <c r="FJ96" s="1104"/>
      <c r="FK96" s="443" t="str">
        <f>IF(A96=FALSE,"",IF(Cotations!AF96="monthly",FH96/12*L96,FH96/365*M96))</f>
        <v/>
      </c>
      <c r="FL96" s="1103" t="str">
        <f>IF(A96=FALSE,"",IF(Cotations!AF96="monthly",FJ96/12*L96,FJ96/365*M96))</f>
        <v/>
      </c>
      <c r="FM96" s="433" t="str">
        <f>IF(A96=FALSE,"",IF(Cotations!AJ96="","",Cotations!AJ96))</f>
        <v/>
      </c>
      <c r="FN96" s="277" t="str">
        <f t="shared" si="475"/>
        <v/>
      </c>
      <c r="FO96" s="277" t="str">
        <f t="shared" si="476"/>
        <v/>
      </c>
      <c r="FP96" s="1104"/>
      <c r="FQ96" s="277" t="str">
        <f t="shared" si="477"/>
        <v/>
      </c>
      <c r="FR96" s="759" t="str">
        <f>IF(A96=FALSE,"",((FH96*TAXE)-(FH96*TAXE*FM96))+IF(#REF!="N/A",0,IF(INDEX(LISTES!$F$105:$F$109,MATCH(#REF!,LISTES!$C$105:$C$109,0))="FIX",#REF!,#REF!*FQ96)))</f>
        <v/>
      </c>
      <c r="FS96" s="422"/>
      <c r="FT96" s="422"/>
      <c r="FU96" s="422"/>
      <c r="FV96" s="422"/>
      <c r="FW96" s="422"/>
      <c r="FX96" s="422"/>
      <c r="FY96" s="422"/>
      <c r="FZ96" s="422"/>
      <c r="GA96" s="432" t="str">
        <f t="shared" si="380"/>
        <v/>
      </c>
      <c r="GB96" s="1234" t="str">
        <f>IF(A96=FALSE,"",IF(Detail!DF96="","N/A",YEAR(Detail!F96)&amp;Detail!DI96&amp;Detail!DF96&amp;"-"&amp;Detail!$DF$13))</f>
        <v/>
      </c>
      <c r="GC96" s="434" t="str">
        <f>IF(A96=FALSE,"",IF(LISTES!$A$17=1,GB96,INDEX(colMOD3,MATCH(Cotations!AH96,colchoice,0))))</f>
        <v/>
      </c>
      <c r="GD96" s="277" t="str">
        <f t="shared" si="381"/>
        <v/>
      </c>
      <c r="GE96" s="277" t="str">
        <f t="shared" si="382"/>
        <v/>
      </c>
      <c r="GF96" s="277"/>
      <c r="GG96" s="277"/>
      <c r="GH96" s="277" t="str">
        <f t="shared" si="478"/>
        <v/>
      </c>
      <c r="GI96" s="1104" t="str">
        <f t="shared" si="479"/>
        <v/>
      </c>
      <c r="GJ96" s="1104" t="str">
        <f t="shared" si="480"/>
        <v/>
      </c>
      <c r="GK96" s="443" t="str">
        <f>IF(A96=FALSE,"",IF(Cotations!AF96="monthly",GH96/12*L96,GH96/365*M96))</f>
        <v/>
      </c>
      <c r="GL96" s="1103" t="str">
        <f>IF(A96=FALSE,"",IF(Cotations!AF96="monthly",GJ96/12*L96,GJ96/365*M96))</f>
        <v/>
      </c>
      <c r="GM96" s="433" t="str">
        <f>IF(A96=FALSE,"",IF(Cotations!AK96="","",Cotations!AK96))</f>
        <v/>
      </c>
      <c r="GN96" s="277" t="str">
        <f t="shared" si="481"/>
        <v/>
      </c>
      <c r="GO96" s="277" t="str">
        <f t="shared" si="482"/>
        <v/>
      </c>
      <c r="GP96" s="1104" t="str">
        <f t="shared" si="483"/>
        <v/>
      </c>
      <c r="GQ96" s="277" t="str">
        <f t="shared" si="484"/>
        <v/>
      </c>
      <c r="GR96" s="759" t="str">
        <f>IF(A96=FALSE,"",((GH96*TAXE)-(GH96*TAXE*GM96)+GI96)+IF(CQ96="N/A",0,IF(INDEX(LISTES!$F$105:$F$109,MATCH(CQ96,LISTES!$C$105:$C$109,0))="FIX",CR96,CS96*GQ96)))</f>
        <v/>
      </c>
      <c r="GS96" s="412"/>
      <c r="GT96" s="412"/>
      <c r="GU96" s="412"/>
      <c r="GV96" s="412"/>
      <c r="GW96" s="412"/>
      <c r="GX96" s="412"/>
      <c r="GY96" s="412"/>
      <c r="GZ96" s="412"/>
      <c r="HA96" s="432" t="str">
        <f t="shared" si="383"/>
        <v/>
      </c>
      <c r="HB96" s="1234" t="str">
        <f>IF(A96=FALSE,"",IF(Detail!DF96="","N/A",YEAR(Detail!F96)&amp;Detail!DI96&amp;Detail!DF96&amp;"-"&amp;Detail!$DF$13))</f>
        <v/>
      </c>
      <c r="HC96" s="434" t="str">
        <f>IF(A96=FALSE,"",IF(LISTES!$A$17=1,HB96,INDEX(colMOD4,MATCH(Cotations!AH96,colchoice,0))))</f>
        <v/>
      </c>
      <c r="HD96" s="277" t="str">
        <f t="shared" si="485"/>
        <v/>
      </c>
      <c r="HE96" s="277" t="str">
        <f t="shared" si="486"/>
        <v/>
      </c>
      <c r="HF96" s="277"/>
      <c r="HG96" s="277"/>
      <c r="HH96" s="277" t="str">
        <f t="shared" si="487"/>
        <v/>
      </c>
      <c r="HI96" s="1104" t="str">
        <f t="shared" si="488"/>
        <v/>
      </c>
      <c r="HJ96" s="1104" t="str">
        <f t="shared" si="489"/>
        <v/>
      </c>
      <c r="HK96" s="443" t="str">
        <f>IF(A96=FALSE,"",IF(Cotations!AF96="monthly",HH96/12*L96,HH96/365*M96))</f>
        <v/>
      </c>
      <c r="HL96" s="1103" t="str">
        <f>IF(A96=FALSE,"",IF(Cotations!AF96="monthly",HJ96/12*L96,HJ96/365*M96))</f>
        <v/>
      </c>
      <c r="HM96" s="433" t="str">
        <f>IF(A96=FALSE,"",IF(Cotations!AL96="","",Cotations!AL96))</f>
        <v/>
      </c>
      <c r="HN96" s="277" t="str">
        <f t="shared" si="490"/>
        <v/>
      </c>
      <c r="HO96" s="277" t="str">
        <f t="shared" si="491"/>
        <v/>
      </c>
      <c r="HP96" s="1104" t="str">
        <f t="shared" si="492"/>
        <v/>
      </c>
      <c r="HQ96" s="277" t="str">
        <f t="shared" si="493"/>
        <v/>
      </c>
      <c r="HR96" s="759" t="str">
        <f>IF(A96=FALSE,"",((HH96*TAXE)-(HH96*TAXE*HM96)+HI96)+IF(CQ96="N/A",0,IF(INDEX(LISTES!$F$105:$F$109,MATCH(CQ96,LISTES!$C$105:$C$109,0))="FIX",CR96,CS96*HQ96)))</f>
        <v/>
      </c>
      <c r="HS96" s="412"/>
      <c r="HT96" s="412"/>
      <c r="HU96" s="412"/>
      <c r="HV96" s="412"/>
      <c r="HW96" s="412"/>
      <c r="HX96" s="412"/>
      <c r="HY96" s="412"/>
      <c r="HZ96" s="1262"/>
      <c r="IA96" s="432" t="str">
        <f>IF(A96=FALSE,"",Cotations!AT96)</f>
        <v/>
      </c>
      <c r="IB96" s="1253" t="str">
        <f>IF(A96=FALSE,"",IF(Detail!AT96="","N/A",YEAR(Detail!F96)&amp;Detail!AW96&amp;Detail!AT96&amp;"-"&amp;Detail!$AT$13&amp;Detail!AU96))</f>
        <v/>
      </c>
      <c r="IC96" s="431" t="str">
        <f>IF(A96=FALSE,"",IF(LISTES!$A$17=1,IB96,INDEX(colMOD1,MATCH(DA96,colchoice,0))))</f>
        <v/>
      </c>
      <c r="ID96" s="759" t="str">
        <f t="shared" si="358"/>
        <v/>
      </c>
      <c r="IE96" s="292" t="str">
        <f>IF(A96=FALSE,"",IF(LISTES!$A$17=1,Detail!AU96,INDEX(Rates!$M$1:$M$270,MATCH(IC96,colMOD1,0))))</f>
        <v/>
      </c>
      <c r="IF96" s="409" t="str">
        <f t="shared" si="359"/>
        <v/>
      </c>
      <c r="IG96" s="430" t="str">
        <f>IF(A96=FALSE,"",IF(IA96="POEA",Cotations!AY96,IF(IA96="FIXE",Cotations!AZ96,IF(Cotations!BA96*Y96&lt;50000,Z96,Cotations!BA96*Y96))))</f>
        <v/>
      </c>
      <c r="IH96" s="292" t="str">
        <f t="shared" si="360"/>
        <v/>
      </c>
      <c r="II96" s="446" t="str">
        <f>IF(A96=FALSE,"",IF(Cotations!AU96="monthly",IH96/12*L96,IH96/365*M96))</f>
        <v/>
      </c>
      <c r="IJ96" s="429" t="str">
        <f>IF(A96=FALSE,"",IF(Cotations!BB96="","",Cotations!BB96))</f>
        <v/>
      </c>
      <c r="IK96" s="292" t="str">
        <f t="shared" si="361"/>
        <v/>
      </c>
      <c r="IL96" s="292" t="str">
        <f t="shared" si="362"/>
        <v/>
      </c>
      <c r="IM96" s="759" t="str">
        <f t="shared" si="363"/>
        <v/>
      </c>
      <c r="IN96" s="759" t="str">
        <f>IF(A96=FALSE,"",((IH96*TAXE)-(IH96*TAXE*IJ96))+IF(DQ96="N/A",0,IF(INDEX(LISTES!$F$105:$F$109,MATCH(DQ96,LISTES!$C$105:$C$109,0))="FIX",DR96,DS96*IM96)))</f>
        <v/>
      </c>
      <c r="JA96" s="432" t="str">
        <f>IF(A96=FALSE,"",Cotations!AT96)</f>
        <v/>
      </c>
      <c r="JB96" s="1234" t="str">
        <f>IF(A96=FALSE,"",IF(Detail!BB96="","N/A",YEAR(Detail!F96)&amp;Detail!BE96&amp;Detail!BB96&amp;"-"&amp;Detail!$BB$13&amp;Detail!BC96))</f>
        <v/>
      </c>
      <c r="JC96" s="431" t="str">
        <f>IF(A96=FALSE,"",IF(LISTES!$A$17=1,JB96,INDEX(colMOD2,MATCH(DA96,colchoice,0))))</f>
        <v/>
      </c>
      <c r="JD96" s="759" t="str">
        <f t="shared" si="384"/>
        <v/>
      </c>
      <c r="JE96" s="292"/>
      <c r="JF96" s="409" t="str">
        <f t="shared" si="385"/>
        <v/>
      </c>
      <c r="JG96" s="430" t="str">
        <f>IF(A96=FALSE,"",IF(JA96="POEA",Cotations!BC96,IF(JA96="FIXE",Cotations!BD96,IF(Cotations!BE96*Y96&lt;50000,Z96,Cotations!BE96*Y96))))</f>
        <v/>
      </c>
      <c r="JH96" s="292" t="str">
        <f t="shared" si="386"/>
        <v/>
      </c>
      <c r="JI96" s="446" t="str">
        <f>IF(A96=FALSE,"",IF(Cotations!AU96="monthly",JH96/12*L96,JH96/365*M96))</f>
        <v/>
      </c>
      <c r="JJ96" s="429" t="str">
        <f>IF(A96=FALSE,"",IF(Cotations!BF96="","",Cotations!BF96))</f>
        <v/>
      </c>
      <c r="JK96" s="292" t="str">
        <f t="shared" si="387"/>
        <v/>
      </c>
      <c r="JL96" s="292" t="str">
        <f t="shared" si="388"/>
        <v/>
      </c>
      <c r="JM96" s="759" t="str">
        <f t="shared" si="389"/>
        <v/>
      </c>
      <c r="JN96" s="759" t="str">
        <f>IF(A96=FALSE,"",((JH96*TAXE)-(JH96*TAXE*JJ96))+IF(#REF!="N/A",0,IF(INDEX(LISTES!$F$105:$F$109,MATCH(#REF!,LISTES!$C$105:$C$109,0))="FIX",#REF!,#REF!*JM96)))</f>
        <v/>
      </c>
      <c r="KA96" s="432" t="str">
        <f>IF(A96=FALSE,"",Cotations!AT96)</f>
        <v/>
      </c>
      <c r="KB96" s="1234" t="str">
        <f>IF(A96=FALSE,"",IF(Detail!BJ96="","N/A",YEAR(Detail!F96)&amp;Detail!BM96&amp;Detail!BJ96&amp;"-"&amp;Detail!$BJ$13&amp;Detail!BK96))</f>
        <v/>
      </c>
      <c r="KC96" s="431" t="str">
        <f>IF(A96=FALSE,"",IF(LISTES!$A$17=1,KB96,INDEX(colMOD3,MATCH(DA96,colchoice,0))))</f>
        <v/>
      </c>
      <c r="KD96" s="759" t="str">
        <f t="shared" si="390"/>
        <v/>
      </c>
      <c r="KE96" s="292"/>
      <c r="KF96" s="409" t="str">
        <f t="shared" si="391"/>
        <v/>
      </c>
      <c r="KG96" s="430" t="str">
        <f>IF(A96=FALSE,"",IF(KA96="POEA",Cotations!BG96,IF(KA96="FIXE",Cotations!BH96,IF(Cotations!BI96*Y96&lt;50000,Z96,Cotations!BI96*Y96))))</f>
        <v/>
      </c>
      <c r="KH96" s="292" t="str">
        <f t="shared" si="392"/>
        <v/>
      </c>
      <c r="KI96" s="446" t="str">
        <f>IF(A96=FALSE,"",IF(Cotations!AU96="monthly",KH96/12*L96,KH96/365*M96))</f>
        <v/>
      </c>
      <c r="KJ96" s="429" t="str">
        <f>IF(A96=FALSE,"",IF(Cotations!BJ96="","",Cotations!BJ96))</f>
        <v/>
      </c>
      <c r="KK96" s="292" t="str">
        <f t="shared" si="393"/>
        <v/>
      </c>
      <c r="KL96" s="292" t="str">
        <f t="shared" si="394"/>
        <v/>
      </c>
      <c r="KM96" s="759" t="str">
        <f t="shared" si="395"/>
        <v/>
      </c>
      <c r="KN96" s="759" t="str">
        <f>IF(A96=FALSE,"",((KH96*TAXE)-(KH96*TAXE*KJ96))+IF(#REF!="N/A",0,IF(INDEX(LISTES!$F$105:$F$109,MATCH(#REF!,LISTES!$C$105:$C$109,0))="FIX",#REF!,#REF!*KM96)))</f>
        <v/>
      </c>
      <c r="LA96" s="432" t="str">
        <f>IF(A96=FALSE,"",Cotations!AT96)</f>
        <v/>
      </c>
      <c r="LB96" s="1234" t="str">
        <f>IF(A96=FALSE,"",IF(Detail!BR96="","N/A",YEAR(Detail!F96)&amp;Detail!BU96&amp;Detail!BR96&amp;"-"&amp;Detail!$BR$13&amp;Detail!BS96))</f>
        <v/>
      </c>
      <c r="LC96" s="431" t="str">
        <f>IF(A96=FALSE,"",IF(LISTES!$A$17=1,LB96,INDEX(colMOD4,MATCH(DA96,colchoice,0))))</f>
        <v/>
      </c>
      <c r="LD96" s="759" t="str">
        <f t="shared" si="396"/>
        <v/>
      </c>
      <c r="LE96" s="292"/>
      <c r="LF96" s="409" t="str">
        <f t="shared" si="397"/>
        <v/>
      </c>
      <c r="LG96" s="430" t="str">
        <f>IF(A96=FALSE,"",IF(LA96="POEA",Cotations!BK96,IF(LA96="FIXE",Cotations!BL96,IF(Cotations!BM96*Y96&lt;50000,Z96,Cotations!BM96*Y96))))</f>
        <v/>
      </c>
      <c r="LH96" s="292" t="str">
        <f t="shared" si="398"/>
        <v/>
      </c>
      <c r="LI96" s="446" t="str">
        <f>IF(A96=FALSE,"",IF(Cotations!AU96="monthly",LH96/12*L96,LH96/365*M96))</f>
        <v/>
      </c>
      <c r="LJ96" s="429" t="str">
        <f>IF(A96=FALSE,"",IF(Cotations!BN96="","",Cotations!BN96))</f>
        <v/>
      </c>
      <c r="LK96" s="292" t="str">
        <f t="shared" si="399"/>
        <v/>
      </c>
      <c r="LL96" s="292" t="str">
        <f t="shared" si="400"/>
        <v/>
      </c>
      <c r="LM96" s="759" t="str">
        <f t="shared" si="401"/>
        <v/>
      </c>
      <c r="LN96" s="759" t="str">
        <f>IF(A96=FALSE,"",((LH96*TAXE)-(LH96*TAXE*LJ96))+IF(#REF!="N/A",0,IF(INDEX(LISTES!$F$105:$F$109,MATCH(#REF!,LISTES!$C$105:$C$109,0))="FIX",#REF!,#REF!*LM96)))</f>
        <v/>
      </c>
      <c r="MA96" s="432" t="str">
        <f t="shared" si="402"/>
        <v/>
      </c>
      <c r="MB96" s="1234" t="str">
        <f>IF(A96=FALSE,"",IF(Detail!BZ96="","N/A",YEAR(Detail!F96)&amp;Detail!CC96&amp;Detail!BZ96&amp;"-"&amp;Detail!$BZ$13&amp;" (100%/"&amp;Detail!CD96&amp;"/"&amp;Detail!CE96&amp;")"))</f>
        <v/>
      </c>
      <c r="MC96" s="431" t="str">
        <f>IF(A96=FALSE,"",IF(LISTES!$A$17=1,MB96,INDEX(colMOD5,MATCH(DA96,colchoice,0))))</f>
        <v/>
      </c>
      <c r="MD96" s="759" t="str">
        <f t="shared" si="403"/>
        <v/>
      </c>
      <c r="ME96" s="292"/>
      <c r="MF96" s="409" t="str">
        <f t="shared" si="404"/>
        <v/>
      </c>
      <c r="MG96" s="430" t="str">
        <f>IF(A96=FALSE,"",Cotations!BQ96*AA96)</f>
        <v/>
      </c>
      <c r="MH96" s="292" t="str">
        <f t="shared" si="405"/>
        <v/>
      </c>
      <c r="MI96" s="446" t="str">
        <f>IF(A96=FALSE,"",IF(Cotations!AU96="monthly",MH96/12*L96,MH96/365*M96))</f>
        <v/>
      </c>
      <c r="MJ96" s="429" t="str">
        <f>IF(A96=FALSE,"",IF(Cotations!BR96="","",Cotations!BR96))</f>
        <v/>
      </c>
      <c r="MK96" s="292" t="str">
        <f t="shared" si="406"/>
        <v/>
      </c>
      <c r="ML96" s="292" t="str">
        <f t="shared" si="407"/>
        <v/>
      </c>
      <c r="MM96" s="759" t="str">
        <f t="shared" si="408"/>
        <v/>
      </c>
      <c r="MN96" s="759" t="str">
        <f>IF(A96=FALSE,"",((MH96*TAXE)-(MH96*TAXE*MJ96))+IF(#REF!="N/A",0,IF(INDEX(LISTES!$F$105:$F$109,MATCH(#REF!,LISTES!$C$105:$C$109,0))="FIX",#REF!,#REF!*MM96)))</f>
        <v/>
      </c>
      <c r="NA96" s="432" t="str">
        <f t="shared" si="409"/>
        <v/>
      </c>
      <c r="NB96" s="1234" t="str">
        <f>IF(A96=FALSE,"",IF(Detail!CH96="","N/A",YEAR(Detail!F96)&amp;Detail!CK96&amp;Detail!CH96&amp;"-"&amp;Detail!$CH$13&amp;" (100%/"&amp;Detail!CL96&amp;"/"&amp;Detail!CM96&amp;")"))</f>
        <v/>
      </c>
      <c r="NC96" s="431" t="str">
        <f>IF(A96=FALSE,"",IF(LISTES!$A$17=1,NB96,INDEX(colMOD6,MATCH(DA96,colchoice,0))))</f>
        <v/>
      </c>
      <c r="ND96" s="759" t="str">
        <f t="shared" si="410"/>
        <v/>
      </c>
      <c r="NE96" s="292"/>
      <c r="NF96" s="409" t="str">
        <f t="shared" si="411"/>
        <v/>
      </c>
      <c r="NG96" s="430" t="str">
        <f>IF(A96=FALSE,"",Cotations!BU96*AA96)</f>
        <v/>
      </c>
      <c r="NH96" s="292" t="str">
        <f t="shared" si="412"/>
        <v/>
      </c>
      <c r="NI96" s="446" t="str">
        <f>IF(A96=FALSE,"",IF(Cotations!AU96="monthly",NH96/12*L96,NH96/365*M96))</f>
        <v/>
      </c>
      <c r="NJ96" s="429" t="str">
        <f>IF(A96=FALSE,"",IF(Cotations!BV96="","",Cotations!BV96))</f>
        <v/>
      </c>
      <c r="NK96" s="292" t="str">
        <f t="shared" si="413"/>
        <v/>
      </c>
      <c r="NL96" s="292" t="str">
        <f t="shared" si="414"/>
        <v/>
      </c>
      <c r="NM96" s="759" t="str">
        <f t="shared" si="415"/>
        <v/>
      </c>
      <c r="NN96" s="759" t="str">
        <f>IF(A96=FALSE,"",((NH96*TAXE)-(NH96*TAXE*NJ96))+IF(#REF!="N/A",0,IF(INDEX(LISTES!$F$105:$F$109,MATCH(#REF!,LISTES!$C$105:$C$109,0))="FIX",#REF!,#REF!*NM96)))</f>
        <v/>
      </c>
      <c r="NZ96" s="1281" t="str">
        <f>IF(A96=FALSE,"",IF(Detail!CP96="","N/A",YEAR(Detail!F96)&amp;Detail!CS96&amp;Detail!CP96&amp;"-"&amp;Detail!CQ96))</f>
        <v/>
      </c>
      <c r="OA96" s="432" t="str">
        <f>IF(A96=FALSE,"",Cotations!CF96)</f>
        <v/>
      </c>
      <c r="OB96" s="1282" t="str">
        <f>IF(A96=FALSE,"",IF(Detail!CP96="","N/A",YEAR(Detail!F96)&amp;Detail!CS96&amp;Detail!CP96&amp;"-"&amp;Detail!$CP$13&amp;Detail!CQ96))</f>
        <v/>
      </c>
      <c r="OC96" s="1283" t="str">
        <f>IF(A96=FALSE,"",IF(LISTES!$A$17=1,OB96,INDEX(colMOD1,MATCH(Cotations!CE96,colchoice,0))))</f>
        <v/>
      </c>
      <c r="OD96" s="759" t="str">
        <f t="shared" si="416"/>
        <v/>
      </c>
      <c r="OE96" s="292" t="str">
        <f>IF(A96=FALSE,"",Detail!CQ96)</f>
        <v/>
      </c>
      <c r="OF96" s="409" t="str">
        <f t="shared" si="417"/>
        <v/>
      </c>
      <c r="OG96" s="430" t="str">
        <f>IF(A96=FALSE,"",IF(OA96="FIXE",Cotations!CM96,Cotations!CN96*AA96))</f>
        <v/>
      </c>
      <c r="OH96" s="292" t="str">
        <f t="shared" si="494"/>
        <v/>
      </c>
      <c r="OI96" s="446" t="str">
        <f>IF(A96=FALSE,"",IF(Cotations!CF96="monthly",OH96/12*L96,OH96/365*M96))</f>
        <v/>
      </c>
      <c r="OJ96" s="429" t="str">
        <f>IF(A96=FALSE,"",IF(Cotations!CO96="","",Cotations!CO96))</f>
        <v/>
      </c>
      <c r="OK96" s="292" t="str">
        <f t="shared" si="495"/>
        <v/>
      </c>
      <c r="OL96" s="292" t="str">
        <f t="shared" si="496"/>
        <v/>
      </c>
      <c r="OM96" s="759" t="str">
        <f t="shared" si="418"/>
        <v/>
      </c>
      <c r="ON96" s="759" t="str">
        <f>IF(A96=FALSE,"",((OH96*(1+TAXE)-(OH96*(1+TAXE)*OJ96))+IF(#REF!="N/A",0,IF(INDEX(LISTES!$F$105:$F$109,MATCH(#REF!,LISTES!$C$105:$C$109,0))="FIX",#REF!,#REF!*OM96))))</f>
        <v/>
      </c>
      <c r="PA96" s="432" t="str">
        <f>IF(A96=FALSE,"",Cotations!CF96)</f>
        <v/>
      </c>
      <c r="PB96" s="1282" t="str">
        <f>IF(A96=FALSE,"",IF(Detail!CX96="","N/A",YEAR(Detail!F96)&amp;Detail!DA96&amp;Detail!CX96&amp;"-"&amp;Detail!$CX$13&amp;Detail!CY96))</f>
        <v/>
      </c>
      <c r="PC96" s="1283" t="str">
        <f>IF(A96=FALSE,"",IF(LISTES!$A$17=1,PB96,INDEX(colMOD3,MATCH(Cotations!CE96,colchoice,0))))</f>
        <v/>
      </c>
      <c r="PD96" s="759" t="str">
        <f t="shared" si="419"/>
        <v/>
      </c>
      <c r="PE96" s="292" t="str">
        <f>IF(A96=FALSE,"",IF(Detail!CY96="","",Detail!CY96))</f>
        <v/>
      </c>
      <c r="PF96" s="409" t="str">
        <f t="shared" si="497"/>
        <v/>
      </c>
      <c r="PG96" s="430" t="str">
        <f>IF(A96=FALSE,"",IF(PA96="FIXE",Cotations!CP96,Cotations!CQ96*AA96))</f>
        <v/>
      </c>
      <c r="PH96" s="292" t="str">
        <f t="shared" si="498"/>
        <v/>
      </c>
      <c r="PI96" s="446" t="str">
        <f>IF(A96=FALSE,"",IF(Cotations!CG96="monthly",PH96/12*L96,PH96/365*M96))</f>
        <v/>
      </c>
      <c r="PJ96" s="429" t="str">
        <f>IF(A96=FALSE,"",IF(Cotations!DA96="",0,Cotations!DA96))</f>
        <v/>
      </c>
      <c r="PK96" s="292" t="str">
        <f t="shared" si="499"/>
        <v/>
      </c>
      <c r="PL96" s="292" t="str">
        <f t="shared" si="500"/>
        <v/>
      </c>
      <c r="PM96" s="759" t="str">
        <f t="shared" si="420"/>
        <v/>
      </c>
      <c r="PN96" s="759" t="str">
        <f>IF(A96=FALSE,"",((PH96*(1+TAXE)-(PH96*(1+TAXE)*PJ96))+IF(#REF!="N/A",0,IF(INDEX(LISTES!$F$105:$F$109,MATCH(#REF!,LISTES!$C$105:$C$109,0))="FIX",#REF!,#REF!*PM96))))</f>
        <v/>
      </c>
    </row>
    <row r="97" spans="1:430">
      <c r="A97" s="779" t="b">
        <f t="shared" si="364"/>
        <v>0</v>
      </c>
      <c r="B97" s="779" t="b">
        <f>IF(NAMES!$B$9=TRUE,TRUE,FALSE)</f>
        <v>1</v>
      </c>
      <c r="C97" s="779" t="b">
        <f t="shared" si="421"/>
        <v>0</v>
      </c>
      <c r="D97" s="779" t="b">
        <f t="shared" si="422"/>
        <v>0</v>
      </c>
      <c r="E97" s="267" t="b">
        <f>IF(Cotations!C97="","",Cotations!C97)</f>
        <v>0</v>
      </c>
      <c r="F97" s="267" t="str">
        <f>IF(Cotations!AT97="","",Cotations!AT97)</f>
        <v>PROP</v>
      </c>
      <c r="G97" s="267" t="str">
        <f>IF(Cotations!D97="","",Cotations!D97)</f>
        <v>2016-2017!</v>
      </c>
      <c r="H97" s="267" t="str">
        <f>IF(Cotations!E97="","",Cotations!E97)</f>
        <v>SINGLE</v>
      </c>
      <c r="I97" s="267" t="str">
        <f>IF(Cotations!F97="","",Cotations!F97)</f>
        <v/>
      </c>
      <c r="J97" s="267" t="str">
        <f>IF(Cotations!G97="","",Cotations!G97)</f>
        <v/>
      </c>
      <c r="K97" s="267" t="str">
        <f>IF(Cotations!H97="","",Cotations!H97)</f>
        <v/>
      </c>
      <c r="L97" s="267" t="str">
        <f>IF(A97=FALSE,"",IF(Cotations!M97="","",Cotations!M97))</f>
        <v/>
      </c>
      <c r="M97" s="267" t="str">
        <f>IF(Cotations!O97="","",Cotations!O97)</f>
        <v/>
      </c>
      <c r="N97" s="588" t="str">
        <f>IF(NAMES!$B$10=TRUE,Cotations!I97,Cotations!K97)</f>
        <v/>
      </c>
      <c r="O97" s="588" t="str">
        <f>IF(NAMES!$B$10=TRUE,Cotations!J97,Cotations!L97)</f>
        <v/>
      </c>
      <c r="P97" s="780" t="str">
        <f t="shared" si="423"/>
        <v/>
      </c>
      <c r="Q97" s="588" t="str">
        <f>IF(A97=FALSE,"",IF(Crewlist!Y97="","",Crewlist!Y97))</f>
        <v/>
      </c>
      <c r="R97" s="78" t="str">
        <f>IF(Cotations!T97="","",Cotations!T97)</f>
        <v/>
      </c>
      <c r="S97" s="780" t="str">
        <f t="shared" si="424"/>
        <v/>
      </c>
      <c r="T97" s="759" t="str">
        <f>IF(A97=FALSE,"",VLOOKUP($U$15:$U$120,Currency!$A$2:$D$10,4,0)*Crewlist!N97)</f>
        <v/>
      </c>
      <c r="U97" s="1097" t="str">
        <f>IF(A97=FALSE,"",IF(DP97=0,Crewlist!M97&amp;"/"&amp;CP97,Crewlist!M97&amp;"/"&amp;DP97))</f>
        <v/>
      </c>
      <c r="V97" s="759" t="str">
        <f>IF(A97=FALSE,"",VLOOKUP($U$15:$U$120,Currency!$A$2:$D$10,4,0)*Detail!Q97)</f>
        <v/>
      </c>
      <c r="W97" s="1097" t="str">
        <f>IF(A97=FALSE,"",IF(DP97=0,Detail!R97&amp;"/"&amp;CP97,Detail!R97&amp;"/"&amp;DP97))</f>
        <v/>
      </c>
      <c r="X97" s="759" t="str">
        <f>IF(A97=FALSE,"",IF(LISTES!$C$17="Crewlist",Calcul!T97,Calcul!V97))</f>
        <v/>
      </c>
      <c r="Y97" s="618" t="str">
        <f t="shared" si="425"/>
        <v/>
      </c>
      <c r="Z97" s="618" t="str">
        <f>IF(A97=FALSE,"",IF(X97=0,0,IF((Cotations!BA97*12*X97)&lt;50000,50000,(12*X97))))</f>
        <v/>
      </c>
      <c r="AA97" s="618" t="str">
        <f t="shared" si="426"/>
        <v/>
      </c>
      <c r="AB97" s="618" t="str">
        <f>IF(A97=FALSE,"",IF(Crewlist!O97=0,"",Crewlist!O97))</f>
        <v/>
      </c>
      <c r="AC97" s="618" t="str">
        <f>IF(I97="","",VLOOKUP($AB$15:$AB$120,Currency!$A$15:$B$34,2,0))</f>
        <v/>
      </c>
      <c r="AD97" s="618" t="str">
        <f t="shared" si="427"/>
        <v/>
      </c>
      <c r="AE97" s="618" t="str">
        <f t="shared" si="428"/>
        <v/>
      </c>
      <c r="AF97" s="618" t="str">
        <f t="shared" si="429"/>
        <v/>
      </c>
      <c r="AG97" s="618" t="str">
        <f t="shared" si="430"/>
        <v/>
      </c>
      <c r="AH97" s="1097" t="str">
        <f t="shared" si="365"/>
        <v/>
      </c>
      <c r="AI97" s="759" t="str">
        <f t="shared" si="431"/>
        <v/>
      </c>
      <c r="AJ97" s="1120" t="str">
        <f t="shared" si="432"/>
        <v/>
      </c>
      <c r="AK97" s="1120" t="str">
        <f t="shared" si="433"/>
        <v/>
      </c>
      <c r="AL97" s="236" t="str">
        <f t="shared" si="434"/>
        <v/>
      </c>
      <c r="AM97" s="236" t="str">
        <f t="shared" si="435"/>
        <v/>
      </c>
      <c r="AN97" s="1112" t="str">
        <f t="shared" si="436"/>
        <v/>
      </c>
      <c r="AO97" s="236" t="str">
        <f t="shared" si="437"/>
        <v/>
      </c>
      <c r="AP97" s="327" t="str">
        <f>IF(A97=FALSE,"",INDEX(Rates!$Q$1:$Q$278,MATCH(CA97,colchoice,0)))</f>
        <v/>
      </c>
      <c r="AQ97" s="236" t="str">
        <f t="shared" si="438"/>
        <v/>
      </c>
      <c r="AR97" s="236" t="str">
        <f t="shared" si="439"/>
        <v/>
      </c>
      <c r="AS97" s="236" t="str">
        <f t="shared" si="366"/>
        <v/>
      </c>
      <c r="AT97" s="236" t="str">
        <f t="shared" si="367"/>
        <v/>
      </c>
      <c r="AU97" s="236" t="str">
        <f t="shared" si="440"/>
        <v/>
      </c>
      <c r="AV97" s="236" t="str">
        <f t="shared" si="441"/>
        <v/>
      </c>
      <c r="AW97" s="236" t="str">
        <f t="shared" si="442"/>
        <v/>
      </c>
      <c r="AX97" s="236" t="str">
        <f t="shared" si="443"/>
        <v/>
      </c>
      <c r="AY97" s="236" t="str">
        <f t="shared" si="444"/>
        <v/>
      </c>
      <c r="AZ97" s="236" t="str">
        <f t="shared" si="445"/>
        <v/>
      </c>
      <c r="BA97" s="236" t="str">
        <f t="shared" si="446"/>
        <v/>
      </c>
      <c r="BB97" s="467" t="str">
        <f t="shared" si="447"/>
        <v/>
      </c>
      <c r="BC97" s="329" t="str">
        <f t="shared" si="448"/>
        <v/>
      </c>
      <c r="BD97" s="237" t="str">
        <f t="shared" si="449"/>
        <v/>
      </c>
      <c r="BE97" s="237" t="str">
        <f>IF(A97=FALSE,"",IF(ED97&lt;&gt;$BC$7,0,INDEX(EA97:EZ97,1,MATCH(Structure!$J$16,$EA$14:$EZ$14,0))))</f>
        <v/>
      </c>
      <c r="BF97" s="237" t="str">
        <f>IF(A97=FALSE,"",IF(FD97&lt;&gt;$BC$7,0,INDEX(FA97:FZ97,1,MATCH(Structure!$J$16,$FA$14:$FZ$14,0))))</f>
        <v/>
      </c>
      <c r="BG97" s="237" t="str">
        <f>IF(A97=FALSE,"",IF(GD97&lt;&gt;$BC$7,0,INDEX(GA97:GZ97,1,MATCH(Structure!$J$16,$GA$14:$GZ$14,0))))</f>
        <v/>
      </c>
      <c r="BH97" s="237" t="str">
        <f>IF(A97=FALSE,"",IF(HD97&lt;&gt;$BC$7,0,INDEX(HA97:HZ97,1,MATCH(Structure!$J$16,$HA$14:$HZ$14,0))))</f>
        <v/>
      </c>
      <c r="BI97" s="621" t="str">
        <f>IF(A97=FALSE,"",IF(ID97&lt;&gt;$BC$7,0,INDEX(IA97:IZ97,1,MATCH(Structure!$C$12,$IA$14:$IZ$14,0)))+OL97)</f>
        <v/>
      </c>
      <c r="BJ97" s="237" t="str">
        <f>IF(A97=FALSE,"",IF(JD97&lt;&gt;$BC$7,0,INDEX(JA97:JZ97,1,MATCH(Structure!$C$12,$JA$14:$JZ$14,0))))</f>
        <v/>
      </c>
      <c r="BK97" s="621" t="str">
        <f>IF(A97=FALSE,"",IF(KD97&lt;&gt;$BC$7,0,INDEX(KA97:KZ97,1,MATCH(Structure!$C$12,$KA$14:$KZ$14,0)))+PL97)</f>
        <v/>
      </c>
      <c r="BL97" s="237" t="str">
        <f>IF(A97=FALSE,"",IF(LD97&lt;&gt;$BC$7,0,INDEX(LA97:LZ97,1,MATCH(Structure!$C$12,$LA$14:$LZ$14,0))))</f>
        <v/>
      </c>
      <c r="BM97" s="237" t="str">
        <f>IF(A97=FALSE,"",IF(MD97&lt;&gt;$BC$7,0,INDEX(MA97:MZ97,1,MATCH(Structure!$C$12,$MA$14:$MZ$14,0))))</f>
        <v/>
      </c>
      <c r="BN97" s="326" t="str">
        <f>IF(A97=FALSE,"",IF(ND97&lt;&gt;$BC$7,0,INDEX(NA97:OC97,1,MATCH(Structure!$C$12,$NA$14:$OC$14,0))))</f>
        <v/>
      </c>
      <c r="BO97" s="435" t="str">
        <f t="shared" si="450"/>
        <v/>
      </c>
      <c r="BP97" s="237" t="str">
        <f t="shared" si="451"/>
        <v/>
      </c>
      <c r="BQ97" s="237" t="str">
        <f>IF(A97=FALSE,"",IF(ED97&lt;&gt;$BO$7,0,INDEX(EA97:EZ97,1,MATCH(Structure!$C$12,$EA$14:$EZ$14,0))))</f>
        <v/>
      </c>
      <c r="BR97" s="237" t="str">
        <f>IF(A97=FALSE,"",IF(FD97&lt;&gt;$BO$7,0,INDEX(FA97:FZ97,1,MATCH(Structure!$C$12,$FA$14:$FZ$14,0))))</f>
        <v/>
      </c>
      <c r="BS97" s="237" t="str">
        <f>IF(A97=FALSE,"",IF(ID97&lt;&gt;$BO$7,0,INDEX(IA97:IZ97,1,MATCH(Structure!$C$13,$IA$14:$IZ$14,0))))</f>
        <v/>
      </c>
      <c r="BT97" s="237" t="str">
        <f>IF(A97=FALSE,"",IF(JD97&lt;&gt;$BO$7,0,INDEX(JA97:JZ97,1,MATCH(Structure!$C$13,$JA$14:$JZ$14,0))))</f>
        <v/>
      </c>
      <c r="BU97" s="237" t="str">
        <f>IF(A97=FALSE,"",IF(KD97&lt;&gt;$BO$7,0,INDEX(KA97:KZ97,1,MATCH(Structure!$C$13,$KA$14:$KZ$14,0))))</f>
        <v/>
      </c>
      <c r="BV97" s="237" t="str">
        <f>IF(A97=FALSE,"",IF(LD97&lt;&gt;$BO$7,0,INDEX(LA97:LZ97,1,MATCH(Structure!$C$13,$LA$14:$LZ$14,0))))</f>
        <v/>
      </c>
      <c r="BW97" s="237" t="str">
        <f>IF(A97=FALSE,"",IF(MD97&lt;&gt;$BO$7,0,INDEX(MA97:MZ97,1,MATCH(Structure!$C$13,$MA$14:$MZ$14,0))))</f>
        <v/>
      </c>
      <c r="BX97" s="326" t="str">
        <f>IF(A97=FALSE,"",IF(ND97&lt;&gt;$BO$7,0,INDEX(NA97:OC97,1,MATCH(Structure!$C$13,$NA$14:$OC$14,0))))</f>
        <v/>
      </c>
      <c r="BY97" s="412"/>
      <c r="BZ97" s="412"/>
      <c r="CA97" s="1255" t="str">
        <f>IF(A97=FALSE,"",IF(LISTES!$A$17=1,Cotations!AG97,Cotations!AH97))</f>
        <v/>
      </c>
      <c r="CB97" s="1266" t="str">
        <f t="shared" si="452"/>
        <v/>
      </c>
      <c r="CC97" s="1120" t="str">
        <f t="shared" si="453"/>
        <v/>
      </c>
      <c r="CD97" s="1120" t="str">
        <f t="shared" si="454"/>
        <v/>
      </c>
      <c r="CE97" s="1120" t="str">
        <f t="shared" si="455"/>
        <v/>
      </c>
      <c r="CF97" s="1120" t="str">
        <f t="shared" si="456"/>
        <v/>
      </c>
      <c r="CG97" s="1267"/>
      <c r="CH97" s="1267"/>
      <c r="CI97" s="1268" t="str">
        <f t="shared" si="457"/>
        <v/>
      </c>
      <c r="CJ97" s="286" t="str">
        <f t="shared" si="458"/>
        <v/>
      </c>
      <c r="CK97" s="286" t="str">
        <f t="shared" si="459"/>
        <v/>
      </c>
      <c r="CL97" s="1263"/>
      <c r="CM97" s="1263"/>
      <c r="CN97" s="1263"/>
      <c r="CO97" s="1263"/>
      <c r="CP97" s="319" t="str">
        <f t="shared" si="460"/>
        <v/>
      </c>
      <c r="CQ97" s="443" t="str">
        <f>IF(A97=FALSE,"",Cotations!AM97)</f>
        <v/>
      </c>
      <c r="CR97" s="443" t="str">
        <f>IF(A97=FALSE,"",IF(Cotations!AN97="","",Cotations!AN97))</f>
        <v/>
      </c>
      <c r="CS97" s="433" t="str">
        <f>IF(A97=FALSE,"",Cotations!AO97)</f>
        <v/>
      </c>
      <c r="CT97" s="443" t="str">
        <f>IF(A97=FALSE,"",IF(CQ97="N/A",0,IF(INDEX(LISTES!$F$105:$F$109,MATCH(CQ97,LISTES!$C$105:$C$109,0))="FIX",IF(INDEX(LISTES!$E$105:$E$109,MATCH(CQ97,LISTES!$C$105:$C$109,0))=12,CR97/12*L97,CR97/365*M97),CS97*EQ97)))</f>
        <v/>
      </c>
      <c r="CU97" s="434" t="str">
        <f>IF(A97=FALSE,"",(CJ97+CK97)*Cotations!AP97)</f>
        <v/>
      </c>
      <c r="CV97" s="434" t="str">
        <f>IF(A97=FALSE,"",(CJ97+CK97)*Cotations!AQ97)</f>
        <v/>
      </c>
      <c r="DA97" s="1253" t="str">
        <f>IF(A97=FALSE,"",IF(LISTES!$A$17=1,Cotations!AV97,Cotations!AW97))</f>
        <v/>
      </c>
      <c r="DB97" s="1271" t="str">
        <f t="shared" si="461"/>
        <v/>
      </c>
      <c r="DC97" s="1270" t="str">
        <f t="shared" si="462"/>
        <v/>
      </c>
      <c r="DD97" s="1270" t="str">
        <f t="shared" si="463"/>
        <v/>
      </c>
      <c r="DE97" s="1270" t="str">
        <f t="shared" si="464"/>
        <v/>
      </c>
      <c r="DF97" s="1270" t="str">
        <f t="shared" si="465"/>
        <v/>
      </c>
      <c r="DG97" s="1270" t="str">
        <f t="shared" si="466"/>
        <v/>
      </c>
      <c r="DH97" s="1270" t="str">
        <f t="shared" si="467"/>
        <v/>
      </c>
      <c r="DI97" s="1271" t="str">
        <f t="shared" si="468"/>
        <v/>
      </c>
      <c r="DJ97" s="286" t="str">
        <f t="shared" si="469"/>
        <v/>
      </c>
      <c r="DK97" s="286" t="str">
        <f t="shared" si="470"/>
        <v/>
      </c>
      <c r="DL97" s="1264" t="str">
        <f t="shared" si="471"/>
        <v/>
      </c>
      <c r="DM97" s="1264" t="str">
        <f t="shared" si="472"/>
        <v/>
      </c>
      <c r="DN97" s="1264" t="str">
        <f t="shared" si="473"/>
        <v/>
      </c>
      <c r="DO97" s="1264" t="str">
        <f t="shared" si="474"/>
        <v/>
      </c>
      <c r="DP97" s="323" t="str">
        <f t="shared" si="368"/>
        <v/>
      </c>
      <c r="DQ97" s="444" t="str">
        <f>IF(A97=FALSE,"",Cotations!BW97)</f>
        <v/>
      </c>
      <c r="DR97" s="444" t="str">
        <f>IF(A97=FALSE,"",Cotations!BX97)</f>
        <v/>
      </c>
      <c r="DS97" s="433" t="str">
        <f>IF(A97=FALSE,"",Cotations!BY97)</f>
        <v/>
      </c>
      <c r="DT97" s="830" t="str">
        <f>IF(A97=FALSE,"",IF(DQ97="N/A",0,IF(INDEX(LISTES!$F$105:$F$109,MATCH(DQ97,LISTES!$C$105:$C$109,0))="FIX",IF(INDEX(LISTES!$E$105:$E$109,MATCH(DQ97,LISTES!$C$105:$C$109,0))=12,DR97/12*L97,DR97/365*M97),DS97*(DN97+DO97))))</f>
        <v/>
      </c>
      <c r="DU97" s="434" t="str">
        <f>IF(A97=FALSE,"",DJ97*Cotations!BZ97)</f>
        <v/>
      </c>
      <c r="DV97" s="434" t="str">
        <f>IF(A97=FALSE,"",DJ97*Cotations!CA97)</f>
        <v/>
      </c>
      <c r="EA97" s="432" t="str">
        <f>IF(A97=FALSE,"",Cotations!AT97)</f>
        <v/>
      </c>
      <c r="EB97" s="1234" t="str">
        <f>IF(A97=FALSE,"",YEAR(Detail!F97)&amp;Detail!AG97&amp;Detail!AD97&amp;"-"&amp;Detail!$AD$13&amp;Detail!AE97)</f>
        <v/>
      </c>
      <c r="EC97" s="434" t="str">
        <f>IF(A97=FALSE,"",IF(LISTES!$A$17=1,EB97,INDEX(colMOD1,MATCH(Cotations!AH97,colchoice,0))))</f>
        <v/>
      </c>
      <c r="ED97" s="277" t="str">
        <f t="shared" si="369"/>
        <v/>
      </c>
      <c r="EE97" s="277" t="str">
        <f t="shared" si="370"/>
        <v/>
      </c>
      <c r="EF97" s="277"/>
      <c r="EG97" s="277"/>
      <c r="EH97" s="277" t="str">
        <f t="shared" si="371"/>
        <v/>
      </c>
      <c r="EI97" s="1104" t="str">
        <f t="shared" si="372"/>
        <v/>
      </c>
      <c r="EJ97" s="1104" t="str">
        <f t="shared" si="373"/>
        <v/>
      </c>
      <c r="EK97" s="443" t="str">
        <f>IF(A97=FALSE,"",IF(Cotations!AF97="monthly",EH97/12*L97,EH97/365*M97))</f>
        <v/>
      </c>
      <c r="EL97" s="1103" t="str">
        <f>IF(A97=FALSE,"",IF(Cotations!AF97="monthly",EJ97/12*L97,EJ97/365*M97))</f>
        <v/>
      </c>
      <c r="EM97" s="433" t="str">
        <f>IF(A97=FALSE,"",IF(Cotations!AI97="","",Cotations!AI97))</f>
        <v/>
      </c>
      <c r="EN97" s="277" t="str">
        <f t="shared" si="374"/>
        <v/>
      </c>
      <c r="EO97" s="277" t="str">
        <f t="shared" si="375"/>
        <v/>
      </c>
      <c r="EP97" s="1104" t="str">
        <f t="shared" si="376"/>
        <v/>
      </c>
      <c r="EQ97" s="277" t="str">
        <f t="shared" si="377"/>
        <v/>
      </c>
      <c r="ER97" s="759" t="str">
        <f>IF(A97=FALSE,"",((EH97*TAXE)-(EH97*TAXE*EM97)+EI97)+IF(CQ97="N/A",0,IF(INDEX(LISTES!$F$105:$F$109,MATCH(CQ97,LISTES!$C$105:$C$109,0))="FIX",CR97,CS97*EQ97)))</f>
        <v/>
      </c>
      <c r="ET97" s="422"/>
      <c r="EU97" s="422"/>
      <c r="EV97" s="422"/>
      <c r="EW97" s="422"/>
      <c r="EX97" s="422"/>
      <c r="EY97" s="422"/>
      <c r="EZ97" s="422"/>
      <c r="FA97" s="432" t="str">
        <f>IF(A97=FALSE,"",Cotations!AT97)</f>
        <v/>
      </c>
      <c r="FB97" s="1235" t="str">
        <f>IF(A97=FALSE,"",IF(Detail!AL97="","N/A",YEAR(Detail!F97)&amp;Detail!AO97&amp;Detail!AL97&amp;"-"&amp;Detail!$AL$13&amp;Detail!AM97))</f>
        <v/>
      </c>
      <c r="FC97" s="434" t="str">
        <f>IF(A97=FALSE,"",IF(LISTES!$A$17=1,FB97,INDEX(colMOD2,MATCH(Cotations!AH97,colchoice,0))))</f>
        <v/>
      </c>
      <c r="FD97" s="277" t="str">
        <f t="shared" si="378"/>
        <v/>
      </c>
      <c r="FE97" s="443" t="str">
        <f>IF(A97=FALSE,"",IF(Detail!AM97="","",Detail!AM97))</f>
        <v/>
      </c>
      <c r="FF97" s="277"/>
      <c r="FG97" s="277"/>
      <c r="FH97" s="277" t="str">
        <f t="shared" si="379"/>
        <v/>
      </c>
      <c r="FI97" s="1104"/>
      <c r="FJ97" s="1104"/>
      <c r="FK97" s="443" t="str">
        <f>IF(A97=FALSE,"",IF(Cotations!AF97="monthly",FH97/12*L97,FH97/365*M97))</f>
        <v/>
      </c>
      <c r="FL97" s="1103" t="str">
        <f>IF(A97=FALSE,"",IF(Cotations!AF97="monthly",FJ97/12*L97,FJ97/365*M97))</f>
        <v/>
      </c>
      <c r="FM97" s="433" t="str">
        <f>IF(A97=FALSE,"",IF(Cotations!AJ97="","",Cotations!AJ97))</f>
        <v/>
      </c>
      <c r="FN97" s="277" t="str">
        <f t="shared" si="475"/>
        <v/>
      </c>
      <c r="FO97" s="277" t="str">
        <f t="shared" si="476"/>
        <v/>
      </c>
      <c r="FP97" s="1104"/>
      <c r="FQ97" s="277" t="str">
        <f t="shared" si="477"/>
        <v/>
      </c>
      <c r="FR97" s="759" t="str">
        <f>IF(A97=FALSE,"",((FH97*TAXE)-(FH97*TAXE*FM97))+IF(#REF!="N/A",0,IF(INDEX(LISTES!$F$105:$F$109,MATCH(#REF!,LISTES!$C$105:$C$109,0))="FIX",#REF!,#REF!*FQ97)))</f>
        <v/>
      </c>
      <c r="FS97" s="422"/>
      <c r="FT97" s="422"/>
      <c r="FU97" s="422"/>
      <c r="FV97" s="422"/>
      <c r="FW97" s="422"/>
      <c r="FX97" s="422"/>
      <c r="FY97" s="422"/>
      <c r="FZ97" s="422"/>
      <c r="GA97" s="432" t="str">
        <f t="shared" si="380"/>
        <v/>
      </c>
      <c r="GB97" s="1234" t="str">
        <f>IF(A97=FALSE,"",IF(Detail!DF97="","N/A",YEAR(Detail!F97)&amp;Detail!DI97&amp;Detail!DF97&amp;"-"&amp;Detail!$DF$13))</f>
        <v/>
      </c>
      <c r="GC97" s="434" t="str">
        <f>IF(A97=FALSE,"",IF(LISTES!$A$17=1,GB97,INDEX(colMOD3,MATCH(Cotations!AH97,colchoice,0))))</f>
        <v/>
      </c>
      <c r="GD97" s="277" t="str">
        <f t="shared" si="381"/>
        <v/>
      </c>
      <c r="GE97" s="277" t="str">
        <f t="shared" si="382"/>
        <v/>
      </c>
      <c r="GF97" s="277"/>
      <c r="GG97" s="277"/>
      <c r="GH97" s="277" t="str">
        <f t="shared" si="478"/>
        <v/>
      </c>
      <c r="GI97" s="1104" t="str">
        <f t="shared" si="479"/>
        <v/>
      </c>
      <c r="GJ97" s="1104" t="str">
        <f t="shared" si="480"/>
        <v/>
      </c>
      <c r="GK97" s="443" t="str">
        <f>IF(A97=FALSE,"",IF(Cotations!AF97="monthly",GH97/12*L97,GH97/365*M97))</f>
        <v/>
      </c>
      <c r="GL97" s="1103" t="str">
        <f>IF(A97=FALSE,"",IF(Cotations!AF97="monthly",GJ97/12*L97,GJ97/365*M97))</f>
        <v/>
      </c>
      <c r="GM97" s="433" t="str">
        <f>IF(A97=FALSE,"",IF(Cotations!AK97="","",Cotations!AK97))</f>
        <v/>
      </c>
      <c r="GN97" s="277" t="str">
        <f t="shared" si="481"/>
        <v/>
      </c>
      <c r="GO97" s="277" t="str">
        <f t="shared" si="482"/>
        <v/>
      </c>
      <c r="GP97" s="1104" t="str">
        <f t="shared" si="483"/>
        <v/>
      </c>
      <c r="GQ97" s="277" t="str">
        <f t="shared" si="484"/>
        <v/>
      </c>
      <c r="GR97" s="759" t="str">
        <f>IF(A97=FALSE,"",((GH97*TAXE)-(GH97*TAXE*GM97)+GI97)+IF(CQ97="N/A",0,IF(INDEX(LISTES!$F$105:$F$109,MATCH(CQ97,LISTES!$C$105:$C$109,0))="FIX",CR97,CS97*GQ97)))</f>
        <v/>
      </c>
      <c r="GS97" s="412"/>
      <c r="GT97" s="412"/>
      <c r="GU97" s="412"/>
      <c r="GV97" s="412"/>
      <c r="GW97" s="412"/>
      <c r="GX97" s="412"/>
      <c r="GY97" s="412"/>
      <c r="GZ97" s="412"/>
      <c r="HA97" s="432" t="str">
        <f t="shared" si="383"/>
        <v/>
      </c>
      <c r="HB97" s="1234" t="str">
        <f>IF(A97=FALSE,"",IF(Detail!DF97="","N/A",YEAR(Detail!F97)&amp;Detail!DI97&amp;Detail!DF97&amp;"-"&amp;Detail!$DF$13))</f>
        <v/>
      </c>
      <c r="HC97" s="434" t="str">
        <f>IF(A97=FALSE,"",IF(LISTES!$A$17=1,HB97,INDEX(colMOD4,MATCH(Cotations!AH97,colchoice,0))))</f>
        <v/>
      </c>
      <c r="HD97" s="277" t="str">
        <f t="shared" si="485"/>
        <v/>
      </c>
      <c r="HE97" s="277" t="str">
        <f t="shared" si="486"/>
        <v/>
      </c>
      <c r="HF97" s="277"/>
      <c r="HG97" s="277"/>
      <c r="HH97" s="277" t="str">
        <f t="shared" si="487"/>
        <v/>
      </c>
      <c r="HI97" s="1104" t="str">
        <f t="shared" si="488"/>
        <v/>
      </c>
      <c r="HJ97" s="1104" t="str">
        <f t="shared" si="489"/>
        <v/>
      </c>
      <c r="HK97" s="443" t="str">
        <f>IF(A97=FALSE,"",IF(Cotations!AF97="monthly",HH97/12*L97,HH97/365*M97))</f>
        <v/>
      </c>
      <c r="HL97" s="1103" t="str">
        <f>IF(A97=FALSE,"",IF(Cotations!AF97="monthly",HJ97/12*L97,HJ97/365*M97))</f>
        <v/>
      </c>
      <c r="HM97" s="433" t="str">
        <f>IF(A97=FALSE,"",IF(Cotations!AL97="","",Cotations!AL97))</f>
        <v/>
      </c>
      <c r="HN97" s="277" t="str">
        <f t="shared" si="490"/>
        <v/>
      </c>
      <c r="HO97" s="277" t="str">
        <f t="shared" si="491"/>
        <v/>
      </c>
      <c r="HP97" s="1104" t="str">
        <f t="shared" si="492"/>
        <v/>
      </c>
      <c r="HQ97" s="277" t="str">
        <f t="shared" si="493"/>
        <v/>
      </c>
      <c r="HR97" s="759" t="str">
        <f>IF(A97=FALSE,"",((HH97*TAXE)-(HH97*TAXE*HM97)+HI97)+IF(CQ97="N/A",0,IF(INDEX(LISTES!$F$105:$F$109,MATCH(CQ97,LISTES!$C$105:$C$109,0))="FIX",CR97,CS97*HQ97)))</f>
        <v/>
      </c>
      <c r="HS97" s="412"/>
      <c r="HT97" s="412"/>
      <c r="HU97" s="412"/>
      <c r="HV97" s="412"/>
      <c r="HW97" s="412"/>
      <c r="HX97" s="412"/>
      <c r="HY97" s="412"/>
      <c r="HZ97" s="1262"/>
      <c r="IA97" s="432" t="str">
        <f>IF(A97=FALSE,"",Cotations!AT97)</f>
        <v/>
      </c>
      <c r="IB97" s="1253" t="str">
        <f>IF(A97=FALSE,"",IF(Detail!AT97="","N/A",YEAR(Detail!F97)&amp;Detail!AW97&amp;Detail!AT97&amp;"-"&amp;Detail!$AT$13&amp;Detail!AU97))</f>
        <v/>
      </c>
      <c r="IC97" s="431" t="str">
        <f>IF(A97=FALSE,"",IF(LISTES!$A$17=1,IB97,INDEX(colMOD1,MATCH(DA97,colchoice,0))))</f>
        <v/>
      </c>
      <c r="ID97" s="759" t="str">
        <f t="shared" si="358"/>
        <v/>
      </c>
      <c r="IE97" s="292" t="str">
        <f>IF(A97=FALSE,"",IF(LISTES!$A$17=1,Detail!AU97,INDEX(Rates!$M$1:$M$270,MATCH(IC97,colMOD1,0))))</f>
        <v/>
      </c>
      <c r="IF97" s="409" t="str">
        <f t="shared" si="359"/>
        <v/>
      </c>
      <c r="IG97" s="430" t="str">
        <f>IF(A97=FALSE,"",IF(IA97="POEA",Cotations!AY97,IF(IA97="FIXE",Cotations!AZ97,IF(Cotations!BA97*Y97&lt;50000,Z97,Cotations!BA97*Y97))))</f>
        <v/>
      </c>
      <c r="IH97" s="292" t="str">
        <f t="shared" si="360"/>
        <v/>
      </c>
      <c r="II97" s="446" t="str">
        <f>IF(A97=FALSE,"",IF(Cotations!AU97="monthly",IH97/12*L97,IH97/365*M97))</f>
        <v/>
      </c>
      <c r="IJ97" s="429" t="str">
        <f>IF(A97=FALSE,"",IF(Cotations!BB97="","",Cotations!BB97))</f>
        <v/>
      </c>
      <c r="IK97" s="292" t="str">
        <f t="shared" si="361"/>
        <v/>
      </c>
      <c r="IL97" s="292" t="str">
        <f t="shared" si="362"/>
        <v/>
      </c>
      <c r="IM97" s="759" t="str">
        <f t="shared" si="363"/>
        <v/>
      </c>
      <c r="IN97" s="759" t="str">
        <f>IF(A97=FALSE,"",((IH97*TAXE)-(IH97*TAXE*IJ97))+IF(DQ97="N/A",0,IF(INDEX(LISTES!$F$105:$F$109,MATCH(DQ97,LISTES!$C$105:$C$109,0))="FIX",DR97,DS97*IM97)))</f>
        <v/>
      </c>
      <c r="JA97" s="432" t="str">
        <f>IF(A97=FALSE,"",Cotations!AT97)</f>
        <v/>
      </c>
      <c r="JB97" s="1234" t="str">
        <f>IF(A97=FALSE,"",IF(Detail!BB97="","N/A",YEAR(Detail!F97)&amp;Detail!BE97&amp;Detail!BB97&amp;"-"&amp;Detail!$BB$13&amp;Detail!BC97))</f>
        <v/>
      </c>
      <c r="JC97" s="431" t="str">
        <f>IF(A97=FALSE,"",IF(LISTES!$A$17=1,JB97,INDEX(colMOD2,MATCH(DA97,colchoice,0))))</f>
        <v/>
      </c>
      <c r="JD97" s="759" t="str">
        <f t="shared" si="384"/>
        <v/>
      </c>
      <c r="JE97" s="292"/>
      <c r="JF97" s="409" t="str">
        <f t="shared" si="385"/>
        <v/>
      </c>
      <c r="JG97" s="430" t="str">
        <f>IF(A97=FALSE,"",IF(JA97="POEA",Cotations!BC97,IF(JA97="FIXE",Cotations!BD97,IF(Cotations!BE97*Y97&lt;50000,Z97,Cotations!BE97*Y97))))</f>
        <v/>
      </c>
      <c r="JH97" s="292" t="str">
        <f t="shared" si="386"/>
        <v/>
      </c>
      <c r="JI97" s="446" t="str">
        <f>IF(A97=FALSE,"",IF(Cotations!AU97="monthly",JH97/12*L97,JH97/365*M97))</f>
        <v/>
      </c>
      <c r="JJ97" s="429" t="str">
        <f>IF(A97=FALSE,"",IF(Cotations!BF97="","",Cotations!BF97))</f>
        <v/>
      </c>
      <c r="JK97" s="292" t="str">
        <f t="shared" si="387"/>
        <v/>
      </c>
      <c r="JL97" s="292" t="str">
        <f t="shared" si="388"/>
        <v/>
      </c>
      <c r="JM97" s="759" t="str">
        <f t="shared" si="389"/>
        <v/>
      </c>
      <c r="JN97" s="759" t="str">
        <f>IF(A97=FALSE,"",((JH97*TAXE)-(JH97*TAXE*JJ97))+IF(#REF!="N/A",0,IF(INDEX(LISTES!$F$105:$F$109,MATCH(#REF!,LISTES!$C$105:$C$109,0))="FIX",#REF!,#REF!*JM97)))</f>
        <v/>
      </c>
      <c r="KA97" s="432" t="str">
        <f>IF(A97=FALSE,"",Cotations!AT97)</f>
        <v/>
      </c>
      <c r="KB97" s="1234" t="str">
        <f>IF(A97=FALSE,"",IF(Detail!BJ97="","N/A",YEAR(Detail!F97)&amp;Detail!BM97&amp;Detail!BJ97&amp;"-"&amp;Detail!$BJ$13&amp;Detail!BK97))</f>
        <v/>
      </c>
      <c r="KC97" s="431" t="str">
        <f>IF(A97=FALSE,"",IF(LISTES!$A$17=1,KB97,INDEX(colMOD3,MATCH(DA97,colchoice,0))))</f>
        <v/>
      </c>
      <c r="KD97" s="759" t="str">
        <f t="shared" si="390"/>
        <v/>
      </c>
      <c r="KE97" s="292"/>
      <c r="KF97" s="409" t="str">
        <f t="shared" si="391"/>
        <v/>
      </c>
      <c r="KG97" s="430" t="str">
        <f>IF(A97=FALSE,"",IF(KA97="POEA",Cotations!BG97,IF(KA97="FIXE",Cotations!BH97,IF(Cotations!BI97*Y97&lt;50000,Z97,Cotations!BI97*Y97))))</f>
        <v/>
      </c>
      <c r="KH97" s="292" t="str">
        <f t="shared" si="392"/>
        <v/>
      </c>
      <c r="KI97" s="446" t="str">
        <f>IF(A97=FALSE,"",IF(Cotations!AU97="monthly",KH97/12*L97,KH97/365*M97))</f>
        <v/>
      </c>
      <c r="KJ97" s="429" t="str">
        <f>IF(A97=FALSE,"",IF(Cotations!BJ97="","",Cotations!BJ97))</f>
        <v/>
      </c>
      <c r="KK97" s="292" t="str">
        <f t="shared" si="393"/>
        <v/>
      </c>
      <c r="KL97" s="292" t="str">
        <f t="shared" si="394"/>
        <v/>
      </c>
      <c r="KM97" s="759" t="str">
        <f t="shared" si="395"/>
        <v/>
      </c>
      <c r="KN97" s="759" t="str">
        <f>IF(A97=FALSE,"",((KH97*TAXE)-(KH97*TAXE*KJ97))+IF(#REF!="N/A",0,IF(INDEX(LISTES!$F$105:$F$109,MATCH(#REF!,LISTES!$C$105:$C$109,0))="FIX",#REF!,#REF!*KM97)))</f>
        <v/>
      </c>
      <c r="LA97" s="432" t="str">
        <f>IF(A97=FALSE,"",Cotations!AT97)</f>
        <v/>
      </c>
      <c r="LB97" s="1234" t="str">
        <f>IF(A97=FALSE,"",IF(Detail!BR97="","N/A",YEAR(Detail!F97)&amp;Detail!BU97&amp;Detail!BR97&amp;"-"&amp;Detail!$BR$13&amp;Detail!BS97))</f>
        <v/>
      </c>
      <c r="LC97" s="431" t="str">
        <f>IF(A97=FALSE,"",IF(LISTES!$A$17=1,LB97,INDEX(colMOD4,MATCH(DA97,colchoice,0))))</f>
        <v/>
      </c>
      <c r="LD97" s="759" t="str">
        <f t="shared" si="396"/>
        <v/>
      </c>
      <c r="LE97" s="292"/>
      <c r="LF97" s="409" t="str">
        <f t="shared" si="397"/>
        <v/>
      </c>
      <c r="LG97" s="430" t="str">
        <f>IF(A97=FALSE,"",IF(LA97="POEA",Cotations!BK97,IF(LA97="FIXE",Cotations!BL97,IF(Cotations!BM97*Y97&lt;50000,Z97,Cotations!BM97*Y97))))</f>
        <v/>
      </c>
      <c r="LH97" s="292" t="str">
        <f t="shared" si="398"/>
        <v/>
      </c>
      <c r="LI97" s="446" t="str">
        <f>IF(A97=FALSE,"",IF(Cotations!AU97="monthly",LH97/12*L97,LH97/365*M97))</f>
        <v/>
      </c>
      <c r="LJ97" s="429" t="str">
        <f>IF(A97=FALSE,"",IF(Cotations!BN97="","",Cotations!BN97))</f>
        <v/>
      </c>
      <c r="LK97" s="292" t="str">
        <f t="shared" si="399"/>
        <v/>
      </c>
      <c r="LL97" s="292" t="str">
        <f t="shared" si="400"/>
        <v/>
      </c>
      <c r="LM97" s="759" t="str">
        <f t="shared" si="401"/>
        <v/>
      </c>
      <c r="LN97" s="759" t="str">
        <f>IF(A97=FALSE,"",((LH97*TAXE)-(LH97*TAXE*LJ97))+IF(#REF!="N/A",0,IF(INDEX(LISTES!$F$105:$F$109,MATCH(#REF!,LISTES!$C$105:$C$109,0))="FIX",#REF!,#REF!*LM97)))</f>
        <v/>
      </c>
      <c r="MA97" s="432" t="str">
        <f t="shared" si="402"/>
        <v/>
      </c>
      <c r="MB97" s="1234" t="str">
        <f>IF(A97=FALSE,"",IF(Detail!BZ97="","N/A",YEAR(Detail!F97)&amp;Detail!CC97&amp;Detail!BZ97&amp;"-"&amp;Detail!$BZ$13&amp;" (100%/"&amp;Detail!CD97&amp;"/"&amp;Detail!CE97&amp;")"))</f>
        <v/>
      </c>
      <c r="MC97" s="431" t="str">
        <f>IF(A97=FALSE,"",IF(LISTES!$A$17=1,MB97,INDEX(colMOD5,MATCH(DA97,colchoice,0))))</f>
        <v/>
      </c>
      <c r="MD97" s="759" t="str">
        <f t="shared" si="403"/>
        <v/>
      </c>
      <c r="ME97" s="292"/>
      <c r="MF97" s="409" t="str">
        <f t="shared" si="404"/>
        <v/>
      </c>
      <c r="MG97" s="430" t="str">
        <f>IF(A97=FALSE,"",Cotations!BQ97*AA97)</f>
        <v/>
      </c>
      <c r="MH97" s="292" t="str">
        <f t="shared" si="405"/>
        <v/>
      </c>
      <c r="MI97" s="446" t="str">
        <f>IF(A97=FALSE,"",IF(Cotations!AU97="monthly",MH97/12*L97,MH97/365*M97))</f>
        <v/>
      </c>
      <c r="MJ97" s="429" t="str">
        <f>IF(A97=FALSE,"",IF(Cotations!BR97="","",Cotations!BR97))</f>
        <v/>
      </c>
      <c r="MK97" s="292" t="str">
        <f t="shared" si="406"/>
        <v/>
      </c>
      <c r="ML97" s="292" t="str">
        <f t="shared" si="407"/>
        <v/>
      </c>
      <c r="MM97" s="759" t="str">
        <f t="shared" si="408"/>
        <v/>
      </c>
      <c r="MN97" s="759" t="str">
        <f>IF(A97=FALSE,"",((MH97*TAXE)-(MH97*TAXE*MJ97))+IF(#REF!="N/A",0,IF(INDEX(LISTES!$F$105:$F$109,MATCH(#REF!,LISTES!$C$105:$C$109,0))="FIX",#REF!,#REF!*MM97)))</f>
        <v/>
      </c>
      <c r="NA97" s="432" t="str">
        <f t="shared" si="409"/>
        <v/>
      </c>
      <c r="NB97" s="1234" t="str">
        <f>IF(A97=FALSE,"",IF(Detail!CH97="","N/A",YEAR(Detail!F97)&amp;Detail!CK97&amp;Detail!CH97&amp;"-"&amp;Detail!$CH$13&amp;" (100%/"&amp;Detail!CL97&amp;"/"&amp;Detail!CM97&amp;")"))</f>
        <v/>
      </c>
      <c r="NC97" s="431" t="str">
        <f>IF(A97=FALSE,"",IF(LISTES!$A$17=1,NB97,INDEX(colMOD6,MATCH(DA97,colchoice,0))))</f>
        <v/>
      </c>
      <c r="ND97" s="759" t="str">
        <f t="shared" si="410"/>
        <v/>
      </c>
      <c r="NE97" s="292"/>
      <c r="NF97" s="409" t="str">
        <f t="shared" si="411"/>
        <v/>
      </c>
      <c r="NG97" s="430" t="str">
        <f>IF(A97=FALSE,"",Cotations!BU97*AA97)</f>
        <v/>
      </c>
      <c r="NH97" s="292" t="str">
        <f t="shared" si="412"/>
        <v/>
      </c>
      <c r="NI97" s="446" t="str">
        <f>IF(A97=FALSE,"",IF(Cotations!AU97="monthly",NH97/12*L97,NH97/365*M97))</f>
        <v/>
      </c>
      <c r="NJ97" s="429" t="str">
        <f>IF(A97=FALSE,"",IF(Cotations!BV97="","",Cotations!BV97))</f>
        <v/>
      </c>
      <c r="NK97" s="292" t="str">
        <f t="shared" si="413"/>
        <v/>
      </c>
      <c r="NL97" s="292" t="str">
        <f t="shared" si="414"/>
        <v/>
      </c>
      <c r="NM97" s="759" t="str">
        <f t="shared" si="415"/>
        <v/>
      </c>
      <c r="NN97" s="759" t="str">
        <f>IF(A97=FALSE,"",((NH97*TAXE)-(NH97*TAXE*NJ97))+IF(#REF!="N/A",0,IF(INDEX(LISTES!$F$105:$F$109,MATCH(#REF!,LISTES!$C$105:$C$109,0))="FIX",#REF!,#REF!*NM97)))</f>
        <v/>
      </c>
      <c r="NZ97" s="1281" t="str">
        <f>IF(A97=FALSE,"",IF(Detail!CP97="","N/A",YEAR(Detail!F97)&amp;Detail!CS97&amp;Detail!CP97&amp;"-"&amp;Detail!CQ97))</f>
        <v/>
      </c>
      <c r="OA97" s="432" t="str">
        <f>IF(A97=FALSE,"",Cotations!CF97)</f>
        <v/>
      </c>
      <c r="OB97" s="1282" t="str">
        <f>IF(A97=FALSE,"",IF(Detail!CP97="","N/A",YEAR(Detail!F97)&amp;Detail!CS97&amp;Detail!CP97&amp;"-"&amp;Detail!$CP$13&amp;Detail!CQ97))</f>
        <v/>
      </c>
      <c r="OC97" s="1283" t="str">
        <f>IF(A97=FALSE,"",IF(LISTES!$A$17=1,OB97,INDEX(colMOD1,MATCH(Cotations!CE97,colchoice,0))))</f>
        <v/>
      </c>
      <c r="OD97" s="759" t="str">
        <f t="shared" si="416"/>
        <v/>
      </c>
      <c r="OE97" s="292" t="str">
        <f>IF(A97=FALSE,"",Detail!CQ97)</f>
        <v/>
      </c>
      <c r="OF97" s="409" t="str">
        <f t="shared" si="417"/>
        <v/>
      </c>
      <c r="OG97" s="430" t="str">
        <f>IF(A97=FALSE,"",IF(OA97="FIXE",Cotations!CM97,Cotations!CN97*AA97))</f>
        <v/>
      </c>
      <c r="OH97" s="292" t="str">
        <f t="shared" si="494"/>
        <v/>
      </c>
      <c r="OI97" s="446" t="str">
        <f>IF(A97=FALSE,"",IF(Cotations!CF97="monthly",OH97/12*L97,OH97/365*M97))</f>
        <v/>
      </c>
      <c r="OJ97" s="429" t="str">
        <f>IF(A97=FALSE,"",IF(Cotations!CO97="","",Cotations!CO97))</f>
        <v/>
      </c>
      <c r="OK97" s="292" t="str">
        <f t="shared" si="495"/>
        <v/>
      </c>
      <c r="OL97" s="292" t="str">
        <f t="shared" si="496"/>
        <v/>
      </c>
      <c r="OM97" s="759" t="str">
        <f t="shared" si="418"/>
        <v/>
      </c>
      <c r="ON97" s="759" t="str">
        <f>IF(A97=FALSE,"",((OH97*(1+TAXE)-(OH97*(1+TAXE)*OJ97))+IF(#REF!="N/A",0,IF(INDEX(LISTES!$F$105:$F$109,MATCH(#REF!,LISTES!$C$105:$C$109,0))="FIX",#REF!,#REF!*OM97))))</f>
        <v/>
      </c>
      <c r="PA97" s="432" t="str">
        <f>IF(A97=FALSE,"",Cotations!CF97)</f>
        <v/>
      </c>
      <c r="PB97" s="1282" t="str">
        <f>IF(A97=FALSE,"",IF(Detail!CX97="","N/A",YEAR(Detail!F97)&amp;Detail!DA97&amp;Detail!CX97&amp;"-"&amp;Detail!$CX$13&amp;Detail!CY97))</f>
        <v/>
      </c>
      <c r="PC97" s="1283" t="str">
        <f>IF(A97=FALSE,"",IF(LISTES!$A$17=1,PB97,INDEX(colMOD3,MATCH(Cotations!CE97,colchoice,0))))</f>
        <v/>
      </c>
      <c r="PD97" s="759" t="str">
        <f t="shared" si="419"/>
        <v/>
      </c>
      <c r="PE97" s="292" t="str">
        <f>IF(A97=FALSE,"",IF(Detail!CY97="","",Detail!CY97))</f>
        <v/>
      </c>
      <c r="PF97" s="409" t="str">
        <f t="shared" si="497"/>
        <v/>
      </c>
      <c r="PG97" s="430" t="str">
        <f>IF(A97=FALSE,"",IF(PA97="FIXE",Cotations!CP97,Cotations!CQ97*AA97))</f>
        <v/>
      </c>
      <c r="PH97" s="292" t="str">
        <f t="shared" si="498"/>
        <v/>
      </c>
      <c r="PI97" s="446" t="str">
        <f>IF(A97=FALSE,"",IF(Cotations!CG97="monthly",PH97/12*L97,PH97/365*M97))</f>
        <v/>
      </c>
      <c r="PJ97" s="429" t="str">
        <f>IF(A97=FALSE,"",IF(Cotations!DA97="",0,Cotations!DA97))</f>
        <v/>
      </c>
      <c r="PK97" s="292" t="str">
        <f t="shared" si="499"/>
        <v/>
      </c>
      <c r="PL97" s="292" t="str">
        <f t="shared" si="500"/>
        <v/>
      </c>
      <c r="PM97" s="759" t="str">
        <f t="shared" si="420"/>
        <v/>
      </c>
      <c r="PN97" s="759" t="str">
        <f>IF(A97=FALSE,"",((PH97*(1+TAXE)-(PH97*(1+TAXE)*PJ97))+IF(#REF!="N/A",0,IF(INDEX(LISTES!$F$105:$F$109,MATCH(#REF!,LISTES!$C$105:$C$109,0))="FIX",#REF!,#REF!*PM97))))</f>
        <v/>
      </c>
    </row>
    <row r="98" spans="1:430">
      <c r="A98" s="779" t="b">
        <f t="shared" si="364"/>
        <v>0</v>
      </c>
      <c r="B98" s="779" t="b">
        <f>IF(NAMES!$B$9=TRUE,TRUE,FALSE)</f>
        <v>1</v>
      </c>
      <c r="C98" s="779" t="b">
        <f t="shared" si="421"/>
        <v>0</v>
      </c>
      <c r="D98" s="779" t="b">
        <f t="shared" si="422"/>
        <v>0</v>
      </c>
      <c r="E98" s="267" t="b">
        <f>IF(Cotations!C98="","",Cotations!C98)</f>
        <v>0</v>
      </c>
      <c r="F98" s="267" t="str">
        <f>IF(Cotations!AT98="","",Cotations!AT98)</f>
        <v>PROP</v>
      </c>
      <c r="G98" s="267" t="str">
        <f>IF(Cotations!D98="","",Cotations!D98)</f>
        <v>2016-2017!</v>
      </c>
      <c r="H98" s="267" t="str">
        <f>IF(Cotations!E98="","",Cotations!E98)</f>
        <v>SINGLE</v>
      </c>
      <c r="I98" s="267" t="str">
        <f>IF(Cotations!F98="","",Cotations!F98)</f>
        <v/>
      </c>
      <c r="J98" s="267" t="str">
        <f>IF(Cotations!G98="","",Cotations!G98)</f>
        <v/>
      </c>
      <c r="K98" s="267" t="str">
        <f>IF(Cotations!H98="","",Cotations!H98)</f>
        <v/>
      </c>
      <c r="L98" s="267" t="str">
        <f>IF(A98=FALSE,"",IF(Cotations!M98="","",Cotations!M98))</f>
        <v/>
      </c>
      <c r="M98" s="267" t="str">
        <f>IF(Cotations!O98="","",Cotations!O98)</f>
        <v/>
      </c>
      <c r="N98" s="588" t="str">
        <f>IF(NAMES!$B$10=TRUE,Cotations!I98,Cotations!K98)</f>
        <v/>
      </c>
      <c r="O98" s="588" t="str">
        <f>IF(NAMES!$B$10=TRUE,Cotations!J98,Cotations!L98)</f>
        <v/>
      </c>
      <c r="P98" s="780" t="str">
        <f t="shared" si="423"/>
        <v/>
      </c>
      <c r="Q98" s="588" t="str">
        <f>IF(A98=FALSE,"",IF(Crewlist!Y98="","",Crewlist!Y98))</f>
        <v/>
      </c>
      <c r="R98" s="78" t="str">
        <f>IF(Cotations!T98="","",Cotations!T98)</f>
        <v/>
      </c>
      <c r="S98" s="780" t="str">
        <f t="shared" si="424"/>
        <v/>
      </c>
      <c r="T98" s="759" t="str">
        <f>IF(A98=FALSE,"",VLOOKUP($U$15:$U$120,Currency!$A$2:$D$10,4,0)*Crewlist!N98)</f>
        <v/>
      </c>
      <c r="U98" s="1097" t="str">
        <f>IF(A98=FALSE,"",IF(DP98=0,Crewlist!M98&amp;"/"&amp;CP98,Crewlist!M98&amp;"/"&amp;DP98))</f>
        <v/>
      </c>
      <c r="V98" s="759" t="str">
        <f>IF(A98=FALSE,"",VLOOKUP($U$15:$U$120,Currency!$A$2:$D$10,4,0)*Detail!Q98)</f>
        <v/>
      </c>
      <c r="W98" s="1097" t="str">
        <f>IF(A98=FALSE,"",IF(DP98=0,Detail!R98&amp;"/"&amp;CP98,Detail!R98&amp;"/"&amp;DP98))</f>
        <v/>
      </c>
      <c r="X98" s="759" t="str">
        <f>IF(A98=FALSE,"",IF(LISTES!$C$17="Crewlist",Calcul!T98,Calcul!V98))</f>
        <v/>
      </c>
      <c r="Y98" s="618" t="str">
        <f t="shared" si="425"/>
        <v/>
      </c>
      <c r="Z98" s="618" t="str">
        <f>IF(A98=FALSE,"",IF(X98=0,0,IF((Cotations!BA98*12*X98)&lt;50000,50000,(12*X98))))</f>
        <v/>
      </c>
      <c r="AA98" s="618" t="str">
        <f t="shared" si="426"/>
        <v/>
      </c>
      <c r="AB98" s="618" t="str">
        <f>IF(A98=FALSE,"",IF(Crewlist!O98=0,"",Crewlist!O98))</f>
        <v/>
      </c>
      <c r="AC98" s="618" t="str">
        <f>IF(I98="","",VLOOKUP($AB$15:$AB$120,Currency!$A$15:$B$34,2,0))</f>
        <v/>
      </c>
      <c r="AD98" s="618" t="str">
        <f t="shared" si="427"/>
        <v/>
      </c>
      <c r="AE98" s="618" t="str">
        <f t="shared" si="428"/>
        <v/>
      </c>
      <c r="AF98" s="618" t="str">
        <f t="shared" si="429"/>
        <v/>
      </c>
      <c r="AG98" s="618" t="str">
        <f t="shared" si="430"/>
        <v/>
      </c>
      <c r="AH98" s="1097" t="str">
        <f t="shared" si="365"/>
        <v/>
      </c>
      <c r="AI98" s="759" t="str">
        <f t="shared" si="431"/>
        <v/>
      </c>
      <c r="AJ98" s="1120" t="str">
        <f t="shared" si="432"/>
        <v/>
      </c>
      <c r="AK98" s="1120" t="str">
        <f t="shared" si="433"/>
        <v/>
      </c>
      <c r="AL98" s="236" t="str">
        <f t="shared" si="434"/>
        <v/>
      </c>
      <c r="AM98" s="236" t="str">
        <f t="shared" si="435"/>
        <v/>
      </c>
      <c r="AN98" s="1112" t="str">
        <f t="shared" si="436"/>
        <v/>
      </c>
      <c r="AO98" s="236" t="str">
        <f t="shared" si="437"/>
        <v/>
      </c>
      <c r="AP98" s="327" t="str">
        <f>IF(A98=FALSE,"",INDEX(Rates!$Q$1:$Q$278,MATCH(CA98,colchoice,0)))</f>
        <v/>
      </c>
      <c r="AQ98" s="236" t="str">
        <f t="shared" si="438"/>
        <v/>
      </c>
      <c r="AR98" s="236" t="str">
        <f t="shared" si="439"/>
        <v/>
      </c>
      <c r="AS98" s="236" t="str">
        <f t="shared" si="366"/>
        <v/>
      </c>
      <c r="AT98" s="236" t="str">
        <f t="shared" si="367"/>
        <v/>
      </c>
      <c r="AU98" s="236" t="str">
        <f t="shared" si="440"/>
        <v/>
      </c>
      <c r="AV98" s="236" t="str">
        <f t="shared" si="441"/>
        <v/>
      </c>
      <c r="AW98" s="236" t="str">
        <f t="shared" si="442"/>
        <v/>
      </c>
      <c r="AX98" s="236" t="str">
        <f t="shared" si="443"/>
        <v/>
      </c>
      <c r="AY98" s="236" t="str">
        <f t="shared" si="444"/>
        <v/>
      </c>
      <c r="AZ98" s="236" t="str">
        <f t="shared" si="445"/>
        <v/>
      </c>
      <c r="BA98" s="236" t="str">
        <f t="shared" si="446"/>
        <v/>
      </c>
      <c r="BB98" s="467" t="str">
        <f t="shared" si="447"/>
        <v/>
      </c>
      <c r="BC98" s="329" t="str">
        <f t="shared" si="448"/>
        <v/>
      </c>
      <c r="BD98" s="237" t="str">
        <f t="shared" si="449"/>
        <v/>
      </c>
      <c r="BE98" s="237" t="str">
        <f>IF(A98=FALSE,"",IF(ED98&lt;&gt;$BC$7,0,INDEX(EA98:EZ98,1,MATCH(Structure!$J$16,$EA$14:$EZ$14,0))))</f>
        <v/>
      </c>
      <c r="BF98" s="237" t="str">
        <f>IF(A98=FALSE,"",IF(FD98&lt;&gt;$BC$7,0,INDEX(FA98:FZ98,1,MATCH(Structure!$J$16,$FA$14:$FZ$14,0))))</f>
        <v/>
      </c>
      <c r="BG98" s="237" t="str">
        <f>IF(A98=FALSE,"",IF(GD98&lt;&gt;$BC$7,0,INDEX(GA98:GZ98,1,MATCH(Structure!$J$16,$GA$14:$GZ$14,0))))</f>
        <v/>
      </c>
      <c r="BH98" s="237" t="str">
        <f>IF(A98=FALSE,"",IF(HD98&lt;&gt;$BC$7,0,INDEX(HA98:HZ98,1,MATCH(Structure!$J$16,$HA$14:$HZ$14,0))))</f>
        <v/>
      </c>
      <c r="BI98" s="621" t="str">
        <f>IF(A98=FALSE,"",IF(ID98&lt;&gt;$BC$7,0,INDEX(IA98:IZ98,1,MATCH(Structure!$C$12,$IA$14:$IZ$14,0)))+OL98)</f>
        <v/>
      </c>
      <c r="BJ98" s="237" t="str">
        <f>IF(A98=FALSE,"",IF(JD98&lt;&gt;$BC$7,0,INDEX(JA98:JZ98,1,MATCH(Structure!$C$12,$JA$14:$JZ$14,0))))</f>
        <v/>
      </c>
      <c r="BK98" s="621" t="str">
        <f>IF(A98=FALSE,"",IF(KD98&lt;&gt;$BC$7,0,INDEX(KA98:KZ98,1,MATCH(Structure!$C$12,$KA$14:$KZ$14,0)))+PL98)</f>
        <v/>
      </c>
      <c r="BL98" s="237" t="str">
        <f>IF(A98=FALSE,"",IF(LD98&lt;&gt;$BC$7,0,INDEX(LA98:LZ98,1,MATCH(Structure!$C$12,$LA$14:$LZ$14,0))))</f>
        <v/>
      </c>
      <c r="BM98" s="237" t="str">
        <f>IF(A98=FALSE,"",IF(MD98&lt;&gt;$BC$7,0,INDEX(MA98:MZ98,1,MATCH(Structure!$C$12,$MA$14:$MZ$14,0))))</f>
        <v/>
      </c>
      <c r="BN98" s="326" t="str">
        <f>IF(A98=FALSE,"",IF(ND98&lt;&gt;$BC$7,0,INDEX(NA98:OC98,1,MATCH(Structure!$C$12,$NA$14:$OC$14,0))))</f>
        <v/>
      </c>
      <c r="BO98" s="435" t="str">
        <f t="shared" si="450"/>
        <v/>
      </c>
      <c r="BP98" s="237" t="str">
        <f t="shared" si="451"/>
        <v/>
      </c>
      <c r="BQ98" s="237" t="str">
        <f>IF(A98=FALSE,"",IF(ED98&lt;&gt;$BO$7,0,INDEX(EA98:EZ98,1,MATCH(Structure!$C$12,$EA$14:$EZ$14,0))))</f>
        <v/>
      </c>
      <c r="BR98" s="237" t="str">
        <f>IF(A98=FALSE,"",IF(FD98&lt;&gt;$BO$7,0,INDEX(FA98:FZ98,1,MATCH(Structure!$C$12,$FA$14:$FZ$14,0))))</f>
        <v/>
      </c>
      <c r="BS98" s="237" t="str">
        <f>IF(A98=FALSE,"",IF(ID98&lt;&gt;$BO$7,0,INDEX(IA98:IZ98,1,MATCH(Structure!$C$13,$IA$14:$IZ$14,0))))</f>
        <v/>
      </c>
      <c r="BT98" s="237" t="str">
        <f>IF(A98=FALSE,"",IF(JD98&lt;&gt;$BO$7,0,INDEX(JA98:JZ98,1,MATCH(Structure!$C$13,$JA$14:$JZ$14,0))))</f>
        <v/>
      </c>
      <c r="BU98" s="237" t="str">
        <f>IF(A98=FALSE,"",IF(KD98&lt;&gt;$BO$7,0,INDEX(KA98:KZ98,1,MATCH(Structure!$C$13,$KA$14:$KZ$14,0))))</f>
        <v/>
      </c>
      <c r="BV98" s="237" t="str">
        <f>IF(A98=FALSE,"",IF(LD98&lt;&gt;$BO$7,0,INDEX(LA98:LZ98,1,MATCH(Structure!$C$13,$LA$14:$LZ$14,0))))</f>
        <v/>
      </c>
      <c r="BW98" s="237" t="str">
        <f>IF(A98=FALSE,"",IF(MD98&lt;&gt;$BO$7,0,INDEX(MA98:MZ98,1,MATCH(Structure!$C$13,$MA$14:$MZ$14,0))))</f>
        <v/>
      </c>
      <c r="BX98" s="326" t="str">
        <f>IF(A98=FALSE,"",IF(ND98&lt;&gt;$BO$7,0,INDEX(NA98:OC98,1,MATCH(Structure!$C$13,$NA$14:$OC$14,0))))</f>
        <v/>
      </c>
      <c r="BY98" s="412"/>
      <c r="BZ98" s="412"/>
      <c r="CA98" s="1255" t="str">
        <f>IF(A98=FALSE,"",IF(LISTES!$A$17=1,Cotations!AG98,Cotations!AH98))</f>
        <v/>
      </c>
      <c r="CB98" s="1266" t="str">
        <f t="shared" si="452"/>
        <v/>
      </c>
      <c r="CC98" s="1120" t="str">
        <f t="shared" si="453"/>
        <v/>
      </c>
      <c r="CD98" s="1120" t="str">
        <f t="shared" si="454"/>
        <v/>
      </c>
      <c r="CE98" s="1120" t="str">
        <f t="shared" si="455"/>
        <v/>
      </c>
      <c r="CF98" s="1120" t="str">
        <f t="shared" si="456"/>
        <v/>
      </c>
      <c r="CG98" s="1267"/>
      <c r="CH98" s="1267"/>
      <c r="CI98" s="1268" t="str">
        <f t="shared" si="457"/>
        <v/>
      </c>
      <c r="CJ98" s="286" t="str">
        <f t="shared" si="458"/>
        <v/>
      </c>
      <c r="CK98" s="286" t="str">
        <f t="shared" si="459"/>
        <v/>
      </c>
      <c r="CL98" s="1263"/>
      <c r="CM98" s="1263"/>
      <c r="CN98" s="1263"/>
      <c r="CO98" s="1263"/>
      <c r="CP98" s="319" t="str">
        <f t="shared" si="460"/>
        <v/>
      </c>
      <c r="CQ98" s="443" t="str">
        <f>IF(A98=FALSE,"",Cotations!AM98)</f>
        <v/>
      </c>
      <c r="CR98" s="443" t="str">
        <f>IF(A98=FALSE,"",IF(Cotations!AN98="","",Cotations!AN98))</f>
        <v/>
      </c>
      <c r="CS98" s="433" t="str">
        <f>IF(A98=FALSE,"",Cotations!AO98)</f>
        <v/>
      </c>
      <c r="CT98" s="443" t="str">
        <f>IF(A98=FALSE,"",IF(CQ98="N/A",0,IF(INDEX(LISTES!$F$105:$F$109,MATCH(CQ98,LISTES!$C$105:$C$109,0))="FIX",IF(INDEX(LISTES!$E$105:$E$109,MATCH(CQ98,LISTES!$C$105:$C$109,0))=12,CR98/12*L98,CR98/365*M98),CS98*EQ98)))</f>
        <v/>
      </c>
      <c r="CU98" s="434" t="str">
        <f>IF(A98=FALSE,"",(CJ98+CK98)*Cotations!AP98)</f>
        <v/>
      </c>
      <c r="CV98" s="434" t="str">
        <f>IF(A98=FALSE,"",(CJ98+CK98)*Cotations!AQ98)</f>
        <v/>
      </c>
      <c r="DA98" s="1253" t="str">
        <f>IF(A98=FALSE,"",IF(LISTES!$A$17=1,Cotations!AV98,Cotations!AW98))</f>
        <v/>
      </c>
      <c r="DB98" s="1271" t="str">
        <f t="shared" si="461"/>
        <v/>
      </c>
      <c r="DC98" s="1270" t="str">
        <f t="shared" si="462"/>
        <v/>
      </c>
      <c r="DD98" s="1270" t="str">
        <f t="shared" si="463"/>
        <v/>
      </c>
      <c r="DE98" s="1270" t="str">
        <f t="shared" si="464"/>
        <v/>
      </c>
      <c r="DF98" s="1270" t="str">
        <f t="shared" si="465"/>
        <v/>
      </c>
      <c r="DG98" s="1270" t="str">
        <f t="shared" si="466"/>
        <v/>
      </c>
      <c r="DH98" s="1270" t="str">
        <f t="shared" si="467"/>
        <v/>
      </c>
      <c r="DI98" s="1271" t="str">
        <f t="shared" si="468"/>
        <v/>
      </c>
      <c r="DJ98" s="286" t="str">
        <f t="shared" si="469"/>
        <v/>
      </c>
      <c r="DK98" s="286" t="str">
        <f t="shared" si="470"/>
        <v/>
      </c>
      <c r="DL98" s="1264" t="str">
        <f t="shared" si="471"/>
        <v/>
      </c>
      <c r="DM98" s="1264" t="str">
        <f t="shared" si="472"/>
        <v/>
      </c>
      <c r="DN98" s="1264" t="str">
        <f t="shared" si="473"/>
        <v/>
      </c>
      <c r="DO98" s="1264" t="str">
        <f t="shared" si="474"/>
        <v/>
      </c>
      <c r="DP98" s="323" t="str">
        <f t="shared" si="368"/>
        <v/>
      </c>
      <c r="DQ98" s="444" t="str">
        <f>IF(A98=FALSE,"",Cotations!BW98)</f>
        <v/>
      </c>
      <c r="DR98" s="444" t="str">
        <f>IF(A98=FALSE,"",Cotations!BX98)</f>
        <v/>
      </c>
      <c r="DS98" s="433" t="str">
        <f>IF(A98=FALSE,"",Cotations!BY98)</f>
        <v/>
      </c>
      <c r="DT98" s="830" t="str">
        <f>IF(A98=FALSE,"",IF(DQ98="N/A",0,IF(INDEX(LISTES!$F$105:$F$109,MATCH(DQ98,LISTES!$C$105:$C$109,0))="FIX",IF(INDEX(LISTES!$E$105:$E$109,MATCH(DQ98,LISTES!$C$105:$C$109,0))=12,DR98/12*L98,DR98/365*M98),DS98*(DN98+DO98))))</f>
        <v/>
      </c>
      <c r="DU98" s="434" t="str">
        <f>IF(A98=FALSE,"",DJ98*Cotations!BZ98)</f>
        <v/>
      </c>
      <c r="DV98" s="434" t="str">
        <f>IF(A98=FALSE,"",DJ98*Cotations!CA98)</f>
        <v/>
      </c>
      <c r="EA98" s="432" t="str">
        <f>IF(A98=FALSE,"",Cotations!AT98)</f>
        <v/>
      </c>
      <c r="EB98" s="1234" t="str">
        <f>IF(A98=FALSE,"",YEAR(Detail!F98)&amp;Detail!AG98&amp;Detail!AD98&amp;"-"&amp;Detail!$AD$13&amp;Detail!AE98)</f>
        <v/>
      </c>
      <c r="EC98" s="434" t="str">
        <f>IF(A98=FALSE,"",IF(LISTES!$A$17=1,EB98,INDEX(colMOD1,MATCH(Cotations!AH98,colchoice,0))))</f>
        <v/>
      </c>
      <c r="ED98" s="277" t="str">
        <f t="shared" si="369"/>
        <v/>
      </c>
      <c r="EE98" s="277" t="str">
        <f t="shared" si="370"/>
        <v/>
      </c>
      <c r="EF98" s="277"/>
      <c r="EG98" s="277"/>
      <c r="EH98" s="277" t="str">
        <f t="shared" si="371"/>
        <v/>
      </c>
      <c r="EI98" s="1104" t="str">
        <f t="shared" si="372"/>
        <v/>
      </c>
      <c r="EJ98" s="1104" t="str">
        <f t="shared" si="373"/>
        <v/>
      </c>
      <c r="EK98" s="443" t="str">
        <f>IF(A98=FALSE,"",IF(Cotations!AF98="monthly",EH98/12*L98,EH98/365*M98))</f>
        <v/>
      </c>
      <c r="EL98" s="1103" t="str">
        <f>IF(A98=FALSE,"",IF(Cotations!AF98="monthly",EJ98/12*L98,EJ98/365*M98))</f>
        <v/>
      </c>
      <c r="EM98" s="433" t="str">
        <f>IF(A98=FALSE,"",IF(Cotations!AI98="","",Cotations!AI98))</f>
        <v/>
      </c>
      <c r="EN98" s="277" t="str">
        <f t="shared" si="374"/>
        <v/>
      </c>
      <c r="EO98" s="277" t="str">
        <f t="shared" si="375"/>
        <v/>
      </c>
      <c r="EP98" s="1104" t="str">
        <f t="shared" si="376"/>
        <v/>
      </c>
      <c r="EQ98" s="277" t="str">
        <f t="shared" si="377"/>
        <v/>
      </c>
      <c r="ER98" s="759" t="str">
        <f>IF(A98=FALSE,"",((EH98*TAXE)-(EH98*TAXE*EM98)+EI98)+IF(CQ98="N/A",0,IF(INDEX(LISTES!$F$105:$F$109,MATCH(CQ98,LISTES!$C$105:$C$109,0))="FIX",CR98,CS98*EQ98)))</f>
        <v/>
      </c>
      <c r="ET98" s="422"/>
      <c r="EU98" s="422"/>
      <c r="EV98" s="422"/>
      <c r="EW98" s="422"/>
      <c r="EX98" s="422"/>
      <c r="EY98" s="422"/>
      <c r="EZ98" s="422"/>
      <c r="FA98" s="432" t="str">
        <f>IF(A98=FALSE,"",Cotations!AT98)</f>
        <v/>
      </c>
      <c r="FB98" s="1235" t="str">
        <f>IF(A98=FALSE,"",IF(Detail!AL98="","N/A",YEAR(Detail!F98)&amp;Detail!AO98&amp;Detail!AL98&amp;"-"&amp;Detail!$AL$13&amp;Detail!AM98))</f>
        <v/>
      </c>
      <c r="FC98" s="434" t="str">
        <f>IF(A98=FALSE,"",IF(LISTES!$A$17=1,FB98,INDEX(colMOD2,MATCH(Cotations!AH98,colchoice,0))))</f>
        <v/>
      </c>
      <c r="FD98" s="277" t="str">
        <f t="shared" si="378"/>
        <v/>
      </c>
      <c r="FE98" s="443" t="str">
        <f>IF(A98=FALSE,"",IF(Detail!AM98="","",Detail!AM98))</f>
        <v/>
      </c>
      <c r="FF98" s="277"/>
      <c r="FG98" s="277"/>
      <c r="FH98" s="277" t="str">
        <f t="shared" si="379"/>
        <v/>
      </c>
      <c r="FI98" s="1104"/>
      <c r="FJ98" s="1104"/>
      <c r="FK98" s="443" t="str">
        <f>IF(A98=FALSE,"",IF(Cotations!AF98="monthly",FH98/12*L98,FH98/365*M98))</f>
        <v/>
      </c>
      <c r="FL98" s="1103" t="str">
        <f>IF(A98=FALSE,"",IF(Cotations!AF98="monthly",FJ98/12*L98,FJ98/365*M98))</f>
        <v/>
      </c>
      <c r="FM98" s="433" t="str">
        <f>IF(A98=FALSE,"",IF(Cotations!AJ98="","",Cotations!AJ98))</f>
        <v/>
      </c>
      <c r="FN98" s="277" t="str">
        <f t="shared" si="475"/>
        <v/>
      </c>
      <c r="FO98" s="277" t="str">
        <f t="shared" si="476"/>
        <v/>
      </c>
      <c r="FP98" s="1104"/>
      <c r="FQ98" s="277" t="str">
        <f t="shared" si="477"/>
        <v/>
      </c>
      <c r="FR98" s="759" t="str">
        <f>IF(A98=FALSE,"",((FH98*TAXE)-(FH98*TAXE*FM98))+IF(#REF!="N/A",0,IF(INDEX(LISTES!$F$105:$F$109,MATCH(#REF!,LISTES!$C$105:$C$109,0))="FIX",#REF!,#REF!*FQ98)))</f>
        <v/>
      </c>
      <c r="FS98" s="422"/>
      <c r="FT98" s="422"/>
      <c r="FU98" s="422"/>
      <c r="FV98" s="422"/>
      <c r="FW98" s="422"/>
      <c r="FX98" s="422"/>
      <c r="FY98" s="422"/>
      <c r="FZ98" s="422"/>
      <c r="GA98" s="432" t="str">
        <f t="shared" si="380"/>
        <v/>
      </c>
      <c r="GB98" s="1234" t="str">
        <f>IF(A98=FALSE,"",IF(Detail!DF98="","N/A",YEAR(Detail!F98)&amp;Detail!DI98&amp;Detail!DF98&amp;"-"&amp;Detail!$DF$13))</f>
        <v/>
      </c>
      <c r="GC98" s="434" t="str">
        <f>IF(A98=FALSE,"",IF(LISTES!$A$17=1,GB98,INDEX(colMOD3,MATCH(Cotations!AH98,colchoice,0))))</f>
        <v/>
      </c>
      <c r="GD98" s="277" t="str">
        <f t="shared" si="381"/>
        <v/>
      </c>
      <c r="GE98" s="277" t="str">
        <f t="shared" si="382"/>
        <v/>
      </c>
      <c r="GF98" s="277"/>
      <c r="GG98" s="277"/>
      <c r="GH98" s="277" t="str">
        <f t="shared" si="478"/>
        <v/>
      </c>
      <c r="GI98" s="1104" t="str">
        <f t="shared" si="479"/>
        <v/>
      </c>
      <c r="GJ98" s="1104" t="str">
        <f t="shared" si="480"/>
        <v/>
      </c>
      <c r="GK98" s="443" t="str">
        <f>IF(A98=FALSE,"",IF(Cotations!AF98="monthly",GH98/12*L98,GH98/365*M98))</f>
        <v/>
      </c>
      <c r="GL98" s="1103" t="str">
        <f>IF(A98=FALSE,"",IF(Cotations!AF98="monthly",GJ98/12*L98,GJ98/365*M98))</f>
        <v/>
      </c>
      <c r="GM98" s="433" t="str">
        <f>IF(A98=FALSE,"",IF(Cotations!AK98="","",Cotations!AK98))</f>
        <v/>
      </c>
      <c r="GN98" s="277" t="str">
        <f t="shared" si="481"/>
        <v/>
      </c>
      <c r="GO98" s="277" t="str">
        <f t="shared" si="482"/>
        <v/>
      </c>
      <c r="GP98" s="1104" t="str">
        <f t="shared" si="483"/>
        <v/>
      </c>
      <c r="GQ98" s="277" t="str">
        <f t="shared" si="484"/>
        <v/>
      </c>
      <c r="GR98" s="759" t="str">
        <f>IF(A98=FALSE,"",((GH98*TAXE)-(GH98*TAXE*GM98)+GI98)+IF(CQ98="N/A",0,IF(INDEX(LISTES!$F$105:$F$109,MATCH(CQ98,LISTES!$C$105:$C$109,0))="FIX",CR98,CS98*GQ98)))</f>
        <v/>
      </c>
      <c r="GS98" s="412"/>
      <c r="GT98" s="412"/>
      <c r="GU98" s="412"/>
      <c r="GV98" s="412"/>
      <c r="GW98" s="412"/>
      <c r="GX98" s="412"/>
      <c r="GY98" s="412"/>
      <c r="GZ98" s="412"/>
      <c r="HA98" s="432" t="str">
        <f t="shared" si="383"/>
        <v/>
      </c>
      <c r="HB98" s="1234" t="str">
        <f>IF(A98=FALSE,"",IF(Detail!DF98="","N/A",YEAR(Detail!F98)&amp;Detail!DI98&amp;Detail!DF98&amp;"-"&amp;Detail!$DF$13))</f>
        <v/>
      </c>
      <c r="HC98" s="434" t="str">
        <f>IF(A98=FALSE,"",IF(LISTES!$A$17=1,HB98,INDEX(colMOD4,MATCH(Cotations!AH98,colchoice,0))))</f>
        <v/>
      </c>
      <c r="HD98" s="277" t="str">
        <f t="shared" si="485"/>
        <v/>
      </c>
      <c r="HE98" s="277" t="str">
        <f t="shared" si="486"/>
        <v/>
      </c>
      <c r="HF98" s="277"/>
      <c r="HG98" s="277"/>
      <c r="HH98" s="277" t="str">
        <f t="shared" si="487"/>
        <v/>
      </c>
      <c r="HI98" s="1104" t="str">
        <f t="shared" si="488"/>
        <v/>
      </c>
      <c r="HJ98" s="1104" t="str">
        <f t="shared" si="489"/>
        <v/>
      </c>
      <c r="HK98" s="443" t="str">
        <f>IF(A98=FALSE,"",IF(Cotations!AF98="monthly",HH98/12*L98,HH98/365*M98))</f>
        <v/>
      </c>
      <c r="HL98" s="1103" t="str">
        <f>IF(A98=FALSE,"",IF(Cotations!AF98="monthly",HJ98/12*L98,HJ98/365*M98))</f>
        <v/>
      </c>
      <c r="HM98" s="433" t="str">
        <f>IF(A98=FALSE,"",IF(Cotations!AL98="","",Cotations!AL98))</f>
        <v/>
      </c>
      <c r="HN98" s="277" t="str">
        <f t="shared" si="490"/>
        <v/>
      </c>
      <c r="HO98" s="277" t="str">
        <f t="shared" si="491"/>
        <v/>
      </c>
      <c r="HP98" s="1104" t="str">
        <f t="shared" si="492"/>
        <v/>
      </c>
      <c r="HQ98" s="277" t="str">
        <f t="shared" si="493"/>
        <v/>
      </c>
      <c r="HR98" s="759" t="str">
        <f>IF(A98=FALSE,"",((HH98*TAXE)-(HH98*TAXE*HM98)+HI98)+IF(CQ98="N/A",0,IF(INDEX(LISTES!$F$105:$F$109,MATCH(CQ98,LISTES!$C$105:$C$109,0))="FIX",CR98,CS98*HQ98)))</f>
        <v/>
      </c>
      <c r="HS98" s="412"/>
      <c r="HT98" s="412"/>
      <c r="HU98" s="412"/>
      <c r="HV98" s="412"/>
      <c r="HW98" s="412"/>
      <c r="HX98" s="412"/>
      <c r="HY98" s="412"/>
      <c r="HZ98" s="1262"/>
      <c r="IA98" s="432" t="str">
        <f>IF(A98=FALSE,"",Cotations!AT98)</f>
        <v/>
      </c>
      <c r="IB98" s="1253" t="str">
        <f>IF(A98=FALSE,"",IF(Detail!AT98="","N/A",YEAR(Detail!F98)&amp;Detail!AW98&amp;Detail!AT98&amp;"-"&amp;Detail!$AT$13&amp;Detail!AU98))</f>
        <v/>
      </c>
      <c r="IC98" s="431" t="str">
        <f>IF(A98=FALSE,"",IF(LISTES!$A$17=1,IB98,INDEX(colMOD1,MATCH(DA98,colchoice,0))))</f>
        <v/>
      </c>
      <c r="ID98" s="759" t="str">
        <f t="shared" si="358"/>
        <v/>
      </c>
      <c r="IE98" s="292" t="str">
        <f>IF(A98=FALSE,"",IF(LISTES!$A$17=1,Detail!AU98,INDEX(Rates!$M$1:$M$270,MATCH(IC98,colMOD1,0))))</f>
        <v/>
      </c>
      <c r="IF98" s="409" t="str">
        <f t="shared" si="359"/>
        <v/>
      </c>
      <c r="IG98" s="430" t="str">
        <f>IF(A98=FALSE,"",IF(IA98="POEA",Cotations!AY98,IF(IA98="FIXE",Cotations!AZ98,IF(Cotations!BA98*Y98&lt;50000,Z98,Cotations!BA98*Y98))))</f>
        <v/>
      </c>
      <c r="IH98" s="292" t="str">
        <f t="shared" si="360"/>
        <v/>
      </c>
      <c r="II98" s="446" t="str">
        <f>IF(A98=FALSE,"",IF(Cotations!AU98="monthly",IH98/12*L98,IH98/365*M98))</f>
        <v/>
      </c>
      <c r="IJ98" s="429" t="str">
        <f>IF(A98=FALSE,"",IF(Cotations!BB98="","",Cotations!BB98))</f>
        <v/>
      </c>
      <c r="IK98" s="292" t="str">
        <f t="shared" si="361"/>
        <v/>
      </c>
      <c r="IL98" s="292" t="str">
        <f t="shared" si="362"/>
        <v/>
      </c>
      <c r="IM98" s="759" t="str">
        <f t="shared" si="363"/>
        <v/>
      </c>
      <c r="IN98" s="759" t="str">
        <f>IF(A98=FALSE,"",((IH98*TAXE)-(IH98*TAXE*IJ98))+IF(DQ98="N/A",0,IF(INDEX(LISTES!$F$105:$F$109,MATCH(DQ98,LISTES!$C$105:$C$109,0))="FIX",DR98,DS98*IM98)))</f>
        <v/>
      </c>
      <c r="JA98" s="432" t="str">
        <f>IF(A98=FALSE,"",Cotations!AT98)</f>
        <v/>
      </c>
      <c r="JB98" s="1234" t="str">
        <f>IF(A98=FALSE,"",IF(Detail!BB98="","N/A",YEAR(Detail!F98)&amp;Detail!BE98&amp;Detail!BB98&amp;"-"&amp;Detail!$BB$13&amp;Detail!BC98))</f>
        <v/>
      </c>
      <c r="JC98" s="431" t="str">
        <f>IF(A98=FALSE,"",IF(LISTES!$A$17=1,JB98,INDEX(colMOD2,MATCH(DA98,colchoice,0))))</f>
        <v/>
      </c>
      <c r="JD98" s="759" t="str">
        <f t="shared" si="384"/>
        <v/>
      </c>
      <c r="JE98" s="292"/>
      <c r="JF98" s="409" t="str">
        <f t="shared" si="385"/>
        <v/>
      </c>
      <c r="JG98" s="430" t="str">
        <f>IF(A98=FALSE,"",IF(JA98="POEA",Cotations!BC98,IF(JA98="FIXE",Cotations!BD98,IF(Cotations!BE98*Y98&lt;50000,Z98,Cotations!BE98*Y98))))</f>
        <v/>
      </c>
      <c r="JH98" s="292" t="str">
        <f t="shared" si="386"/>
        <v/>
      </c>
      <c r="JI98" s="446" t="str">
        <f>IF(A98=FALSE,"",IF(Cotations!AU98="monthly",JH98/12*L98,JH98/365*M98))</f>
        <v/>
      </c>
      <c r="JJ98" s="429" t="str">
        <f>IF(A98=FALSE,"",IF(Cotations!BF98="","",Cotations!BF98))</f>
        <v/>
      </c>
      <c r="JK98" s="292" t="str">
        <f t="shared" si="387"/>
        <v/>
      </c>
      <c r="JL98" s="292" t="str">
        <f t="shared" si="388"/>
        <v/>
      </c>
      <c r="JM98" s="759" t="str">
        <f t="shared" si="389"/>
        <v/>
      </c>
      <c r="JN98" s="759" t="str">
        <f>IF(A98=FALSE,"",((JH98*TAXE)-(JH98*TAXE*JJ98))+IF(#REF!="N/A",0,IF(INDEX(LISTES!$F$105:$F$109,MATCH(#REF!,LISTES!$C$105:$C$109,0))="FIX",#REF!,#REF!*JM98)))</f>
        <v/>
      </c>
      <c r="KA98" s="432" t="str">
        <f>IF(A98=FALSE,"",Cotations!AT98)</f>
        <v/>
      </c>
      <c r="KB98" s="1234" t="str">
        <f>IF(A98=FALSE,"",IF(Detail!BJ98="","N/A",YEAR(Detail!F98)&amp;Detail!BM98&amp;Detail!BJ98&amp;"-"&amp;Detail!$BJ$13&amp;Detail!BK98))</f>
        <v/>
      </c>
      <c r="KC98" s="431" t="str">
        <f>IF(A98=FALSE,"",IF(LISTES!$A$17=1,KB98,INDEX(colMOD3,MATCH(DA98,colchoice,0))))</f>
        <v/>
      </c>
      <c r="KD98" s="759" t="str">
        <f t="shared" si="390"/>
        <v/>
      </c>
      <c r="KE98" s="292"/>
      <c r="KF98" s="409" t="str">
        <f t="shared" si="391"/>
        <v/>
      </c>
      <c r="KG98" s="430" t="str">
        <f>IF(A98=FALSE,"",IF(KA98="POEA",Cotations!BG98,IF(KA98="FIXE",Cotations!BH98,IF(Cotations!BI98*Y98&lt;50000,Z98,Cotations!BI98*Y98))))</f>
        <v/>
      </c>
      <c r="KH98" s="292" t="str">
        <f t="shared" si="392"/>
        <v/>
      </c>
      <c r="KI98" s="446" t="str">
        <f>IF(A98=FALSE,"",IF(Cotations!AU98="monthly",KH98/12*L98,KH98/365*M98))</f>
        <v/>
      </c>
      <c r="KJ98" s="429" t="str">
        <f>IF(A98=FALSE,"",IF(Cotations!BJ98="","",Cotations!BJ98))</f>
        <v/>
      </c>
      <c r="KK98" s="292" t="str">
        <f t="shared" si="393"/>
        <v/>
      </c>
      <c r="KL98" s="292" t="str">
        <f t="shared" si="394"/>
        <v/>
      </c>
      <c r="KM98" s="759" t="str">
        <f t="shared" si="395"/>
        <v/>
      </c>
      <c r="KN98" s="759" t="str">
        <f>IF(A98=FALSE,"",((KH98*TAXE)-(KH98*TAXE*KJ98))+IF(#REF!="N/A",0,IF(INDEX(LISTES!$F$105:$F$109,MATCH(#REF!,LISTES!$C$105:$C$109,0))="FIX",#REF!,#REF!*KM98)))</f>
        <v/>
      </c>
      <c r="LA98" s="432" t="str">
        <f>IF(A98=FALSE,"",Cotations!AT98)</f>
        <v/>
      </c>
      <c r="LB98" s="1234" t="str">
        <f>IF(A98=FALSE,"",IF(Detail!BR98="","N/A",YEAR(Detail!F98)&amp;Detail!BU98&amp;Detail!BR98&amp;"-"&amp;Detail!$BR$13&amp;Detail!BS98))</f>
        <v/>
      </c>
      <c r="LC98" s="431" t="str">
        <f>IF(A98=FALSE,"",IF(LISTES!$A$17=1,LB98,INDEX(colMOD4,MATCH(DA98,colchoice,0))))</f>
        <v/>
      </c>
      <c r="LD98" s="759" t="str">
        <f t="shared" si="396"/>
        <v/>
      </c>
      <c r="LE98" s="292"/>
      <c r="LF98" s="409" t="str">
        <f t="shared" si="397"/>
        <v/>
      </c>
      <c r="LG98" s="430" t="str">
        <f>IF(A98=FALSE,"",IF(LA98="POEA",Cotations!BK98,IF(LA98="FIXE",Cotations!BL98,IF(Cotations!BM98*Y98&lt;50000,Z98,Cotations!BM98*Y98))))</f>
        <v/>
      </c>
      <c r="LH98" s="292" t="str">
        <f t="shared" si="398"/>
        <v/>
      </c>
      <c r="LI98" s="446" t="str">
        <f>IF(A98=FALSE,"",IF(Cotations!AU98="monthly",LH98/12*L98,LH98/365*M98))</f>
        <v/>
      </c>
      <c r="LJ98" s="429" t="str">
        <f>IF(A98=FALSE,"",IF(Cotations!BN98="","",Cotations!BN98))</f>
        <v/>
      </c>
      <c r="LK98" s="292" t="str">
        <f t="shared" si="399"/>
        <v/>
      </c>
      <c r="LL98" s="292" t="str">
        <f t="shared" si="400"/>
        <v/>
      </c>
      <c r="LM98" s="759" t="str">
        <f t="shared" si="401"/>
        <v/>
      </c>
      <c r="LN98" s="759" t="str">
        <f>IF(A98=FALSE,"",((LH98*TAXE)-(LH98*TAXE*LJ98))+IF(#REF!="N/A",0,IF(INDEX(LISTES!$F$105:$F$109,MATCH(#REF!,LISTES!$C$105:$C$109,0))="FIX",#REF!,#REF!*LM98)))</f>
        <v/>
      </c>
      <c r="MA98" s="432" t="str">
        <f t="shared" si="402"/>
        <v/>
      </c>
      <c r="MB98" s="1234" t="str">
        <f>IF(A98=FALSE,"",IF(Detail!BZ98="","N/A",YEAR(Detail!F98)&amp;Detail!CC98&amp;Detail!BZ98&amp;"-"&amp;Detail!$BZ$13&amp;" (100%/"&amp;Detail!CD98&amp;"/"&amp;Detail!CE98&amp;")"))</f>
        <v/>
      </c>
      <c r="MC98" s="431" t="str">
        <f>IF(A98=FALSE,"",IF(LISTES!$A$17=1,MB98,INDEX(colMOD5,MATCH(DA98,colchoice,0))))</f>
        <v/>
      </c>
      <c r="MD98" s="759" t="str">
        <f t="shared" si="403"/>
        <v/>
      </c>
      <c r="ME98" s="292"/>
      <c r="MF98" s="409" t="str">
        <f t="shared" si="404"/>
        <v/>
      </c>
      <c r="MG98" s="430" t="str">
        <f>IF(A98=FALSE,"",Cotations!BQ98*AA98)</f>
        <v/>
      </c>
      <c r="MH98" s="292" t="str">
        <f t="shared" si="405"/>
        <v/>
      </c>
      <c r="MI98" s="446" t="str">
        <f>IF(A98=FALSE,"",IF(Cotations!AU98="monthly",MH98/12*L98,MH98/365*M98))</f>
        <v/>
      </c>
      <c r="MJ98" s="429" t="str">
        <f>IF(A98=FALSE,"",IF(Cotations!BR98="","",Cotations!BR98))</f>
        <v/>
      </c>
      <c r="MK98" s="292" t="str">
        <f t="shared" si="406"/>
        <v/>
      </c>
      <c r="ML98" s="292" t="str">
        <f t="shared" si="407"/>
        <v/>
      </c>
      <c r="MM98" s="759" t="str">
        <f t="shared" si="408"/>
        <v/>
      </c>
      <c r="MN98" s="759" t="str">
        <f>IF(A98=FALSE,"",((MH98*TAXE)-(MH98*TAXE*MJ98))+IF(#REF!="N/A",0,IF(INDEX(LISTES!$F$105:$F$109,MATCH(#REF!,LISTES!$C$105:$C$109,0))="FIX",#REF!,#REF!*MM98)))</f>
        <v/>
      </c>
      <c r="NA98" s="432" t="str">
        <f t="shared" si="409"/>
        <v/>
      </c>
      <c r="NB98" s="1234" t="str">
        <f>IF(A98=FALSE,"",IF(Detail!CH98="","N/A",YEAR(Detail!F98)&amp;Detail!CK98&amp;Detail!CH98&amp;"-"&amp;Detail!$CH$13&amp;" (100%/"&amp;Detail!CL98&amp;"/"&amp;Detail!CM98&amp;")"))</f>
        <v/>
      </c>
      <c r="NC98" s="431" t="str">
        <f>IF(A98=FALSE,"",IF(LISTES!$A$17=1,NB98,INDEX(colMOD6,MATCH(DA98,colchoice,0))))</f>
        <v/>
      </c>
      <c r="ND98" s="759" t="str">
        <f t="shared" si="410"/>
        <v/>
      </c>
      <c r="NE98" s="292"/>
      <c r="NF98" s="409" t="str">
        <f t="shared" si="411"/>
        <v/>
      </c>
      <c r="NG98" s="430" t="str">
        <f>IF(A98=FALSE,"",Cotations!BU98*AA98)</f>
        <v/>
      </c>
      <c r="NH98" s="292" t="str">
        <f t="shared" si="412"/>
        <v/>
      </c>
      <c r="NI98" s="446" t="str">
        <f>IF(A98=FALSE,"",IF(Cotations!AU98="monthly",NH98/12*L98,NH98/365*M98))</f>
        <v/>
      </c>
      <c r="NJ98" s="429" t="str">
        <f>IF(A98=FALSE,"",IF(Cotations!BV98="","",Cotations!BV98))</f>
        <v/>
      </c>
      <c r="NK98" s="292" t="str">
        <f t="shared" si="413"/>
        <v/>
      </c>
      <c r="NL98" s="292" t="str">
        <f t="shared" si="414"/>
        <v/>
      </c>
      <c r="NM98" s="759" t="str">
        <f t="shared" si="415"/>
        <v/>
      </c>
      <c r="NN98" s="759" t="str">
        <f>IF(A98=FALSE,"",((NH98*TAXE)-(NH98*TAXE*NJ98))+IF(#REF!="N/A",0,IF(INDEX(LISTES!$F$105:$F$109,MATCH(#REF!,LISTES!$C$105:$C$109,0))="FIX",#REF!,#REF!*NM98)))</f>
        <v/>
      </c>
      <c r="NZ98" s="1281" t="str">
        <f>IF(A98=FALSE,"",IF(Detail!CP98="","N/A",YEAR(Detail!F98)&amp;Detail!CS98&amp;Detail!CP98&amp;"-"&amp;Detail!CQ98))</f>
        <v/>
      </c>
      <c r="OA98" s="432" t="str">
        <f>IF(A98=FALSE,"",Cotations!CF98)</f>
        <v/>
      </c>
      <c r="OB98" s="1282" t="str">
        <f>IF(A98=FALSE,"",IF(Detail!CP98="","N/A",YEAR(Detail!F98)&amp;Detail!CS98&amp;Detail!CP98&amp;"-"&amp;Detail!$CP$13&amp;Detail!CQ98))</f>
        <v/>
      </c>
      <c r="OC98" s="1283" t="str">
        <f>IF(A98=FALSE,"",IF(LISTES!$A$17=1,OB98,INDEX(colMOD1,MATCH(Cotations!CE98,colchoice,0))))</f>
        <v/>
      </c>
      <c r="OD98" s="759" t="str">
        <f t="shared" si="416"/>
        <v/>
      </c>
      <c r="OE98" s="292" t="str">
        <f>IF(A98=FALSE,"",Detail!CQ98)</f>
        <v/>
      </c>
      <c r="OF98" s="409" t="str">
        <f t="shared" si="417"/>
        <v/>
      </c>
      <c r="OG98" s="430" t="str">
        <f>IF(A98=FALSE,"",IF(OA98="FIXE",Cotations!CM98,Cotations!CN98*AA98))</f>
        <v/>
      </c>
      <c r="OH98" s="292" t="str">
        <f t="shared" si="494"/>
        <v/>
      </c>
      <c r="OI98" s="446" t="str">
        <f>IF(A98=FALSE,"",IF(Cotations!CF98="monthly",OH98/12*L98,OH98/365*M98))</f>
        <v/>
      </c>
      <c r="OJ98" s="429" t="str">
        <f>IF(A98=FALSE,"",IF(Cotations!CO98="","",Cotations!CO98))</f>
        <v/>
      </c>
      <c r="OK98" s="292" t="str">
        <f t="shared" si="495"/>
        <v/>
      </c>
      <c r="OL98" s="292" t="str">
        <f t="shared" si="496"/>
        <v/>
      </c>
      <c r="OM98" s="759" t="str">
        <f t="shared" si="418"/>
        <v/>
      </c>
      <c r="ON98" s="759" t="str">
        <f>IF(A98=FALSE,"",((OH98*(1+TAXE)-(OH98*(1+TAXE)*OJ98))+IF(#REF!="N/A",0,IF(INDEX(LISTES!$F$105:$F$109,MATCH(#REF!,LISTES!$C$105:$C$109,0))="FIX",#REF!,#REF!*OM98))))</f>
        <v/>
      </c>
      <c r="PA98" s="432" t="str">
        <f>IF(A98=FALSE,"",Cotations!CF98)</f>
        <v/>
      </c>
      <c r="PB98" s="1282" t="str">
        <f>IF(A98=FALSE,"",IF(Detail!CX98="","N/A",YEAR(Detail!F98)&amp;Detail!DA98&amp;Detail!CX98&amp;"-"&amp;Detail!$CX$13&amp;Detail!CY98))</f>
        <v/>
      </c>
      <c r="PC98" s="1283" t="str">
        <f>IF(A98=FALSE,"",IF(LISTES!$A$17=1,PB98,INDEX(colMOD3,MATCH(Cotations!CE98,colchoice,0))))</f>
        <v/>
      </c>
      <c r="PD98" s="759" t="str">
        <f t="shared" si="419"/>
        <v/>
      </c>
      <c r="PE98" s="292" t="str">
        <f>IF(A98=FALSE,"",IF(Detail!CY98="","",Detail!CY98))</f>
        <v/>
      </c>
      <c r="PF98" s="409" t="str">
        <f t="shared" si="497"/>
        <v/>
      </c>
      <c r="PG98" s="430" t="str">
        <f>IF(A98=FALSE,"",IF(PA98="FIXE",Cotations!CP98,Cotations!CQ98*AA98))</f>
        <v/>
      </c>
      <c r="PH98" s="292" t="str">
        <f t="shared" si="498"/>
        <v/>
      </c>
      <c r="PI98" s="446" t="str">
        <f>IF(A98=FALSE,"",IF(Cotations!CG98="monthly",PH98/12*L98,PH98/365*M98))</f>
        <v/>
      </c>
      <c r="PJ98" s="429" t="str">
        <f>IF(A98=FALSE,"",IF(Cotations!DA98="",0,Cotations!DA98))</f>
        <v/>
      </c>
      <c r="PK98" s="292" t="str">
        <f t="shared" si="499"/>
        <v/>
      </c>
      <c r="PL98" s="292" t="str">
        <f t="shared" si="500"/>
        <v/>
      </c>
      <c r="PM98" s="759" t="str">
        <f t="shared" si="420"/>
        <v/>
      </c>
      <c r="PN98" s="759" t="str">
        <f>IF(A98=FALSE,"",((PH98*(1+TAXE)-(PH98*(1+TAXE)*PJ98))+IF(#REF!="N/A",0,IF(INDEX(LISTES!$F$105:$F$109,MATCH(#REF!,LISTES!$C$105:$C$109,0))="FIX",#REF!,#REF!*PM98))))</f>
        <v/>
      </c>
    </row>
    <row r="99" spans="1:430">
      <c r="A99" s="779" t="b">
        <f t="shared" si="364"/>
        <v>0</v>
      </c>
      <c r="B99" s="779" t="b">
        <f>IF(NAMES!$B$9=TRUE,TRUE,FALSE)</f>
        <v>1</v>
      </c>
      <c r="C99" s="779" t="b">
        <f t="shared" si="421"/>
        <v>0</v>
      </c>
      <c r="D99" s="779" t="b">
        <f t="shared" si="422"/>
        <v>0</v>
      </c>
      <c r="E99" s="267" t="b">
        <f>IF(Cotations!C99="","",Cotations!C99)</f>
        <v>0</v>
      </c>
      <c r="F99" s="267" t="str">
        <f>IF(Cotations!AT99="","",Cotations!AT99)</f>
        <v>PROP</v>
      </c>
      <c r="G99" s="267" t="str">
        <f>IF(Cotations!D99="","",Cotations!D99)</f>
        <v>2016-2017!</v>
      </c>
      <c r="H99" s="267" t="str">
        <f>IF(Cotations!E99="","",Cotations!E99)</f>
        <v>SINGLE</v>
      </c>
      <c r="I99" s="267" t="str">
        <f>IF(Cotations!F99="","",Cotations!F99)</f>
        <v/>
      </c>
      <c r="J99" s="267" t="str">
        <f>IF(Cotations!G99="","",Cotations!G99)</f>
        <v/>
      </c>
      <c r="K99" s="267" t="str">
        <f>IF(Cotations!H99="","",Cotations!H99)</f>
        <v/>
      </c>
      <c r="L99" s="267" t="str">
        <f>IF(A99=FALSE,"",IF(Cotations!M99="","",Cotations!M99))</f>
        <v/>
      </c>
      <c r="M99" s="267" t="str">
        <f>IF(Cotations!O99="","",Cotations!O99)</f>
        <v/>
      </c>
      <c r="N99" s="588" t="str">
        <f>IF(NAMES!$B$10=TRUE,Cotations!I99,Cotations!K99)</f>
        <v/>
      </c>
      <c r="O99" s="588" t="str">
        <f>IF(NAMES!$B$10=TRUE,Cotations!J99,Cotations!L99)</f>
        <v/>
      </c>
      <c r="P99" s="780" t="str">
        <f t="shared" si="423"/>
        <v/>
      </c>
      <c r="Q99" s="588" t="str">
        <f>IF(A99=FALSE,"",IF(Crewlist!Y99="","",Crewlist!Y99))</f>
        <v/>
      </c>
      <c r="R99" s="78" t="str">
        <f>IF(Cotations!T99="","",Cotations!T99)</f>
        <v/>
      </c>
      <c r="S99" s="780" t="str">
        <f t="shared" si="424"/>
        <v/>
      </c>
      <c r="T99" s="759" t="str">
        <f>IF(A99=FALSE,"",VLOOKUP($U$15:$U$120,Currency!$A$2:$D$10,4,0)*Crewlist!N99)</f>
        <v/>
      </c>
      <c r="U99" s="1097" t="str">
        <f>IF(A99=FALSE,"",IF(DP99=0,Crewlist!M99&amp;"/"&amp;CP99,Crewlist!M99&amp;"/"&amp;DP99))</f>
        <v/>
      </c>
      <c r="V99" s="759" t="str">
        <f>IF(A99=FALSE,"",VLOOKUP($U$15:$U$120,Currency!$A$2:$D$10,4,0)*Detail!Q99)</f>
        <v/>
      </c>
      <c r="W99" s="1097" t="str">
        <f>IF(A99=FALSE,"",IF(DP99=0,Detail!R99&amp;"/"&amp;CP99,Detail!R99&amp;"/"&amp;DP99))</f>
        <v/>
      </c>
      <c r="X99" s="759" t="str">
        <f>IF(A99=FALSE,"",IF(LISTES!$C$17="Crewlist",Calcul!T99,Calcul!V99))</f>
        <v/>
      </c>
      <c r="Y99" s="618" t="str">
        <f t="shared" si="425"/>
        <v/>
      </c>
      <c r="Z99" s="618" t="str">
        <f>IF(A99=FALSE,"",IF(X99=0,0,IF((Cotations!BA99*12*X99)&lt;50000,50000,(12*X99))))</f>
        <v/>
      </c>
      <c r="AA99" s="618" t="str">
        <f t="shared" si="426"/>
        <v/>
      </c>
      <c r="AB99" s="618" t="str">
        <f>IF(A99=FALSE,"",IF(Crewlist!O99=0,"",Crewlist!O99))</f>
        <v/>
      </c>
      <c r="AC99" s="618" t="str">
        <f>IF(I99="","",VLOOKUP($AB$15:$AB$120,Currency!$A$15:$B$34,2,0))</f>
        <v/>
      </c>
      <c r="AD99" s="618" t="str">
        <f t="shared" si="427"/>
        <v/>
      </c>
      <c r="AE99" s="618" t="str">
        <f t="shared" si="428"/>
        <v/>
      </c>
      <c r="AF99" s="618" t="str">
        <f t="shared" si="429"/>
        <v/>
      </c>
      <c r="AG99" s="618" t="str">
        <f t="shared" si="430"/>
        <v/>
      </c>
      <c r="AH99" s="1097" t="str">
        <f t="shared" si="365"/>
        <v/>
      </c>
      <c r="AI99" s="759" t="str">
        <f t="shared" si="431"/>
        <v/>
      </c>
      <c r="AJ99" s="1120" t="str">
        <f t="shared" si="432"/>
        <v/>
      </c>
      <c r="AK99" s="1120" t="str">
        <f t="shared" si="433"/>
        <v/>
      </c>
      <c r="AL99" s="236" t="str">
        <f t="shared" si="434"/>
        <v/>
      </c>
      <c r="AM99" s="236" t="str">
        <f t="shared" si="435"/>
        <v/>
      </c>
      <c r="AN99" s="1112" t="str">
        <f t="shared" si="436"/>
        <v/>
      </c>
      <c r="AO99" s="236" t="str">
        <f t="shared" si="437"/>
        <v/>
      </c>
      <c r="AP99" s="327" t="str">
        <f>IF(A99=FALSE,"",INDEX(Rates!$Q$1:$Q$278,MATCH(CA99,colchoice,0)))</f>
        <v/>
      </c>
      <c r="AQ99" s="236" t="str">
        <f t="shared" si="438"/>
        <v/>
      </c>
      <c r="AR99" s="236" t="str">
        <f t="shared" si="439"/>
        <v/>
      </c>
      <c r="AS99" s="236" t="str">
        <f t="shared" si="366"/>
        <v/>
      </c>
      <c r="AT99" s="236" t="str">
        <f t="shared" si="367"/>
        <v/>
      </c>
      <c r="AU99" s="236" t="str">
        <f t="shared" si="440"/>
        <v/>
      </c>
      <c r="AV99" s="236" t="str">
        <f t="shared" si="441"/>
        <v/>
      </c>
      <c r="AW99" s="236" t="str">
        <f t="shared" si="442"/>
        <v/>
      </c>
      <c r="AX99" s="236" t="str">
        <f t="shared" si="443"/>
        <v/>
      </c>
      <c r="AY99" s="236" t="str">
        <f t="shared" si="444"/>
        <v/>
      </c>
      <c r="AZ99" s="236" t="str">
        <f t="shared" si="445"/>
        <v/>
      </c>
      <c r="BA99" s="236" t="str">
        <f t="shared" si="446"/>
        <v/>
      </c>
      <c r="BB99" s="467" t="str">
        <f t="shared" si="447"/>
        <v/>
      </c>
      <c r="BC99" s="329" t="str">
        <f t="shared" si="448"/>
        <v/>
      </c>
      <c r="BD99" s="237" t="str">
        <f t="shared" si="449"/>
        <v/>
      </c>
      <c r="BE99" s="237" t="str">
        <f>IF(A99=FALSE,"",IF(ED99&lt;&gt;$BC$7,0,INDEX(EA99:EZ99,1,MATCH(Structure!$J$16,$EA$14:$EZ$14,0))))</f>
        <v/>
      </c>
      <c r="BF99" s="237" t="str">
        <f>IF(A99=FALSE,"",IF(FD99&lt;&gt;$BC$7,0,INDEX(FA99:FZ99,1,MATCH(Structure!$J$16,$FA$14:$FZ$14,0))))</f>
        <v/>
      </c>
      <c r="BG99" s="237" t="str">
        <f>IF(A99=FALSE,"",IF(GD99&lt;&gt;$BC$7,0,INDEX(GA99:GZ99,1,MATCH(Structure!$J$16,$GA$14:$GZ$14,0))))</f>
        <v/>
      </c>
      <c r="BH99" s="237" t="str">
        <f>IF(A99=FALSE,"",IF(HD99&lt;&gt;$BC$7,0,INDEX(HA99:HZ99,1,MATCH(Structure!$J$16,$HA$14:$HZ$14,0))))</f>
        <v/>
      </c>
      <c r="BI99" s="621" t="str">
        <f>IF(A99=FALSE,"",IF(ID99&lt;&gt;$BC$7,0,INDEX(IA99:IZ99,1,MATCH(Structure!$C$12,$IA$14:$IZ$14,0)))+OL99)</f>
        <v/>
      </c>
      <c r="BJ99" s="237" t="str">
        <f>IF(A99=FALSE,"",IF(JD99&lt;&gt;$BC$7,0,INDEX(JA99:JZ99,1,MATCH(Structure!$C$12,$JA$14:$JZ$14,0))))</f>
        <v/>
      </c>
      <c r="BK99" s="621" t="str">
        <f>IF(A99=FALSE,"",IF(KD99&lt;&gt;$BC$7,0,INDEX(KA99:KZ99,1,MATCH(Structure!$C$12,$KA$14:$KZ$14,0)))+PL99)</f>
        <v/>
      </c>
      <c r="BL99" s="237" t="str">
        <f>IF(A99=FALSE,"",IF(LD99&lt;&gt;$BC$7,0,INDEX(LA99:LZ99,1,MATCH(Structure!$C$12,$LA$14:$LZ$14,0))))</f>
        <v/>
      </c>
      <c r="BM99" s="237" t="str">
        <f>IF(A99=FALSE,"",IF(MD99&lt;&gt;$BC$7,0,INDEX(MA99:MZ99,1,MATCH(Structure!$C$12,$MA$14:$MZ$14,0))))</f>
        <v/>
      </c>
      <c r="BN99" s="326" t="str">
        <f>IF(A99=FALSE,"",IF(ND99&lt;&gt;$BC$7,0,INDEX(NA99:OC99,1,MATCH(Structure!$C$12,$NA$14:$OC$14,0))))</f>
        <v/>
      </c>
      <c r="BO99" s="435" t="str">
        <f t="shared" si="450"/>
        <v/>
      </c>
      <c r="BP99" s="237" t="str">
        <f t="shared" si="451"/>
        <v/>
      </c>
      <c r="BQ99" s="237" t="str">
        <f>IF(A99=FALSE,"",IF(ED99&lt;&gt;$BO$7,0,INDEX(EA99:EZ99,1,MATCH(Structure!$C$12,$EA$14:$EZ$14,0))))</f>
        <v/>
      </c>
      <c r="BR99" s="237" t="str">
        <f>IF(A99=FALSE,"",IF(FD99&lt;&gt;$BO$7,0,INDEX(FA99:FZ99,1,MATCH(Structure!$C$12,$FA$14:$FZ$14,0))))</f>
        <v/>
      </c>
      <c r="BS99" s="237" t="str">
        <f>IF(A99=FALSE,"",IF(ID99&lt;&gt;$BO$7,0,INDEX(IA99:IZ99,1,MATCH(Structure!$C$13,$IA$14:$IZ$14,0))))</f>
        <v/>
      </c>
      <c r="BT99" s="237" t="str">
        <f>IF(A99=FALSE,"",IF(JD99&lt;&gt;$BO$7,0,INDEX(JA99:JZ99,1,MATCH(Structure!$C$13,$JA$14:$JZ$14,0))))</f>
        <v/>
      </c>
      <c r="BU99" s="237" t="str">
        <f>IF(A99=FALSE,"",IF(KD99&lt;&gt;$BO$7,0,INDEX(KA99:KZ99,1,MATCH(Structure!$C$13,$KA$14:$KZ$14,0))))</f>
        <v/>
      </c>
      <c r="BV99" s="237" t="str">
        <f>IF(A99=FALSE,"",IF(LD99&lt;&gt;$BO$7,0,INDEX(LA99:LZ99,1,MATCH(Structure!$C$13,$LA$14:$LZ$14,0))))</f>
        <v/>
      </c>
      <c r="BW99" s="237" t="str">
        <f>IF(A99=FALSE,"",IF(MD99&lt;&gt;$BO$7,0,INDEX(MA99:MZ99,1,MATCH(Structure!$C$13,$MA$14:$MZ$14,0))))</f>
        <v/>
      </c>
      <c r="BX99" s="326" t="str">
        <f>IF(A99=FALSE,"",IF(ND99&lt;&gt;$BO$7,0,INDEX(NA99:OC99,1,MATCH(Structure!$C$13,$NA$14:$OC$14,0))))</f>
        <v/>
      </c>
      <c r="BY99" s="412"/>
      <c r="BZ99" s="412"/>
      <c r="CA99" s="1255" t="str">
        <f>IF(A99=FALSE,"",IF(LISTES!$A$17=1,Cotations!AG99,Cotations!AH99))</f>
        <v/>
      </c>
      <c r="CB99" s="1266" t="str">
        <f t="shared" si="452"/>
        <v/>
      </c>
      <c r="CC99" s="1120" t="str">
        <f t="shared" si="453"/>
        <v/>
      </c>
      <c r="CD99" s="1120" t="str">
        <f t="shared" si="454"/>
        <v/>
      </c>
      <c r="CE99" s="1120" t="str">
        <f t="shared" si="455"/>
        <v/>
      </c>
      <c r="CF99" s="1120" t="str">
        <f t="shared" si="456"/>
        <v/>
      </c>
      <c r="CG99" s="1267"/>
      <c r="CH99" s="1267"/>
      <c r="CI99" s="1268" t="str">
        <f t="shared" si="457"/>
        <v/>
      </c>
      <c r="CJ99" s="286" t="str">
        <f t="shared" si="458"/>
        <v/>
      </c>
      <c r="CK99" s="286" t="str">
        <f t="shared" si="459"/>
        <v/>
      </c>
      <c r="CL99" s="1263"/>
      <c r="CM99" s="1263"/>
      <c r="CN99" s="1263"/>
      <c r="CO99" s="1263"/>
      <c r="CP99" s="319" t="str">
        <f t="shared" si="460"/>
        <v/>
      </c>
      <c r="CQ99" s="443" t="str">
        <f>IF(A99=FALSE,"",Cotations!AM99)</f>
        <v/>
      </c>
      <c r="CR99" s="443" t="str">
        <f>IF(A99=FALSE,"",IF(Cotations!AN99="","",Cotations!AN99))</f>
        <v/>
      </c>
      <c r="CS99" s="433" t="str">
        <f>IF(A99=FALSE,"",Cotations!AO99)</f>
        <v/>
      </c>
      <c r="CT99" s="443" t="str">
        <f>IF(A99=FALSE,"",IF(CQ99="N/A",0,IF(INDEX(LISTES!$F$105:$F$109,MATCH(CQ99,LISTES!$C$105:$C$109,0))="FIX",IF(INDEX(LISTES!$E$105:$E$109,MATCH(CQ99,LISTES!$C$105:$C$109,0))=12,CR99/12*L99,CR99/365*M99),CS99*EQ99)))</f>
        <v/>
      </c>
      <c r="CU99" s="434" t="str">
        <f>IF(A99=FALSE,"",(CJ99+CK99)*Cotations!AP99)</f>
        <v/>
      </c>
      <c r="CV99" s="434" t="str">
        <f>IF(A99=FALSE,"",(CJ99+CK99)*Cotations!AQ99)</f>
        <v/>
      </c>
      <c r="DA99" s="1253" t="str">
        <f>IF(A99=FALSE,"",IF(LISTES!$A$17=1,Cotations!AV99,Cotations!AW99))</f>
        <v/>
      </c>
      <c r="DB99" s="1271" t="str">
        <f t="shared" si="461"/>
        <v/>
      </c>
      <c r="DC99" s="1270" t="str">
        <f t="shared" si="462"/>
        <v/>
      </c>
      <c r="DD99" s="1270" t="str">
        <f t="shared" si="463"/>
        <v/>
      </c>
      <c r="DE99" s="1270" t="str">
        <f t="shared" si="464"/>
        <v/>
      </c>
      <c r="DF99" s="1270" t="str">
        <f t="shared" si="465"/>
        <v/>
      </c>
      <c r="DG99" s="1270" t="str">
        <f t="shared" si="466"/>
        <v/>
      </c>
      <c r="DH99" s="1270" t="str">
        <f t="shared" si="467"/>
        <v/>
      </c>
      <c r="DI99" s="1271" t="str">
        <f t="shared" si="468"/>
        <v/>
      </c>
      <c r="DJ99" s="286" t="str">
        <f t="shared" si="469"/>
        <v/>
      </c>
      <c r="DK99" s="286" t="str">
        <f t="shared" si="470"/>
        <v/>
      </c>
      <c r="DL99" s="1264" t="str">
        <f t="shared" si="471"/>
        <v/>
      </c>
      <c r="DM99" s="1264" t="str">
        <f t="shared" si="472"/>
        <v/>
      </c>
      <c r="DN99" s="1264" t="str">
        <f t="shared" si="473"/>
        <v/>
      </c>
      <c r="DO99" s="1264" t="str">
        <f t="shared" si="474"/>
        <v/>
      </c>
      <c r="DP99" s="323" t="str">
        <f t="shared" si="368"/>
        <v/>
      </c>
      <c r="DQ99" s="444" t="str">
        <f>IF(A99=FALSE,"",Cotations!BW99)</f>
        <v/>
      </c>
      <c r="DR99" s="444" t="str">
        <f>IF(A99=FALSE,"",Cotations!BX99)</f>
        <v/>
      </c>
      <c r="DS99" s="433" t="str">
        <f>IF(A99=FALSE,"",Cotations!BY99)</f>
        <v/>
      </c>
      <c r="DT99" s="830" t="str">
        <f>IF(A99=FALSE,"",IF(DQ99="N/A",0,IF(INDEX(LISTES!$F$105:$F$109,MATCH(DQ99,LISTES!$C$105:$C$109,0))="FIX",IF(INDEX(LISTES!$E$105:$E$109,MATCH(DQ99,LISTES!$C$105:$C$109,0))=12,DR99/12*L99,DR99/365*M99),DS99*(DN99+DO99))))</f>
        <v/>
      </c>
      <c r="DU99" s="434" t="str">
        <f>IF(A99=FALSE,"",DJ99*Cotations!BZ99)</f>
        <v/>
      </c>
      <c r="DV99" s="434" t="str">
        <f>IF(A99=FALSE,"",DJ99*Cotations!CA99)</f>
        <v/>
      </c>
      <c r="EA99" s="432" t="str">
        <f>IF(A99=FALSE,"",Cotations!AT99)</f>
        <v/>
      </c>
      <c r="EB99" s="1234" t="str">
        <f>IF(A99=FALSE,"",YEAR(Detail!F99)&amp;Detail!AG99&amp;Detail!AD99&amp;"-"&amp;Detail!$AD$13&amp;Detail!AE99)</f>
        <v/>
      </c>
      <c r="EC99" s="434" t="str">
        <f>IF(A99=FALSE,"",IF(LISTES!$A$17=1,EB99,INDEX(colMOD1,MATCH(Cotations!AH99,colchoice,0))))</f>
        <v/>
      </c>
      <c r="ED99" s="277" t="str">
        <f t="shared" si="369"/>
        <v/>
      </c>
      <c r="EE99" s="277" t="str">
        <f t="shared" si="370"/>
        <v/>
      </c>
      <c r="EF99" s="277"/>
      <c r="EG99" s="277"/>
      <c r="EH99" s="277" t="str">
        <f t="shared" si="371"/>
        <v/>
      </c>
      <c r="EI99" s="1104" t="str">
        <f t="shared" si="372"/>
        <v/>
      </c>
      <c r="EJ99" s="1104" t="str">
        <f t="shared" si="373"/>
        <v/>
      </c>
      <c r="EK99" s="443" t="str">
        <f>IF(A99=FALSE,"",IF(Cotations!AF99="monthly",EH99/12*L99,EH99/365*M99))</f>
        <v/>
      </c>
      <c r="EL99" s="1103" t="str">
        <f>IF(A99=FALSE,"",IF(Cotations!AF99="monthly",EJ99/12*L99,EJ99/365*M99))</f>
        <v/>
      </c>
      <c r="EM99" s="433" t="str">
        <f>IF(A99=FALSE,"",IF(Cotations!AI99="","",Cotations!AI99))</f>
        <v/>
      </c>
      <c r="EN99" s="277" t="str">
        <f t="shared" si="374"/>
        <v/>
      </c>
      <c r="EO99" s="277" t="str">
        <f t="shared" si="375"/>
        <v/>
      </c>
      <c r="EP99" s="1104" t="str">
        <f t="shared" si="376"/>
        <v/>
      </c>
      <c r="EQ99" s="277" t="str">
        <f t="shared" si="377"/>
        <v/>
      </c>
      <c r="ER99" s="759" t="str">
        <f>IF(A99=FALSE,"",((EH99*TAXE)-(EH99*TAXE*EM99)+EI99)+IF(CQ99="N/A",0,IF(INDEX(LISTES!$F$105:$F$109,MATCH(CQ99,LISTES!$C$105:$C$109,0))="FIX",CR99,CS99*EQ99)))</f>
        <v/>
      </c>
      <c r="ET99" s="422"/>
      <c r="EU99" s="422"/>
      <c r="EV99" s="422"/>
      <c r="EW99" s="422"/>
      <c r="EX99" s="422"/>
      <c r="EY99" s="422"/>
      <c r="EZ99" s="422"/>
      <c r="FA99" s="432" t="str">
        <f>IF(A99=FALSE,"",Cotations!AT99)</f>
        <v/>
      </c>
      <c r="FB99" s="1235" t="str">
        <f>IF(A99=FALSE,"",IF(Detail!AL99="","N/A",YEAR(Detail!F99)&amp;Detail!AO99&amp;Detail!AL99&amp;"-"&amp;Detail!$AL$13&amp;Detail!AM99))</f>
        <v/>
      </c>
      <c r="FC99" s="434" t="str">
        <f>IF(A99=FALSE,"",IF(LISTES!$A$17=1,FB99,INDEX(colMOD2,MATCH(Cotations!AH99,colchoice,0))))</f>
        <v/>
      </c>
      <c r="FD99" s="277" t="str">
        <f t="shared" si="378"/>
        <v/>
      </c>
      <c r="FE99" s="443" t="str">
        <f>IF(A99=FALSE,"",IF(Detail!AM99="","",Detail!AM99))</f>
        <v/>
      </c>
      <c r="FF99" s="277"/>
      <c r="FG99" s="277"/>
      <c r="FH99" s="277" t="str">
        <f t="shared" si="379"/>
        <v/>
      </c>
      <c r="FI99" s="1104"/>
      <c r="FJ99" s="1104"/>
      <c r="FK99" s="443" t="str">
        <f>IF(A99=FALSE,"",IF(Cotations!AF99="monthly",FH99/12*L99,FH99/365*M99))</f>
        <v/>
      </c>
      <c r="FL99" s="1103" t="str">
        <f>IF(A99=FALSE,"",IF(Cotations!AF99="monthly",FJ99/12*L99,FJ99/365*M99))</f>
        <v/>
      </c>
      <c r="FM99" s="433" t="str">
        <f>IF(A99=FALSE,"",IF(Cotations!AJ99="","",Cotations!AJ99))</f>
        <v/>
      </c>
      <c r="FN99" s="277" t="str">
        <f t="shared" si="475"/>
        <v/>
      </c>
      <c r="FO99" s="277" t="str">
        <f t="shared" si="476"/>
        <v/>
      </c>
      <c r="FP99" s="1104"/>
      <c r="FQ99" s="277" t="str">
        <f t="shared" si="477"/>
        <v/>
      </c>
      <c r="FR99" s="759" t="str">
        <f>IF(A99=FALSE,"",((FH99*TAXE)-(FH99*TAXE*FM99))+IF(#REF!="N/A",0,IF(INDEX(LISTES!$F$105:$F$109,MATCH(#REF!,LISTES!$C$105:$C$109,0))="FIX",#REF!,#REF!*FQ99)))</f>
        <v/>
      </c>
      <c r="FS99" s="422"/>
      <c r="FT99" s="422"/>
      <c r="FU99" s="422"/>
      <c r="FV99" s="422"/>
      <c r="FW99" s="422"/>
      <c r="FX99" s="422"/>
      <c r="FY99" s="422"/>
      <c r="FZ99" s="422"/>
      <c r="GA99" s="432" t="str">
        <f t="shared" si="380"/>
        <v/>
      </c>
      <c r="GB99" s="1234" t="str">
        <f>IF(A99=FALSE,"",IF(Detail!DF99="","N/A",YEAR(Detail!F99)&amp;Detail!DI99&amp;Detail!DF99&amp;"-"&amp;Detail!$DF$13))</f>
        <v/>
      </c>
      <c r="GC99" s="434" t="str">
        <f>IF(A99=FALSE,"",IF(LISTES!$A$17=1,GB99,INDEX(colMOD3,MATCH(Cotations!AH99,colchoice,0))))</f>
        <v/>
      </c>
      <c r="GD99" s="277" t="str">
        <f t="shared" si="381"/>
        <v/>
      </c>
      <c r="GE99" s="277" t="str">
        <f t="shared" si="382"/>
        <v/>
      </c>
      <c r="GF99" s="277"/>
      <c r="GG99" s="277"/>
      <c r="GH99" s="277" t="str">
        <f t="shared" si="478"/>
        <v/>
      </c>
      <c r="GI99" s="1104" t="str">
        <f t="shared" si="479"/>
        <v/>
      </c>
      <c r="GJ99" s="1104" t="str">
        <f t="shared" si="480"/>
        <v/>
      </c>
      <c r="GK99" s="443" t="str">
        <f>IF(A99=FALSE,"",IF(Cotations!AF99="monthly",GH99/12*L99,GH99/365*M99))</f>
        <v/>
      </c>
      <c r="GL99" s="1103" t="str">
        <f>IF(A99=FALSE,"",IF(Cotations!AF99="monthly",GJ99/12*L99,GJ99/365*M99))</f>
        <v/>
      </c>
      <c r="GM99" s="433" t="str">
        <f>IF(A99=FALSE,"",IF(Cotations!AK99="","",Cotations!AK99))</f>
        <v/>
      </c>
      <c r="GN99" s="277" t="str">
        <f t="shared" si="481"/>
        <v/>
      </c>
      <c r="GO99" s="277" t="str">
        <f t="shared" si="482"/>
        <v/>
      </c>
      <c r="GP99" s="1104" t="str">
        <f t="shared" si="483"/>
        <v/>
      </c>
      <c r="GQ99" s="277" t="str">
        <f t="shared" si="484"/>
        <v/>
      </c>
      <c r="GR99" s="759" t="str">
        <f>IF(A99=FALSE,"",((GH99*TAXE)-(GH99*TAXE*GM99)+GI99)+IF(CQ99="N/A",0,IF(INDEX(LISTES!$F$105:$F$109,MATCH(CQ99,LISTES!$C$105:$C$109,0))="FIX",CR99,CS99*GQ99)))</f>
        <v/>
      </c>
      <c r="GS99" s="412"/>
      <c r="GT99" s="412"/>
      <c r="GU99" s="412"/>
      <c r="GV99" s="412"/>
      <c r="GW99" s="412"/>
      <c r="GX99" s="412"/>
      <c r="GY99" s="412"/>
      <c r="GZ99" s="412"/>
      <c r="HA99" s="432" t="str">
        <f t="shared" si="383"/>
        <v/>
      </c>
      <c r="HB99" s="1234" t="str">
        <f>IF(A99=FALSE,"",IF(Detail!DF99="","N/A",YEAR(Detail!F99)&amp;Detail!DI99&amp;Detail!DF99&amp;"-"&amp;Detail!$DF$13))</f>
        <v/>
      </c>
      <c r="HC99" s="434" t="str">
        <f>IF(A99=FALSE,"",IF(LISTES!$A$17=1,HB99,INDEX(colMOD4,MATCH(Cotations!AH99,colchoice,0))))</f>
        <v/>
      </c>
      <c r="HD99" s="277" t="str">
        <f t="shared" si="485"/>
        <v/>
      </c>
      <c r="HE99" s="277" t="str">
        <f t="shared" si="486"/>
        <v/>
      </c>
      <c r="HF99" s="277"/>
      <c r="HG99" s="277"/>
      <c r="HH99" s="277" t="str">
        <f t="shared" si="487"/>
        <v/>
      </c>
      <c r="HI99" s="1104" t="str">
        <f t="shared" si="488"/>
        <v/>
      </c>
      <c r="HJ99" s="1104" t="str">
        <f t="shared" si="489"/>
        <v/>
      </c>
      <c r="HK99" s="443" t="str">
        <f>IF(A99=FALSE,"",IF(Cotations!AF99="monthly",HH99/12*L99,HH99/365*M99))</f>
        <v/>
      </c>
      <c r="HL99" s="1103" t="str">
        <f>IF(A99=FALSE,"",IF(Cotations!AF99="monthly",HJ99/12*L99,HJ99/365*M99))</f>
        <v/>
      </c>
      <c r="HM99" s="433" t="str">
        <f>IF(A99=FALSE,"",IF(Cotations!AL99="","",Cotations!AL99))</f>
        <v/>
      </c>
      <c r="HN99" s="277" t="str">
        <f t="shared" si="490"/>
        <v/>
      </c>
      <c r="HO99" s="277" t="str">
        <f t="shared" si="491"/>
        <v/>
      </c>
      <c r="HP99" s="1104" t="str">
        <f t="shared" si="492"/>
        <v/>
      </c>
      <c r="HQ99" s="277" t="str">
        <f t="shared" si="493"/>
        <v/>
      </c>
      <c r="HR99" s="759" t="str">
        <f>IF(A99=FALSE,"",((HH99*TAXE)-(HH99*TAXE*HM99)+HI99)+IF(CQ99="N/A",0,IF(INDEX(LISTES!$F$105:$F$109,MATCH(CQ99,LISTES!$C$105:$C$109,0))="FIX",CR99,CS99*HQ99)))</f>
        <v/>
      </c>
      <c r="HS99" s="412"/>
      <c r="HT99" s="412"/>
      <c r="HU99" s="412"/>
      <c r="HV99" s="412"/>
      <c r="HW99" s="412"/>
      <c r="HX99" s="412"/>
      <c r="HY99" s="412"/>
      <c r="HZ99" s="1262"/>
      <c r="IA99" s="432" t="str">
        <f>IF(A99=FALSE,"",Cotations!AT99)</f>
        <v/>
      </c>
      <c r="IB99" s="1253" t="str">
        <f>IF(A99=FALSE,"",IF(Detail!AT99="","N/A",YEAR(Detail!F99)&amp;Detail!AW99&amp;Detail!AT99&amp;"-"&amp;Detail!$AT$13&amp;Detail!AU99))</f>
        <v/>
      </c>
      <c r="IC99" s="431" t="str">
        <f>IF(A99=FALSE,"",IF(LISTES!$A$17=1,IB99,INDEX(colMOD1,MATCH(DA99,colchoice,0))))</f>
        <v/>
      </c>
      <c r="ID99" s="759" t="str">
        <f t="shared" si="358"/>
        <v/>
      </c>
      <c r="IE99" s="292" t="str">
        <f>IF(A99=FALSE,"",IF(LISTES!$A$17=1,Detail!AU99,INDEX(Rates!$M$1:$M$270,MATCH(IC99,colMOD1,0))))</f>
        <v/>
      </c>
      <c r="IF99" s="409" t="str">
        <f t="shared" si="359"/>
        <v/>
      </c>
      <c r="IG99" s="430" t="str">
        <f>IF(A99=FALSE,"",IF(IA99="POEA",Cotations!AY99,IF(IA99="FIXE",Cotations!AZ99,IF(Cotations!BA99*Y99&lt;50000,Z99,Cotations!BA99*Y99))))</f>
        <v/>
      </c>
      <c r="IH99" s="292" t="str">
        <f t="shared" si="360"/>
        <v/>
      </c>
      <c r="II99" s="446" t="str">
        <f>IF(A99=FALSE,"",IF(Cotations!AU99="monthly",IH99/12*L99,IH99/365*M99))</f>
        <v/>
      </c>
      <c r="IJ99" s="429" t="str">
        <f>IF(A99=FALSE,"",IF(Cotations!BB99="","",Cotations!BB99))</f>
        <v/>
      </c>
      <c r="IK99" s="292" t="str">
        <f t="shared" si="361"/>
        <v/>
      </c>
      <c r="IL99" s="292" t="str">
        <f t="shared" si="362"/>
        <v/>
      </c>
      <c r="IM99" s="759" t="str">
        <f t="shared" si="363"/>
        <v/>
      </c>
      <c r="IN99" s="759" t="str">
        <f>IF(A99=FALSE,"",((IH99*TAXE)-(IH99*TAXE*IJ99))+IF(DQ99="N/A",0,IF(INDEX(LISTES!$F$105:$F$109,MATCH(DQ99,LISTES!$C$105:$C$109,0))="FIX",DR99,DS99*IM99)))</f>
        <v/>
      </c>
      <c r="JA99" s="432" t="str">
        <f>IF(A99=FALSE,"",Cotations!AT99)</f>
        <v/>
      </c>
      <c r="JB99" s="1234" t="str">
        <f>IF(A99=FALSE,"",IF(Detail!BB99="","N/A",YEAR(Detail!F99)&amp;Detail!BE99&amp;Detail!BB99&amp;"-"&amp;Detail!$BB$13&amp;Detail!BC99))</f>
        <v/>
      </c>
      <c r="JC99" s="431" t="str">
        <f>IF(A99=FALSE,"",IF(LISTES!$A$17=1,JB99,INDEX(colMOD2,MATCH(DA99,colchoice,0))))</f>
        <v/>
      </c>
      <c r="JD99" s="759" t="str">
        <f t="shared" si="384"/>
        <v/>
      </c>
      <c r="JE99" s="292"/>
      <c r="JF99" s="409" t="str">
        <f t="shared" si="385"/>
        <v/>
      </c>
      <c r="JG99" s="430" t="str">
        <f>IF(A99=FALSE,"",IF(JA99="POEA",Cotations!BC99,IF(JA99="FIXE",Cotations!BD99,IF(Cotations!BE99*Y99&lt;50000,Z99,Cotations!BE99*Y99))))</f>
        <v/>
      </c>
      <c r="JH99" s="292" t="str">
        <f t="shared" si="386"/>
        <v/>
      </c>
      <c r="JI99" s="446" t="str">
        <f>IF(A99=FALSE,"",IF(Cotations!AU99="monthly",JH99/12*L99,JH99/365*M99))</f>
        <v/>
      </c>
      <c r="JJ99" s="429" t="str">
        <f>IF(A99=FALSE,"",IF(Cotations!BF99="","",Cotations!BF99))</f>
        <v/>
      </c>
      <c r="JK99" s="292" t="str">
        <f t="shared" si="387"/>
        <v/>
      </c>
      <c r="JL99" s="292" t="str">
        <f t="shared" si="388"/>
        <v/>
      </c>
      <c r="JM99" s="759" t="str">
        <f t="shared" si="389"/>
        <v/>
      </c>
      <c r="JN99" s="759" t="str">
        <f>IF(A99=FALSE,"",((JH99*TAXE)-(JH99*TAXE*JJ99))+IF(#REF!="N/A",0,IF(INDEX(LISTES!$F$105:$F$109,MATCH(#REF!,LISTES!$C$105:$C$109,0))="FIX",#REF!,#REF!*JM99)))</f>
        <v/>
      </c>
      <c r="KA99" s="432" t="str">
        <f>IF(A99=FALSE,"",Cotations!AT99)</f>
        <v/>
      </c>
      <c r="KB99" s="1234" t="str">
        <f>IF(A99=FALSE,"",IF(Detail!BJ99="","N/A",YEAR(Detail!F99)&amp;Detail!BM99&amp;Detail!BJ99&amp;"-"&amp;Detail!$BJ$13&amp;Detail!BK99))</f>
        <v/>
      </c>
      <c r="KC99" s="431" t="str">
        <f>IF(A99=FALSE,"",IF(LISTES!$A$17=1,KB99,INDEX(colMOD3,MATCH(DA99,colchoice,0))))</f>
        <v/>
      </c>
      <c r="KD99" s="759" t="str">
        <f t="shared" si="390"/>
        <v/>
      </c>
      <c r="KE99" s="292"/>
      <c r="KF99" s="409" t="str">
        <f t="shared" si="391"/>
        <v/>
      </c>
      <c r="KG99" s="430" t="str">
        <f>IF(A99=FALSE,"",IF(KA99="POEA",Cotations!BG99,IF(KA99="FIXE",Cotations!BH99,IF(Cotations!BI99*Y99&lt;50000,Z99,Cotations!BI99*Y99))))</f>
        <v/>
      </c>
      <c r="KH99" s="292" t="str">
        <f t="shared" si="392"/>
        <v/>
      </c>
      <c r="KI99" s="446" t="str">
        <f>IF(A99=FALSE,"",IF(Cotations!AU99="monthly",KH99/12*L99,KH99/365*M99))</f>
        <v/>
      </c>
      <c r="KJ99" s="429" t="str">
        <f>IF(A99=FALSE,"",IF(Cotations!BJ99="","",Cotations!BJ99))</f>
        <v/>
      </c>
      <c r="KK99" s="292" t="str">
        <f t="shared" si="393"/>
        <v/>
      </c>
      <c r="KL99" s="292" t="str">
        <f t="shared" si="394"/>
        <v/>
      </c>
      <c r="KM99" s="759" t="str">
        <f t="shared" si="395"/>
        <v/>
      </c>
      <c r="KN99" s="759" t="str">
        <f>IF(A99=FALSE,"",((KH99*TAXE)-(KH99*TAXE*KJ99))+IF(#REF!="N/A",0,IF(INDEX(LISTES!$F$105:$F$109,MATCH(#REF!,LISTES!$C$105:$C$109,0))="FIX",#REF!,#REF!*KM99)))</f>
        <v/>
      </c>
      <c r="LA99" s="432" t="str">
        <f>IF(A99=FALSE,"",Cotations!AT99)</f>
        <v/>
      </c>
      <c r="LB99" s="1234" t="str">
        <f>IF(A99=FALSE,"",IF(Detail!BR99="","N/A",YEAR(Detail!F99)&amp;Detail!BU99&amp;Detail!BR99&amp;"-"&amp;Detail!$BR$13&amp;Detail!BS99))</f>
        <v/>
      </c>
      <c r="LC99" s="431" t="str">
        <f>IF(A99=FALSE,"",IF(LISTES!$A$17=1,LB99,INDEX(colMOD4,MATCH(DA99,colchoice,0))))</f>
        <v/>
      </c>
      <c r="LD99" s="759" t="str">
        <f t="shared" si="396"/>
        <v/>
      </c>
      <c r="LE99" s="292"/>
      <c r="LF99" s="409" t="str">
        <f t="shared" si="397"/>
        <v/>
      </c>
      <c r="LG99" s="430" t="str">
        <f>IF(A99=FALSE,"",IF(LA99="POEA",Cotations!BK99,IF(LA99="FIXE",Cotations!BL99,IF(Cotations!BM99*Y99&lt;50000,Z99,Cotations!BM99*Y99))))</f>
        <v/>
      </c>
      <c r="LH99" s="292" t="str">
        <f t="shared" si="398"/>
        <v/>
      </c>
      <c r="LI99" s="446" t="str">
        <f>IF(A99=FALSE,"",IF(Cotations!AU99="monthly",LH99/12*L99,LH99/365*M99))</f>
        <v/>
      </c>
      <c r="LJ99" s="429" t="str">
        <f>IF(A99=FALSE,"",IF(Cotations!BN99="","",Cotations!BN99))</f>
        <v/>
      </c>
      <c r="LK99" s="292" t="str">
        <f t="shared" si="399"/>
        <v/>
      </c>
      <c r="LL99" s="292" t="str">
        <f t="shared" si="400"/>
        <v/>
      </c>
      <c r="LM99" s="759" t="str">
        <f t="shared" si="401"/>
        <v/>
      </c>
      <c r="LN99" s="759" t="str">
        <f>IF(A99=FALSE,"",((LH99*TAXE)-(LH99*TAXE*LJ99))+IF(#REF!="N/A",0,IF(INDEX(LISTES!$F$105:$F$109,MATCH(#REF!,LISTES!$C$105:$C$109,0))="FIX",#REF!,#REF!*LM99)))</f>
        <v/>
      </c>
      <c r="MA99" s="432" t="str">
        <f t="shared" si="402"/>
        <v/>
      </c>
      <c r="MB99" s="1234" t="str">
        <f>IF(A99=FALSE,"",IF(Detail!BZ99="","N/A",YEAR(Detail!F99)&amp;Detail!CC99&amp;Detail!BZ99&amp;"-"&amp;Detail!$BZ$13&amp;" (100%/"&amp;Detail!CD99&amp;"/"&amp;Detail!CE99&amp;")"))</f>
        <v/>
      </c>
      <c r="MC99" s="431" t="str">
        <f>IF(A99=FALSE,"",IF(LISTES!$A$17=1,MB99,INDEX(colMOD5,MATCH(DA99,colchoice,0))))</f>
        <v/>
      </c>
      <c r="MD99" s="759" t="str">
        <f t="shared" si="403"/>
        <v/>
      </c>
      <c r="ME99" s="292"/>
      <c r="MF99" s="409" t="str">
        <f t="shared" si="404"/>
        <v/>
      </c>
      <c r="MG99" s="430" t="str">
        <f>IF(A99=FALSE,"",Cotations!BQ99*AA99)</f>
        <v/>
      </c>
      <c r="MH99" s="292" t="str">
        <f t="shared" si="405"/>
        <v/>
      </c>
      <c r="MI99" s="446" t="str">
        <f>IF(A99=FALSE,"",IF(Cotations!AU99="monthly",MH99/12*L99,MH99/365*M99))</f>
        <v/>
      </c>
      <c r="MJ99" s="429" t="str">
        <f>IF(A99=FALSE,"",IF(Cotations!BR99="","",Cotations!BR99))</f>
        <v/>
      </c>
      <c r="MK99" s="292" t="str">
        <f t="shared" si="406"/>
        <v/>
      </c>
      <c r="ML99" s="292" t="str">
        <f t="shared" si="407"/>
        <v/>
      </c>
      <c r="MM99" s="759" t="str">
        <f t="shared" si="408"/>
        <v/>
      </c>
      <c r="MN99" s="759" t="str">
        <f>IF(A99=FALSE,"",((MH99*TAXE)-(MH99*TAXE*MJ99))+IF(#REF!="N/A",0,IF(INDEX(LISTES!$F$105:$F$109,MATCH(#REF!,LISTES!$C$105:$C$109,0))="FIX",#REF!,#REF!*MM99)))</f>
        <v/>
      </c>
      <c r="NA99" s="432" t="str">
        <f t="shared" si="409"/>
        <v/>
      </c>
      <c r="NB99" s="1234" t="str">
        <f>IF(A99=FALSE,"",IF(Detail!CH99="","N/A",YEAR(Detail!F99)&amp;Detail!CK99&amp;Detail!CH99&amp;"-"&amp;Detail!$CH$13&amp;" (100%/"&amp;Detail!CL99&amp;"/"&amp;Detail!CM99&amp;")"))</f>
        <v/>
      </c>
      <c r="NC99" s="431" t="str">
        <f>IF(A99=FALSE,"",IF(LISTES!$A$17=1,NB99,INDEX(colMOD6,MATCH(DA99,colchoice,0))))</f>
        <v/>
      </c>
      <c r="ND99" s="759" t="str">
        <f t="shared" si="410"/>
        <v/>
      </c>
      <c r="NE99" s="292"/>
      <c r="NF99" s="409" t="str">
        <f t="shared" si="411"/>
        <v/>
      </c>
      <c r="NG99" s="430" t="str">
        <f>IF(A99=FALSE,"",Cotations!BU99*AA99)</f>
        <v/>
      </c>
      <c r="NH99" s="292" t="str">
        <f t="shared" si="412"/>
        <v/>
      </c>
      <c r="NI99" s="446" t="str">
        <f>IF(A99=FALSE,"",IF(Cotations!AU99="monthly",NH99/12*L99,NH99/365*M99))</f>
        <v/>
      </c>
      <c r="NJ99" s="429" t="str">
        <f>IF(A99=FALSE,"",IF(Cotations!BV99="","",Cotations!BV99))</f>
        <v/>
      </c>
      <c r="NK99" s="292" t="str">
        <f t="shared" si="413"/>
        <v/>
      </c>
      <c r="NL99" s="292" t="str">
        <f t="shared" si="414"/>
        <v/>
      </c>
      <c r="NM99" s="759" t="str">
        <f t="shared" si="415"/>
        <v/>
      </c>
      <c r="NN99" s="759" t="str">
        <f>IF(A99=FALSE,"",((NH99*TAXE)-(NH99*TAXE*NJ99))+IF(#REF!="N/A",0,IF(INDEX(LISTES!$F$105:$F$109,MATCH(#REF!,LISTES!$C$105:$C$109,0))="FIX",#REF!,#REF!*NM99)))</f>
        <v/>
      </c>
      <c r="NZ99" s="1281" t="str">
        <f>IF(A99=FALSE,"",IF(Detail!CP99="","N/A",YEAR(Detail!F99)&amp;Detail!CS99&amp;Detail!CP99&amp;"-"&amp;Detail!CQ99))</f>
        <v/>
      </c>
      <c r="OA99" s="432" t="str">
        <f>IF(A99=FALSE,"",Cotations!CF99)</f>
        <v/>
      </c>
      <c r="OB99" s="1282" t="str">
        <f>IF(A99=FALSE,"",IF(Detail!CP99="","N/A",YEAR(Detail!F99)&amp;Detail!CS99&amp;Detail!CP99&amp;"-"&amp;Detail!$CP$13&amp;Detail!CQ99))</f>
        <v/>
      </c>
      <c r="OC99" s="1283" t="str">
        <f>IF(A99=FALSE,"",IF(LISTES!$A$17=1,OB99,INDEX(colMOD1,MATCH(Cotations!CE99,colchoice,0))))</f>
        <v/>
      </c>
      <c r="OD99" s="759" t="str">
        <f t="shared" si="416"/>
        <v/>
      </c>
      <c r="OE99" s="292" t="str">
        <f>IF(A99=FALSE,"",Detail!CQ99)</f>
        <v/>
      </c>
      <c r="OF99" s="409" t="str">
        <f t="shared" si="417"/>
        <v/>
      </c>
      <c r="OG99" s="430" t="str">
        <f>IF(A99=FALSE,"",IF(OA99="FIXE",Cotations!CM99,Cotations!CN99*AA99))</f>
        <v/>
      </c>
      <c r="OH99" s="292" t="str">
        <f t="shared" si="494"/>
        <v/>
      </c>
      <c r="OI99" s="446" t="str">
        <f>IF(A99=FALSE,"",IF(Cotations!CF99="monthly",OH99/12*L99,OH99/365*M99))</f>
        <v/>
      </c>
      <c r="OJ99" s="429" t="str">
        <f>IF(A99=FALSE,"",IF(Cotations!CO99="","",Cotations!CO99))</f>
        <v/>
      </c>
      <c r="OK99" s="292" t="str">
        <f t="shared" si="495"/>
        <v/>
      </c>
      <c r="OL99" s="292" t="str">
        <f t="shared" si="496"/>
        <v/>
      </c>
      <c r="OM99" s="759" t="str">
        <f t="shared" si="418"/>
        <v/>
      </c>
      <c r="ON99" s="759" t="str">
        <f>IF(A99=FALSE,"",((OH99*(1+TAXE)-(OH99*(1+TAXE)*OJ99))+IF(#REF!="N/A",0,IF(INDEX(LISTES!$F$105:$F$109,MATCH(#REF!,LISTES!$C$105:$C$109,0))="FIX",#REF!,#REF!*OM99))))</f>
        <v/>
      </c>
      <c r="PA99" s="432" t="str">
        <f>IF(A99=FALSE,"",Cotations!CF99)</f>
        <v/>
      </c>
      <c r="PB99" s="1282" t="str">
        <f>IF(A99=FALSE,"",IF(Detail!CX99="","N/A",YEAR(Detail!F99)&amp;Detail!DA99&amp;Detail!CX99&amp;"-"&amp;Detail!$CX$13&amp;Detail!CY99))</f>
        <v/>
      </c>
      <c r="PC99" s="1283" t="str">
        <f>IF(A99=FALSE,"",IF(LISTES!$A$17=1,PB99,INDEX(colMOD3,MATCH(Cotations!CE99,colchoice,0))))</f>
        <v/>
      </c>
      <c r="PD99" s="759" t="str">
        <f t="shared" si="419"/>
        <v/>
      </c>
      <c r="PE99" s="292" t="str">
        <f>IF(A99=FALSE,"",IF(Detail!CY99="","",Detail!CY99))</f>
        <v/>
      </c>
      <c r="PF99" s="409" t="str">
        <f t="shared" si="497"/>
        <v/>
      </c>
      <c r="PG99" s="430" t="str">
        <f>IF(A99=FALSE,"",IF(PA99="FIXE",Cotations!CP99,Cotations!CQ99*AA99))</f>
        <v/>
      </c>
      <c r="PH99" s="292" t="str">
        <f t="shared" si="498"/>
        <v/>
      </c>
      <c r="PI99" s="446" t="str">
        <f>IF(A99=FALSE,"",IF(Cotations!CG99="monthly",PH99/12*L99,PH99/365*M99))</f>
        <v/>
      </c>
      <c r="PJ99" s="429" t="str">
        <f>IF(A99=FALSE,"",IF(Cotations!DA99="",0,Cotations!DA99))</f>
        <v/>
      </c>
      <c r="PK99" s="292" t="str">
        <f t="shared" si="499"/>
        <v/>
      </c>
      <c r="PL99" s="292" t="str">
        <f t="shared" si="500"/>
        <v/>
      </c>
      <c r="PM99" s="759" t="str">
        <f t="shared" si="420"/>
        <v/>
      </c>
      <c r="PN99" s="759" t="str">
        <f>IF(A99=FALSE,"",((PH99*(1+TAXE)-(PH99*(1+TAXE)*PJ99))+IF(#REF!="N/A",0,IF(INDEX(LISTES!$F$105:$F$109,MATCH(#REF!,LISTES!$C$105:$C$109,0))="FIX",#REF!,#REF!*PM99))))</f>
        <v/>
      </c>
    </row>
    <row r="100" spans="1:430">
      <c r="A100" s="779" t="b">
        <f t="shared" si="364"/>
        <v>0</v>
      </c>
      <c r="B100" s="779" t="b">
        <f>IF(NAMES!$B$9=TRUE,TRUE,FALSE)</f>
        <v>1</v>
      </c>
      <c r="C100" s="779" t="b">
        <f t="shared" si="421"/>
        <v>0</v>
      </c>
      <c r="D100" s="779" t="b">
        <f t="shared" si="422"/>
        <v>0</v>
      </c>
      <c r="E100" s="267" t="b">
        <f>IF(Cotations!C100="","",Cotations!C100)</f>
        <v>0</v>
      </c>
      <c r="F100" s="267" t="str">
        <f>IF(Cotations!AT100="","",Cotations!AT100)</f>
        <v>PROP</v>
      </c>
      <c r="G100" s="267" t="str">
        <f>IF(Cotations!D100="","",Cotations!D100)</f>
        <v>2016-2017!</v>
      </c>
      <c r="H100" s="267" t="str">
        <f>IF(Cotations!E100="","",Cotations!E100)</f>
        <v>SINGLE</v>
      </c>
      <c r="I100" s="267" t="str">
        <f>IF(Cotations!F100="","",Cotations!F100)</f>
        <v/>
      </c>
      <c r="J100" s="267" t="str">
        <f>IF(Cotations!G100="","",Cotations!G100)</f>
        <v/>
      </c>
      <c r="K100" s="267" t="str">
        <f>IF(Cotations!H100="","",Cotations!H100)</f>
        <v/>
      </c>
      <c r="L100" s="267" t="str">
        <f>IF(A100=FALSE,"",IF(Cotations!M100="","",Cotations!M100))</f>
        <v/>
      </c>
      <c r="M100" s="267" t="str">
        <f>IF(Cotations!O100="","",Cotations!O100)</f>
        <v/>
      </c>
      <c r="N100" s="588" t="str">
        <f>IF(NAMES!$B$10=TRUE,Cotations!I100,Cotations!K100)</f>
        <v/>
      </c>
      <c r="O100" s="588" t="str">
        <f>IF(NAMES!$B$10=TRUE,Cotations!J100,Cotations!L100)</f>
        <v/>
      </c>
      <c r="P100" s="780" t="str">
        <f t="shared" si="423"/>
        <v/>
      </c>
      <c r="Q100" s="588" t="str">
        <f>IF(A100=FALSE,"",IF(Crewlist!Y100="","",Crewlist!Y100))</f>
        <v/>
      </c>
      <c r="R100" s="78" t="str">
        <f>IF(Cotations!T100="","",Cotations!T100)</f>
        <v/>
      </c>
      <c r="S100" s="780" t="str">
        <f t="shared" si="424"/>
        <v/>
      </c>
      <c r="T100" s="759" t="str">
        <f>IF(A100=FALSE,"",VLOOKUP($U$15:$U$120,Currency!$A$2:$D$10,4,0)*Crewlist!N100)</f>
        <v/>
      </c>
      <c r="U100" s="1097" t="str">
        <f>IF(A100=FALSE,"",IF(DP100=0,Crewlist!M100&amp;"/"&amp;CP100,Crewlist!M100&amp;"/"&amp;DP100))</f>
        <v/>
      </c>
      <c r="V100" s="759" t="str">
        <f>IF(A100=FALSE,"",VLOOKUP($U$15:$U$120,Currency!$A$2:$D$10,4,0)*Detail!Q100)</f>
        <v/>
      </c>
      <c r="W100" s="1097" t="str">
        <f>IF(A100=FALSE,"",IF(DP100=0,Detail!R100&amp;"/"&amp;CP100,Detail!R100&amp;"/"&amp;DP100))</f>
        <v/>
      </c>
      <c r="X100" s="759" t="str">
        <f>IF(A100=FALSE,"",IF(LISTES!$C$17="Crewlist",Calcul!T100,Calcul!V100))</f>
        <v/>
      </c>
      <c r="Y100" s="618" t="str">
        <f t="shared" si="425"/>
        <v/>
      </c>
      <c r="Z100" s="618" t="str">
        <f>IF(A100=FALSE,"",IF(X100=0,0,IF((Cotations!BA100*12*X100)&lt;50000,50000,(12*X100))))</f>
        <v/>
      </c>
      <c r="AA100" s="618" t="str">
        <f t="shared" si="426"/>
        <v/>
      </c>
      <c r="AB100" s="618" t="str">
        <f>IF(A100=FALSE,"",IF(Crewlist!O100=0,"",Crewlist!O100))</f>
        <v/>
      </c>
      <c r="AC100" s="618" t="str">
        <f>IF(I100="","",VLOOKUP($AB$15:$AB$120,Currency!$A$15:$B$34,2,0))</f>
        <v/>
      </c>
      <c r="AD100" s="618" t="str">
        <f t="shared" si="427"/>
        <v/>
      </c>
      <c r="AE100" s="618" t="str">
        <f t="shared" si="428"/>
        <v/>
      </c>
      <c r="AF100" s="618" t="str">
        <f t="shared" si="429"/>
        <v/>
      </c>
      <c r="AG100" s="618" t="str">
        <f t="shared" si="430"/>
        <v/>
      </c>
      <c r="AH100" s="1097" t="str">
        <f t="shared" si="365"/>
        <v/>
      </c>
      <c r="AI100" s="759" t="str">
        <f t="shared" si="431"/>
        <v/>
      </c>
      <c r="AJ100" s="1120" t="str">
        <f t="shared" si="432"/>
        <v/>
      </c>
      <c r="AK100" s="1120" t="str">
        <f t="shared" si="433"/>
        <v/>
      </c>
      <c r="AL100" s="236" t="str">
        <f t="shared" si="434"/>
        <v/>
      </c>
      <c r="AM100" s="236" t="str">
        <f t="shared" si="435"/>
        <v/>
      </c>
      <c r="AN100" s="1112" t="str">
        <f t="shared" si="436"/>
        <v/>
      </c>
      <c r="AO100" s="236" t="str">
        <f t="shared" si="437"/>
        <v/>
      </c>
      <c r="AP100" s="327" t="str">
        <f>IF(A100=FALSE,"",INDEX(Rates!$Q$1:$Q$278,MATCH(CA100,colchoice,0)))</f>
        <v/>
      </c>
      <c r="AQ100" s="236" t="str">
        <f t="shared" si="438"/>
        <v/>
      </c>
      <c r="AR100" s="236" t="str">
        <f t="shared" si="439"/>
        <v/>
      </c>
      <c r="AS100" s="236" t="str">
        <f t="shared" si="366"/>
        <v/>
      </c>
      <c r="AT100" s="236" t="str">
        <f t="shared" si="367"/>
        <v/>
      </c>
      <c r="AU100" s="236" t="str">
        <f t="shared" si="440"/>
        <v/>
      </c>
      <c r="AV100" s="236" t="str">
        <f t="shared" si="441"/>
        <v/>
      </c>
      <c r="AW100" s="236" t="str">
        <f t="shared" si="442"/>
        <v/>
      </c>
      <c r="AX100" s="236" t="str">
        <f t="shared" si="443"/>
        <v/>
      </c>
      <c r="AY100" s="236" t="str">
        <f t="shared" si="444"/>
        <v/>
      </c>
      <c r="AZ100" s="236" t="str">
        <f t="shared" si="445"/>
        <v/>
      </c>
      <c r="BA100" s="236" t="str">
        <f t="shared" si="446"/>
        <v/>
      </c>
      <c r="BB100" s="467" t="str">
        <f t="shared" si="447"/>
        <v/>
      </c>
      <c r="BC100" s="329" t="str">
        <f t="shared" si="448"/>
        <v/>
      </c>
      <c r="BD100" s="237" t="str">
        <f t="shared" si="449"/>
        <v/>
      </c>
      <c r="BE100" s="237" t="str">
        <f>IF(A100=FALSE,"",IF(ED100&lt;&gt;$BC$7,0,INDEX(EA100:EZ100,1,MATCH(Structure!$J$16,$EA$14:$EZ$14,0))))</f>
        <v/>
      </c>
      <c r="BF100" s="237" t="str">
        <f>IF(A100=FALSE,"",IF(FD100&lt;&gt;$BC$7,0,INDEX(FA100:FZ100,1,MATCH(Structure!$J$16,$FA$14:$FZ$14,0))))</f>
        <v/>
      </c>
      <c r="BG100" s="237" t="str">
        <f>IF(A100=FALSE,"",IF(GD100&lt;&gt;$BC$7,0,INDEX(GA100:GZ100,1,MATCH(Structure!$J$16,$GA$14:$GZ$14,0))))</f>
        <v/>
      </c>
      <c r="BH100" s="237" t="str">
        <f>IF(A100=FALSE,"",IF(HD100&lt;&gt;$BC$7,0,INDEX(HA100:HZ100,1,MATCH(Structure!$J$16,$HA$14:$HZ$14,0))))</f>
        <v/>
      </c>
      <c r="BI100" s="621" t="str">
        <f>IF(A100=FALSE,"",IF(ID100&lt;&gt;$BC$7,0,INDEX(IA100:IZ100,1,MATCH(Structure!$C$12,$IA$14:$IZ$14,0)))+OL100)</f>
        <v/>
      </c>
      <c r="BJ100" s="237" t="str">
        <f>IF(A100=FALSE,"",IF(JD100&lt;&gt;$BC$7,0,INDEX(JA100:JZ100,1,MATCH(Structure!$C$12,$JA$14:$JZ$14,0))))</f>
        <v/>
      </c>
      <c r="BK100" s="621" t="str">
        <f>IF(A100=FALSE,"",IF(KD100&lt;&gt;$BC$7,0,INDEX(KA100:KZ100,1,MATCH(Structure!$C$12,$KA$14:$KZ$14,0)))+PL100)</f>
        <v/>
      </c>
      <c r="BL100" s="237" t="str">
        <f>IF(A100=FALSE,"",IF(LD100&lt;&gt;$BC$7,0,INDEX(LA100:LZ100,1,MATCH(Structure!$C$12,$LA$14:$LZ$14,0))))</f>
        <v/>
      </c>
      <c r="BM100" s="237" t="str">
        <f>IF(A100=FALSE,"",IF(MD100&lt;&gt;$BC$7,0,INDEX(MA100:MZ100,1,MATCH(Structure!$C$12,$MA$14:$MZ$14,0))))</f>
        <v/>
      </c>
      <c r="BN100" s="326" t="str">
        <f>IF(A100=FALSE,"",IF(ND100&lt;&gt;$BC$7,0,INDEX(NA100:OC100,1,MATCH(Structure!$C$12,$NA$14:$OC$14,0))))</f>
        <v/>
      </c>
      <c r="BO100" s="435" t="str">
        <f t="shared" si="450"/>
        <v/>
      </c>
      <c r="BP100" s="237" t="str">
        <f t="shared" si="451"/>
        <v/>
      </c>
      <c r="BQ100" s="237" t="str">
        <f>IF(A100=FALSE,"",IF(ED100&lt;&gt;$BO$7,0,INDEX(EA100:EZ100,1,MATCH(Structure!$C$12,$EA$14:$EZ$14,0))))</f>
        <v/>
      </c>
      <c r="BR100" s="237" t="str">
        <f>IF(A100=FALSE,"",IF(FD100&lt;&gt;$BO$7,0,INDEX(FA100:FZ100,1,MATCH(Structure!$C$12,$FA$14:$FZ$14,0))))</f>
        <v/>
      </c>
      <c r="BS100" s="237" t="str">
        <f>IF(A100=FALSE,"",IF(ID100&lt;&gt;$BO$7,0,INDEX(IA100:IZ100,1,MATCH(Structure!$C$13,$IA$14:$IZ$14,0))))</f>
        <v/>
      </c>
      <c r="BT100" s="237" t="str">
        <f>IF(A100=FALSE,"",IF(JD100&lt;&gt;$BO$7,0,INDEX(JA100:JZ100,1,MATCH(Structure!$C$13,$JA$14:$JZ$14,0))))</f>
        <v/>
      </c>
      <c r="BU100" s="237" t="str">
        <f>IF(A100=FALSE,"",IF(KD100&lt;&gt;$BO$7,0,INDEX(KA100:KZ100,1,MATCH(Structure!$C$13,$KA$14:$KZ$14,0))))</f>
        <v/>
      </c>
      <c r="BV100" s="237" t="str">
        <f>IF(A100=FALSE,"",IF(LD100&lt;&gt;$BO$7,0,INDEX(LA100:LZ100,1,MATCH(Structure!$C$13,$LA$14:$LZ$14,0))))</f>
        <v/>
      </c>
      <c r="BW100" s="237" t="str">
        <f>IF(A100=FALSE,"",IF(MD100&lt;&gt;$BO$7,0,INDEX(MA100:MZ100,1,MATCH(Structure!$C$13,$MA$14:$MZ$14,0))))</f>
        <v/>
      </c>
      <c r="BX100" s="326" t="str">
        <f>IF(A100=FALSE,"",IF(ND100&lt;&gt;$BO$7,0,INDEX(NA100:OC100,1,MATCH(Structure!$C$13,$NA$14:$OC$14,0))))</f>
        <v/>
      </c>
      <c r="BY100" s="412"/>
      <c r="BZ100" s="412"/>
      <c r="CA100" s="1255" t="str">
        <f>IF(A100=FALSE,"",IF(LISTES!$A$17=1,Cotations!AG100,Cotations!AH100))</f>
        <v/>
      </c>
      <c r="CB100" s="1266" t="str">
        <f t="shared" si="452"/>
        <v/>
      </c>
      <c r="CC100" s="1120" t="str">
        <f t="shared" si="453"/>
        <v/>
      </c>
      <c r="CD100" s="1120" t="str">
        <f t="shared" si="454"/>
        <v/>
      </c>
      <c r="CE100" s="1120" t="str">
        <f t="shared" si="455"/>
        <v/>
      </c>
      <c r="CF100" s="1120" t="str">
        <f t="shared" si="456"/>
        <v/>
      </c>
      <c r="CG100" s="1267"/>
      <c r="CH100" s="1267"/>
      <c r="CI100" s="1268" t="str">
        <f t="shared" si="457"/>
        <v/>
      </c>
      <c r="CJ100" s="286" t="str">
        <f t="shared" si="458"/>
        <v/>
      </c>
      <c r="CK100" s="286" t="str">
        <f t="shared" si="459"/>
        <v/>
      </c>
      <c r="CL100" s="1263"/>
      <c r="CM100" s="1263"/>
      <c r="CN100" s="1263"/>
      <c r="CO100" s="1263"/>
      <c r="CP100" s="319" t="str">
        <f t="shared" si="460"/>
        <v/>
      </c>
      <c r="CQ100" s="443" t="str">
        <f>IF(A100=FALSE,"",Cotations!AM100)</f>
        <v/>
      </c>
      <c r="CR100" s="443" t="str">
        <f>IF(A100=FALSE,"",IF(Cotations!AN100="","",Cotations!AN100))</f>
        <v/>
      </c>
      <c r="CS100" s="433" t="str">
        <f>IF(A100=FALSE,"",Cotations!AO100)</f>
        <v/>
      </c>
      <c r="CT100" s="443" t="str">
        <f>IF(A100=FALSE,"",IF(CQ100="N/A",0,IF(INDEX(LISTES!$F$105:$F$109,MATCH(CQ100,LISTES!$C$105:$C$109,0))="FIX",IF(INDEX(LISTES!$E$105:$E$109,MATCH(CQ100,LISTES!$C$105:$C$109,0))=12,CR100/12*L100,CR100/365*M100),CS100*EQ100)))</f>
        <v/>
      </c>
      <c r="CU100" s="434" t="str">
        <f>IF(A100=FALSE,"",(CJ100+CK100)*Cotations!AP100)</f>
        <v/>
      </c>
      <c r="CV100" s="434" t="str">
        <f>IF(A100=FALSE,"",(CJ100+CK100)*Cotations!AQ100)</f>
        <v/>
      </c>
      <c r="DA100" s="1253" t="str">
        <f>IF(A100=FALSE,"",IF(LISTES!$A$17=1,Cotations!AV100,Cotations!AW100))</f>
        <v/>
      </c>
      <c r="DB100" s="1271" t="str">
        <f t="shared" si="461"/>
        <v/>
      </c>
      <c r="DC100" s="1270" t="str">
        <f t="shared" si="462"/>
        <v/>
      </c>
      <c r="DD100" s="1270" t="str">
        <f t="shared" si="463"/>
        <v/>
      </c>
      <c r="DE100" s="1270" t="str">
        <f t="shared" si="464"/>
        <v/>
      </c>
      <c r="DF100" s="1270" t="str">
        <f t="shared" si="465"/>
        <v/>
      </c>
      <c r="DG100" s="1270" t="str">
        <f t="shared" si="466"/>
        <v/>
      </c>
      <c r="DH100" s="1270" t="str">
        <f t="shared" si="467"/>
        <v/>
      </c>
      <c r="DI100" s="1271" t="str">
        <f t="shared" si="468"/>
        <v/>
      </c>
      <c r="DJ100" s="286" t="str">
        <f t="shared" si="469"/>
        <v/>
      </c>
      <c r="DK100" s="286" t="str">
        <f t="shared" si="470"/>
        <v/>
      </c>
      <c r="DL100" s="1264" t="str">
        <f t="shared" si="471"/>
        <v/>
      </c>
      <c r="DM100" s="1264" t="str">
        <f t="shared" si="472"/>
        <v/>
      </c>
      <c r="DN100" s="1264" t="str">
        <f t="shared" si="473"/>
        <v/>
      </c>
      <c r="DO100" s="1264" t="str">
        <f t="shared" si="474"/>
        <v/>
      </c>
      <c r="DP100" s="323" t="str">
        <f t="shared" si="368"/>
        <v/>
      </c>
      <c r="DQ100" s="444" t="str">
        <f>IF(A100=FALSE,"",Cotations!BW100)</f>
        <v/>
      </c>
      <c r="DR100" s="444" t="str">
        <f>IF(A100=FALSE,"",Cotations!BX100)</f>
        <v/>
      </c>
      <c r="DS100" s="433" t="str">
        <f>IF(A100=FALSE,"",Cotations!BY100)</f>
        <v/>
      </c>
      <c r="DT100" s="830" t="str">
        <f>IF(A100=FALSE,"",IF(DQ100="N/A",0,IF(INDEX(LISTES!$F$105:$F$109,MATCH(DQ100,LISTES!$C$105:$C$109,0))="FIX",IF(INDEX(LISTES!$E$105:$E$109,MATCH(DQ100,LISTES!$C$105:$C$109,0))=12,DR100/12*L100,DR100/365*M100),DS100*(DN100+DO100))))</f>
        <v/>
      </c>
      <c r="DU100" s="434" t="str">
        <f>IF(A100=FALSE,"",DJ100*Cotations!BZ100)</f>
        <v/>
      </c>
      <c r="DV100" s="434" t="str">
        <f>IF(A100=FALSE,"",DJ100*Cotations!CA100)</f>
        <v/>
      </c>
      <c r="EA100" s="432" t="str">
        <f>IF(A100=FALSE,"",Cotations!AT100)</f>
        <v/>
      </c>
      <c r="EB100" s="1234" t="str">
        <f>IF(A100=FALSE,"",YEAR(Detail!F100)&amp;Detail!AG100&amp;Detail!AD100&amp;"-"&amp;Detail!$AD$13&amp;Detail!AE100)</f>
        <v/>
      </c>
      <c r="EC100" s="434" t="str">
        <f>IF(A100=FALSE,"",IF(LISTES!$A$17=1,EB100,INDEX(colMOD1,MATCH(Cotations!AH100,colchoice,0))))</f>
        <v/>
      </c>
      <c r="ED100" s="277" t="str">
        <f t="shared" si="369"/>
        <v/>
      </c>
      <c r="EE100" s="277" t="str">
        <f t="shared" si="370"/>
        <v/>
      </c>
      <c r="EF100" s="277"/>
      <c r="EG100" s="277"/>
      <c r="EH100" s="277" t="str">
        <f t="shared" si="371"/>
        <v/>
      </c>
      <c r="EI100" s="1104" t="str">
        <f t="shared" si="372"/>
        <v/>
      </c>
      <c r="EJ100" s="1104" t="str">
        <f t="shared" si="373"/>
        <v/>
      </c>
      <c r="EK100" s="443" t="str">
        <f>IF(A100=FALSE,"",IF(Cotations!AF100="monthly",EH100/12*L100,EH100/365*M100))</f>
        <v/>
      </c>
      <c r="EL100" s="1103" t="str">
        <f>IF(A100=FALSE,"",IF(Cotations!AF100="monthly",EJ100/12*L100,EJ100/365*M100))</f>
        <v/>
      </c>
      <c r="EM100" s="433" t="str">
        <f>IF(A100=FALSE,"",IF(Cotations!AI100="","",Cotations!AI100))</f>
        <v/>
      </c>
      <c r="EN100" s="277" t="str">
        <f t="shared" si="374"/>
        <v/>
      </c>
      <c r="EO100" s="277" t="str">
        <f t="shared" si="375"/>
        <v/>
      </c>
      <c r="EP100" s="1104" t="str">
        <f t="shared" si="376"/>
        <v/>
      </c>
      <c r="EQ100" s="277" t="str">
        <f t="shared" si="377"/>
        <v/>
      </c>
      <c r="ER100" s="759" t="str">
        <f>IF(A100=FALSE,"",((EH100*TAXE)-(EH100*TAXE*EM100)+EI100)+IF(CQ100="N/A",0,IF(INDEX(LISTES!$F$105:$F$109,MATCH(CQ100,LISTES!$C$105:$C$109,0))="FIX",CR100,CS100*EQ100)))</f>
        <v/>
      </c>
      <c r="ET100" s="422"/>
      <c r="EU100" s="422"/>
      <c r="EV100" s="422"/>
      <c r="EW100" s="422"/>
      <c r="EX100" s="422"/>
      <c r="EY100" s="422"/>
      <c r="EZ100" s="422"/>
      <c r="FA100" s="432" t="str">
        <f>IF(A100=FALSE,"",Cotations!AT100)</f>
        <v/>
      </c>
      <c r="FB100" s="1235" t="str">
        <f>IF(A100=FALSE,"",IF(Detail!AL100="","N/A",YEAR(Detail!F100)&amp;Detail!AO100&amp;Detail!AL100&amp;"-"&amp;Detail!$AL$13&amp;Detail!AM100))</f>
        <v/>
      </c>
      <c r="FC100" s="434" t="str">
        <f>IF(A100=FALSE,"",IF(LISTES!$A$17=1,FB100,INDEX(colMOD2,MATCH(Cotations!AH100,colchoice,0))))</f>
        <v/>
      </c>
      <c r="FD100" s="277" t="str">
        <f t="shared" si="378"/>
        <v/>
      </c>
      <c r="FE100" s="443" t="str">
        <f>IF(A100=FALSE,"",IF(Detail!AM100="","",Detail!AM100))</f>
        <v/>
      </c>
      <c r="FF100" s="277"/>
      <c r="FG100" s="277"/>
      <c r="FH100" s="277" t="str">
        <f t="shared" si="379"/>
        <v/>
      </c>
      <c r="FI100" s="1104"/>
      <c r="FJ100" s="1104"/>
      <c r="FK100" s="443" t="str">
        <f>IF(A100=FALSE,"",IF(Cotations!AF100="monthly",FH100/12*L100,FH100/365*M100))</f>
        <v/>
      </c>
      <c r="FL100" s="1103" t="str">
        <f>IF(A100=FALSE,"",IF(Cotations!AF100="monthly",FJ100/12*L100,FJ100/365*M100))</f>
        <v/>
      </c>
      <c r="FM100" s="433" t="str">
        <f>IF(A100=FALSE,"",IF(Cotations!AJ100="","",Cotations!AJ100))</f>
        <v/>
      </c>
      <c r="FN100" s="277" t="str">
        <f t="shared" si="475"/>
        <v/>
      </c>
      <c r="FO100" s="277" t="str">
        <f t="shared" si="476"/>
        <v/>
      </c>
      <c r="FP100" s="1104"/>
      <c r="FQ100" s="277" t="str">
        <f t="shared" si="477"/>
        <v/>
      </c>
      <c r="FR100" s="759" t="str">
        <f>IF(A100=FALSE,"",((FH100*TAXE)-(FH100*TAXE*FM100))+IF(#REF!="N/A",0,IF(INDEX(LISTES!$F$105:$F$109,MATCH(#REF!,LISTES!$C$105:$C$109,0))="FIX",#REF!,#REF!*FQ100)))</f>
        <v/>
      </c>
      <c r="FS100" s="422"/>
      <c r="FT100" s="422"/>
      <c r="FU100" s="422"/>
      <c r="FV100" s="422"/>
      <c r="FW100" s="422"/>
      <c r="FX100" s="422"/>
      <c r="FY100" s="422"/>
      <c r="FZ100" s="422"/>
      <c r="GA100" s="432" t="str">
        <f t="shared" si="380"/>
        <v/>
      </c>
      <c r="GB100" s="1234" t="str">
        <f>IF(A100=FALSE,"",IF(Detail!DF100="","N/A",YEAR(Detail!F100)&amp;Detail!DI100&amp;Detail!DF100&amp;"-"&amp;Detail!$DF$13))</f>
        <v/>
      </c>
      <c r="GC100" s="434" t="str">
        <f>IF(A100=FALSE,"",IF(LISTES!$A$17=1,GB100,INDEX(colMOD3,MATCH(Cotations!AH100,colchoice,0))))</f>
        <v/>
      </c>
      <c r="GD100" s="277" t="str">
        <f t="shared" si="381"/>
        <v/>
      </c>
      <c r="GE100" s="277" t="str">
        <f t="shared" si="382"/>
        <v/>
      </c>
      <c r="GF100" s="277"/>
      <c r="GG100" s="277"/>
      <c r="GH100" s="277" t="str">
        <f t="shared" si="478"/>
        <v/>
      </c>
      <c r="GI100" s="1104" t="str">
        <f t="shared" si="479"/>
        <v/>
      </c>
      <c r="GJ100" s="1104" t="str">
        <f t="shared" si="480"/>
        <v/>
      </c>
      <c r="GK100" s="443" t="str">
        <f>IF(A100=FALSE,"",IF(Cotations!AF100="monthly",GH100/12*L100,GH100/365*M100))</f>
        <v/>
      </c>
      <c r="GL100" s="1103" t="str">
        <f>IF(A100=FALSE,"",IF(Cotations!AF100="monthly",GJ100/12*L100,GJ100/365*M100))</f>
        <v/>
      </c>
      <c r="GM100" s="433" t="str">
        <f>IF(A100=FALSE,"",IF(Cotations!AK100="","",Cotations!AK100))</f>
        <v/>
      </c>
      <c r="GN100" s="277" t="str">
        <f t="shared" si="481"/>
        <v/>
      </c>
      <c r="GO100" s="277" t="str">
        <f t="shared" si="482"/>
        <v/>
      </c>
      <c r="GP100" s="1104" t="str">
        <f t="shared" si="483"/>
        <v/>
      </c>
      <c r="GQ100" s="277" t="str">
        <f t="shared" si="484"/>
        <v/>
      </c>
      <c r="GR100" s="759" t="str">
        <f>IF(A100=FALSE,"",((GH100*TAXE)-(GH100*TAXE*GM100)+GI100)+IF(CQ100="N/A",0,IF(INDEX(LISTES!$F$105:$F$109,MATCH(CQ100,LISTES!$C$105:$C$109,0))="FIX",CR100,CS100*GQ100)))</f>
        <v/>
      </c>
      <c r="GS100" s="412"/>
      <c r="GT100" s="412"/>
      <c r="GU100" s="412"/>
      <c r="GV100" s="412"/>
      <c r="GW100" s="412"/>
      <c r="GX100" s="412"/>
      <c r="GY100" s="412"/>
      <c r="GZ100" s="412"/>
      <c r="HA100" s="432" t="str">
        <f t="shared" si="383"/>
        <v/>
      </c>
      <c r="HB100" s="1234" t="str">
        <f>IF(A100=FALSE,"",IF(Detail!DF100="","N/A",YEAR(Detail!F100)&amp;Detail!DI100&amp;Detail!DF100&amp;"-"&amp;Detail!$DF$13))</f>
        <v/>
      </c>
      <c r="HC100" s="434" t="str">
        <f>IF(A100=FALSE,"",IF(LISTES!$A$17=1,HB100,INDEX(colMOD4,MATCH(Cotations!AH100,colchoice,0))))</f>
        <v/>
      </c>
      <c r="HD100" s="277" t="str">
        <f t="shared" si="485"/>
        <v/>
      </c>
      <c r="HE100" s="277" t="str">
        <f t="shared" si="486"/>
        <v/>
      </c>
      <c r="HF100" s="277"/>
      <c r="HG100" s="277"/>
      <c r="HH100" s="277" t="str">
        <f t="shared" si="487"/>
        <v/>
      </c>
      <c r="HI100" s="1104" t="str">
        <f t="shared" si="488"/>
        <v/>
      </c>
      <c r="HJ100" s="1104" t="str">
        <f t="shared" si="489"/>
        <v/>
      </c>
      <c r="HK100" s="443" t="str">
        <f>IF(A100=FALSE,"",IF(Cotations!AF100="monthly",HH100/12*L100,HH100/365*M100))</f>
        <v/>
      </c>
      <c r="HL100" s="1103" t="str">
        <f>IF(A100=FALSE,"",IF(Cotations!AF100="monthly",HJ100/12*L100,HJ100/365*M100))</f>
        <v/>
      </c>
      <c r="HM100" s="433" t="str">
        <f>IF(A100=FALSE,"",IF(Cotations!AL100="","",Cotations!AL100))</f>
        <v/>
      </c>
      <c r="HN100" s="277" t="str">
        <f t="shared" si="490"/>
        <v/>
      </c>
      <c r="HO100" s="277" t="str">
        <f t="shared" si="491"/>
        <v/>
      </c>
      <c r="HP100" s="1104" t="str">
        <f t="shared" si="492"/>
        <v/>
      </c>
      <c r="HQ100" s="277" t="str">
        <f t="shared" si="493"/>
        <v/>
      </c>
      <c r="HR100" s="759" t="str">
        <f>IF(A100=FALSE,"",((HH100*TAXE)-(HH100*TAXE*HM100)+HI100)+IF(CQ100="N/A",0,IF(INDEX(LISTES!$F$105:$F$109,MATCH(CQ100,LISTES!$C$105:$C$109,0))="FIX",CR100,CS100*HQ100)))</f>
        <v/>
      </c>
      <c r="HS100" s="412"/>
      <c r="HT100" s="412"/>
      <c r="HU100" s="412"/>
      <c r="HV100" s="412"/>
      <c r="HW100" s="412"/>
      <c r="HX100" s="412"/>
      <c r="HY100" s="412"/>
      <c r="HZ100" s="1262"/>
      <c r="IA100" s="432" t="str">
        <f>IF(A100=FALSE,"",Cotations!AT100)</f>
        <v/>
      </c>
      <c r="IB100" s="1253" t="str">
        <f>IF(A100=FALSE,"",IF(Detail!AT100="","N/A",YEAR(Detail!F100)&amp;Detail!AW100&amp;Detail!AT100&amp;"-"&amp;Detail!$AT$13&amp;Detail!AU100))</f>
        <v/>
      </c>
      <c r="IC100" s="431" t="str">
        <f>IF(A100=FALSE,"",IF(LISTES!$A$17=1,IB100,INDEX(colMOD1,MATCH(DA100,colchoice,0))))</f>
        <v/>
      </c>
      <c r="ID100" s="759" t="str">
        <f t="shared" si="358"/>
        <v/>
      </c>
      <c r="IE100" s="292" t="str">
        <f>IF(A100=FALSE,"",IF(LISTES!$A$17=1,Detail!AU100,INDEX(Rates!$M$1:$M$270,MATCH(IC100,colMOD1,0))))</f>
        <v/>
      </c>
      <c r="IF100" s="409" t="str">
        <f t="shared" si="359"/>
        <v/>
      </c>
      <c r="IG100" s="430" t="str">
        <f>IF(A100=FALSE,"",IF(IA100="POEA",Cotations!AY100,IF(IA100="FIXE",Cotations!AZ100,IF(Cotations!BA100*Y100&lt;50000,Z100,Cotations!BA100*Y100))))</f>
        <v/>
      </c>
      <c r="IH100" s="292" t="str">
        <f t="shared" si="360"/>
        <v/>
      </c>
      <c r="II100" s="446" t="str">
        <f>IF(A100=FALSE,"",IF(Cotations!AU100="monthly",IH100/12*L100,IH100/365*M100))</f>
        <v/>
      </c>
      <c r="IJ100" s="429" t="str">
        <f>IF(A100=FALSE,"",IF(Cotations!BB100="","",Cotations!BB100))</f>
        <v/>
      </c>
      <c r="IK100" s="292" t="str">
        <f t="shared" si="361"/>
        <v/>
      </c>
      <c r="IL100" s="292" t="str">
        <f t="shared" si="362"/>
        <v/>
      </c>
      <c r="IM100" s="759" t="str">
        <f t="shared" si="363"/>
        <v/>
      </c>
      <c r="IN100" s="759" t="str">
        <f>IF(A100=FALSE,"",((IH100*TAXE)-(IH100*TAXE*IJ100))+IF(DQ100="N/A",0,IF(INDEX(LISTES!$F$105:$F$109,MATCH(DQ100,LISTES!$C$105:$C$109,0))="FIX",DR100,DS100*IM100)))</f>
        <v/>
      </c>
      <c r="JA100" s="432" t="str">
        <f>IF(A100=FALSE,"",Cotations!AT100)</f>
        <v/>
      </c>
      <c r="JB100" s="1234" t="str">
        <f>IF(A100=FALSE,"",IF(Detail!BB100="","N/A",YEAR(Detail!F100)&amp;Detail!BE100&amp;Detail!BB100&amp;"-"&amp;Detail!$BB$13&amp;Detail!BC100))</f>
        <v/>
      </c>
      <c r="JC100" s="431" t="str">
        <f>IF(A100=FALSE,"",IF(LISTES!$A$17=1,JB100,INDEX(colMOD2,MATCH(DA100,colchoice,0))))</f>
        <v/>
      </c>
      <c r="JD100" s="759" t="str">
        <f t="shared" si="384"/>
        <v/>
      </c>
      <c r="JE100" s="292"/>
      <c r="JF100" s="409" t="str">
        <f t="shared" si="385"/>
        <v/>
      </c>
      <c r="JG100" s="430" t="str">
        <f>IF(A100=FALSE,"",IF(JA100="POEA",Cotations!BC100,IF(JA100="FIXE",Cotations!BD100,IF(Cotations!BE100*Y100&lt;50000,Z100,Cotations!BE100*Y100))))</f>
        <v/>
      </c>
      <c r="JH100" s="292" t="str">
        <f t="shared" si="386"/>
        <v/>
      </c>
      <c r="JI100" s="446" t="str">
        <f>IF(A100=FALSE,"",IF(Cotations!AU100="monthly",JH100/12*L100,JH100/365*M100))</f>
        <v/>
      </c>
      <c r="JJ100" s="429" t="str">
        <f>IF(A100=FALSE,"",IF(Cotations!BF100="","",Cotations!BF100))</f>
        <v/>
      </c>
      <c r="JK100" s="292" t="str">
        <f t="shared" si="387"/>
        <v/>
      </c>
      <c r="JL100" s="292" t="str">
        <f t="shared" si="388"/>
        <v/>
      </c>
      <c r="JM100" s="759" t="str">
        <f t="shared" si="389"/>
        <v/>
      </c>
      <c r="JN100" s="759" t="str">
        <f>IF(A100=FALSE,"",((JH100*TAXE)-(JH100*TAXE*JJ100))+IF(#REF!="N/A",0,IF(INDEX(LISTES!$F$105:$F$109,MATCH(#REF!,LISTES!$C$105:$C$109,0))="FIX",#REF!,#REF!*JM100)))</f>
        <v/>
      </c>
      <c r="KA100" s="432" t="str">
        <f>IF(A100=FALSE,"",Cotations!AT100)</f>
        <v/>
      </c>
      <c r="KB100" s="1234" t="str">
        <f>IF(A100=FALSE,"",IF(Detail!BJ100="","N/A",YEAR(Detail!F100)&amp;Detail!BM100&amp;Detail!BJ100&amp;"-"&amp;Detail!$BJ$13&amp;Detail!BK100))</f>
        <v/>
      </c>
      <c r="KC100" s="431" t="str">
        <f>IF(A100=FALSE,"",IF(LISTES!$A$17=1,KB100,INDEX(colMOD3,MATCH(DA100,colchoice,0))))</f>
        <v/>
      </c>
      <c r="KD100" s="759" t="str">
        <f t="shared" si="390"/>
        <v/>
      </c>
      <c r="KE100" s="292"/>
      <c r="KF100" s="409" t="str">
        <f t="shared" si="391"/>
        <v/>
      </c>
      <c r="KG100" s="430" t="str">
        <f>IF(A100=FALSE,"",IF(KA100="POEA",Cotations!BG100,IF(KA100="FIXE",Cotations!BH100,IF(Cotations!BI100*Y100&lt;50000,Z100,Cotations!BI100*Y100))))</f>
        <v/>
      </c>
      <c r="KH100" s="292" t="str">
        <f t="shared" si="392"/>
        <v/>
      </c>
      <c r="KI100" s="446" t="str">
        <f>IF(A100=FALSE,"",IF(Cotations!AU100="monthly",KH100/12*L100,KH100/365*M100))</f>
        <v/>
      </c>
      <c r="KJ100" s="429" t="str">
        <f>IF(A100=FALSE,"",IF(Cotations!BJ100="","",Cotations!BJ100))</f>
        <v/>
      </c>
      <c r="KK100" s="292" t="str">
        <f t="shared" si="393"/>
        <v/>
      </c>
      <c r="KL100" s="292" t="str">
        <f t="shared" si="394"/>
        <v/>
      </c>
      <c r="KM100" s="759" t="str">
        <f t="shared" si="395"/>
        <v/>
      </c>
      <c r="KN100" s="759" t="str">
        <f>IF(A100=FALSE,"",((KH100*TAXE)-(KH100*TAXE*KJ100))+IF(#REF!="N/A",0,IF(INDEX(LISTES!$F$105:$F$109,MATCH(#REF!,LISTES!$C$105:$C$109,0))="FIX",#REF!,#REF!*KM100)))</f>
        <v/>
      </c>
      <c r="LA100" s="432" t="str">
        <f>IF(A100=FALSE,"",Cotations!AT100)</f>
        <v/>
      </c>
      <c r="LB100" s="1234" t="str">
        <f>IF(A100=FALSE,"",IF(Detail!BR100="","N/A",YEAR(Detail!F100)&amp;Detail!BU100&amp;Detail!BR100&amp;"-"&amp;Detail!$BR$13&amp;Detail!BS100))</f>
        <v/>
      </c>
      <c r="LC100" s="431" t="str">
        <f>IF(A100=FALSE,"",IF(LISTES!$A$17=1,LB100,INDEX(colMOD4,MATCH(DA100,colchoice,0))))</f>
        <v/>
      </c>
      <c r="LD100" s="759" t="str">
        <f t="shared" si="396"/>
        <v/>
      </c>
      <c r="LE100" s="292"/>
      <c r="LF100" s="409" t="str">
        <f t="shared" si="397"/>
        <v/>
      </c>
      <c r="LG100" s="430" t="str">
        <f>IF(A100=FALSE,"",IF(LA100="POEA",Cotations!BK100,IF(LA100="FIXE",Cotations!BL100,IF(Cotations!BM100*Y100&lt;50000,Z100,Cotations!BM100*Y100))))</f>
        <v/>
      </c>
      <c r="LH100" s="292" t="str">
        <f t="shared" si="398"/>
        <v/>
      </c>
      <c r="LI100" s="446" t="str">
        <f>IF(A100=FALSE,"",IF(Cotations!AU100="monthly",LH100/12*L100,LH100/365*M100))</f>
        <v/>
      </c>
      <c r="LJ100" s="429" t="str">
        <f>IF(A100=FALSE,"",IF(Cotations!BN100="","",Cotations!BN100))</f>
        <v/>
      </c>
      <c r="LK100" s="292" t="str">
        <f t="shared" si="399"/>
        <v/>
      </c>
      <c r="LL100" s="292" t="str">
        <f t="shared" si="400"/>
        <v/>
      </c>
      <c r="LM100" s="759" t="str">
        <f t="shared" si="401"/>
        <v/>
      </c>
      <c r="LN100" s="759" t="str">
        <f>IF(A100=FALSE,"",((LH100*TAXE)-(LH100*TAXE*LJ100))+IF(#REF!="N/A",0,IF(INDEX(LISTES!$F$105:$F$109,MATCH(#REF!,LISTES!$C$105:$C$109,0))="FIX",#REF!,#REF!*LM100)))</f>
        <v/>
      </c>
      <c r="MA100" s="432" t="str">
        <f t="shared" si="402"/>
        <v/>
      </c>
      <c r="MB100" s="1234" t="str">
        <f>IF(A100=FALSE,"",IF(Detail!BZ100="","N/A",YEAR(Detail!F100)&amp;Detail!CC100&amp;Detail!BZ100&amp;"-"&amp;Detail!$BZ$13&amp;" (100%/"&amp;Detail!CD100&amp;"/"&amp;Detail!CE100&amp;")"))</f>
        <v/>
      </c>
      <c r="MC100" s="431" t="str">
        <f>IF(A100=FALSE,"",IF(LISTES!$A$17=1,MB100,INDEX(colMOD5,MATCH(DA100,colchoice,0))))</f>
        <v/>
      </c>
      <c r="MD100" s="759" t="str">
        <f t="shared" si="403"/>
        <v/>
      </c>
      <c r="ME100" s="292"/>
      <c r="MF100" s="409" t="str">
        <f t="shared" si="404"/>
        <v/>
      </c>
      <c r="MG100" s="430" t="str">
        <f>IF(A100=FALSE,"",Cotations!BQ100*AA100)</f>
        <v/>
      </c>
      <c r="MH100" s="292" t="str">
        <f t="shared" si="405"/>
        <v/>
      </c>
      <c r="MI100" s="446" t="str">
        <f>IF(A100=FALSE,"",IF(Cotations!AU100="monthly",MH100/12*L100,MH100/365*M100))</f>
        <v/>
      </c>
      <c r="MJ100" s="429" t="str">
        <f>IF(A100=FALSE,"",IF(Cotations!BR100="","",Cotations!BR100))</f>
        <v/>
      </c>
      <c r="MK100" s="292" t="str">
        <f t="shared" si="406"/>
        <v/>
      </c>
      <c r="ML100" s="292" t="str">
        <f t="shared" si="407"/>
        <v/>
      </c>
      <c r="MM100" s="759" t="str">
        <f t="shared" si="408"/>
        <v/>
      </c>
      <c r="MN100" s="759" t="str">
        <f>IF(A100=FALSE,"",((MH100*TAXE)-(MH100*TAXE*MJ100))+IF(#REF!="N/A",0,IF(INDEX(LISTES!$F$105:$F$109,MATCH(#REF!,LISTES!$C$105:$C$109,0))="FIX",#REF!,#REF!*MM100)))</f>
        <v/>
      </c>
      <c r="NA100" s="432" t="str">
        <f t="shared" si="409"/>
        <v/>
      </c>
      <c r="NB100" s="1234" t="str">
        <f>IF(A100=FALSE,"",IF(Detail!CH100="","N/A",YEAR(Detail!F100)&amp;Detail!CK100&amp;Detail!CH100&amp;"-"&amp;Detail!$CH$13&amp;" (100%/"&amp;Detail!CL100&amp;"/"&amp;Detail!CM100&amp;")"))</f>
        <v/>
      </c>
      <c r="NC100" s="431" t="str">
        <f>IF(A100=FALSE,"",IF(LISTES!$A$17=1,NB100,INDEX(colMOD6,MATCH(DA100,colchoice,0))))</f>
        <v/>
      </c>
      <c r="ND100" s="759" t="str">
        <f t="shared" si="410"/>
        <v/>
      </c>
      <c r="NE100" s="292"/>
      <c r="NF100" s="409" t="str">
        <f t="shared" si="411"/>
        <v/>
      </c>
      <c r="NG100" s="430" t="str">
        <f>IF(A100=FALSE,"",Cotations!BU100*AA100)</f>
        <v/>
      </c>
      <c r="NH100" s="292" t="str">
        <f t="shared" si="412"/>
        <v/>
      </c>
      <c r="NI100" s="446" t="str">
        <f>IF(A100=FALSE,"",IF(Cotations!AU100="monthly",NH100/12*L100,NH100/365*M100))</f>
        <v/>
      </c>
      <c r="NJ100" s="429" t="str">
        <f>IF(A100=FALSE,"",IF(Cotations!BV100="","",Cotations!BV100))</f>
        <v/>
      </c>
      <c r="NK100" s="292" t="str">
        <f t="shared" si="413"/>
        <v/>
      </c>
      <c r="NL100" s="292" t="str">
        <f t="shared" si="414"/>
        <v/>
      </c>
      <c r="NM100" s="759" t="str">
        <f t="shared" si="415"/>
        <v/>
      </c>
      <c r="NN100" s="759" t="str">
        <f>IF(A100=FALSE,"",((NH100*TAXE)-(NH100*TAXE*NJ100))+IF(#REF!="N/A",0,IF(INDEX(LISTES!$F$105:$F$109,MATCH(#REF!,LISTES!$C$105:$C$109,0))="FIX",#REF!,#REF!*NM100)))</f>
        <v/>
      </c>
      <c r="NZ100" s="1281" t="str">
        <f>IF(A100=FALSE,"",IF(Detail!CP100="","N/A",YEAR(Detail!F100)&amp;Detail!CS100&amp;Detail!CP100&amp;"-"&amp;Detail!CQ100))</f>
        <v/>
      </c>
      <c r="OA100" s="432" t="str">
        <f>IF(A100=FALSE,"",Cotations!CF100)</f>
        <v/>
      </c>
      <c r="OB100" s="1282" t="str">
        <f>IF(A100=FALSE,"",IF(Detail!CP100="","N/A",YEAR(Detail!F100)&amp;Detail!CS100&amp;Detail!CP100&amp;"-"&amp;Detail!$CP$13&amp;Detail!CQ100))</f>
        <v/>
      </c>
      <c r="OC100" s="1283" t="str">
        <f>IF(A100=FALSE,"",IF(LISTES!$A$17=1,OB100,INDEX(colMOD1,MATCH(Cotations!CE100,colchoice,0))))</f>
        <v/>
      </c>
      <c r="OD100" s="759" t="str">
        <f t="shared" si="416"/>
        <v/>
      </c>
      <c r="OE100" s="292" t="str">
        <f>IF(A100=FALSE,"",Detail!CQ100)</f>
        <v/>
      </c>
      <c r="OF100" s="409" t="str">
        <f t="shared" si="417"/>
        <v/>
      </c>
      <c r="OG100" s="430" t="str">
        <f>IF(A100=FALSE,"",IF(OA100="FIXE",Cotations!CM100,Cotations!CN100*AA100))</f>
        <v/>
      </c>
      <c r="OH100" s="292" t="str">
        <f t="shared" si="494"/>
        <v/>
      </c>
      <c r="OI100" s="446" t="str">
        <f>IF(A100=FALSE,"",IF(Cotations!CF100="monthly",OH100/12*L100,OH100/365*M100))</f>
        <v/>
      </c>
      <c r="OJ100" s="429" t="str">
        <f>IF(A100=FALSE,"",IF(Cotations!CO100="","",Cotations!CO100))</f>
        <v/>
      </c>
      <c r="OK100" s="292" t="str">
        <f t="shared" si="495"/>
        <v/>
      </c>
      <c r="OL100" s="292" t="str">
        <f t="shared" si="496"/>
        <v/>
      </c>
      <c r="OM100" s="759" t="str">
        <f t="shared" si="418"/>
        <v/>
      </c>
      <c r="ON100" s="759" t="str">
        <f>IF(A100=FALSE,"",((OH100*(1+TAXE)-(OH100*(1+TAXE)*OJ100))+IF(#REF!="N/A",0,IF(INDEX(LISTES!$F$105:$F$109,MATCH(#REF!,LISTES!$C$105:$C$109,0))="FIX",#REF!,#REF!*OM100))))</f>
        <v/>
      </c>
      <c r="PA100" s="432" t="str">
        <f>IF(A100=FALSE,"",Cotations!CF100)</f>
        <v/>
      </c>
      <c r="PB100" s="1282" t="str">
        <f>IF(A100=FALSE,"",IF(Detail!CX100="","N/A",YEAR(Detail!F100)&amp;Detail!DA100&amp;Detail!CX100&amp;"-"&amp;Detail!$CX$13&amp;Detail!CY100))</f>
        <v/>
      </c>
      <c r="PC100" s="1283" t="str">
        <f>IF(A100=FALSE,"",IF(LISTES!$A$17=1,PB100,INDEX(colMOD3,MATCH(Cotations!CE100,colchoice,0))))</f>
        <v/>
      </c>
      <c r="PD100" s="759" t="str">
        <f t="shared" si="419"/>
        <v/>
      </c>
      <c r="PE100" s="292" t="str">
        <f>IF(A100=FALSE,"",IF(Detail!CY100="","",Detail!CY100))</f>
        <v/>
      </c>
      <c r="PF100" s="409" t="str">
        <f t="shared" si="497"/>
        <v/>
      </c>
      <c r="PG100" s="430" t="str">
        <f>IF(A100=FALSE,"",IF(PA100="FIXE",Cotations!CP100,Cotations!CQ100*AA100))</f>
        <v/>
      </c>
      <c r="PH100" s="292" t="str">
        <f t="shared" si="498"/>
        <v/>
      </c>
      <c r="PI100" s="446" t="str">
        <f>IF(A100=FALSE,"",IF(Cotations!CG100="monthly",PH100/12*L100,PH100/365*M100))</f>
        <v/>
      </c>
      <c r="PJ100" s="429" t="str">
        <f>IF(A100=FALSE,"",IF(Cotations!DA100="",0,Cotations!DA100))</f>
        <v/>
      </c>
      <c r="PK100" s="292" t="str">
        <f t="shared" si="499"/>
        <v/>
      </c>
      <c r="PL100" s="292" t="str">
        <f t="shared" si="500"/>
        <v/>
      </c>
      <c r="PM100" s="759" t="str">
        <f t="shared" si="420"/>
        <v/>
      </c>
      <c r="PN100" s="759" t="str">
        <f>IF(A100=FALSE,"",((PH100*(1+TAXE)-(PH100*(1+TAXE)*PJ100))+IF(#REF!="N/A",0,IF(INDEX(LISTES!$F$105:$F$109,MATCH(#REF!,LISTES!$C$105:$C$109,0))="FIX",#REF!,#REF!*PM100))))</f>
        <v/>
      </c>
    </row>
    <row r="101" spans="1:430">
      <c r="A101" s="779" t="b">
        <f t="shared" si="364"/>
        <v>0</v>
      </c>
      <c r="B101" s="779" t="b">
        <f>IF(NAMES!$B$9=TRUE,TRUE,FALSE)</f>
        <v>1</v>
      </c>
      <c r="C101" s="779" t="b">
        <f t="shared" si="421"/>
        <v>0</v>
      </c>
      <c r="D101" s="779" t="b">
        <f t="shared" si="422"/>
        <v>0</v>
      </c>
      <c r="E101" s="267" t="b">
        <f>IF(Cotations!C101="","",Cotations!C101)</f>
        <v>0</v>
      </c>
      <c r="F101" s="267" t="str">
        <f>IF(Cotations!AT101="","",Cotations!AT101)</f>
        <v>PROP</v>
      </c>
      <c r="G101" s="267" t="str">
        <f>IF(Cotations!D101="","",Cotations!D101)</f>
        <v>2016-2017!</v>
      </c>
      <c r="H101" s="267" t="str">
        <f>IF(Cotations!E101="","",Cotations!E101)</f>
        <v>SINGLE</v>
      </c>
      <c r="I101" s="267" t="str">
        <f>IF(Cotations!F101="","",Cotations!F101)</f>
        <v/>
      </c>
      <c r="J101" s="267" t="str">
        <f>IF(Cotations!G101="","",Cotations!G101)</f>
        <v/>
      </c>
      <c r="K101" s="267" t="str">
        <f>IF(Cotations!H101="","",Cotations!H101)</f>
        <v/>
      </c>
      <c r="L101" s="267" t="str">
        <f>IF(A101=FALSE,"",IF(Cotations!M101="","",Cotations!M101))</f>
        <v/>
      </c>
      <c r="M101" s="267" t="str">
        <f>IF(Cotations!O101="","",Cotations!O101)</f>
        <v/>
      </c>
      <c r="N101" s="588" t="str">
        <f>IF(NAMES!$B$10=TRUE,Cotations!I101,Cotations!K101)</f>
        <v/>
      </c>
      <c r="O101" s="588" t="str">
        <f>IF(NAMES!$B$10=TRUE,Cotations!J101,Cotations!L101)</f>
        <v/>
      </c>
      <c r="P101" s="780" t="str">
        <f t="shared" si="423"/>
        <v/>
      </c>
      <c r="Q101" s="588" t="str">
        <f>IF(A101=FALSE,"",IF(Crewlist!Y101="","",Crewlist!Y101))</f>
        <v/>
      </c>
      <c r="R101" s="78" t="str">
        <f>IF(Cotations!T101="","",Cotations!T101)</f>
        <v/>
      </c>
      <c r="S101" s="780" t="str">
        <f t="shared" si="424"/>
        <v/>
      </c>
      <c r="T101" s="759" t="str">
        <f>IF(A101=FALSE,"",VLOOKUP($U$15:$U$120,Currency!$A$2:$D$10,4,0)*Crewlist!N101)</f>
        <v/>
      </c>
      <c r="U101" s="1097" t="str">
        <f>IF(A101=FALSE,"",IF(DP101=0,Crewlist!M101&amp;"/"&amp;CP101,Crewlist!M101&amp;"/"&amp;DP101))</f>
        <v/>
      </c>
      <c r="V101" s="759" t="str">
        <f>IF(A101=FALSE,"",VLOOKUP($U$15:$U$120,Currency!$A$2:$D$10,4,0)*Detail!Q101)</f>
        <v/>
      </c>
      <c r="W101" s="1097" t="str">
        <f>IF(A101=FALSE,"",IF(DP101=0,Detail!R101&amp;"/"&amp;CP101,Detail!R101&amp;"/"&amp;DP101))</f>
        <v/>
      </c>
      <c r="X101" s="759" t="str">
        <f>IF(A101=FALSE,"",IF(LISTES!$C$17="Crewlist",Calcul!T101,Calcul!V101))</f>
        <v/>
      </c>
      <c r="Y101" s="618" t="str">
        <f t="shared" si="425"/>
        <v/>
      </c>
      <c r="Z101" s="618" t="str">
        <f>IF(A101=FALSE,"",IF(X101=0,0,IF((Cotations!BA101*12*X101)&lt;50000,50000,(12*X101))))</f>
        <v/>
      </c>
      <c r="AA101" s="618" t="str">
        <f t="shared" si="426"/>
        <v/>
      </c>
      <c r="AB101" s="618" t="str">
        <f>IF(A101=FALSE,"",IF(Crewlist!O101=0,"",Crewlist!O101))</f>
        <v/>
      </c>
      <c r="AC101" s="618" t="str">
        <f>IF(I101="","",VLOOKUP($AB$15:$AB$120,Currency!$A$15:$B$34,2,0))</f>
        <v/>
      </c>
      <c r="AD101" s="618" t="str">
        <f t="shared" si="427"/>
        <v/>
      </c>
      <c r="AE101" s="618" t="str">
        <f t="shared" si="428"/>
        <v/>
      </c>
      <c r="AF101" s="618" t="str">
        <f t="shared" si="429"/>
        <v/>
      </c>
      <c r="AG101" s="618" t="str">
        <f t="shared" si="430"/>
        <v/>
      </c>
      <c r="AH101" s="1097" t="str">
        <f t="shared" si="365"/>
        <v/>
      </c>
      <c r="AI101" s="759" t="str">
        <f t="shared" si="431"/>
        <v/>
      </c>
      <c r="AJ101" s="1120" t="str">
        <f t="shared" si="432"/>
        <v/>
      </c>
      <c r="AK101" s="1120" t="str">
        <f t="shared" si="433"/>
        <v/>
      </c>
      <c r="AL101" s="236" t="str">
        <f t="shared" si="434"/>
        <v/>
      </c>
      <c r="AM101" s="236" t="str">
        <f t="shared" si="435"/>
        <v/>
      </c>
      <c r="AN101" s="1112" t="str">
        <f t="shared" si="436"/>
        <v/>
      </c>
      <c r="AO101" s="236" t="str">
        <f t="shared" si="437"/>
        <v/>
      </c>
      <c r="AP101" s="327" t="str">
        <f>IF(A101=FALSE,"",INDEX(Rates!$Q$1:$Q$278,MATCH(CA101,colchoice,0)))</f>
        <v/>
      </c>
      <c r="AQ101" s="236" t="str">
        <f t="shared" si="438"/>
        <v/>
      </c>
      <c r="AR101" s="236" t="str">
        <f t="shared" si="439"/>
        <v/>
      </c>
      <c r="AS101" s="236" t="str">
        <f t="shared" si="366"/>
        <v/>
      </c>
      <c r="AT101" s="236" t="str">
        <f t="shared" si="367"/>
        <v/>
      </c>
      <c r="AU101" s="236" t="str">
        <f t="shared" si="440"/>
        <v/>
      </c>
      <c r="AV101" s="236" t="str">
        <f t="shared" si="441"/>
        <v/>
      </c>
      <c r="AW101" s="236" t="str">
        <f t="shared" si="442"/>
        <v/>
      </c>
      <c r="AX101" s="236" t="str">
        <f t="shared" si="443"/>
        <v/>
      </c>
      <c r="AY101" s="236" t="str">
        <f t="shared" si="444"/>
        <v/>
      </c>
      <c r="AZ101" s="236" t="str">
        <f t="shared" si="445"/>
        <v/>
      </c>
      <c r="BA101" s="236" t="str">
        <f t="shared" si="446"/>
        <v/>
      </c>
      <c r="BB101" s="467" t="str">
        <f t="shared" si="447"/>
        <v/>
      </c>
      <c r="BC101" s="329" t="str">
        <f t="shared" si="448"/>
        <v/>
      </c>
      <c r="BD101" s="237" t="str">
        <f t="shared" si="449"/>
        <v/>
      </c>
      <c r="BE101" s="237" t="str">
        <f>IF(A101=FALSE,"",IF(ED101&lt;&gt;$BC$7,0,INDEX(EA101:EZ101,1,MATCH(Structure!$J$16,$EA$14:$EZ$14,0))))</f>
        <v/>
      </c>
      <c r="BF101" s="237" t="str">
        <f>IF(A101=FALSE,"",IF(FD101&lt;&gt;$BC$7,0,INDEX(FA101:FZ101,1,MATCH(Structure!$J$16,$FA$14:$FZ$14,0))))</f>
        <v/>
      </c>
      <c r="BG101" s="237" t="str">
        <f>IF(A101=FALSE,"",IF(GD101&lt;&gt;$BC$7,0,INDEX(GA101:GZ101,1,MATCH(Structure!$J$16,$GA$14:$GZ$14,0))))</f>
        <v/>
      </c>
      <c r="BH101" s="237" t="str">
        <f>IF(A101=FALSE,"",IF(HD101&lt;&gt;$BC$7,0,INDEX(HA101:HZ101,1,MATCH(Structure!$J$16,$HA$14:$HZ$14,0))))</f>
        <v/>
      </c>
      <c r="BI101" s="621" t="str">
        <f>IF(A101=FALSE,"",IF(ID101&lt;&gt;$BC$7,0,INDEX(IA101:IZ101,1,MATCH(Structure!$C$12,$IA$14:$IZ$14,0)))+OL101)</f>
        <v/>
      </c>
      <c r="BJ101" s="237" t="str">
        <f>IF(A101=FALSE,"",IF(JD101&lt;&gt;$BC$7,0,INDEX(JA101:JZ101,1,MATCH(Structure!$C$12,$JA$14:$JZ$14,0))))</f>
        <v/>
      </c>
      <c r="BK101" s="621" t="str">
        <f>IF(A101=FALSE,"",IF(KD101&lt;&gt;$BC$7,0,INDEX(KA101:KZ101,1,MATCH(Structure!$C$12,$KA$14:$KZ$14,0)))+PL101)</f>
        <v/>
      </c>
      <c r="BL101" s="237" t="str">
        <f>IF(A101=FALSE,"",IF(LD101&lt;&gt;$BC$7,0,INDEX(LA101:LZ101,1,MATCH(Structure!$C$12,$LA$14:$LZ$14,0))))</f>
        <v/>
      </c>
      <c r="BM101" s="237" t="str">
        <f>IF(A101=FALSE,"",IF(MD101&lt;&gt;$BC$7,0,INDEX(MA101:MZ101,1,MATCH(Structure!$C$12,$MA$14:$MZ$14,0))))</f>
        <v/>
      </c>
      <c r="BN101" s="326" t="str">
        <f>IF(A101=FALSE,"",IF(ND101&lt;&gt;$BC$7,0,INDEX(NA101:OC101,1,MATCH(Structure!$C$12,$NA$14:$OC$14,0))))</f>
        <v/>
      </c>
      <c r="BO101" s="435" t="str">
        <f t="shared" si="450"/>
        <v/>
      </c>
      <c r="BP101" s="237" t="str">
        <f t="shared" si="451"/>
        <v/>
      </c>
      <c r="BQ101" s="237" t="str">
        <f>IF(A101=FALSE,"",IF(ED101&lt;&gt;$BO$7,0,INDEX(EA101:EZ101,1,MATCH(Structure!$C$12,$EA$14:$EZ$14,0))))</f>
        <v/>
      </c>
      <c r="BR101" s="237" t="str">
        <f>IF(A101=FALSE,"",IF(FD101&lt;&gt;$BO$7,0,INDEX(FA101:FZ101,1,MATCH(Structure!$C$12,$FA$14:$FZ$14,0))))</f>
        <v/>
      </c>
      <c r="BS101" s="237" t="str">
        <f>IF(A101=FALSE,"",IF(ID101&lt;&gt;$BO$7,0,INDEX(IA101:IZ101,1,MATCH(Structure!$C$13,$IA$14:$IZ$14,0))))</f>
        <v/>
      </c>
      <c r="BT101" s="237" t="str">
        <f>IF(A101=FALSE,"",IF(JD101&lt;&gt;$BO$7,0,INDEX(JA101:JZ101,1,MATCH(Structure!$C$13,$JA$14:$JZ$14,0))))</f>
        <v/>
      </c>
      <c r="BU101" s="237" t="str">
        <f>IF(A101=FALSE,"",IF(KD101&lt;&gt;$BO$7,0,INDEX(KA101:KZ101,1,MATCH(Structure!$C$13,$KA$14:$KZ$14,0))))</f>
        <v/>
      </c>
      <c r="BV101" s="237" t="str">
        <f>IF(A101=FALSE,"",IF(LD101&lt;&gt;$BO$7,0,INDEX(LA101:LZ101,1,MATCH(Structure!$C$13,$LA$14:$LZ$14,0))))</f>
        <v/>
      </c>
      <c r="BW101" s="237" t="str">
        <f>IF(A101=FALSE,"",IF(MD101&lt;&gt;$BO$7,0,INDEX(MA101:MZ101,1,MATCH(Structure!$C$13,$MA$14:$MZ$14,0))))</f>
        <v/>
      </c>
      <c r="BX101" s="326" t="str">
        <f>IF(A101=FALSE,"",IF(ND101&lt;&gt;$BO$7,0,INDEX(NA101:OC101,1,MATCH(Structure!$C$13,$NA$14:$OC$14,0))))</f>
        <v/>
      </c>
      <c r="BY101" s="412"/>
      <c r="BZ101" s="412"/>
      <c r="CA101" s="1255" t="str">
        <f>IF(A101=FALSE,"",IF(LISTES!$A$17=1,Cotations!AG101,Cotations!AH101))</f>
        <v/>
      </c>
      <c r="CB101" s="1266" t="str">
        <f t="shared" si="452"/>
        <v/>
      </c>
      <c r="CC101" s="1120" t="str">
        <f t="shared" si="453"/>
        <v/>
      </c>
      <c r="CD101" s="1120" t="str">
        <f t="shared" si="454"/>
        <v/>
      </c>
      <c r="CE101" s="1120" t="str">
        <f t="shared" si="455"/>
        <v/>
      </c>
      <c r="CF101" s="1120" t="str">
        <f t="shared" si="456"/>
        <v/>
      </c>
      <c r="CG101" s="1267"/>
      <c r="CH101" s="1267"/>
      <c r="CI101" s="1268" t="str">
        <f t="shared" si="457"/>
        <v/>
      </c>
      <c r="CJ101" s="286" t="str">
        <f t="shared" si="458"/>
        <v/>
      </c>
      <c r="CK101" s="286" t="str">
        <f t="shared" si="459"/>
        <v/>
      </c>
      <c r="CL101" s="1263"/>
      <c r="CM101" s="1263"/>
      <c r="CN101" s="1263"/>
      <c r="CO101" s="1263"/>
      <c r="CP101" s="319" t="str">
        <f t="shared" si="460"/>
        <v/>
      </c>
      <c r="CQ101" s="443" t="str">
        <f>IF(A101=FALSE,"",Cotations!AM101)</f>
        <v/>
      </c>
      <c r="CR101" s="443" t="str">
        <f>IF(A101=FALSE,"",IF(Cotations!AN101="","",Cotations!AN101))</f>
        <v/>
      </c>
      <c r="CS101" s="433" t="str">
        <f>IF(A101=FALSE,"",Cotations!AO101)</f>
        <v/>
      </c>
      <c r="CT101" s="443" t="str">
        <f>IF(A101=FALSE,"",IF(CQ101="N/A",0,IF(INDEX(LISTES!$F$105:$F$109,MATCH(CQ101,LISTES!$C$105:$C$109,0))="FIX",IF(INDEX(LISTES!$E$105:$E$109,MATCH(CQ101,LISTES!$C$105:$C$109,0))=12,CR101/12*L101,CR101/365*M101),CS101*EQ101)))</f>
        <v/>
      </c>
      <c r="CU101" s="434" t="str">
        <f>IF(A101=FALSE,"",(CJ101+CK101)*Cotations!AP101)</f>
        <v/>
      </c>
      <c r="CV101" s="434" t="str">
        <f>IF(A101=FALSE,"",(CJ101+CK101)*Cotations!AQ101)</f>
        <v/>
      </c>
      <c r="DA101" s="1253" t="str">
        <f>IF(A101=FALSE,"",IF(LISTES!$A$17=1,Cotations!AV101,Cotations!AW101))</f>
        <v/>
      </c>
      <c r="DB101" s="1271" t="str">
        <f t="shared" si="461"/>
        <v/>
      </c>
      <c r="DC101" s="1270" t="str">
        <f t="shared" si="462"/>
        <v/>
      </c>
      <c r="DD101" s="1270" t="str">
        <f t="shared" si="463"/>
        <v/>
      </c>
      <c r="DE101" s="1270" t="str">
        <f t="shared" si="464"/>
        <v/>
      </c>
      <c r="DF101" s="1270" t="str">
        <f t="shared" si="465"/>
        <v/>
      </c>
      <c r="DG101" s="1270" t="str">
        <f t="shared" si="466"/>
        <v/>
      </c>
      <c r="DH101" s="1270" t="str">
        <f t="shared" si="467"/>
        <v/>
      </c>
      <c r="DI101" s="1271" t="str">
        <f t="shared" si="468"/>
        <v/>
      </c>
      <c r="DJ101" s="286" t="str">
        <f t="shared" si="469"/>
        <v/>
      </c>
      <c r="DK101" s="286" t="str">
        <f t="shared" si="470"/>
        <v/>
      </c>
      <c r="DL101" s="1264" t="str">
        <f t="shared" si="471"/>
        <v/>
      </c>
      <c r="DM101" s="1264" t="str">
        <f t="shared" si="472"/>
        <v/>
      </c>
      <c r="DN101" s="1264" t="str">
        <f t="shared" si="473"/>
        <v/>
      </c>
      <c r="DO101" s="1264" t="str">
        <f t="shared" si="474"/>
        <v/>
      </c>
      <c r="DP101" s="323" t="str">
        <f t="shared" si="368"/>
        <v/>
      </c>
      <c r="DQ101" s="444" t="str">
        <f>IF(A101=FALSE,"",Cotations!BW101)</f>
        <v/>
      </c>
      <c r="DR101" s="444" t="str">
        <f>IF(A101=FALSE,"",Cotations!BX101)</f>
        <v/>
      </c>
      <c r="DS101" s="433" t="str">
        <f>IF(A101=FALSE,"",Cotations!BY101)</f>
        <v/>
      </c>
      <c r="DT101" s="830" t="str">
        <f>IF(A101=FALSE,"",IF(DQ101="N/A",0,IF(INDEX(LISTES!$F$105:$F$109,MATCH(DQ101,LISTES!$C$105:$C$109,0))="FIX",IF(INDEX(LISTES!$E$105:$E$109,MATCH(DQ101,LISTES!$C$105:$C$109,0))=12,DR101/12*L101,DR101/365*M101),DS101*(DN101+DO101))))</f>
        <v/>
      </c>
      <c r="DU101" s="434" t="str">
        <f>IF(A101=FALSE,"",DJ101*Cotations!BZ101)</f>
        <v/>
      </c>
      <c r="DV101" s="434" t="str">
        <f>IF(A101=FALSE,"",DJ101*Cotations!CA101)</f>
        <v/>
      </c>
      <c r="EA101" s="432" t="str">
        <f>IF(A101=FALSE,"",Cotations!AT101)</f>
        <v/>
      </c>
      <c r="EB101" s="1234" t="str">
        <f>IF(A101=FALSE,"",YEAR(Detail!F101)&amp;Detail!AG101&amp;Detail!AD101&amp;"-"&amp;Detail!$AD$13&amp;Detail!AE101)</f>
        <v/>
      </c>
      <c r="EC101" s="434" t="str">
        <f>IF(A101=FALSE,"",IF(LISTES!$A$17=1,EB101,INDEX(colMOD1,MATCH(Cotations!AH101,colchoice,0))))</f>
        <v/>
      </c>
      <c r="ED101" s="277" t="str">
        <f t="shared" si="369"/>
        <v/>
      </c>
      <c r="EE101" s="277" t="str">
        <f t="shared" si="370"/>
        <v/>
      </c>
      <c r="EF101" s="277"/>
      <c r="EG101" s="277"/>
      <c r="EH101" s="277" t="str">
        <f t="shared" si="371"/>
        <v/>
      </c>
      <c r="EI101" s="1104" t="str">
        <f t="shared" si="372"/>
        <v/>
      </c>
      <c r="EJ101" s="1104" t="str">
        <f t="shared" si="373"/>
        <v/>
      </c>
      <c r="EK101" s="443" t="str">
        <f>IF(A101=FALSE,"",IF(Cotations!AF101="monthly",EH101/12*L101,EH101/365*M101))</f>
        <v/>
      </c>
      <c r="EL101" s="1103" t="str">
        <f>IF(A101=FALSE,"",IF(Cotations!AF101="monthly",EJ101/12*L101,EJ101/365*M101))</f>
        <v/>
      </c>
      <c r="EM101" s="433" t="str">
        <f>IF(A101=FALSE,"",IF(Cotations!AI101="","",Cotations!AI101))</f>
        <v/>
      </c>
      <c r="EN101" s="277" t="str">
        <f t="shared" si="374"/>
        <v/>
      </c>
      <c r="EO101" s="277" t="str">
        <f t="shared" si="375"/>
        <v/>
      </c>
      <c r="EP101" s="1104" t="str">
        <f t="shared" si="376"/>
        <v/>
      </c>
      <c r="EQ101" s="277" t="str">
        <f t="shared" si="377"/>
        <v/>
      </c>
      <c r="ER101" s="759" t="str">
        <f>IF(A101=FALSE,"",((EH101*TAXE)-(EH101*TAXE*EM101)+EI101)+IF(CQ101="N/A",0,IF(INDEX(LISTES!$F$105:$F$109,MATCH(CQ101,LISTES!$C$105:$C$109,0))="FIX",CR101,CS101*EQ101)))</f>
        <v/>
      </c>
      <c r="ET101" s="422"/>
      <c r="EU101" s="422"/>
      <c r="EV101" s="422"/>
      <c r="EW101" s="422"/>
      <c r="EX101" s="422"/>
      <c r="EY101" s="422"/>
      <c r="EZ101" s="422"/>
      <c r="FA101" s="432" t="str">
        <f>IF(A101=FALSE,"",Cotations!AT101)</f>
        <v/>
      </c>
      <c r="FB101" s="1235" t="str">
        <f>IF(A101=FALSE,"",IF(Detail!AL101="","N/A",YEAR(Detail!F101)&amp;Detail!AO101&amp;Detail!AL101&amp;"-"&amp;Detail!$AL$13&amp;Detail!AM101))</f>
        <v/>
      </c>
      <c r="FC101" s="434" t="str">
        <f>IF(A101=FALSE,"",IF(LISTES!$A$17=1,FB101,INDEX(colMOD2,MATCH(Cotations!AH101,colchoice,0))))</f>
        <v/>
      </c>
      <c r="FD101" s="277" t="str">
        <f t="shared" si="378"/>
        <v/>
      </c>
      <c r="FE101" s="443" t="str">
        <f>IF(A101=FALSE,"",IF(Detail!AM101="","",Detail!AM101))</f>
        <v/>
      </c>
      <c r="FF101" s="277"/>
      <c r="FG101" s="277"/>
      <c r="FH101" s="277" t="str">
        <f t="shared" si="379"/>
        <v/>
      </c>
      <c r="FI101" s="1104"/>
      <c r="FJ101" s="1104"/>
      <c r="FK101" s="443" t="str">
        <f>IF(A101=FALSE,"",IF(Cotations!AF101="monthly",FH101/12*L101,FH101/365*M101))</f>
        <v/>
      </c>
      <c r="FL101" s="1103" t="str">
        <f>IF(A101=FALSE,"",IF(Cotations!AF101="monthly",FJ101/12*L101,FJ101/365*M101))</f>
        <v/>
      </c>
      <c r="FM101" s="433" t="str">
        <f>IF(A101=FALSE,"",IF(Cotations!AJ101="","",Cotations!AJ101))</f>
        <v/>
      </c>
      <c r="FN101" s="277" t="str">
        <f t="shared" si="475"/>
        <v/>
      </c>
      <c r="FO101" s="277" t="str">
        <f t="shared" si="476"/>
        <v/>
      </c>
      <c r="FP101" s="1104"/>
      <c r="FQ101" s="277" t="str">
        <f t="shared" si="477"/>
        <v/>
      </c>
      <c r="FR101" s="759" t="str">
        <f>IF(A101=FALSE,"",((FH101*TAXE)-(FH101*TAXE*FM101))+IF(#REF!="N/A",0,IF(INDEX(LISTES!$F$105:$F$109,MATCH(#REF!,LISTES!$C$105:$C$109,0))="FIX",#REF!,#REF!*FQ101)))</f>
        <v/>
      </c>
      <c r="FS101" s="422"/>
      <c r="FT101" s="422"/>
      <c r="FU101" s="422"/>
      <c r="FV101" s="422"/>
      <c r="FW101" s="422"/>
      <c r="FX101" s="422"/>
      <c r="FY101" s="422"/>
      <c r="FZ101" s="422"/>
      <c r="GA101" s="432" t="str">
        <f t="shared" si="380"/>
        <v/>
      </c>
      <c r="GB101" s="1234" t="str">
        <f>IF(A101=FALSE,"",IF(Detail!DF101="","N/A",YEAR(Detail!F101)&amp;Detail!DI101&amp;Detail!DF101&amp;"-"&amp;Detail!$DF$13))</f>
        <v/>
      </c>
      <c r="GC101" s="434" t="str">
        <f>IF(A101=FALSE,"",IF(LISTES!$A$17=1,GB101,INDEX(colMOD3,MATCH(Cotations!AH101,colchoice,0))))</f>
        <v/>
      </c>
      <c r="GD101" s="277" t="str">
        <f t="shared" si="381"/>
        <v/>
      </c>
      <c r="GE101" s="277" t="str">
        <f t="shared" si="382"/>
        <v/>
      </c>
      <c r="GF101" s="277"/>
      <c r="GG101" s="277"/>
      <c r="GH101" s="277" t="str">
        <f t="shared" si="478"/>
        <v/>
      </c>
      <c r="GI101" s="1104" t="str">
        <f t="shared" si="479"/>
        <v/>
      </c>
      <c r="GJ101" s="1104" t="str">
        <f t="shared" si="480"/>
        <v/>
      </c>
      <c r="GK101" s="443" t="str">
        <f>IF(A101=FALSE,"",IF(Cotations!AF101="monthly",GH101/12*L101,GH101/365*M101))</f>
        <v/>
      </c>
      <c r="GL101" s="1103" t="str">
        <f>IF(A101=FALSE,"",IF(Cotations!AF101="monthly",GJ101/12*L101,GJ101/365*M101))</f>
        <v/>
      </c>
      <c r="GM101" s="433" t="str">
        <f>IF(A101=FALSE,"",IF(Cotations!AK101="","",Cotations!AK101))</f>
        <v/>
      </c>
      <c r="GN101" s="277" t="str">
        <f t="shared" si="481"/>
        <v/>
      </c>
      <c r="GO101" s="277" t="str">
        <f t="shared" si="482"/>
        <v/>
      </c>
      <c r="GP101" s="1104" t="str">
        <f t="shared" si="483"/>
        <v/>
      </c>
      <c r="GQ101" s="277" t="str">
        <f t="shared" si="484"/>
        <v/>
      </c>
      <c r="GR101" s="759" t="str">
        <f>IF(A101=FALSE,"",((GH101*TAXE)-(GH101*TAXE*GM101)+GI101)+IF(CQ101="N/A",0,IF(INDEX(LISTES!$F$105:$F$109,MATCH(CQ101,LISTES!$C$105:$C$109,0))="FIX",CR101,CS101*GQ101)))</f>
        <v/>
      </c>
      <c r="GS101" s="412"/>
      <c r="GT101" s="412"/>
      <c r="GU101" s="412"/>
      <c r="GV101" s="412"/>
      <c r="GW101" s="412"/>
      <c r="GX101" s="412"/>
      <c r="GY101" s="412"/>
      <c r="GZ101" s="412"/>
      <c r="HA101" s="432" t="str">
        <f t="shared" si="383"/>
        <v/>
      </c>
      <c r="HB101" s="1234" t="str">
        <f>IF(A101=FALSE,"",IF(Detail!DF101="","N/A",YEAR(Detail!F101)&amp;Detail!DI101&amp;Detail!DF101&amp;"-"&amp;Detail!$DF$13))</f>
        <v/>
      </c>
      <c r="HC101" s="434" t="str">
        <f>IF(A101=FALSE,"",IF(LISTES!$A$17=1,HB101,INDEX(colMOD4,MATCH(Cotations!AH101,colchoice,0))))</f>
        <v/>
      </c>
      <c r="HD101" s="277" t="str">
        <f t="shared" si="485"/>
        <v/>
      </c>
      <c r="HE101" s="277" t="str">
        <f t="shared" si="486"/>
        <v/>
      </c>
      <c r="HF101" s="277"/>
      <c r="HG101" s="277"/>
      <c r="HH101" s="277" t="str">
        <f t="shared" si="487"/>
        <v/>
      </c>
      <c r="HI101" s="1104" t="str">
        <f t="shared" si="488"/>
        <v/>
      </c>
      <c r="HJ101" s="1104" t="str">
        <f t="shared" si="489"/>
        <v/>
      </c>
      <c r="HK101" s="443" t="str">
        <f>IF(A101=FALSE,"",IF(Cotations!AF101="monthly",HH101/12*L101,HH101/365*M101))</f>
        <v/>
      </c>
      <c r="HL101" s="1103" t="str">
        <f>IF(A101=FALSE,"",IF(Cotations!AF101="monthly",HJ101/12*L101,HJ101/365*M101))</f>
        <v/>
      </c>
      <c r="HM101" s="433" t="str">
        <f>IF(A101=FALSE,"",IF(Cotations!AL101="","",Cotations!AL101))</f>
        <v/>
      </c>
      <c r="HN101" s="277" t="str">
        <f t="shared" si="490"/>
        <v/>
      </c>
      <c r="HO101" s="277" t="str">
        <f t="shared" si="491"/>
        <v/>
      </c>
      <c r="HP101" s="1104" t="str">
        <f t="shared" si="492"/>
        <v/>
      </c>
      <c r="HQ101" s="277" t="str">
        <f t="shared" si="493"/>
        <v/>
      </c>
      <c r="HR101" s="759" t="str">
        <f>IF(A101=FALSE,"",((HH101*TAXE)-(HH101*TAXE*HM101)+HI101)+IF(CQ101="N/A",0,IF(INDEX(LISTES!$F$105:$F$109,MATCH(CQ101,LISTES!$C$105:$C$109,0))="FIX",CR101,CS101*HQ101)))</f>
        <v/>
      </c>
      <c r="HS101" s="412"/>
      <c r="HT101" s="412"/>
      <c r="HU101" s="412"/>
      <c r="HV101" s="412"/>
      <c r="HW101" s="412"/>
      <c r="HX101" s="412"/>
      <c r="HY101" s="412"/>
      <c r="HZ101" s="1262"/>
      <c r="IA101" s="432" t="str">
        <f>IF(A101=FALSE,"",Cotations!AT101)</f>
        <v/>
      </c>
      <c r="IB101" s="1253" t="str">
        <f>IF(A101=FALSE,"",IF(Detail!AT101="","N/A",YEAR(Detail!F101)&amp;Detail!AW101&amp;Detail!AT101&amp;"-"&amp;Detail!$AT$13&amp;Detail!AU101))</f>
        <v/>
      </c>
      <c r="IC101" s="431" t="str">
        <f>IF(A101=FALSE,"",IF(LISTES!$A$17=1,IB101,INDEX(colMOD1,MATCH(DA101,colchoice,0))))</f>
        <v/>
      </c>
      <c r="ID101" s="759" t="str">
        <f t="shared" si="358"/>
        <v/>
      </c>
      <c r="IE101" s="292" t="str">
        <f>IF(A101=FALSE,"",IF(LISTES!$A$17=1,Detail!AU101,INDEX(Rates!$M$1:$M$270,MATCH(IC101,colMOD1,0))))</f>
        <v/>
      </c>
      <c r="IF101" s="409" t="str">
        <f t="shared" si="359"/>
        <v/>
      </c>
      <c r="IG101" s="430" t="str">
        <f>IF(A101=FALSE,"",IF(IA101="POEA",Cotations!AY101,IF(IA101="FIXE",Cotations!AZ101,IF(Cotations!BA101*Y101&lt;50000,Z101,Cotations!BA101*Y101))))</f>
        <v/>
      </c>
      <c r="IH101" s="292" t="str">
        <f t="shared" si="360"/>
        <v/>
      </c>
      <c r="II101" s="446" t="str">
        <f>IF(A101=FALSE,"",IF(Cotations!AU101="monthly",IH101/12*L101,IH101/365*M101))</f>
        <v/>
      </c>
      <c r="IJ101" s="429" t="str">
        <f>IF(A101=FALSE,"",IF(Cotations!BB101="","",Cotations!BB101))</f>
        <v/>
      </c>
      <c r="IK101" s="292" t="str">
        <f t="shared" si="361"/>
        <v/>
      </c>
      <c r="IL101" s="292" t="str">
        <f t="shared" si="362"/>
        <v/>
      </c>
      <c r="IM101" s="759" t="str">
        <f t="shared" si="363"/>
        <v/>
      </c>
      <c r="IN101" s="759" t="str">
        <f>IF(A101=FALSE,"",((IH101*TAXE)-(IH101*TAXE*IJ101))+IF(DQ101="N/A",0,IF(INDEX(LISTES!$F$105:$F$109,MATCH(DQ101,LISTES!$C$105:$C$109,0))="FIX",DR101,DS101*IM101)))</f>
        <v/>
      </c>
      <c r="JA101" s="432" t="str">
        <f>IF(A101=FALSE,"",Cotations!AT101)</f>
        <v/>
      </c>
      <c r="JB101" s="1234" t="str">
        <f>IF(A101=FALSE,"",IF(Detail!BB101="","N/A",YEAR(Detail!F101)&amp;Detail!BE101&amp;Detail!BB101&amp;"-"&amp;Detail!$BB$13&amp;Detail!BC101))</f>
        <v/>
      </c>
      <c r="JC101" s="431" t="str">
        <f>IF(A101=FALSE,"",IF(LISTES!$A$17=1,JB101,INDEX(colMOD2,MATCH(DA101,colchoice,0))))</f>
        <v/>
      </c>
      <c r="JD101" s="759" t="str">
        <f t="shared" si="384"/>
        <v/>
      </c>
      <c r="JE101" s="292"/>
      <c r="JF101" s="409" t="str">
        <f t="shared" si="385"/>
        <v/>
      </c>
      <c r="JG101" s="430" t="str">
        <f>IF(A101=FALSE,"",IF(JA101="POEA",Cotations!BC101,IF(JA101="FIXE",Cotations!BD101,IF(Cotations!BE101*Y101&lt;50000,Z101,Cotations!BE101*Y101))))</f>
        <v/>
      </c>
      <c r="JH101" s="292" t="str">
        <f t="shared" si="386"/>
        <v/>
      </c>
      <c r="JI101" s="446" t="str">
        <f>IF(A101=FALSE,"",IF(Cotations!AU101="monthly",JH101/12*L101,JH101/365*M101))</f>
        <v/>
      </c>
      <c r="JJ101" s="429" t="str">
        <f>IF(A101=FALSE,"",IF(Cotations!BF101="","",Cotations!BF101))</f>
        <v/>
      </c>
      <c r="JK101" s="292" t="str">
        <f t="shared" si="387"/>
        <v/>
      </c>
      <c r="JL101" s="292" t="str">
        <f t="shared" si="388"/>
        <v/>
      </c>
      <c r="JM101" s="759" t="str">
        <f t="shared" si="389"/>
        <v/>
      </c>
      <c r="JN101" s="759" t="str">
        <f>IF(A101=FALSE,"",((JH101*TAXE)-(JH101*TAXE*JJ101))+IF(#REF!="N/A",0,IF(INDEX(LISTES!$F$105:$F$109,MATCH(#REF!,LISTES!$C$105:$C$109,0))="FIX",#REF!,#REF!*JM101)))</f>
        <v/>
      </c>
      <c r="KA101" s="432" t="str">
        <f>IF(A101=FALSE,"",Cotations!AT101)</f>
        <v/>
      </c>
      <c r="KB101" s="1234" t="str">
        <f>IF(A101=FALSE,"",IF(Detail!BJ101="","N/A",YEAR(Detail!F101)&amp;Detail!BM101&amp;Detail!BJ101&amp;"-"&amp;Detail!$BJ$13&amp;Detail!BK101))</f>
        <v/>
      </c>
      <c r="KC101" s="431" t="str">
        <f>IF(A101=FALSE,"",IF(LISTES!$A$17=1,KB101,INDEX(colMOD3,MATCH(DA101,colchoice,0))))</f>
        <v/>
      </c>
      <c r="KD101" s="759" t="str">
        <f t="shared" si="390"/>
        <v/>
      </c>
      <c r="KE101" s="292"/>
      <c r="KF101" s="409" t="str">
        <f t="shared" si="391"/>
        <v/>
      </c>
      <c r="KG101" s="430" t="str">
        <f>IF(A101=FALSE,"",IF(KA101="POEA",Cotations!BG101,IF(KA101="FIXE",Cotations!BH101,IF(Cotations!BI101*Y101&lt;50000,Z101,Cotations!BI101*Y101))))</f>
        <v/>
      </c>
      <c r="KH101" s="292" t="str">
        <f t="shared" si="392"/>
        <v/>
      </c>
      <c r="KI101" s="446" t="str">
        <f>IF(A101=FALSE,"",IF(Cotations!AU101="monthly",KH101/12*L101,KH101/365*M101))</f>
        <v/>
      </c>
      <c r="KJ101" s="429" t="str">
        <f>IF(A101=FALSE,"",IF(Cotations!BJ101="","",Cotations!BJ101))</f>
        <v/>
      </c>
      <c r="KK101" s="292" t="str">
        <f t="shared" si="393"/>
        <v/>
      </c>
      <c r="KL101" s="292" t="str">
        <f t="shared" si="394"/>
        <v/>
      </c>
      <c r="KM101" s="759" t="str">
        <f t="shared" si="395"/>
        <v/>
      </c>
      <c r="KN101" s="759" t="str">
        <f>IF(A101=FALSE,"",((KH101*TAXE)-(KH101*TAXE*KJ101))+IF(#REF!="N/A",0,IF(INDEX(LISTES!$F$105:$F$109,MATCH(#REF!,LISTES!$C$105:$C$109,0))="FIX",#REF!,#REF!*KM101)))</f>
        <v/>
      </c>
      <c r="LA101" s="432" t="str">
        <f>IF(A101=FALSE,"",Cotations!AT101)</f>
        <v/>
      </c>
      <c r="LB101" s="1234" t="str">
        <f>IF(A101=FALSE,"",IF(Detail!BR101="","N/A",YEAR(Detail!F101)&amp;Detail!BU101&amp;Detail!BR101&amp;"-"&amp;Detail!$BR$13&amp;Detail!BS101))</f>
        <v/>
      </c>
      <c r="LC101" s="431" t="str">
        <f>IF(A101=FALSE,"",IF(LISTES!$A$17=1,LB101,INDEX(colMOD4,MATCH(DA101,colchoice,0))))</f>
        <v/>
      </c>
      <c r="LD101" s="759" t="str">
        <f t="shared" si="396"/>
        <v/>
      </c>
      <c r="LE101" s="292"/>
      <c r="LF101" s="409" t="str">
        <f t="shared" si="397"/>
        <v/>
      </c>
      <c r="LG101" s="430" t="str">
        <f>IF(A101=FALSE,"",IF(LA101="POEA",Cotations!BK101,IF(LA101="FIXE",Cotations!BL101,IF(Cotations!BM101*Y101&lt;50000,Z101,Cotations!BM101*Y101))))</f>
        <v/>
      </c>
      <c r="LH101" s="292" t="str">
        <f t="shared" si="398"/>
        <v/>
      </c>
      <c r="LI101" s="446" t="str">
        <f>IF(A101=FALSE,"",IF(Cotations!AU101="monthly",LH101/12*L101,LH101/365*M101))</f>
        <v/>
      </c>
      <c r="LJ101" s="429" t="str">
        <f>IF(A101=FALSE,"",IF(Cotations!BN101="","",Cotations!BN101))</f>
        <v/>
      </c>
      <c r="LK101" s="292" t="str">
        <f t="shared" si="399"/>
        <v/>
      </c>
      <c r="LL101" s="292" t="str">
        <f t="shared" si="400"/>
        <v/>
      </c>
      <c r="LM101" s="759" t="str">
        <f t="shared" si="401"/>
        <v/>
      </c>
      <c r="LN101" s="759" t="str">
        <f>IF(A101=FALSE,"",((LH101*TAXE)-(LH101*TAXE*LJ101))+IF(#REF!="N/A",0,IF(INDEX(LISTES!$F$105:$F$109,MATCH(#REF!,LISTES!$C$105:$C$109,0))="FIX",#REF!,#REF!*LM101)))</f>
        <v/>
      </c>
      <c r="MA101" s="432" t="str">
        <f t="shared" si="402"/>
        <v/>
      </c>
      <c r="MB101" s="1234" t="str">
        <f>IF(A101=FALSE,"",IF(Detail!BZ101="","N/A",YEAR(Detail!F101)&amp;Detail!CC101&amp;Detail!BZ101&amp;"-"&amp;Detail!$BZ$13&amp;" (100%/"&amp;Detail!CD101&amp;"/"&amp;Detail!CE101&amp;")"))</f>
        <v/>
      </c>
      <c r="MC101" s="431" t="str">
        <f>IF(A101=FALSE,"",IF(LISTES!$A$17=1,MB101,INDEX(colMOD5,MATCH(DA101,colchoice,0))))</f>
        <v/>
      </c>
      <c r="MD101" s="759" t="str">
        <f t="shared" si="403"/>
        <v/>
      </c>
      <c r="ME101" s="292"/>
      <c r="MF101" s="409" t="str">
        <f t="shared" si="404"/>
        <v/>
      </c>
      <c r="MG101" s="430" t="str">
        <f>IF(A101=FALSE,"",Cotations!BQ101*AA101)</f>
        <v/>
      </c>
      <c r="MH101" s="292" t="str">
        <f t="shared" si="405"/>
        <v/>
      </c>
      <c r="MI101" s="446" t="str">
        <f>IF(A101=FALSE,"",IF(Cotations!AU101="monthly",MH101/12*L101,MH101/365*M101))</f>
        <v/>
      </c>
      <c r="MJ101" s="429" t="str">
        <f>IF(A101=FALSE,"",IF(Cotations!BR101="","",Cotations!BR101))</f>
        <v/>
      </c>
      <c r="MK101" s="292" t="str">
        <f t="shared" si="406"/>
        <v/>
      </c>
      <c r="ML101" s="292" t="str">
        <f t="shared" si="407"/>
        <v/>
      </c>
      <c r="MM101" s="759" t="str">
        <f t="shared" si="408"/>
        <v/>
      </c>
      <c r="MN101" s="759" t="str">
        <f>IF(A101=FALSE,"",((MH101*TAXE)-(MH101*TAXE*MJ101))+IF(#REF!="N/A",0,IF(INDEX(LISTES!$F$105:$F$109,MATCH(#REF!,LISTES!$C$105:$C$109,0))="FIX",#REF!,#REF!*MM101)))</f>
        <v/>
      </c>
      <c r="NA101" s="432" t="str">
        <f t="shared" si="409"/>
        <v/>
      </c>
      <c r="NB101" s="1234" t="str">
        <f>IF(A101=FALSE,"",IF(Detail!CH101="","N/A",YEAR(Detail!F101)&amp;Detail!CK101&amp;Detail!CH101&amp;"-"&amp;Detail!$CH$13&amp;" (100%/"&amp;Detail!CL101&amp;"/"&amp;Detail!CM101&amp;")"))</f>
        <v/>
      </c>
      <c r="NC101" s="431" t="str">
        <f>IF(A101=FALSE,"",IF(LISTES!$A$17=1,NB101,INDEX(colMOD6,MATCH(DA101,colchoice,0))))</f>
        <v/>
      </c>
      <c r="ND101" s="759" t="str">
        <f t="shared" si="410"/>
        <v/>
      </c>
      <c r="NE101" s="292"/>
      <c r="NF101" s="409" t="str">
        <f t="shared" si="411"/>
        <v/>
      </c>
      <c r="NG101" s="430" t="str">
        <f>IF(A101=FALSE,"",Cotations!BU101*AA101)</f>
        <v/>
      </c>
      <c r="NH101" s="292" t="str">
        <f t="shared" si="412"/>
        <v/>
      </c>
      <c r="NI101" s="446" t="str">
        <f>IF(A101=FALSE,"",IF(Cotations!AU101="monthly",NH101/12*L101,NH101/365*M101))</f>
        <v/>
      </c>
      <c r="NJ101" s="429" t="str">
        <f>IF(A101=FALSE,"",IF(Cotations!BV101="","",Cotations!BV101))</f>
        <v/>
      </c>
      <c r="NK101" s="292" t="str">
        <f t="shared" si="413"/>
        <v/>
      </c>
      <c r="NL101" s="292" t="str">
        <f t="shared" si="414"/>
        <v/>
      </c>
      <c r="NM101" s="759" t="str">
        <f t="shared" si="415"/>
        <v/>
      </c>
      <c r="NN101" s="759" t="str">
        <f>IF(A101=FALSE,"",((NH101*TAXE)-(NH101*TAXE*NJ101))+IF(#REF!="N/A",0,IF(INDEX(LISTES!$F$105:$F$109,MATCH(#REF!,LISTES!$C$105:$C$109,0))="FIX",#REF!,#REF!*NM101)))</f>
        <v/>
      </c>
      <c r="NZ101" s="1281" t="str">
        <f>IF(A101=FALSE,"",IF(Detail!CP101="","N/A",YEAR(Detail!F101)&amp;Detail!CS101&amp;Detail!CP101&amp;"-"&amp;Detail!CQ101))</f>
        <v/>
      </c>
      <c r="OA101" s="432" t="str">
        <f>IF(A101=FALSE,"",Cotations!CF101)</f>
        <v/>
      </c>
      <c r="OB101" s="1282" t="str">
        <f>IF(A101=FALSE,"",IF(Detail!CP101="","N/A",YEAR(Detail!F101)&amp;Detail!CS101&amp;Detail!CP101&amp;"-"&amp;Detail!$CP$13&amp;Detail!CQ101))</f>
        <v/>
      </c>
      <c r="OC101" s="1283" t="str">
        <f>IF(A101=FALSE,"",IF(LISTES!$A$17=1,OB101,INDEX(colMOD1,MATCH(Cotations!CE101,colchoice,0))))</f>
        <v/>
      </c>
      <c r="OD101" s="759" t="str">
        <f t="shared" si="416"/>
        <v/>
      </c>
      <c r="OE101" s="292" t="str">
        <f>IF(A101=FALSE,"",Detail!CQ101)</f>
        <v/>
      </c>
      <c r="OF101" s="409" t="str">
        <f t="shared" si="417"/>
        <v/>
      </c>
      <c r="OG101" s="430" t="str">
        <f>IF(A101=FALSE,"",IF(OA101="FIXE",Cotations!CM101,Cotations!CN101*AA101))</f>
        <v/>
      </c>
      <c r="OH101" s="292" t="str">
        <f t="shared" si="494"/>
        <v/>
      </c>
      <c r="OI101" s="446" t="str">
        <f>IF(A101=FALSE,"",IF(Cotations!CF101="monthly",OH101/12*L101,OH101/365*M101))</f>
        <v/>
      </c>
      <c r="OJ101" s="429" t="str">
        <f>IF(A101=FALSE,"",IF(Cotations!CO101="","",Cotations!CO101))</f>
        <v/>
      </c>
      <c r="OK101" s="292" t="str">
        <f t="shared" si="495"/>
        <v/>
      </c>
      <c r="OL101" s="292" t="str">
        <f t="shared" si="496"/>
        <v/>
      </c>
      <c r="OM101" s="759" t="str">
        <f t="shared" si="418"/>
        <v/>
      </c>
      <c r="ON101" s="759" t="str">
        <f>IF(A101=FALSE,"",((OH101*(1+TAXE)-(OH101*(1+TAXE)*OJ101))+IF(#REF!="N/A",0,IF(INDEX(LISTES!$F$105:$F$109,MATCH(#REF!,LISTES!$C$105:$C$109,0))="FIX",#REF!,#REF!*OM101))))</f>
        <v/>
      </c>
      <c r="PA101" s="432" t="str">
        <f>IF(A101=FALSE,"",Cotations!CF101)</f>
        <v/>
      </c>
      <c r="PB101" s="1282" t="str">
        <f>IF(A101=FALSE,"",IF(Detail!CX101="","N/A",YEAR(Detail!F101)&amp;Detail!DA101&amp;Detail!CX101&amp;"-"&amp;Detail!$CX$13&amp;Detail!CY101))</f>
        <v/>
      </c>
      <c r="PC101" s="1283" t="str">
        <f>IF(A101=FALSE,"",IF(LISTES!$A$17=1,PB101,INDEX(colMOD3,MATCH(Cotations!CE101,colchoice,0))))</f>
        <v/>
      </c>
      <c r="PD101" s="759" t="str">
        <f t="shared" si="419"/>
        <v/>
      </c>
      <c r="PE101" s="292" t="str">
        <f>IF(A101=FALSE,"",IF(Detail!CY101="","",Detail!CY101))</f>
        <v/>
      </c>
      <c r="PF101" s="409" t="str">
        <f t="shared" si="497"/>
        <v/>
      </c>
      <c r="PG101" s="430" t="str">
        <f>IF(A101=FALSE,"",IF(PA101="FIXE",Cotations!CP101,Cotations!CQ101*AA101))</f>
        <v/>
      </c>
      <c r="PH101" s="292" t="str">
        <f t="shared" si="498"/>
        <v/>
      </c>
      <c r="PI101" s="446" t="str">
        <f>IF(A101=FALSE,"",IF(Cotations!CG101="monthly",PH101/12*L101,PH101/365*M101))</f>
        <v/>
      </c>
      <c r="PJ101" s="429" t="str">
        <f>IF(A101=FALSE,"",IF(Cotations!DA101="",0,Cotations!DA101))</f>
        <v/>
      </c>
      <c r="PK101" s="292" t="str">
        <f t="shared" si="499"/>
        <v/>
      </c>
      <c r="PL101" s="292" t="str">
        <f t="shared" si="500"/>
        <v/>
      </c>
      <c r="PM101" s="759" t="str">
        <f t="shared" si="420"/>
        <v/>
      </c>
      <c r="PN101" s="759" t="str">
        <f>IF(A101=FALSE,"",((PH101*(1+TAXE)-(PH101*(1+TAXE)*PJ101))+IF(#REF!="N/A",0,IF(INDEX(LISTES!$F$105:$F$109,MATCH(#REF!,LISTES!$C$105:$C$109,0))="FIX",#REF!,#REF!*PM101))))</f>
        <v/>
      </c>
    </row>
    <row r="102" spans="1:430">
      <c r="A102" s="779" t="b">
        <f t="shared" si="364"/>
        <v>0</v>
      </c>
      <c r="B102" s="779" t="b">
        <f>IF(NAMES!$B$9=TRUE,TRUE,FALSE)</f>
        <v>1</v>
      </c>
      <c r="C102" s="779" t="b">
        <f t="shared" si="421"/>
        <v>0</v>
      </c>
      <c r="D102" s="779" t="b">
        <f t="shared" si="422"/>
        <v>0</v>
      </c>
      <c r="E102" s="267" t="b">
        <f>IF(Cotations!C102="","",Cotations!C102)</f>
        <v>0</v>
      </c>
      <c r="F102" s="267" t="str">
        <f>IF(Cotations!AT102="","",Cotations!AT102)</f>
        <v>PROP</v>
      </c>
      <c r="G102" s="267" t="str">
        <f>IF(Cotations!D102="","",Cotations!D102)</f>
        <v>2016-2017!</v>
      </c>
      <c r="H102" s="267" t="str">
        <f>IF(Cotations!E102="","",Cotations!E102)</f>
        <v>SINGLE</v>
      </c>
      <c r="I102" s="267" t="str">
        <f>IF(Cotations!F102="","",Cotations!F102)</f>
        <v/>
      </c>
      <c r="J102" s="267" t="str">
        <f>IF(Cotations!G102="","",Cotations!G102)</f>
        <v/>
      </c>
      <c r="K102" s="267" t="str">
        <f>IF(Cotations!H102="","",Cotations!H102)</f>
        <v/>
      </c>
      <c r="L102" s="267" t="str">
        <f>IF(A102=FALSE,"",IF(Cotations!M102="","",Cotations!M102))</f>
        <v/>
      </c>
      <c r="M102" s="267" t="str">
        <f>IF(Cotations!O102="","",Cotations!O102)</f>
        <v/>
      </c>
      <c r="N102" s="588" t="str">
        <f>IF(NAMES!$B$10=TRUE,Cotations!I102,Cotations!K102)</f>
        <v/>
      </c>
      <c r="O102" s="588" t="str">
        <f>IF(NAMES!$B$10=TRUE,Cotations!J102,Cotations!L102)</f>
        <v/>
      </c>
      <c r="P102" s="780" t="str">
        <f t="shared" si="423"/>
        <v/>
      </c>
      <c r="Q102" s="588" t="str">
        <f>IF(A102=FALSE,"",IF(Crewlist!Y102="","",Crewlist!Y102))</f>
        <v/>
      </c>
      <c r="R102" s="78" t="str">
        <f>IF(Cotations!T102="","",Cotations!T102)</f>
        <v/>
      </c>
      <c r="S102" s="780" t="str">
        <f t="shared" si="424"/>
        <v/>
      </c>
      <c r="T102" s="759" t="str">
        <f>IF(A102=FALSE,"",VLOOKUP($U$15:$U$120,Currency!$A$2:$D$10,4,0)*Crewlist!N102)</f>
        <v/>
      </c>
      <c r="U102" s="1097" t="str">
        <f>IF(A102=FALSE,"",IF(DP102=0,Crewlist!M102&amp;"/"&amp;CP102,Crewlist!M102&amp;"/"&amp;DP102))</f>
        <v/>
      </c>
      <c r="V102" s="759" t="str">
        <f>IF(A102=FALSE,"",VLOOKUP($U$15:$U$120,Currency!$A$2:$D$10,4,0)*Detail!Q102)</f>
        <v/>
      </c>
      <c r="W102" s="1097" t="str">
        <f>IF(A102=FALSE,"",IF(DP102=0,Detail!R102&amp;"/"&amp;CP102,Detail!R102&amp;"/"&amp;DP102))</f>
        <v/>
      </c>
      <c r="X102" s="759" t="str">
        <f>IF(A102=FALSE,"",IF(LISTES!$C$17="Crewlist",Calcul!T102,Calcul!V102))</f>
        <v/>
      </c>
      <c r="Y102" s="618" t="str">
        <f t="shared" si="425"/>
        <v/>
      </c>
      <c r="Z102" s="618" t="str">
        <f>IF(A102=FALSE,"",IF(X102=0,0,IF((Cotations!BA102*12*X102)&lt;50000,50000,(12*X102))))</f>
        <v/>
      </c>
      <c r="AA102" s="618" t="str">
        <f t="shared" si="426"/>
        <v/>
      </c>
      <c r="AB102" s="618" t="str">
        <f>IF(A102=FALSE,"",IF(Crewlist!O102=0,"",Crewlist!O102))</f>
        <v/>
      </c>
      <c r="AC102" s="618" t="str">
        <f>IF(I102="","",VLOOKUP($AB$15:$AB$120,Currency!$A$15:$B$34,2,0))</f>
        <v/>
      </c>
      <c r="AD102" s="618" t="str">
        <f t="shared" si="427"/>
        <v/>
      </c>
      <c r="AE102" s="618" t="str">
        <f t="shared" si="428"/>
        <v/>
      </c>
      <c r="AF102" s="618" t="str">
        <f t="shared" si="429"/>
        <v/>
      </c>
      <c r="AG102" s="618" t="str">
        <f t="shared" si="430"/>
        <v/>
      </c>
      <c r="AH102" s="1097" t="str">
        <f t="shared" si="365"/>
        <v/>
      </c>
      <c r="AI102" s="759" t="str">
        <f t="shared" si="431"/>
        <v/>
      </c>
      <c r="AJ102" s="1120" t="str">
        <f t="shared" si="432"/>
        <v/>
      </c>
      <c r="AK102" s="1120" t="str">
        <f t="shared" si="433"/>
        <v/>
      </c>
      <c r="AL102" s="236" t="str">
        <f t="shared" si="434"/>
        <v/>
      </c>
      <c r="AM102" s="236" t="str">
        <f t="shared" si="435"/>
        <v/>
      </c>
      <c r="AN102" s="1112" t="str">
        <f t="shared" si="436"/>
        <v/>
      </c>
      <c r="AO102" s="236" t="str">
        <f t="shared" si="437"/>
        <v/>
      </c>
      <c r="AP102" s="327" t="str">
        <f>IF(A102=FALSE,"",INDEX(Rates!$Q$1:$Q$278,MATCH(CA102,colchoice,0)))</f>
        <v/>
      </c>
      <c r="AQ102" s="236" t="str">
        <f t="shared" si="438"/>
        <v/>
      </c>
      <c r="AR102" s="236" t="str">
        <f t="shared" si="439"/>
        <v/>
      </c>
      <c r="AS102" s="236" t="str">
        <f t="shared" si="366"/>
        <v/>
      </c>
      <c r="AT102" s="236" t="str">
        <f t="shared" si="367"/>
        <v/>
      </c>
      <c r="AU102" s="236" t="str">
        <f t="shared" si="440"/>
        <v/>
      </c>
      <c r="AV102" s="236" t="str">
        <f t="shared" si="441"/>
        <v/>
      </c>
      <c r="AW102" s="236" t="str">
        <f t="shared" si="442"/>
        <v/>
      </c>
      <c r="AX102" s="236" t="str">
        <f t="shared" si="443"/>
        <v/>
      </c>
      <c r="AY102" s="236" t="str">
        <f t="shared" si="444"/>
        <v/>
      </c>
      <c r="AZ102" s="236" t="str">
        <f t="shared" si="445"/>
        <v/>
      </c>
      <c r="BA102" s="236" t="str">
        <f t="shared" si="446"/>
        <v/>
      </c>
      <c r="BB102" s="467" t="str">
        <f t="shared" si="447"/>
        <v/>
      </c>
      <c r="BC102" s="329" t="str">
        <f t="shared" si="448"/>
        <v/>
      </c>
      <c r="BD102" s="237" t="str">
        <f t="shared" si="449"/>
        <v/>
      </c>
      <c r="BE102" s="237" t="str">
        <f>IF(A102=FALSE,"",IF(ED102&lt;&gt;$BC$7,0,INDEX(EA102:EZ102,1,MATCH(Structure!$J$16,$EA$14:$EZ$14,0))))</f>
        <v/>
      </c>
      <c r="BF102" s="237" t="str">
        <f>IF(A102=FALSE,"",IF(FD102&lt;&gt;$BC$7,0,INDEX(FA102:FZ102,1,MATCH(Structure!$J$16,$FA$14:$FZ$14,0))))</f>
        <v/>
      </c>
      <c r="BG102" s="237" t="str">
        <f>IF(A102=FALSE,"",IF(GD102&lt;&gt;$BC$7,0,INDEX(GA102:GZ102,1,MATCH(Structure!$J$16,$GA$14:$GZ$14,0))))</f>
        <v/>
      </c>
      <c r="BH102" s="237" t="str">
        <f>IF(A102=FALSE,"",IF(HD102&lt;&gt;$BC$7,0,INDEX(HA102:HZ102,1,MATCH(Structure!$J$16,$HA$14:$HZ$14,0))))</f>
        <v/>
      </c>
      <c r="BI102" s="621" t="str">
        <f>IF(A102=FALSE,"",IF(ID102&lt;&gt;$BC$7,0,INDEX(IA102:IZ102,1,MATCH(Structure!$C$12,$IA$14:$IZ$14,0)))+OL102)</f>
        <v/>
      </c>
      <c r="BJ102" s="237" t="str">
        <f>IF(A102=FALSE,"",IF(JD102&lt;&gt;$BC$7,0,INDEX(JA102:JZ102,1,MATCH(Structure!$C$12,$JA$14:$JZ$14,0))))</f>
        <v/>
      </c>
      <c r="BK102" s="621" t="str">
        <f>IF(A102=FALSE,"",IF(KD102&lt;&gt;$BC$7,0,INDEX(KA102:KZ102,1,MATCH(Structure!$C$12,$KA$14:$KZ$14,0)))+PL102)</f>
        <v/>
      </c>
      <c r="BL102" s="237" t="str">
        <f>IF(A102=FALSE,"",IF(LD102&lt;&gt;$BC$7,0,INDEX(LA102:LZ102,1,MATCH(Structure!$C$12,$LA$14:$LZ$14,0))))</f>
        <v/>
      </c>
      <c r="BM102" s="237" t="str">
        <f>IF(A102=FALSE,"",IF(MD102&lt;&gt;$BC$7,0,INDEX(MA102:MZ102,1,MATCH(Structure!$C$12,$MA$14:$MZ$14,0))))</f>
        <v/>
      </c>
      <c r="BN102" s="326" t="str">
        <f>IF(A102=FALSE,"",IF(ND102&lt;&gt;$BC$7,0,INDEX(NA102:OC102,1,MATCH(Structure!$C$12,$NA$14:$OC$14,0))))</f>
        <v/>
      </c>
      <c r="BO102" s="435" t="str">
        <f t="shared" si="450"/>
        <v/>
      </c>
      <c r="BP102" s="237" t="str">
        <f t="shared" si="451"/>
        <v/>
      </c>
      <c r="BQ102" s="237" t="str">
        <f>IF(A102=FALSE,"",IF(ED102&lt;&gt;$BO$7,0,INDEX(EA102:EZ102,1,MATCH(Structure!$C$12,$EA$14:$EZ$14,0))))</f>
        <v/>
      </c>
      <c r="BR102" s="237" t="str">
        <f>IF(A102=FALSE,"",IF(FD102&lt;&gt;$BO$7,0,INDEX(FA102:FZ102,1,MATCH(Structure!$C$12,$FA$14:$FZ$14,0))))</f>
        <v/>
      </c>
      <c r="BS102" s="237" t="str">
        <f>IF(A102=FALSE,"",IF(ID102&lt;&gt;$BO$7,0,INDEX(IA102:IZ102,1,MATCH(Structure!$C$13,$IA$14:$IZ$14,0))))</f>
        <v/>
      </c>
      <c r="BT102" s="237" t="str">
        <f>IF(A102=FALSE,"",IF(JD102&lt;&gt;$BO$7,0,INDEX(JA102:JZ102,1,MATCH(Structure!$C$13,$JA$14:$JZ$14,0))))</f>
        <v/>
      </c>
      <c r="BU102" s="237" t="str">
        <f>IF(A102=FALSE,"",IF(KD102&lt;&gt;$BO$7,0,INDEX(KA102:KZ102,1,MATCH(Structure!$C$13,$KA$14:$KZ$14,0))))</f>
        <v/>
      </c>
      <c r="BV102" s="237" t="str">
        <f>IF(A102=FALSE,"",IF(LD102&lt;&gt;$BO$7,0,INDEX(LA102:LZ102,1,MATCH(Structure!$C$13,$LA$14:$LZ$14,0))))</f>
        <v/>
      </c>
      <c r="BW102" s="237" t="str">
        <f>IF(A102=FALSE,"",IF(MD102&lt;&gt;$BO$7,0,INDEX(MA102:MZ102,1,MATCH(Structure!$C$13,$MA$14:$MZ$14,0))))</f>
        <v/>
      </c>
      <c r="BX102" s="326" t="str">
        <f>IF(A102=FALSE,"",IF(ND102&lt;&gt;$BO$7,0,INDEX(NA102:OC102,1,MATCH(Structure!$C$13,$NA$14:$OC$14,0))))</f>
        <v/>
      </c>
      <c r="BY102" s="412"/>
      <c r="BZ102" s="412"/>
      <c r="CA102" s="1255" t="str">
        <f>IF(A102=FALSE,"",IF(LISTES!$A$17=1,Cotations!AG102,Cotations!AH102))</f>
        <v/>
      </c>
      <c r="CB102" s="1266" t="str">
        <f t="shared" si="452"/>
        <v/>
      </c>
      <c r="CC102" s="1120" t="str">
        <f t="shared" si="453"/>
        <v/>
      </c>
      <c r="CD102" s="1120" t="str">
        <f t="shared" si="454"/>
        <v/>
      </c>
      <c r="CE102" s="1120" t="str">
        <f t="shared" si="455"/>
        <v/>
      </c>
      <c r="CF102" s="1120" t="str">
        <f t="shared" si="456"/>
        <v/>
      </c>
      <c r="CG102" s="1267"/>
      <c r="CH102" s="1267"/>
      <c r="CI102" s="1268" t="str">
        <f t="shared" si="457"/>
        <v/>
      </c>
      <c r="CJ102" s="286" t="str">
        <f t="shared" si="458"/>
        <v/>
      </c>
      <c r="CK102" s="286" t="str">
        <f t="shared" si="459"/>
        <v/>
      </c>
      <c r="CL102" s="1263"/>
      <c r="CM102" s="1263"/>
      <c r="CN102" s="1263"/>
      <c r="CO102" s="1263"/>
      <c r="CP102" s="319" t="str">
        <f t="shared" si="460"/>
        <v/>
      </c>
      <c r="CQ102" s="443" t="str">
        <f>IF(A102=FALSE,"",Cotations!AM102)</f>
        <v/>
      </c>
      <c r="CR102" s="443" t="str">
        <f>IF(A102=FALSE,"",IF(Cotations!AN102="","",Cotations!AN102))</f>
        <v/>
      </c>
      <c r="CS102" s="433" t="str">
        <f>IF(A102=FALSE,"",Cotations!AO102)</f>
        <v/>
      </c>
      <c r="CT102" s="443" t="str">
        <f>IF(A102=FALSE,"",IF(CQ102="N/A",0,IF(INDEX(LISTES!$F$105:$F$109,MATCH(CQ102,LISTES!$C$105:$C$109,0))="FIX",IF(INDEX(LISTES!$E$105:$E$109,MATCH(CQ102,LISTES!$C$105:$C$109,0))=12,CR102/12*L102,CR102/365*M102),CS102*EQ102)))</f>
        <v/>
      </c>
      <c r="CU102" s="434" t="str">
        <f>IF(A102=FALSE,"",(CJ102+CK102)*Cotations!AP102)</f>
        <v/>
      </c>
      <c r="CV102" s="434" t="str">
        <f>IF(A102=FALSE,"",(CJ102+CK102)*Cotations!AQ102)</f>
        <v/>
      </c>
      <c r="DA102" s="1253" t="str">
        <f>IF(A102=FALSE,"",IF(LISTES!$A$17=1,Cotations!AV102,Cotations!AW102))</f>
        <v/>
      </c>
      <c r="DB102" s="1271" t="str">
        <f t="shared" si="461"/>
        <v/>
      </c>
      <c r="DC102" s="1270" t="str">
        <f t="shared" si="462"/>
        <v/>
      </c>
      <c r="DD102" s="1270" t="str">
        <f t="shared" si="463"/>
        <v/>
      </c>
      <c r="DE102" s="1270" t="str">
        <f t="shared" si="464"/>
        <v/>
      </c>
      <c r="DF102" s="1270" t="str">
        <f t="shared" si="465"/>
        <v/>
      </c>
      <c r="DG102" s="1270" t="str">
        <f t="shared" si="466"/>
        <v/>
      </c>
      <c r="DH102" s="1270" t="str">
        <f t="shared" si="467"/>
        <v/>
      </c>
      <c r="DI102" s="1271" t="str">
        <f t="shared" si="468"/>
        <v/>
      </c>
      <c r="DJ102" s="286" t="str">
        <f t="shared" si="469"/>
        <v/>
      </c>
      <c r="DK102" s="286" t="str">
        <f t="shared" si="470"/>
        <v/>
      </c>
      <c r="DL102" s="1264" t="str">
        <f t="shared" si="471"/>
        <v/>
      </c>
      <c r="DM102" s="1264" t="str">
        <f t="shared" si="472"/>
        <v/>
      </c>
      <c r="DN102" s="1264" t="str">
        <f t="shared" si="473"/>
        <v/>
      </c>
      <c r="DO102" s="1264" t="str">
        <f t="shared" si="474"/>
        <v/>
      </c>
      <c r="DP102" s="323" t="str">
        <f t="shared" si="368"/>
        <v/>
      </c>
      <c r="DQ102" s="444" t="str">
        <f>IF(A102=FALSE,"",Cotations!BW102)</f>
        <v/>
      </c>
      <c r="DR102" s="444" t="str">
        <f>IF(A102=FALSE,"",Cotations!BX102)</f>
        <v/>
      </c>
      <c r="DS102" s="433" t="str">
        <f>IF(A102=FALSE,"",Cotations!BY102)</f>
        <v/>
      </c>
      <c r="DT102" s="830" t="str">
        <f>IF(A102=FALSE,"",IF(DQ102="N/A",0,IF(INDEX(LISTES!$F$105:$F$109,MATCH(DQ102,LISTES!$C$105:$C$109,0))="FIX",IF(INDEX(LISTES!$E$105:$E$109,MATCH(DQ102,LISTES!$C$105:$C$109,0))=12,DR102/12*L102,DR102/365*M102),DS102*(DN102+DO102))))</f>
        <v/>
      </c>
      <c r="DU102" s="434" t="str">
        <f>IF(A102=FALSE,"",DJ102*Cotations!BZ102)</f>
        <v/>
      </c>
      <c r="DV102" s="434" t="str">
        <f>IF(A102=FALSE,"",DJ102*Cotations!CA102)</f>
        <v/>
      </c>
      <c r="EA102" s="432" t="str">
        <f>IF(A102=FALSE,"",Cotations!AT102)</f>
        <v/>
      </c>
      <c r="EB102" s="1234" t="str">
        <f>IF(A102=FALSE,"",YEAR(Detail!F102)&amp;Detail!AG102&amp;Detail!AD102&amp;"-"&amp;Detail!$AD$13&amp;Detail!AE102)</f>
        <v/>
      </c>
      <c r="EC102" s="434" t="str">
        <f>IF(A102=FALSE,"",IF(LISTES!$A$17=1,EB102,INDEX(colMOD1,MATCH(Cotations!AH102,colchoice,0))))</f>
        <v/>
      </c>
      <c r="ED102" s="277" t="str">
        <f t="shared" si="369"/>
        <v/>
      </c>
      <c r="EE102" s="277" t="str">
        <f t="shared" si="370"/>
        <v/>
      </c>
      <c r="EF102" s="277"/>
      <c r="EG102" s="277"/>
      <c r="EH102" s="277" t="str">
        <f t="shared" si="371"/>
        <v/>
      </c>
      <c r="EI102" s="1104" t="str">
        <f t="shared" si="372"/>
        <v/>
      </c>
      <c r="EJ102" s="1104" t="str">
        <f t="shared" si="373"/>
        <v/>
      </c>
      <c r="EK102" s="443" t="str">
        <f>IF(A102=FALSE,"",IF(Cotations!AF102="monthly",EH102/12*L102,EH102/365*M102))</f>
        <v/>
      </c>
      <c r="EL102" s="1103" t="str">
        <f>IF(A102=FALSE,"",IF(Cotations!AF102="monthly",EJ102/12*L102,EJ102/365*M102))</f>
        <v/>
      </c>
      <c r="EM102" s="433" t="str">
        <f>IF(A102=FALSE,"",IF(Cotations!AI102="","",Cotations!AI102))</f>
        <v/>
      </c>
      <c r="EN102" s="277" t="str">
        <f t="shared" si="374"/>
        <v/>
      </c>
      <c r="EO102" s="277" t="str">
        <f t="shared" si="375"/>
        <v/>
      </c>
      <c r="EP102" s="1104" t="str">
        <f t="shared" si="376"/>
        <v/>
      </c>
      <c r="EQ102" s="277" t="str">
        <f t="shared" si="377"/>
        <v/>
      </c>
      <c r="ER102" s="759" t="str">
        <f>IF(A102=FALSE,"",((EH102*TAXE)-(EH102*TAXE*EM102)+EI102)+IF(CQ102="N/A",0,IF(INDEX(LISTES!$F$105:$F$109,MATCH(CQ102,LISTES!$C$105:$C$109,0))="FIX",CR102,CS102*EQ102)))</f>
        <v/>
      </c>
      <c r="ET102" s="422"/>
      <c r="EU102" s="422"/>
      <c r="EV102" s="422"/>
      <c r="EW102" s="422"/>
      <c r="EX102" s="422"/>
      <c r="EY102" s="422"/>
      <c r="EZ102" s="422"/>
      <c r="FA102" s="432" t="str">
        <f>IF(A102=FALSE,"",Cotations!AT102)</f>
        <v/>
      </c>
      <c r="FB102" s="1235" t="str">
        <f>IF(A102=FALSE,"",IF(Detail!AL102="","N/A",YEAR(Detail!F102)&amp;Detail!AO102&amp;Detail!AL102&amp;"-"&amp;Detail!$AL$13&amp;Detail!AM102))</f>
        <v/>
      </c>
      <c r="FC102" s="434" t="str">
        <f>IF(A102=FALSE,"",IF(LISTES!$A$17=1,FB102,INDEX(colMOD2,MATCH(Cotations!AH102,colchoice,0))))</f>
        <v/>
      </c>
      <c r="FD102" s="277" t="str">
        <f t="shared" si="378"/>
        <v/>
      </c>
      <c r="FE102" s="443" t="str">
        <f>IF(A102=FALSE,"",IF(Detail!AM102="","",Detail!AM102))</f>
        <v/>
      </c>
      <c r="FF102" s="277"/>
      <c r="FG102" s="277"/>
      <c r="FH102" s="277" t="str">
        <f t="shared" si="379"/>
        <v/>
      </c>
      <c r="FI102" s="1104"/>
      <c r="FJ102" s="1104"/>
      <c r="FK102" s="443" t="str">
        <f>IF(A102=FALSE,"",IF(Cotations!AF102="monthly",FH102/12*L102,FH102/365*M102))</f>
        <v/>
      </c>
      <c r="FL102" s="1103" t="str">
        <f>IF(A102=FALSE,"",IF(Cotations!AF102="monthly",FJ102/12*L102,FJ102/365*M102))</f>
        <v/>
      </c>
      <c r="FM102" s="433" t="str">
        <f>IF(A102=FALSE,"",IF(Cotations!AJ102="","",Cotations!AJ102))</f>
        <v/>
      </c>
      <c r="FN102" s="277" t="str">
        <f t="shared" si="475"/>
        <v/>
      </c>
      <c r="FO102" s="277" t="str">
        <f t="shared" si="476"/>
        <v/>
      </c>
      <c r="FP102" s="1104"/>
      <c r="FQ102" s="277" t="str">
        <f t="shared" si="477"/>
        <v/>
      </c>
      <c r="FR102" s="759" t="str">
        <f>IF(A102=FALSE,"",((FH102*TAXE)-(FH102*TAXE*FM102))+IF(#REF!="N/A",0,IF(INDEX(LISTES!$F$105:$F$109,MATCH(#REF!,LISTES!$C$105:$C$109,0))="FIX",#REF!,#REF!*FQ102)))</f>
        <v/>
      </c>
      <c r="FS102" s="422"/>
      <c r="FT102" s="422"/>
      <c r="FU102" s="422"/>
      <c r="FV102" s="422"/>
      <c r="FW102" s="422"/>
      <c r="FX102" s="422"/>
      <c r="FY102" s="422"/>
      <c r="FZ102" s="422"/>
      <c r="GA102" s="432" t="str">
        <f t="shared" si="380"/>
        <v/>
      </c>
      <c r="GB102" s="1234" t="str">
        <f>IF(A102=FALSE,"",IF(Detail!DF102="","N/A",YEAR(Detail!F102)&amp;Detail!DI102&amp;Detail!DF102&amp;"-"&amp;Detail!$DF$13))</f>
        <v/>
      </c>
      <c r="GC102" s="434" t="str">
        <f>IF(A102=FALSE,"",IF(LISTES!$A$17=1,GB102,INDEX(colMOD3,MATCH(Cotations!AH102,colchoice,0))))</f>
        <v/>
      </c>
      <c r="GD102" s="277" t="str">
        <f t="shared" si="381"/>
        <v/>
      </c>
      <c r="GE102" s="277" t="str">
        <f t="shared" si="382"/>
        <v/>
      </c>
      <c r="GF102" s="277"/>
      <c r="GG102" s="277"/>
      <c r="GH102" s="277" t="str">
        <f t="shared" si="478"/>
        <v/>
      </c>
      <c r="GI102" s="1104" t="str">
        <f t="shared" si="479"/>
        <v/>
      </c>
      <c r="GJ102" s="1104" t="str">
        <f t="shared" si="480"/>
        <v/>
      </c>
      <c r="GK102" s="443" t="str">
        <f>IF(A102=FALSE,"",IF(Cotations!AF102="monthly",GH102/12*L102,GH102/365*M102))</f>
        <v/>
      </c>
      <c r="GL102" s="1103" t="str">
        <f>IF(A102=FALSE,"",IF(Cotations!AF102="monthly",GJ102/12*L102,GJ102/365*M102))</f>
        <v/>
      </c>
      <c r="GM102" s="433" t="str">
        <f>IF(A102=FALSE,"",IF(Cotations!AK102="","",Cotations!AK102))</f>
        <v/>
      </c>
      <c r="GN102" s="277" t="str">
        <f t="shared" si="481"/>
        <v/>
      </c>
      <c r="GO102" s="277" t="str">
        <f t="shared" si="482"/>
        <v/>
      </c>
      <c r="GP102" s="1104" t="str">
        <f t="shared" si="483"/>
        <v/>
      </c>
      <c r="GQ102" s="277" t="str">
        <f t="shared" si="484"/>
        <v/>
      </c>
      <c r="GR102" s="759" t="str">
        <f>IF(A102=FALSE,"",((GH102*TAXE)-(GH102*TAXE*GM102)+GI102)+IF(CQ102="N/A",0,IF(INDEX(LISTES!$F$105:$F$109,MATCH(CQ102,LISTES!$C$105:$C$109,0))="FIX",CR102,CS102*GQ102)))</f>
        <v/>
      </c>
      <c r="GS102" s="412"/>
      <c r="GT102" s="412"/>
      <c r="GU102" s="412"/>
      <c r="GV102" s="412"/>
      <c r="GW102" s="412"/>
      <c r="GX102" s="412"/>
      <c r="GY102" s="412"/>
      <c r="GZ102" s="412"/>
      <c r="HA102" s="432" t="str">
        <f t="shared" si="383"/>
        <v/>
      </c>
      <c r="HB102" s="1234" t="str">
        <f>IF(A102=FALSE,"",IF(Detail!DF102="","N/A",YEAR(Detail!F102)&amp;Detail!DI102&amp;Detail!DF102&amp;"-"&amp;Detail!$DF$13))</f>
        <v/>
      </c>
      <c r="HC102" s="434" t="str">
        <f>IF(A102=FALSE,"",IF(LISTES!$A$17=1,HB102,INDEX(colMOD4,MATCH(Cotations!AH102,colchoice,0))))</f>
        <v/>
      </c>
      <c r="HD102" s="277" t="str">
        <f t="shared" si="485"/>
        <v/>
      </c>
      <c r="HE102" s="277" t="str">
        <f t="shared" si="486"/>
        <v/>
      </c>
      <c r="HF102" s="277"/>
      <c r="HG102" s="277"/>
      <c r="HH102" s="277" t="str">
        <f t="shared" si="487"/>
        <v/>
      </c>
      <c r="HI102" s="1104" t="str">
        <f t="shared" si="488"/>
        <v/>
      </c>
      <c r="HJ102" s="1104" t="str">
        <f t="shared" si="489"/>
        <v/>
      </c>
      <c r="HK102" s="443" t="str">
        <f>IF(A102=FALSE,"",IF(Cotations!AF102="monthly",HH102/12*L102,HH102/365*M102))</f>
        <v/>
      </c>
      <c r="HL102" s="1103" t="str">
        <f>IF(A102=FALSE,"",IF(Cotations!AF102="monthly",HJ102/12*L102,HJ102/365*M102))</f>
        <v/>
      </c>
      <c r="HM102" s="433" t="str">
        <f>IF(A102=FALSE,"",IF(Cotations!AL102="","",Cotations!AL102))</f>
        <v/>
      </c>
      <c r="HN102" s="277" t="str">
        <f t="shared" si="490"/>
        <v/>
      </c>
      <c r="HO102" s="277" t="str">
        <f t="shared" si="491"/>
        <v/>
      </c>
      <c r="HP102" s="1104" t="str">
        <f t="shared" si="492"/>
        <v/>
      </c>
      <c r="HQ102" s="277" t="str">
        <f t="shared" si="493"/>
        <v/>
      </c>
      <c r="HR102" s="759" t="str">
        <f>IF(A102=FALSE,"",((HH102*TAXE)-(HH102*TAXE*HM102)+HI102)+IF(CQ102="N/A",0,IF(INDEX(LISTES!$F$105:$F$109,MATCH(CQ102,LISTES!$C$105:$C$109,0))="FIX",CR102,CS102*HQ102)))</f>
        <v/>
      </c>
      <c r="HS102" s="412"/>
      <c r="HT102" s="412"/>
      <c r="HU102" s="412"/>
      <c r="HV102" s="412"/>
      <c r="HW102" s="412"/>
      <c r="HX102" s="412"/>
      <c r="HY102" s="412"/>
      <c r="HZ102" s="1262"/>
      <c r="IA102" s="432" t="str">
        <f>IF(A102=FALSE,"",Cotations!AT102)</f>
        <v/>
      </c>
      <c r="IB102" s="1253" t="str">
        <f>IF(A102=FALSE,"",IF(Detail!AT102="","N/A",YEAR(Detail!F102)&amp;Detail!AW102&amp;Detail!AT102&amp;"-"&amp;Detail!$AT$13&amp;Detail!AU102))</f>
        <v/>
      </c>
      <c r="IC102" s="431" t="str">
        <f>IF(A102=FALSE,"",IF(LISTES!$A$17=1,IB102,INDEX(colMOD1,MATCH(DA102,colchoice,0))))</f>
        <v/>
      </c>
      <c r="ID102" s="759" t="str">
        <f t="shared" si="358"/>
        <v/>
      </c>
      <c r="IE102" s="292" t="str">
        <f>IF(A102=FALSE,"",IF(LISTES!$A$17=1,Detail!AU102,INDEX(Rates!$M$1:$M$270,MATCH(IC102,colMOD1,0))))</f>
        <v/>
      </c>
      <c r="IF102" s="409" t="str">
        <f t="shared" si="359"/>
        <v/>
      </c>
      <c r="IG102" s="430" t="str">
        <f>IF(A102=FALSE,"",IF(IA102="POEA",Cotations!AY102,IF(IA102="FIXE",Cotations!AZ102,IF(Cotations!BA102*Y102&lt;50000,Z102,Cotations!BA102*Y102))))</f>
        <v/>
      </c>
      <c r="IH102" s="292" t="str">
        <f t="shared" si="360"/>
        <v/>
      </c>
      <c r="II102" s="446" t="str">
        <f>IF(A102=FALSE,"",IF(Cotations!AU102="monthly",IH102/12*L102,IH102/365*M102))</f>
        <v/>
      </c>
      <c r="IJ102" s="429" t="str">
        <f>IF(A102=FALSE,"",IF(Cotations!BB102="","",Cotations!BB102))</f>
        <v/>
      </c>
      <c r="IK102" s="292" t="str">
        <f t="shared" si="361"/>
        <v/>
      </c>
      <c r="IL102" s="292" t="str">
        <f t="shared" si="362"/>
        <v/>
      </c>
      <c r="IM102" s="759" t="str">
        <f t="shared" si="363"/>
        <v/>
      </c>
      <c r="IN102" s="759" t="str">
        <f>IF(A102=FALSE,"",((IH102*TAXE)-(IH102*TAXE*IJ102))+IF(DQ102="N/A",0,IF(INDEX(LISTES!$F$105:$F$109,MATCH(DQ102,LISTES!$C$105:$C$109,0))="FIX",DR102,DS102*IM102)))</f>
        <v/>
      </c>
      <c r="JA102" s="432" t="str">
        <f>IF(A102=FALSE,"",Cotations!AT102)</f>
        <v/>
      </c>
      <c r="JB102" s="1234" t="str">
        <f>IF(A102=FALSE,"",IF(Detail!BB102="","N/A",YEAR(Detail!F102)&amp;Detail!BE102&amp;Detail!BB102&amp;"-"&amp;Detail!$BB$13&amp;Detail!BC102))</f>
        <v/>
      </c>
      <c r="JC102" s="431" t="str">
        <f>IF(A102=FALSE,"",IF(LISTES!$A$17=1,JB102,INDEX(colMOD2,MATCH(DA102,colchoice,0))))</f>
        <v/>
      </c>
      <c r="JD102" s="759" t="str">
        <f t="shared" si="384"/>
        <v/>
      </c>
      <c r="JE102" s="292"/>
      <c r="JF102" s="409" t="str">
        <f t="shared" si="385"/>
        <v/>
      </c>
      <c r="JG102" s="430" t="str">
        <f>IF(A102=FALSE,"",IF(JA102="POEA",Cotations!BC102,IF(JA102="FIXE",Cotations!BD102,IF(Cotations!BE102*Y102&lt;50000,Z102,Cotations!BE102*Y102))))</f>
        <v/>
      </c>
      <c r="JH102" s="292" t="str">
        <f t="shared" si="386"/>
        <v/>
      </c>
      <c r="JI102" s="446" t="str">
        <f>IF(A102=FALSE,"",IF(Cotations!AU102="monthly",JH102/12*L102,JH102/365*M102))</f>
        <v/>
      </c>
      <c r="JJ102" s="429" t="str">
        <f>IF(A102=FALSE,"",IF(Cotations!BF102="","",Cotations!BF102))</f>
        <v/>
      </c>
      <c r="JK102" s="292" t="str">
        <f t="shared" si="387"/>
        <v/>
      </c>
      <c r="JL102" s="292" t="str">
        <f t="shared" si="388"/>
        <v/>
      </c>
      <c r="JM102" s="759" t="str">
        <f t="shared" si="389"/>
        <v/>
      </c>
      <c r="JN102" s="759" t="str">
        <f>IF(A102=FALSE,"",((JH102*TAXE)-(JH102*TAXE*JJ102))+IF(#REF!="N/A",0,IF(INDEX(LISTES!$F$105:$F$109,MATCH(#REF!,LISTES!$C$105:$C$109,0))="FIX",#REF!,#REF!*JM102)))</f>
        <v/>
      </c>
      <c r="KA102" s="432" t="str">
        <f>IF(A102=FALSE,"",Cotations!AT102)</f>
        <v/>
      </c>
      <c r="KB102" s="1234" t="str">
        <f>IF(A102=FALSE,"",IF(Detail!BJ102="","N/A",YEAR(Detail!F102)&amp;Detail!BM102&amp;Detail!BJ102&amp;"-"&amp;Detail!$BJ$13&amp;Detail!BK102))</f>
        <v/>
      </c>
      <c r="KC102" s="431" t="str">
        <f>IF(A102=FALSE,"",IF(LISTES!$A$17=1,KB102,INDEX(colMOD3,MATCH(DA102,colchoice,0))))</f>
        <v/>
      </c>
      <c r="KD102" s="759" t="str">
        <f t="shared" si="390"/>
        <v/>
      </c>
      <c r="KE102" s="292"/>
      <c r="KF102" s="409" t="str">
        <f t="shared" si="391"/>
        <v/>
      </c>
      <c r="KG102" s="430" t="str">
        <f>IF(A102=FALSE,"",IF(KA102="POEA",Cotations!BG102,IF(KA102="FIXE",Cotations!BH102,IF(Cotations!BI102*Y102&lt;50000,Z102,Cotations!BI102*Y102))))</f>
        <v/>
      </c>
      <c r="KH102" s="292" t="str">
        <f t="shared" si="392"/>
        <v/>
      </c>
      <c r="KI102" s="446" t="str">
        <f>IF(A102=FALSE,"",IF(Cotations!AU102="monthly",KH102/12*L102,KH102/365*M102))</f>
        <v/>
      </c>
      <c r="KJ102" s="429" t="str">
        <f>IF(A102=FALSE,"",IF(Cotations!BJ102="","",Cotations!BJ102))</f>
        <v/>
      </c>
      <c r="KK102" s="292" t="str">
        <f t="shared" si="393"/>
        <v/>
      </c>
      <c r="KL102" s="292" t="str">
        <f t="shared" si="394"/>
        <v/>
      </c>
      <c r="KM102" s="759" t="str">
        <f t="shared" si="395"/>
        <v/>
      </c>
      <c r="KN102" s="759" t="str">
        <f>IF(A102=FALSE,"",((KH102*TAXE)-(KH102*TAXE*KJ102))+IF(#REF!="N/A",0,IF(INDEX(LISTES!$F$105:$F$109,MATCH(#REF!,LISTES!$C$105:$C$109,0))="FIX",#REF!,#REF!*KM102)))</f>
        <v/>
      </c>
      <c r="LA102" s="432" t="str">
        <f>IF(A102=FALSE,"",Cotations!AT102)</f>
        <v/>
      </c>
      <c r="LB102" s="1234" t="str">
        <f>IF(A102=FALSE,"",IF(Detail!BR102="","N/A",YEAR(Detail!F102)&amp;Detail!BU102&amp;Detail!BR102&amp;"-"&amp;Detail!$BR$13&amp;Detail!BS102))</f>
        <v/>
      </c>
      <c r="LC102" s="431" t="str">
        <f>IF(A102=FALSE,"",IF(LISTES!$A$17=1,LB102,INDEX(colMOD4,MATCH(DA102,colchoice,0))))</f>
        <v/>
      </c>
      <c r="LD102" s="759" t="str">
        <f t="shared" si="396"/>
        <v/>
      </c>
      <c r="LE102" s="292"/>
      <c r="LF102" s="409" t="str">
        <f t="shared" si="397"/>
        <v/>
      </c>
      <c r="LG102" s="430" t="str">
        <f>IF(A102=FALSE,"",IF(LA102="POEA",Cotations!BK102,IF(LA102="FIXE",Cotations!BL102,IF(Cotations!BM102*Y102&lt;50000,Z102,Cotations!BM102*Y102))))</f>
        <v/>
      </c>
      <c r="LH102" s="292" t="str">
        <f t="shared" si="398"/>
        <v/>
      </c>
      <c r="LI102" s="446" t="str">
        <f>IF(A102=FALSE,"",IF(Cotations!AU102="monthly",LH102/12*L102,LH102/365*M102))</f>
        <v/>
      </c>
      <c r="LJ102" s="429" t="str">
        <f>IF(A102=FALSE,"",IF(Cotations!BN102="","",Cotations!BN102))</f>
        <v/>
      </c>
      <c r="LK102" s="292" t="str">
        <f t="shared" si="399"/>
        <v/>
      </c>
      <c r="LL102" s="292" t="str">
        <f t="shared" si="400"/>
        <v/>
      </c>
      <c r="LM102" s="759" t="str">
        <f t="shared" si="401"/>
        <v/>
      </c>
      <c r="LN102" s="759" t="str">
        <f>IF(A102=FALSE,"",((LH102*TAXE)-(LH102*TAXE*LJ102))+IF(#REF!="N/A",0,IF(INDEX(LISTES!$F$105:$F$109,MATCH(#REF!,LISTES!$C$105:$C$109,0))="FIX",#REF!,#REF!*LM102)))</f>
        <v/>
      </c>
      <c r="MA102" s="432" t="str">
        <f t="shared" si="402"/>
        <v/>
      </c>
      <c r="MB102" s="1234" t="str">
        <f>IF(A102=FALSE,"",IF(Detail!BZ102="","N/A",YEAR(Detail!F102)&amp;Detail!CC102&amp;Detail!BZ102&amp;"-"&amp;Detail!$BZ$13&amp;" (100%/"&amp;Detail!CD102&amp;"/"&amp;Detail!CE102&amp;")"))</f>
        <v/>
      </c>
      <c r="MC102" s="431" t="str">
        <f>IF(A102=FALSE,"",IF(LISTES!$A$17=1,MB102,INDEX(colMOD5,MATCH(DA102,colchoice,0))))</f>
        <v/>
      </c>
      <c r="MD102" s="759" t="str">
        <f t="shared" si="403"/>
        <v/>
      </c>
      <c r="ME102" s="292"/>
      <c r="MF102" s="409" t="str">
        <f t="shared" si="404"/>
        <v/>
      </c>
      <c r="MG102" s="430" t="str">
        <f>IF(A102=FALSE,"",Cotations!BQ102*AA102)</f>
        <v/>
      </c>
      <c r="MH102" s="292" t="str">
        <f t="shared" si="405"/>
        <v/>
      </c>
      <c r="MI102" s="446" t="str">
        <f>IF(A102=FALSE,"",IF(Cotations!AU102="monthly",MH102/12*L102,MH102/365*M102))</f>
        <v/>
      </c>
      <c r="MJ102" s="429" t="str">
        <f>IF(A102=FALSE,"",IF(Cotations!BR102="","",Cotations!BR102))</f>
        <v/>
      </c>
      <c r="MK102" s="292" t="str">
        <f t="shared" si="406"/>
        <v/>
      </c>
      <c r="ML102" s="292" t="str">
        <f t="shared" si="407"/>
        <v/>
      </c>
      <c r="MM102" s="759" t="str">
        <f t="shared" si="408"/>
        <v/>
      </c>
      <c r="MN102" s="759" t="str">
        <f>IF(A102=FALSE,"",((MH102*TAXE)-(MH102*TAXE*MJ102))+IF(#REF!="N/A",0,IF(INDEX(LISTES!$F$105:$F$109,MATCH(#REF!,LISTES!$C$105:$C$109,0))="FIX",#REF!,#REF!*MM102)))</f>
        <v/>
      </c>
      <c r="NA102" s="432" t="str">
        <f t="shared" si="409"/>
        <v/>
      </c>
      <c r="NB102" s="1234" t="str">
        <f>IF(A102=FALSE,"",IF(Detail!CH102="","N/A",YEAR(Detail!F102)&amp;Detail!CK102&amp;Detail!CH102&amp;"-"&amp;Detail!$CH$13&amp;" (100%/"&amp;Detail!CL102&amp;"/"&amp;Detail!CM102&amp;")"))</f>
        <v/>
      </c>
      <c r="NC102" s="431" t="str">
        <f>IF(A102=FALSE,"",IF(LISTES!$A$17=1,NB102,INDEX(colMOD6,MATCH(DA102,colchoice,0))))</f>
        <v/>
      </c>
      <c r="ND102" s="759" t="str">
        <f t="shared" si="410"/>
        <v/>
      </c>
      <c r="NE102" s="292"/>
      <c r="NF102" s="409" t="str">
        <f t="shared" si="411"/>
        <v/>
      </c>
      <c r="NG102" s="430" t="str">
        <f>IF(A102=FALSE,"",Cotations!BU102*AA102)</f>
        <v/>
      </c>
      <c r="NH102" s="292" t="str">
        <f t="shared" si="412"/>
        <v/>
      </c>
      <c r="NI102" s="446" t="str">
        <f>IF(A102=FALSE,"",IF(Cotations!AU102="monthly",NH102/12*L102,NH102/365*M102))</f>
        <v/>
      </c>
      <c r="NJ102" s="429" t="str">
        <f>IF(A102=FALSE,"",IF(Cotations!BV102="","",Cotations!BV102))</f>
        <v/>
      </c>
      <c r="NK102" s="292" t="str">
        <f t="shared" si="413"/>
        <v/>
      </c>
      <c r="NL102" s="292" t="str">
        <f t="shared" si="414"/>
        <v/>
      </c>
      <c r="NM102" s="759" t="str">
        <f t="shared" si="415"/>
        <v/>
      </c>
      <c r="NN102" s="759" t="str">
        <f>IF(A102=FALSE,"",((NH102*TAXE)-(NH102*TAXE*NJ102))+IF(#REF!="N/A",0,IF(INDEX(LISTES!$F$105:$F$109,MATCH(#REF!,LISTES!$C$105:$C$109,0))="FIX",#REF!,#REF!*NM102)))</f>
        <v/>
      </c>
      <c r="NZ102" s="1281" t="str">
        <f>IF(A102=FALSE,"",IF(Detail!CP102="","N/A",YEAR(Detail!F102)&amp;Detail!CS102&amp;Detail!CP102&amp;"-"&amp;Detail!CQ102))</f>
        <v/>
      </c>
      <c r="OA102" s="432" t="str">
        <f>IF(A102=FALSE,"",Cotations!CF102)</f>
        <v/>
      </c>
      <c r="OB102" s="1282" t="str">
        <f>IF(A102=FALSE,"",IF(Detail!CP102="","N/A",YEAR(Detail!F102)&amp;Detail!CS102&amp;Detail!CP102&amp;"-"&amp;Detail!$CP$13&amp;Detail!CQ102))</f>
        <v/>
      </c>
      <c r="OC102" s="1283" t="str">
        <f>IF(A102=FALSE,"",IF(LISTES!$A$17=1,OB102,INDEX(colMOD1,MATCH(Cotations!CE102,colchoice,0))))</f>
        <v/>
      </c>
      <c r="OD102" s="759" t="str">
        <f t="shared" si="416"/>
        <v/>
      </c>
      <c r="OE102" s="292" t="str">
        <f>IF(A102=FALSE,"",Detail!CQ102)</f>
        <v/>
      </c>
      <c r="OF102" s="409" t="str">
        <f t="shared" si="417"/>
        <v/>
      </c>
      <c r="OG102" s="430" t="str">
        <f>IF(A102=FALSE,"",IF(OA102="FIXE",Cotations!CM102,Cotations!CN102*AA102))</f>
        <v/>
      </c>
      <c r="OH102" s="292" t="str">
        <f t="shared" si="494"/>
        <v/>
      </c>
      <c r="OI102" s="446" t="str">
        <f>IF(A102=FALSE,"",IF(Cotations!CF102="monthly",OH102/12*L102,OH102/365*M102))</f>
        <v/>
      </c>
      <c r="OJ102" s="429" t="str">
        <f>IF(A102=FALSE,"",IF(Cotations!CO102="","",Cotations!CO102))</f>
        <v/>
      </c>
      <c r="OK102" s="292" t="str">
        <f t="shared" si="495"/>
        <v/>
      </c>
      <c r="OL102" s="292" t="str">
        <f t="shared" si="496"/>
        <v/>
      </c>
      <c r="OM102" s="759" t="str">
        <f t="shared" si="418"/>
        <v/>
      </c>
      <c r="ON102" s="759" t="str">
        <f>IF(A102=FALSE,"",((OH102*(1+TAXE)-(OH102*(1+TAXE)*OJ102))+IF(#REF!="N/A",0,IF(INDEX(LISTES!$F$105:$F$109,MATCH(#REF!,LISTES!$C$105:$C$109,0))="FIX",#REF!,#REF!*OM102))))</f>
        <v/>
      </c>
      <c r="PA102" s="432" t="str">
        <f>IF(A102=FALSE,"",Cotations!CF102)</f>
        <v/>
      </c>
      <c r="PB102" s="1282" t="str">
        <f>IF(A102=FALSE,"",IF(Detail!CX102="","N/A",YEAR(Detail!F102)&amp;Detail!DA102&amp;Detail!CX102&amp;"-"&amp;Detail!$CX$13&amp;Detail!CY102))</f>
        <v/>
      </c>
      <c r="PC102" s="1283" t="str">
        <f>IF(A102=FALSE,"",IF(LISTES!$A$17=1,PB102,INDEX(colMOD3,MATCH(Cotations!CE102,colchoice,0))))</f>
        <v/>
      </c>
      <c r="PD102" s="759" t="str">
        <f t="shared" si="419"/>
        <v/>
      </c>
      <c r="PE102" s="292" t="str">
        <f>IF(A102=FALSE,"",IF(Detail!CY102="","",Detail!CY102))</f>
        <v/>
      </c>
      <c r="PF102" s="409" t="str">
        <f t="shared" si="497"/>
        <v/>
      </c>
      <c r="PG102" s="430" t="str">
        <f>IF(A102=FALSE,"",IF(PA102="FIXE",Cotations!CP102,Cotations!CQ102*AA102))</f>
        <v/>
      </c>
      <c r="PH102" s="292" t="str">
        <f t="shared" si="498"/>
        <v/>
      </c>
      <c r="PI102" s="446" t="str">
        <f>IF(A102=FALSE,"",IF(Cotations!CG102="monthly",PH102/12*L102,PH102/365*M102))</f>
        <v/>
      </c>
      <c r="PJ102" s="429" t="str">
        <f>IF(A102=FALSE,"",IF(Cotations!DA102="",0,Cotations!DA102))</f>
        <v/>
      </c>
      <c r="PK102" s="292" t="str">
        <f t="shared" si="499"/>
        <v/>
      </c>
      <c r="PL102" s="292" t="str">
        <f t="shared" si="500"/>
        <v/>
      </c>
      <c r="PM102" s="759" t="str">
        <f t="shared" si="420"/>
        <v/>
      </c>
      <c r="PN102" s="759" t="str">
        <f>IF(A102=FALSE,"",((PH102*(1+TAXE)-(PH102*(1+TAXE)*PJ102))+IF(#REF!="N/A",0,IF(INDEX(LISTES!$F$105:$F$109,MATCH(#REF!,LISTES!$C$105:$C$109,0))="FIX",#REF!,#REF!*PM102))))</f>
        <v/>
      </c>
    </row>
    <row r="103" spans="1:430">
      <c r="A103" s="779" t="b">
        <f t="shared" si="364"/>
        <v>0</v>
      </c>
      <c r="B103" s="779" t="b">
        <f>IF(NAMES!$B$9=TRUE,TRUE,FALSE)</f>
        <v>1</v>
      </c>
      <c r="C103" s="779" t="b">
        <f t="shared" si="421"/>
        <v>0</v>
      </c>
      <c r="D103" s="779" t="b">
        <f t="shared" si="422"/>
        <v>0</v>
      </c>
      <c r="E103" s="267" t="b">
        <f>IF(Cotations!C103="","",Cotations!C103)</f>
        <v>0</v>
      </c>
      <c r="F103" s="267" t="str">
        <f>IF(Cotations!AT103="","",Cotations!AT103)</f>
        <v>PROP</v>
      </c>
      <c r="G103" s="267" t="str">
        <f>IF(Cotations!D103="","",Cotations!D103)</f>
        <v>2016-2017!</v>
      </c>
      <c r="H103" s="267" t="str">
        <f>IF(Cotations!E103="","",Cotations!E103)</f>
        <v>SINGLE</v>
      </c>
      <c r="I103" s="267" t="str">
        <f>IF(Cotations!F103="","",Cotations!F103)</f>
        <v/>
      </c>
      <c r="J103" s="267" t="str">
        <f>IF(Cotations!G103="","",Cotations!G103)</f>
        <v/>
      </c>
      <c r="K103" s="267" t="str">
        <f>IF(Cotations!H103="","",Cotations!H103)</f>
        <v/>
      </c>
      <c r="L103" s="267" t="str">
        <f>IF(A103=FALSE,"",IF(Cotations!M103="","",Cotations!M103))</f>
        <v/>
      </c>
      <c r="M103" s="267" t="str">
        <f>IF(Cotations!O103="","",Cotations!O103)</f>
        <v/>
      </c>
      <c r="N103" s="588" t="str">
        <f>IF(NAMES!$B$10=TRUE,Cotations!I103,Cotations!K103)</f>
        <v/>
      </c>
      <c r="O103" s="588" t="str">
        <f>IF(NAMES!$B$10=TRUE,Cotations!J103,Cotations!L103)</f>
        <v/>
      </c>
      <c r="P103" s="780" t="str">
        <f t="shared" si="423"/>
        <v/>
      </c>
      <c r="Q103" s="588" t="str">
        <f>IF(A103=FALSE,"",IF(Crewlist!Y103="","",Crewlist!Y103))</f>
        <v/>
      </c>
      <c r="R103" s="78" t="str">
        <f>IF(Cotations!T103="","",Cotations!T103)</f>
        <v/>
      </c>
      <c r="S103" s="780" t="str">
        <f t="shared" si="424"/>
        <v/>
      </c>
      <c r="T103" s="759" t="str">
        <f>IF(A103=FALSE,"",VLOOKUP($U$15:$U$120,Currency!$A$2:$D$10,4,0)*Crewlist!N103)</f>
        <v/>
      </c>
      <c r="U103" s="1097" t="str">
        <f>IF(A103=FALSE,"",IF(DP103=0,Crewlist!M103&amp;"/"&amp;CP103,Crewlist!M103&amp;"/"&amp;DP103))</f>
        <v/>
      </c>
      <c r="V103" s="759" t="str">
        <f>IF(A103=FALSE,"",VLOOKUP($U$15:$U$120,Currency!$A$2:$D$10,4,0)*Detail!Q103)</f>
        <v/>
      </c>
      <c r="W103" s="1097" t="str">
        <f>IF(A103=FALSE,"",IF(DP103=0,Detail!R103&amp;"/"&amp;CP103,Detail!R103&amp;"/"&amp;DP103))</f>
        <v/>
      </c>
      <c r="X103" s="759" t="str">
        <f>IF(A103=FALSE,"",IF(LISTES!$C$17="Crewlist",Calcul!T103,Calcul!V103))</f>
        <v/>
      </c>
      <c r="Y103" s="618" t="str">
        <f t="shared" si="425"/>
        <v/>
      </c>
      <c r="Z103" s="618" t="str">
        <f>IF(A103=FALSE,"",IF(X103=0,0,IF((Cotations!BA103*12*X103)&lt;50000,50000,(12*X103))))</f>
        <v/>
      </c>
      <c r="AA103" s="618" t="str">
        <f t="shared" si="426"/>
        <v/>
      </c>
      <c r="AB103" s="618" t="str">
        <f>IF(A103=FALSE,"",IF(Crewlist!O103=0,"",Crewlist!O103))</f>
        <v/>
      </c>
      <c r="AC103" s="618" t="str">
        <f>IF(I103="","",VLOOKUP($AB$15:$AB$120,Currency!$A$15:$B$34,2,0))</f>
        <v/>
      </c>
      <c r="AD103" s="618" t="str">
        <f t="shared" si="427"/>
        <v/>
      </c>
      <c r="AE103" s="618" t="str">
        <f t="shared" si="428"/>
        <v/>
      </c>
      <c r="AF103" s="618" t="str">
        <f t="shared" si="429"/>
        <v/>
      </c>
      <c r="AG103" s="618" t="str">
        <f t="shared" si="430"/>
        <v/>
      </c>
      <c r="AH103" s="1097" t="str">
        <f t="shared" si="365"/>
        <v/>
      </c>
      <c r="AI103" s="759" t="str">
        <f t="shared" si="431"/>
        <v/>
      </c>
      <c r="AJ103" s="1120" t="str">
        <f t="shared" si="432"/>
        <v/>
      </c>
      <c r="AK103" s="1120" t="str">
        <f t="shared" si="433"/>
        <v/>
      </c>
      <c r="AL103" s="236" t="str">
        <f t="shared" si="434"/>
        <v/>
      </c>
      <c r="AM103" s="236" t="str">
        <f t="shared" si="435"/>
        <v/>
      </c>
      <c r="AN103" s="1112" t="str">
        <f t="shared" si="436"/>
        <v/>
      </c>
      <c r="AO103" s="236" t="str">
        <f t="shared" si="437"/>
        <v/>
      </c>
      <c r="AP103" s="327" t="str">
        <f>IF(A103=FALSE,"",INDEX(Rates!$Q$1:$Q$278,MATCH(CA103,colchoice,0)))</f>
        <v/>
      </c>
      <c r="AQ103" s="236" t="str">
        <f t="shared" si="438"/>
        <v/>
      </c>
      <c r="AR103" s="236" t="str">
        <f t="shared" si="439"/>
        <v/>
      </c>
      <c r="AS103" s="236" t="str">
        <f t="shared" si="366"/>
        <v/>
      </c>
      <c r="AT103" s="236" t="str">
        <f t="shared" si="367"/>
        <v/>
      </c>
      <c r="AU103" s="236" t="str">
        <f t="shared" si="440"/>
        <v/>
      </c>
      <c r="AV103" s="236" t="str">
        <f t="shared" si="441"/>
        <v/>
      </c>
      <c r="AW103" s="236" t="str">
        <f t="shared" si="442"/>
        <v/>
      </c>
      <c r="AX103" s="236" t="str">
        <f t="shared" si="443"/>
        <v/>
      </c>
      <c r="AY103" s="236" t="str">
        <f t="shared" si="444"/>
        <v/>
      </c>
      <c r="AZ103" s="236" t="str">
        <f t="shared" si="445"/>
        <v/>
      </c>
      <c r="BA103" s="236" t="str">
        <f t="shared" si="446"/>
        <v/>
      </c>
      <c r="BB103" s="467" t="str">
        <f t="shared" si="447"/>
        <v/>
      </c>
      <c r="BC103" s="329" t="str">
        <f t="shared" si="448"/>
        <v/>
      </c>
      <c r="BD103" s="237" t="str">
        <f t="shared" si="449"/>
        <v/>
      </c>
      <c r="BE103" s="237" t="str">
        <f>IF(A103=FALSE,"",IF(ED103&lt;&gt;$BC$7,0,INDEX(EA103:EZ103,1,MATCH(Structure!$J$16,$EA$14:$EZ$14,0))))</f>
        <v/>
      </c>
      <c r="BF103" s="237" t="str">
        <f>IF(A103=FALSE,"",IF(FD103&lt;&gt;$BC$7,0,INDEX(FA103:FZ103,1,MATCH(Structure!$J$16,$FA$14:$FZ$14,0))))</f>
        <v/>
      </c>
      <c r="BG103" s="237" t="str">
        <f>IF(A103=FALSE,"",IF(GD103&lt;&gt;$BC$7,0,INDEX(GA103:GZ103,1,MATCH(Structure!$J$16,$GA$14:$GZ$14,0))))</f>
        <v/>
      </c>
      <c r="BH103" s="237" t="str">
        <f>IF(A103=FALSE,"",IF(HD103&lt;&gt;$BC$7,0,INDEX(HA103:HZ103,1,MATCH(Structure!$J$16,$HA$14:$HZ$14,0))))</f>
        <v/>
      </c>
      <c r="BI103" s="621" t="str">
        <f>IF(A103=FALSE,"",IF(ID103&lt;&gt;$BC$7,0,INDEX(IA103:IZ103,1,MATCH(Structure!$C$12,$IA$14:$IZ$14,0)))+OL103)</f>
        <v/>
      </c>
      <c r="BJ103" s="237" t="str">
        <f>IF(A103=FALSE,"",IF(JD103&lt;&gt;$BC$7,0,INDEX(JA103:JZ103,1,MATCH(Structure!$C$12,$JA$14:$JZ$14,0))))</f>
        <v/>
      </c>
      <c r="BK103" s="621" t="str">
        <f>IF(A103=FALSE,"",IF(KD103&lt;&gt;$BC$7,0,INDEX(KA103:KZ103,1,MATCH(Structure!$C$12,$KA$14:$KZ$14,0)))+PL103)</f>
        <v/>
      </c>
      <c r="BL103" s="237" t="str">
        <f>IF(A103=FALSE,"",IF(LD103&lt;&gt;$BC$7,0,INDEX(LA103:LZ103,1,MATCH(Structure!$C$12,$LA$14:$LZ$14,0))))</f>
        <v/>
      </c>
      <c r="BM103" s="237" t="str">
        <f>IF(A103=FALSE,"",IF(MD103&lt;&gt;$BC$7,0,INDEX(MA103:MZ103,1,MATCH(Structure!$C$12,$MA$14:$MZ$14,0))))</f>
        <v/>
      </c>
      <c r="BN103" s="326" t="str">
        <f>IF(A103=FALSE,"",IF(ND103&lt;&gt;$BC$7,0,INDEX(NA103:OC103,1,MATCH(Structure!$C$12,$NA$14:$OC$14,0))))</f>
        <v/>
      </c>
      <c r="BO103" s="435" t="str">
        <f t="shared" si="450"/>
        <v/>
      </c>
      <c r="BP103" s="237" t="str">
        <f t="shared" si="451"/>
        <v/>
      </c>
      <c r="BQ103" s="237" t="str">
        <f>IF(A103=FALSE,"",IF(ED103&lt;&gt;$BO$7,0,INDEX(EA103:EZ103,1,MATCH(Structure!$C$12,$EA$14:$EZ$14,0))))</f>
        <v/>
      </c>
      <c r="BR103" s="237" t="str">
        <f>IF(A103=FALSE,"",IF(FD103&lt;&gt;$BO$7,0,INDEX(FA103:FZ103,1,MATCH(Structure!$C$12,$FA$14:$FZ$14,0))))</f>
        <v/>
      </c>
      <c r="BS103" s="237" t="str">
        <f>IF(A103=FALSE,"",IF(ID103&lt;&gt;$BO$7,0,INDEX(IA103:IZ103,1,MATCH(Structure!$C$13,$IA$14:$IZ$14,0))))</f>
        <v/>
      </c>
      <c r="BT103" s="237" t="str">
        <f>IF(A103=FALSE,"",IF(JD103&lt;&gt;$BO$7,0,INDEX(JA103:JZ103,1,MATCH(Structure!$C$13,$JA$14:$JZ$14,0))))</f>
        <v/>
      </c>
      <c r="BU103" s="237" t="str">
        <f>IF(A103=FALSE,"",IF(KD103&lt;&gt;$BO$7,0,INDEX(KA103:KZ103,1,MATCH(Structure!$C$13,$KA$14:$KZ$14,0))))</f>
        <v/>
      </c>
      <c r="BV103" s="237" t="str">
        <f>IF(A103=FALSE,"",IF(LD103&lt;&gt;$BO$7,0,INDEX(LA103:LZ103,1,MATCH(Structure!$C$13,$LA$14:$LZ$14,0))))</f>
        <v/>
      </c>
      <c r="BW103" s="237" t="str">
        <f>IF(A103=FALSE,"",IF(MD103&lt;&gt;$BO$7,0,INDEX(MA103:MZ103,1,MATCH(Structure!$C$13,$MA$14:$MZ$14,0))))</f>
        <v/>
      </c>
      <c r="BX103" s="326" t="str">
        <f>IF(A103=FALSE,"",IF(ND103&lt;&gt;$BO$7,0,INDEX(NA103:OC103,1,MATCH(Structure!$C$13,$NA$14:$OC$14,0))))</f>
        <v/>
      </c>
      <c r="BY103" s="412"/>
      <c r="BZ103" s="412"/>
      <c r="CA103" s="1255" t="str">
        <f>IF(A103=FALSE,"",IF(LISTES!$A$17=1,Cotations!AG103,Cotations!AH103))</f>
        <v/>
      </c>
      <c r="CB103" s="1266" t="str">
        <f t="shared" si="452"/>
        <v/>
      </c>
      <c r="CC103" s="1120" t="str">
        <f t="shared" si="453"/>
        <v/>
      </c>
      <c r="CD103" s="1120" t="str">
        <f t="shared" si="454"/>
        <v/>
      </c>
      <c r="CE103" s="1120" t="str">
        <f t="shared" si="455"/>
        <v/>
      </c>
      <c r="CF103" s="1120" t="str">
        <f t="shared" si="456"/>
        <v/>
      </c>
      <c r="CG103" s="1267"/>
      <c r="CH103" s="1267"/>
      <c r="CI103" s="1268" t="str">
        <f t="shared" si="457"/>
        <v/>
      </c>
      <c r="CJ103" s="286" t="str">
        <f t="shared" si="458"/>
        <v/>
      </c>
      <c r="CK103" s="286" t="str">
        <f t="shared" si="459"/>
        <v/>
      </c>
      <c r="CL103" s="1263"/>
      <c r="CM103" s="1263"/>
      <c r="CN103" s="1263"/>
      <c r="CO103" s="1263"/>
      <c r="CP103" s="319" t="str">
        <f t="shared" si="460"/>
        <v/>
      </c>
      <c r="CQ103" s="443" t="str">
        <f>IF(A103=FALSE,"",Cotations!AM103)</f>
        <v/>
      </c>
      <c r="CR103" s="443" t="str">
        <f>IF(A103=FALSE,"",IF(Cotations!AN103="","",Cotations!AN103))</f>
        <v/>
      </c>
      <c r="CS103" s="433" t="str">
        <f>IF(A103=FALSE,"",Cotations!AO103)</f>
        <v/>
      </c>
      <c r="CT103" s="443" t="str">
        <f>IF(A103=FALSE,"",IF(CQ103="N/A",0,IF(INDEX(LISTES!$F$105:$F$109,MATCH(CQ103,LISTES!$C$105:$C$109,0))="FIX",IF(INDEX(LISTES!$E$105:$E$109,MATCH(CQ103,LISTES!$C$105:$C$109,0))=12,CR103/12*L103,CR103/365*M103),CS103*EQ103)))</f>
        <v/>
      </c>
      <c r="CU103" s="434" t="str">
        <f>IF(A103=FALSE,"",(CJ103+CK103)*Cotations!AP103)</f>
        <v/>
      </c>
      <c r="CV103" s="434" t="str">
        <f>IF(A103=FALSE,"",(CJ103+CK103)*Cotations!AQ103)</f>
        <v/>
      </c>
      <c r="DA103" s="1253" t="str">
        <f>IF(A103=FALSE,"",IF(LISTES!$A$17=1,Cotations!AV103,Cotations!AW103))</f>
        <v/>
      </c>
      <c r="DB103" s="1271" t="str">
        <f t="shared" si="461"/>
        <v/>
      </c>
      <c r="DC103" s="1270" t="str">
        <f t="shared" si="462"/>
        <v/>
      </c>
      <c r="DD103" s="1270" t="str">
        <f t="shared" si="463"/>
        <v/>
      </c>
      <c r="DE103" s="1270" t="str">
        <f t="shared" si="464"/>
        <v/>
      </c>
      <c r="DF103" s="1270" t="str">
        <f t="shared" si="465"/>
        <v/>
      </c>
      <c r="DG103" s="1270" t="str">
        <f t="shared" si="466"/>
        <v/>
      </c>
      <c r="DH103" s="1270" t="str">
        <f t="shared" si="467"/>
        <v/>
      </c>
      <c r="DI103" s="1271" t="str">
        <f t="shared" si="468"/>
        <v/>
      </c>
      <c r="DJ103" s="286" t="str">
        <f t="shared" si="469"/>
        <v/>
      </c>
      <c r="DK103" s="286" t="str">
        <f t="shared" si="470"/>
        <v/>
      </c>
      <c r="DL103" s="1264" t="str">
        <f t="shared" si="471"/>
        <v/>
      </c>
      <c r="DM103" s="1264" t="str">
        <f t="shared" si="472"/>
        <v/>
      </c>
      <c r="DN103" s="1264" t="str">
        <f t="shared" si="473"/>
        <v/>
      </c>
      <c r="DO103" s="1264" t="str">
        <f t="shared" si="474"/>
        <v/>
      </c>
      <c r="DP103" s="323" t="str">
        <f t="shared" si="368"/>
        <v/>
      </c>
      <c r="DQ103" s="444" t="str">
        <f>IF(A103=FALSE,"",Cotations!BW103)</f>
        <v/>
      </c>
      <c r="DR103" s="444" t="str">
        <f>IF(A103=FALSE,"",Cotations!BX103)</f>
        <v/>
      </c>
      <c r="DS103" s="433" t="str">
        <f>IF(A103=FALSE,"",Cotations!BY103)</f>
        <v/>
      </c>
      <c r="DT103" s="830" t="str">
        <f>IF(A103=FALSE,"",IF(DQ103="N/A",0,IF(INDEX(LISTES!$F$105:$F$109,MATCH(DQ103,LISTES!$C$105:$C$109,0))="FIX",IF(INDEX(LISTES!$E$105:$E$109,MATCH(DQ103,LISTES!$C$105:$C$109,0))=12,DR103/12*L103,DR103/365*M103),DS103*(DN103+DO103))))</f>
        <v/>
      </c>
      <c r="DU103" s="434" t="str">
        <f>IF(A103=FALSE,"",DJ103*Cotations!BZ103)</f>
        <v/>
      </c>
      <c r="DV103" s="434" t="str">
        <f>IF(A103=FALSE,"",DJ103*Cotations!CA103)</f>
        <v/>
      </c>
      <c r="EA103" s="432" t="str">
        <f>IF(A103=FALSE,"",Cotations!AT103)</f>
        <v/>
      </c>
      <c r="EB103" s="1234" t="str">
        <f>IF(A103=FALSE,"",YEAR(Detail!F103)&amp;Detail!AG103&amp;Detail!AD103&amp;"-"&amp;Detail!$AD$13&amp;Detail!AE103)</f>
        <v/>
      </c>
      <c r="EC103" s="434" t="str">
        <f>IF(A103=FALSE,"",IF(LISTES!$A$17=1,EB103,INDEX(colMOD1,MATCH(Cotations!AH103,colchoice,0))))</f>
        <v/>
      </c>
      <c r="ED103" s="277" t="str">
        <f t="shared" si="369"/>
        <v/>
      </c>
      <c r="EE103" s="277" t="str">
        <f t="shared" si="370"/>
        <v/>
      </c>
      <c r="EF103" s="277"/>
      <c r="EG103" s="277"/>
      <c r="EH103" s="277" t="str">
        <f t="shared" si="371"/>
        <v/>
      </c>
      <c r="EI103" s="1104" t="str">
        <f t="shared" si="372"/>
        <v/>
      </c>
      <c r="EJ103" s="1104" t="str">
        <f t="shared" si="373"/>
        <v/>
      </c>
      <c r="EK103" s="443" t="str">
        <f>IF(A103=FALSE,"",IF(Cotations!AF103="monthly",EH103/12*L103,EH103/365*M103))</f>
        <v/>
      </c>
      <c r="EL103" s="1103" t="str">
        <f>IF(A103=FALSE,"",IF(Cotations!AF103="monthly",EJ103/12*L103,EJ103/365*M103))</f>
        <v/>
      </c>
      <c r="EM103" s="433" t="str">
        <f>IF(A103=FALSE,"",IF(Cotations!AI103="","",Cotations!AI103))</f>
        <v/>
      </c>
      <c r="EN103" s="277" t="str">
        <f t="shared" si="374"/>
        <v/>
      </c>
      <c r="EO103" s="277" t="str">
        <f t="shared" si="375"/>
        <v/>
      </c>
      <c r="EP103" s="1104" t="str">
        <f t="shared" si="376"/>
        <v/>
      </c>
      <c r="EQ103" s="277" t="str">
        <f t="shared" si="377"/>
        <v/>
      </c>
      <c r="ER103" s="759" t="str">
        <f>IF(A103=FALSE,"",((EH103*TAXE)-(EH103*TAXE*EM103)+EI103)+IF(CQ103="N/A",0,IF(INDEX(LISTES!$F$105:$F$109,MATCH(CQ103,LISTES!$C$105:$C$109,0))="FIX",CR103,CS103*EQ103)))</f>
        <v/>
      </c>
      <c r="ET103" s="422"/>
      <c r="EU103" s="422"/>
      <c r="EV103" s="422"/>
      <c r="EW103" s="422"/>
      <c r="EX103" s="422"/>
      <c r="EY103" s="422"/>
      <c r="EZ103" s="422"/>
      <c r="FA103" s="432" t="str">
        <f>IF(A103=FALSE,"",Cotations!AT103)</f>
        <v/>
      </c>
      <c r="FB103" s="1235" t="str">
        <f>IF(A103=FALSE,"",IF(Detail!AL103="","N/A",YEAR(Detail!F103)&amp;Detail!AO103&amp;Detail!AL103&amp;"-"&amp;Detail!$AL$13&amp;Detail!AM103))</f>
        <v/>
      </c>
      <c r="FC103" s="434" t="str">
        <f>IF(A103=FALSE,"",IF(LISTES!$A$17=1,FB103,INDEX(colMOD2,MATCH(Cotations!AH103,colchoice,0))))</f>
        <v/>
      </c>
      <c r="FD103" s="277" t="str">
        <f t="shared" si="378"/>
        <v/>
      </c>
      <c r="FE103" s="443" t="str">
        <f>IF(A103=FALSE,"",IF(Detail!AM103="","",Detail!AM103))</f>
        <v/>
      </c>
      <c r="FF103" s="277"/>
      <c r="FG103" s="277"/>
      <c r="FH103" s="277" t="str">
        <f t="shared" si="379"/>
        <v/>
      </c>
      <c r="FI103" s="1104"/>
      <c r="FJ103" s="1104"/>
      <c r="FK103" s="443" t="str">
        <f>IF(A103=FALSE,"",IF(Cotations!AF103="monthly",FH103/12*L103,FH103/365*M103))</f>
        <v/>
      </c>
      <c r="FL103" s="1103" t="str">
        <f>IF(A103=FALSE,"",IF(Cotations!AF103="monthly",FJ103/12*L103,FJ103/365*M103))</f>
        <v/>
      </c>
      <c r="FM103" s="433" t="str">
        <f>IF(A103=FALSE,"",IF(Cotations!AJ103="","",Cotations!AJ103))</f>
        <v/>
      </c>
      <c r="FN103" s="277" t="str">
        <f t="shared" si="475"/>
        <v/>
      </c>
      <c r="FO103" s="277" t="str">
        <f t="shared" si="476"/>
        <v/>
      </c>
      <c r="FP103" s="1104"/>
      <c r="FQ103" s="277" t="str">
        <f t="shared" si="477"/>
        <v/>
      </c>
      <c r="FR103" s="759" t="str">
        <f>IF(A103=FALSE,"",((FH103*TAXE)-(FH103*TAXE*FM103))+IF(#REF!="N/A",0,IF(INDEX(LISTES!$F$105:$F$109,MATCH(#REF!,LISTES!$C$105:$C$109,0))="FIX",#REF!,#REF!*FQ103)))</f>
        <v/>
      </c>
      <c r="FS103" s="422"/>
      <c r="FT103" s="422"/>
      <c r="FU103" s="422"/>
      <c r="FV103" s="422"/>
      <c r="FW103" s="422"/>
      <c r="FX103" s="422"/>
      <c r="FY103" s="422"/>
      <c r="FZ103" s="422"/>
      <c r="GA103" s="432" t="str">
        <f t="shared" si="380"/>
        <v/>
      </c>
      <c r="GB103" s="1234" t="str">
        <f>IF(A103=FALSE,"",IF(Detail!DF103="","N/A",YEAR(Detail!F103)&amp;Detail!DI103&amp;Detail!DF103&amp;"-"&amp;Detail!$DF$13))</f>
        <v/>
      </c>
      <c r="GC103" s="434" t="str">
        <f>IF(A103=FALSE,"",IF(LISTES!$A$17=1,GB103,INDEX(colMOD3,MATCH(Cotations!AH103,colchoice,0))))</f>
        <v/>
      </c>
      <c r="GD103" s="277" t="str">
        <f t="shared" si="381"/>
        <v/>
      </c>
      <c r="GE103" s="277" t="str">
        <f t="shared" si="382"/>
        <v/>
      </c>
      <c r="GF103" s="277"/>
      <c r="GG103" s="277"/>
      <c r="GH103" s="277" t="str">
        <f t="shared" si="478"/>
        <v/>
      </c>
      <c r="GI103" s="1104" t="str">
        <f t="shared" si="479"/>
        <v/>
      </c>
      <c r="GJ103" s="1104" t="str">
        <f t="shared" si="480"/>
        <v/>
      </c>
      <c r="GK103" s="443" t="str">
        <f>IF(A103=FALSE,"",IF(Cotations!AF103="monthly",GH103/12*L103,GH103/365*M103))</f>
        <v/>
      </c>
      <c r="GL103" s="1103" t="str">
        <f>IF(A103=FALSE,"",IF(Cotations!AF103="monthly",GJ103/12*L103,GJ103/365*M103))</f>
        <v/>
      </c>
      <c r="GM103" s="433" t="str">
        <f>IF(A103=FALSE,"",IF(Cotations!AK103="","",Cotations!AK103))</f>
        <v/>
      </c>
      <c r="GN103" s="277" t="str">
        <f t="shared" si="481"/>
        <v/>
      </c>
      <c r="GO103" s="277" t="str">
        <f t="shared" si="482"/>
        <v/>
      </c>
      <c r="GP103" s="1104" t="str">
        <f t="shared" si="483"/>
        <v/>
      </c>
      <c r="GQ103" s="277" t="str">
        <f t="shared" si="484"/>
        <v/>
      </c>
      <c r="GR103" s="759" t="str">
        <f>IF(A103=FALSE,"",((GH103*TAXE)-(GH103*TAXE*GM103)+GI103)+IF(CQ103="N/A",0,IF(INDEX(LISTES!$F$105:$F$109,MATCH(CQ103,LISTES!$C$105:$C$109,0))="FIX",CR103,CS103*GQ103)))</f>
        <v/>
      </c>
      <c r="GS103" s="412"/>
      <c r="GT103" s="412"/>
      <c r="GU103" s="412"/>
      <c r="GV103" s="412"/>
      <c r="GW103" s="412"/>
      <c r="GX103" s="412"/>
      <c r="GY103" s="412"/>
      <c r="GZ103" s="412"/>
      <c r="HA103" s="432" t="str">
        <f t="shared" si="383"/>
        <v/>
      </c>
      <c r="HB103" s="1234" t="str">
        <f>IF(A103=FALSE,"",IF(Detail!DF103="","N/A",YEAR(Detail!F103)&amp;Detail!DI103&amp;Detail!DF103&amp;"-"&amp;Detail!$DF$13))</f>
        <v/>
      </c>
      <c r="HC103" s="434" t="str">
        <f>IF(A103=FALSE,"",IF(LISTES!$A$17=1,HB103,INDEX(colMOD4,MATCH(Cotations!AH103,colchoice,0))))</f>
        <v/>
      </c>
      <c r="HD103" s="277" t="str">
        <f t="shared" si="485"/>
        <v/>
      </c>
      <c r="HE103" s="277" t="str">
        <f t="shared" si="486"/>
        <v/>
      </c>
      <c r="HF103" s="277"/>
      <c r="HG103" s="277"/>
      <c r="HH103" s="277" t="str">
        <f t="shared" si="487"/>
        <v/>
      </c>
      <c r="HI103" s="1104" t="str">
        <f t="shared" si="488"/>
        <v/>
      </c>
      <c r="HJ103" s="1104" t="str">
        <f t="shared" si="489"/>
        <v/>
      </c>
      <c r="HK103" s="443" t="str">
        <f>IF(A103=FALSE,"",IF(Cotations!AF103="monthly",HH103/12*L103,HH103/365*M103))</f>
        <v/>
      </c>
      <c r="HL103" s="1103" t="str">
        <f>IF(A103=FALSE,"",IF(Cotations!AF103="monthly",HJ103/12*L103,HJ103/365*M103))</f>
        <v/>
      </c>
      <c r="HM103" s="433" t="str">
        <f>IF(A103=FALSE,"",IF(Cotations!AL103="","",Cotations!AL103))</f>
        <v/>
      </c>
      <c r="HN103" s="277" t="str">
        <f t="shared" si="490"/>
        <v/>
      </c>
      <c r="HO103" s="277" t="str">
        <f t="shared" si="491"/>
        <v/>
      </c>
      <c r="HP103" s="1104" t="str">
        <f t="shared" si="492"/>
        <v/>
      </c>
      <c r="HQ103" s="277" t="str">
        <f t="shared" si="493"/>
        <v/>
      </c>
      <c r="HR103" s="759" t="str">
        <f>IF(A103=FALSE,"",((HH103*TAXE)-(HH103*TAXE*HM103)+HI103)+IF(CQ103="N/A",0,IF(INDEX(LISTES!$F$105:$F$109,MATCH(CQ103,LISTES!$C$105:$C$109,0))="FIX",CR103,CS103*HQ103)))</f>
        <v/>
      </c>
      <c r="HS103" s="412"/>
      <c r="HT103" s="412"/>
      <c r="HU103" s="412"/>
      <c r="HV103" s="412"/>
      <c r="HW103" s="412"/>
      <c r="HX103" s="412"/>
      <c r="HY103" s="412"/>
      <c r="HZ103" s="1262"/>
      <c r="IA103" s="432" t="str">
        <f>IF(A103=FALSE,"",Cotations!AT103)</f>
        <v/>
      </c>
      <c r="IB103" s="1253" t="str">
        <f>IF(A103=FALSE,"",IF(Detail!AT103="","N/A",YEAR(Detail!F103)&amp;Detail!AW103&amp;Detail!AT103&amp;"-"&amp;Detail!$AT$13&amp;Detail!AU103))</f>
        <v/>
      </c>
      <c r="IC103" s="431" t="str">
        <f>IF(A103=FALSE,"",IF(LISTES!$A$17=1,IB103,INDEX(colMOD1,MATCH(DA103,colchoice,0))))</f>
        <v/>
      </c>
      <c r="ID103" s="759" t="str">
        <f t="shared" si="358"/>
        <v/>
      </c>
      <c r="IE103" s="292" t="str">
        <f>IF(A103=FALSE,"",IF(LISTES!$A$17=1,Detail!AU103,INDEX(Rates!$M$1:$M$270,MATCH(IC103,colMOD1,0))))</f>
        <v/>
      </c>
      <c r="IF103" s="409" t="str">
        <f t="shared" si="359"/>
        <v/>
      </c>
      <c r="IG103" s="430" t="str">
        <f>IF(A103=FALSE,"",IF(IA103="POEA",Cotations!AY103,IF(IA103="FIXE",Cotations!AZ103,IF(Cotations!BA103*Y103&lt;50000,Z103,Cotations!BA103*Y103))))</f>
        <v/>
      </c>
      <c r="IH103" s="292" t="str">
        <f t="shared" si="360"/>
        <v/>
      </c>
      <c r="II103" s="446" t="str">
        <f>IF(A103=FALSE,"",IF(Cotations!AU103="monthly",IH103/12*L103,IH103/365*M103))</f>
        <v/>
      </c>
      <c r="IJ103" s="429" t="str">
        <f>IF(A103=FALSE,"",IF(Cotations!BB103="","",Cotations!BB103))</f>
        <v/>
      </c>
      <c r="IK103" s="292" t="str">
        <f t="shared" si="361"/>
        <v/>
      </c>
      <c r="IL103" s="292" t="str">
        <f t="shared" si="362"/>
        <v/>
      </c>
      <c r="IM103" s="759" t="str">
        <f t="shared" si="363"/>
        <v/>
      </c>
      <c r="IN103" s="759" t="str">
        <f>IF(A103=FALSE,"",((IH103*TAXE)-(IH103*TAXE*IJ103))+IF(DQ103="N/A",0,IF(INDEX(LISTES!$F$105:$F$109,MATCH(DQ103,LISTES!$C$105:$C$109,0))="FIX",DR103,DS103*IM103)))</f>
        <v/>
      </c>
      <c r="JA103" s="432" t="str">
        <f>IF(A103=FALSE,"",Cotations!AT103)</f>
        <v/>
      </c>
      <c r="JB103" s="1234" t="str">
        <f>IF(A103=FALSE,"",IF(Detail!BB103="","N/A",YEAR(Detail!F103)&amp;Detail!BE103&amp;Detail!BB103&amp;"-"&amp;Detail!$BB$13&amp;Detail!BC103))</f>
        <v/>
      </c>
      <c r="JC103" s="431" t="str">
        <f>IF(A103=FALSE,"",IF(LISTES!$A$17=1,JB103,INDEX(colMOD2,MATCH(DA103,colchoice,0))))</f>
        <v/>
      </c>
      <c r="JD103" s="759" t="str">
        <f t="shared" si="384"/>
        <v/>
      </c>
      <c r="JE103" s="292"/>
      <c r="JF103" s="409" t="str">
        <f t="shared" si="385"/>
        <v/>
      </c>
      <c r="JG103" s="430" t="str">
        <f>IF(A103=FALSE,"",IF(JA103="POEA",Cotations!BC103,IF(JA103="FIXE",Cotations!BD103,IF(Cotations!BE103*Y103&lt;50000,Z103,Cotations!BE103*Y103))))</f>
        <v/>
      </c>
      <c r="JH103" s="292" t="str">
        <f t="shared" si="386"/>
        <v/>
      </c>
      <c r="JI103" s="446" t="str">
        <f>IF(A103=FALSE,"",IF(Cotations!AU103="monthly",JH103/12*L103,JH103/365*M103))</f>
        <v/>
      </c>
      <c r="JJ103" s="429" t="str">
        <f>IF(A103=FALSE,"",IF(Cotations!BF103="","",Cotations!BF103))</f>
        <v/>
      </c>
      <c r="JK103" s="292" t="str">
        <f t="shared" si="387"/>
        <v/>
      </c>
      <c r="JL103" s="292" t="str">
        <f t="shared" si="388"/>
        <v/>
      </c>
      <c r="JM103" s="759" t="str">
        <f t="shared" si="389"/>
        <v/>
      </c>
      <c r="JN103" s="759" t="str">
        <f>IF(A103=FALSE,"",((JH103*TAXE)-(JH103*TAXE*JJ103))+IF(#REF!="N/A",0,IF(INDEX(LISTES!$F$105:$F$109,MATCH(#REF!,LISTES!$C$105:$C$109,0))="FIX",#REF!,#REF!*JM103)))</f>
        <v/>
      </c>
      <c r="KA103" s="432" t="str">
        <f>IF(A103=FALSE,"",Cotations!AT103)</f>
        <v/>
      </c>
      <c r="KB103" s="1234" t="str">
        <f>IF(A103=FALSE,"",IF(Detail!BJ103="","N/A",YEAR(Detail!F103)&amp;Detail!BM103&amp;Detail!BJ103&amp;"-"&amp;Detail!$BJ$13&amp;Detail!BK103))</f>
        <v/>
      </c>
      <c r="KC103" s="431" t="str">
        <f>IF(A103=FALSE,"",IF(LISTES!$A$17=1,KB103,INDEX(colMOD3,MATCH(DA103,colchoice,0))))</f>
        <v/>
      </c>
      <c r="KD103" s="759" t="str">
        <f t="shared" si="390"/>
        <v/>
      </c>
      <c r="KE103" s="292"/>
      <c r="KF103" s="409" t="str">
        <f t="shared" si="391"/>
        <v/>
      </c>
      <c r="KG103" s="430" t="str">
        <f>IF(A103=FALSE,"",IF(KA103="POEA",Cotations!BG103,IF(KA103="FIXE",Cotations!BH103,IF(Cotations!BI103*Y103&lt;50000,Z103,Cotations!BI103*Y103))))</f>
        <v/>
      </c>
      <c r="KH103" s="292" t="str">
        <f t="shared" si="392"/>
        <v/>
      </c>
      <c r="KI103" s="446" t="str">
        <f>IF(A103=FALSE,"",IF(Cotations!AU103="monthly",KH103/12*L103,KH103/365*M103))</f>
        <v/>
      </c>
      <c r="KJ103" s="429" t="str">
        <f>IF(A103=FALSE,"",IF(Cotations!BJ103="","",Cotations!BJ103))</f>
        <v/>
      </c>
      <c r="KK103" s="292" t="str">
        <f t="shared" si="393"/>
        <v/>
      </c>
      <c r="KL103" s="292" t="str">
        <f t="shared" si="394"/>
        <v/>
      </c>
      <c r="KM103" s="759" t="str">
        <f t="shared" si="395"/>
        <v/>
      </c>
      <c r="KN103" s="759" t="str">
        <f>IF(A103=FALSE,"",((KH103*TAXE)-(KH103*TAXE*KJ103))+IF(#REF!="N/A",0,IF(INDEX(LISTES!$F$105:$F$109,MATCH(#REF!,LISTES!$C$105:$C$109,0))="FIX",#REF!,#REF!*KM103)))</f>
        <v/>
      </c>
      <c r="LA103" s="432" t="str">
        <f>IF(A103=FALSE,"",Cotations!AT103)</f>
        <v/>
      </c>
      <c r="LB103" s="1234" t="str">
        <f>IF(A103=FALSE,"",IF(Detail!BR103="","N/A",YEAR(Detail!F103)&amp;Detail!BU103&amp;Detail!BR103&amp;"-"&amp;Detail!$BR$13&amp;Detail!BS103))</f>
        <v/>
      </c>
      <c r="LC103" s="431" t="str">
        <f>IF(A103=FALSE,"",IF(LISTES!$A$17=1,LB103,INDEX(colMOD4,MATCH(DA103,colchoice,0))))</f>
        <v/>
      </c>
      <c r="LD103" s="759" t="str">
        <f t="shared" si="396"/>
        <v/>
      </c>
      <c r="LE103" s="292"/>
      <c r="LF103" s="409" t="str">
        <f t="shared" si="397"/>
        <v/>
      </c>
      <c r="LG103" s="430" t="str">
        <f>IF(A103=FALSE,"",IF(LA103="POEA",Cotations!BK103,IF(LA103="FIXE",Cotations!BL103,IF(Cotations!BM103*Y103&lt;50000,Z103,Cotations!BM103*Y103))))</f>
        <v/>
      </c>
      <c r="LH103" s="292" t="str">
        <f t="shared" si="398"/>
        <v/>
      </c>
      <c r="LI103" s="446" t="str">
        <f>IF(A103=FALSE,"",IF(Cotations!AU103="monthly",LH103/12*L103,LH103/365*M103))</f>
        <v/>
      </c>
      <c r="LJ103" s="429" t="str">
        <f>IF(A103=FALSE,"",IF(Cotations!BN103="","",Cotations!BN103))</f>
        <v/>
      </c>
      <c r="LK103" s="292" t="str">
        <f t="shared" si="399"/>
        <v/>
      </c>
      <c r="LL103" s="292" t="str">
        <f t="shared" si="400"/>
        <v/>
      </c>
      <c r="LM103" s="759" t="str">
        <f t="shared" si="401"/>
        <v/>
      </c>
      <c r="LN103" s="759" t="str">
        <f>IF(A103=FALSE,"",((LH103*TAXE)-(LH103*TAXE*LJ103))+IF(#REF!="N/A",0,IF(INDEX(LISTES!$F$105:$F$109,MATCH(#REF!,LISTES!$C$105:$C$109,0))="FIX",#REF!,#REF!*LM103)))</f>
        <v/>
      </c>
      <c r="MA103" s="432" t="str">
        <f t="shared" si="402"/>
        <v/>
      </c>
      <c r="MB103" s="1234" t="str">
        <f>IF(A103=FALSE,"",IF(Detail!BZ103="","N/A",YEAR(Detail!F103)&amp;Detail!CC103&amp;Detail!BZ103&amp;"-"&amp;Detail!$BZ$13&amp;" (100%/"&amp;Detail!CD103&amp;"/"&amp;Detail!CE103&amp;")"))</f>
        <v/>
      </c>
      <c r="MC103" s="431" t="str">
        <f>IF(A103=FALSE,"",IF(LISTES!$A$17=1,MB103,INDEX(colMOD5,MATCH(DA103,colchoice,0))))</f>
        <v/>
      </c>
      <c r="MD103" s="759" t="str">
        <f t="shared" si="403"/>
        <v/>
      </c>
      <c r="ME103" s="292"/>
      <c r="MF103" s="409" t="str">
        <f t="shared" si="404"/>
        <v/>
      </c>
      <c r="MG103" s="430" t="str">
        <f>IF(A103=FALSE,"",Cotations!BQ103*AA103)</f>
        <v/>
      </c>
      <c r="MH103" s="292" t="str">
        <f t="shared" si="405"/>
        <v/>
      </c>
      <c r="MI103" s="446" t="str">
        <f>IF(A103=FALSE,"",IF(Cotations!AU103="monthly",MH103/12*L103,MH103/365*M103))</f>
        <v/>
      </c>
      <c r="MJ103" s="429" t="str">
        <f>IF(A103=FALSE,"",IF(Cotations!BR103="","",Cotations!BR103))</f>
        <v/>
      </c>
      <c r="MK103" s="292" t="str">
        <f t="shared" si="406"/>
        <v/>
      </c>
      <c r="ML103" s="292" t="str">
        <f t="shared" si="407"/>
        <v/>
      </c>
      <c r="MM103" s="759" t="str">
        <f t="shared" si="408"/>
        <v/>
      </c>
      <c r="MN103" s="759" t="str">
        <f>IF(A103=FALSE,"",((MH103*TAXE)-(MH103*TAXE*MJ103))+IF(#REF!="N/A",0,IF(INDEX(LISTES!$F$105:$F$109,MATCH(#REF!,LISTES!$C$105:$C$109,0))="FIX",#REF!,#REF!*MM103)))</f>
        <v/>
      </c>
      <c r="NA103" s="432" t="str">
        <f t="shared" si="409"/>
        <v/>
      </c>
      <c r="NB103" s="1234" t="str">
        <f>IF(A103=FALSE,"",IF(Detail!CH103="","N/A",YEAR(Detail!F103)&amp;Detail!CK103&amp;Detail!CH103&amp;"-"&amp;Detail!$CH$13&amp;" (100%/"&amp;Detail!CL103&amp;"/"&amp;Detail!CM103&amp;")"))</f>
        <v/>
      </c>
      <c r="NC103" s="431" t="str">
        <f>IF(A103=FALSE,"",IF(LISTES!$A$17=1,NB103,INDEX(colMOD6,MATCH(DA103,colchoice,0))))</f>
        <v/>
      </c>
      <c r="ND103" s="759" t="str">
        <f t="shared" si="410"/>
        <v/>
      </c>
      <c r="NE103" s="292"/>
      <c r="NF103" s="409" t="str">
        <f t="shared" si="411"/>
        <v/>
      </c>
      <c r="NG103" s="430" t="str">
        <f>IF(A103=FALSE,"",Cotations!BU103*AA103)</f>
        <v/>
      </c>
      <c r="NH103" s="292" t="str">
        <f t="shared" si="412"/>
        <v/>
      </c>
      <c r="NI103" s="446" t="str">
        <f>IF(A103=FALSE,"",IF(Cotations!AU103="monthly",NH103/12*L103,NH103/365*M103))</f>
        <v/>
      </c>
      <c r="NJ103" s="429" t="str">
        <f>IF(A103=FALSE,"",IF(Cotations!BV103="","",Cotations!BV103))</f>
        <v/>
      </c>
      <c r="NK103" s="292" t="str">
        <f t="shared" si="413"/>
        <v/>
      </c>
      <c r="NL103" s="292" t="str">
        <f t="shared" si="414"/>
        <v/>
      </c>
      <c r="NM103" s="759" t="str">
        <f t="shared" si="415"/>
        <v/>
      </c>
      <c r="NN103" s="759" t="str">
        <f>IF(A103=FALSE,"",((NH103*TAXE)-(NH103*TAXE*NJ103))+IF(#REF!="N/A",0,IF(INDEX(LISTES!$F$105:$F$109,MATCH(#REF!,LISTES!$C$105:$C$109,0))="FIX",#REF!,#REF!*NM103)))</f>
        <v/>
      </c>
      <c r="NZ103" s="1281" t="str">
        <f>IF(A103=FALSE,"",IF(Detail!CP103="","N/A",YEAR(Detail!F103)&amp;Detail!CS103&amp;Detail!CP103&amp;"-"&amp;Detail!CQ103))</f>
        <v/>
      </c>
      <c r="OA103" s="432" t="str">
        <f>IF(A103=FALSE,"",Cotations!CF103)</f>
        <v/>
      </c>
      <c r="OB103" s="1282" t="str">
        <f>IF(A103=FALSE,"",IF(Detail!CP103="","N/A",YEAR(Detail!F103)&amp;Detail!CS103&amp;Detail!CP103&amp;"-"&amp;Detail!$CP$13&amp;Detail!CQ103))</f>
        <v/>
      </c>
      <c r="OC103" s="1283" t="str">
        <f>IF(A103=FALSE,"",IF(LISTES!$A$17=1,OB103,INDEX(colMOD1,MATCH(Cotations!CE103,colchoice,0))))</f>
        <v/>
      </c>
      <c r="OD103" s="759" t="str">
        <f t="shared" si="416"/>
        <v/>
      </c>
      <c r="OE103" s="292" t="str">
        <f>IF(A103=FALSE,"",Detail!CQ103)</f>
        <v/>
      </c>
      <c r="OF103" s="409" t="str">
        <f t="shared" si="417"/>
        <v/>
      </c>
      <c r="OG103" s="430" t="str">
        <f>IF(A103=FALSE,"",IF(OA103="FIXE",Cotations!CM103,Cotations!CN103*AA103))</f>
        <v/>
      </c>
      <c r="OH103" s="292" t="str">
        <f t="shared" si="494"/>
        <v/>
      </c>
      <c r="OI103" s="446" t="str">
        <f>IF(A103=FALSE,"",IF(Cotations!CF103="monthly",OH103/12*L103,OH103/365*M103))</f>
        <v/>
      </c>
      <c r="OJ103" s="429" t="str">
        <f>IF(A103=FALSE,"",IF(Cotations!CO103="","",Cotations!CO103))</f>
        <v/>
      </c>
      <c r="OK103" s="292" t="str">
        <f t="shared" si="495"/>
        <v/>
      </c>
      <c r="OL103" s="292" t="str">
        <f t="shared" si="496"/>
        <v/>
      </c>
      <c r="OM103" s="759" t="str">
        <f t="shared" si="418"/>
        <v/>
      </c>
      <c r="ON103" s="759" t="str">
        <f>IF(A103=FALSE,"",((OH103*(1+TAXE)-(OH103*(1+TAXE)*OJ103))+IF(#REF!="N/A",0,IF(INDEX(LISTES!$F$105:$F$109,MATCH(#REF!,LISTES!$C$105:$C$109,0))="FIX",#REF!,#REF!*OM103))))</f>
        <v/>
      </c>
      <c r="PA103" s="432" t="str">
        <f>IF(A103=FALSE,"",Cotations!CF103)</f>
        <v/>
      </c>
      <c r="PB103" s="1282" t="str">
        <f>IF(A103=FALSE,"",IF(Detail!CX103="","N/A",YEAR(Detail!F103)&amp;Detail!DA103&amp;Detail!CX103&amp;"-"&amp;Detail!$CX$13&amp;Detail!CY103))</f>
        <v/>
      </c>
      <c r="PC103" s="1283" t="str">
        <f>IF(A103=FALSE,"",IF(LISTES!$A$17=1,PB103,INDEX(colMOD3,MATCH(Cotations!CE103,colchoice,0))))</f>
        <v/>
      </c>
      <c r="PD103" s="759" t="str">
        <f t="shared" si="419"/>
        <v/>
      </c>
      <c r="PE103" s="292" t="str">
        <f>IF(A103=FALSE,"",IF(Detail!CY103="","",Detail!CY103))</f>
        <v/>
      </c>
      <c r="PF103" s="409" t="str">
        <f t="shared" si="497"/>
        <v/>
      </c>
      <c r="PG103" s="430" t="str">
        <f>IF(A103=FALSE,"",IF(PA103="FIXE",Cotations!CP103,Cotations!CQ103*AA103))</f>
        <v/>
      </c>
      <c r="PH103" s="292" t="str">
        <f t="shared" si="498"/>
        <v/>
      </c>
      <c r="PI103" s="446" t="str">
        <f>IF(A103=FALSE,"",IF(Cotations!CG103="monthly",PH103/12*L103,PH103/365*M103))</f>
        <v/>
      </c>
      <c r="PJ103" s="429" t="str">
        <f>IF(A103=FALSE,"",IF(Cotations!DA103="",0,Cotations!DA103))</f>
        <v/>
      </c>
      <c r="PK103" s="292" t="str">
        <f t="shared" si="499"/>
        <v/>
      </c>
      <c r="PL103" s="292" t="str">
        <f t="shared" si="500"/>
        <v/>
      </c>
      <c r="PM103" s="759" t="str">
        <f t="shared" si="420"/>
        <v/>
      </c>
      <c r="PN103" s="759" t="str">
        <f>IF(A103=FALSE,"",((PH103*(1+TAXE)-(PH103*(1+TAXE)*PJ103))+IF(#REF!="N/A",0,IF(INDEX(LISTES!$F$105:$F$109,MATCH(#REF!,LISTES!$C$105:$C$109,0))="FIX",#REF!,#REF!*PM103))))</f>
        <v/>
      </c>
    </row>
    <row r="104" spans="1:430">
      <c r="A104" s="779" t="b">
        <f t="shared" si="364"/>
        <v>0</v>
      </c>
      <c r="B104" s="779" t="b">
        <f>IF(NAMES!$B$9=TRUE,TRUE,FALSE)</f>
        <v>1</v>
      </c>
      <c r="C104" s="779" t="b">
        <f t="shared" si="421"/>
        <v>0</v>
      </c>
      <c r="D104" s="779" t="b">
        <f t="shared" si="422"/>
        <v>0</v>
      </c>
      <c r="E104" s="267" t="b">
        <f>IF(Cotations!C104="","",Cotations!C104)</f>
        <v>0</v>
      </c>
      <c r="F104" s="267" t="str">
        <f>IF(Cotations!AT104="","",Cotations!AT104)</f>
        <v>PROP</v>
      </c>
      <c r="G104" s="267" t="str">
        <f>IF(Cotations!D104="","",Cotations!D104)</f>
        <v>2016-2017!</v>
      </c>
      <c r="H104" s="267" t="str">
        <f>IF(Cotations!E104="","",Cotations!E104)</f>
        <v>SINGLE</v>
      </c>
      <c r="I104" s="267" t="str">
        <f>IF(Cotations!F104="","",Cotations!F104)</f>
        <v/>
      </c>
      <c r="J104" s="267" t="str">
        <f>IF(Cotations!G104="","",Cotations!G104)</f>
        <v/>
      </c>
      <c r="K104" s="267" t="str">
        <f>IF(Cotations!H104="","",Cotations!H104)</f>
        <v/>
      </c>
      <c r="L104" s="267" t="str">
        <f>IF(A104=FALSE,"",IF(Cotations!M104="","",Cotations!M104))</f>
        <v/>
      </c>
      <c r="M104" s="267" t="str">
        <f>IF(Cotations!O104="","",Cotations!O104)</f>
        <v/>
      </c>
      <c r="N104" s="588" t="str">
        <f>IF(NAMES!$B$10=TRUE,Cotations!I104,Cotations!K104)</f>
        <v/>
      </c>
      <c r="O104" s="588" t="str">
        <f>IF(NAMES!$B$10=TRUE,Cotations!J104,Cotations!L104)</f>
        <v/>
      </c>
      <c r="P104" s="780" t="str">
        <f t="shared" si="423"/>
        <v/>
      </c>
      <c r="Q104" s="588" t="str">
        <f>IF(A104=FALSE,"",IF(Crewlist!Y104="","",Crewlist!Y104))</f>
        <v/>
      </c>
      <c r="R104" s="78" t="str">
        <f>IF(Cotations!T104="","",Cotations!T104)</f>
        <v/>
      </c>
      <c r="S104" s="780" t="str">
        <f t="shared" si="424"/>
        <v/>
      </c>
      <c r="T104" s="759" t="str">
        <f>IF(A104=FALSE,"",VLOOKUP($U$15:$U$120,Currency!$A$2:$D$10,4,0)*Crewlist!N104)</f>
        <v/>
      </c>
      <c r="U104" s="1097" t="str">
        <f>IF(A104=FALSE,"",IF(DP104=0,Crewlist!M104&amp;"/"&amp;CP104,Crewlist!M104&amp;"/"&amp;DP104))</f>
        <v/>
      </c>
      <c r="V104" s="759" t="str">
        <f>IF(A104=FALSE,"",VLOOKUP($U$15:$U$120,Currency!$A$2:$D$10,4,0)*Detail!Q104)</f>
        <v/>
      </c>
      <c r="W104" s="1097" t="str">
        <f>IF(A104=FALSE,"",IF(DP104=0,Detail!R104&amp;"/"&amp;CP104,Detail!R104&amp;"/"&amp;DP104))</f>
        <v/>
      </c>
      <c r="X104" s="759" t="str">
        <f>IF(A104=FALSE,"",IF(LISTES!$C$17="Crewlist",Calcul!T104,Calcul!V104))</f>
        <v/>
      </c>
      <c r="Y104" s="618" t="str">
        <f t="shared" si="425"/>
        <v/>
      </c>
      <c r="Z104" s="618" t="str">
        <f>IF(A104=FALSE,"",IF(X104=0,0,IF((Cotations!BA104*12*X104)&lt;50000,50000,(12*X104))))</f>
        <v/>
      </c>
      <c r="AA104" s="618" t="str">
        <f t="shared" si="426"/>
        <v/>
      </c>
      <c r="AB104" s="618" t="str">
        <f>IF(A104=FALSE,"",IF(Crewlist!O104=0,"",Crewlist!O104))</f>
        <v/>
      </c>
      <c r="AC104" s="618" t="str">
        <f>IF(I104="","",VLOOKUP($AB$15:$AB$120,Currency!$A$15:$B$34,2,0))</f>
        <v/>
      </c>
      <c r="AD104" s="618" t="str">
        <f t="shared" si="427"/>
        <v/>
      </c>
      <c r="AE104" s="618" t="str">
        <f t="shared" si="428"/>
        <v/>
      </c>
      <c r="AF104" s="618" t="str">
        <f t="shared" si="429"/>
        <v/>
      </c>
      <c r="AG104" s="618" t="str">
        <f t="shared" si="430"/>
        <v/>
      </c>
      <c r="AH104" s="1097" t="str">
        <f t="shared" si="365"/>
        <v/>
      </c>
      <c r="AI104" s="759" t="str">
        <f t="shared" si="431"/>
        <v/>
      </c>
      <c r="AJ104" s="1120" t="str">
        <f t="shared" si="432"/>
        <v/>
      </c>
      <c r="AK104" s="1120" t="str">
        <f t="shared" si="433"/>
        <v/>
      </c>
      <c r="AL104" s="236" t="str">
        <f t="shared" si="434"/>
        <v/>
      </c>
      <c r="AM104" s="236" t="str">
        <f t="shared" si="435"/>
        <v/>
      </c>
      <c r="AN104" s="1112" t="str">
        <f t="shared" si="436"/>
        <v/>
      </c>
      <c r="AO104" s="236" t="str">
        <f t="shared" si="437"/>
        <v/>
      </c>
      <c r="AP104" s="327" t="str">
        <f>IF(A104=FALSE,"",INDEX(Rates!$Q$1:$Q$278,MATCH(CA104,colchoice,0)))</f>
        <v/>
      </c>
      <c r="AQ104" s="236" t="str">
        <f t="shared" si="438"/>
        <v/>
      </c>
      <c r="AR104" s="236" t="str">
        <f t="shared" si="439"/>
        <v/>
      </c>
      <c r="AS104" s="236" t="str">
        <f t="shared" si="366"/>
        <v/>
      </c>
      <c r="AT104" s="236" t="str">
        <f t="shared" si="367"/>
        <v/>
      </c>
      <c r="AU104" s="236" t="str">
        <f t="shared" si="440"/>
        <v/>
      </c>
      <c r="AV104" s="236" t="str">
        <f t="shared" si="441"/>
        <v/>
      </c>
      <c r="AW104" s="236" t="str">
        <f t="shared" si="442"/>
        <v/>
      </c>
      <c r="AX104" s="236" t="str">
        <f t="shared" si="443"/>
        <v/>
      </c>
      <c r="AY104" s="236" t="str">
        <f t="shared" si="444"/>
        <v/>
      </c>
      <c r="AZ104" s="236" t="str">
        <f t="shared" si="445"/>
        <v/>
      </c>
      <c r="BA104" s="236" t="str">
        <f t="shared" si="446"/>
        <v/>
      </c>
      <c r="BB104" s="467" t="str">
        <f t="shared" si="447"/>
        <v/>
      </c>
      <c r="BC104" s="329" t="str">
        <f t="shared" si="448"/>
        <v/>
      </c>
      <c r="BD104" s="237" t="str">
        <f t="shared" si="449"/>
        <v/>
      </c>
      <c r="BE104" s="237" t="str">
        <f>IF(A104=FALSE,"",IF(ED104&lt;&gt;$BC$7,0,INDEX(EA104:EZ104,1,MATCH(Structure!$J$16,$EA$14:$EZ$14,0))))</f>
        <v/>
      </c>
      <c r="BF104" s="237" t="str">
        <f>IF(A104=FALSE,"",IF(FD104&lt;&gt;$BC$7,0,INDEX(FA104:FZ104,1,MATCH(Structure!$J$16,$FA$14:$FZ$14,0))))</f>
        <v/>
      </c>
      <c r="BG104" s="237" t="str">
        <f>IF(A104=FALSE,"",IF(GD104&lt;&gt;$BC$7,0,INDEX(GA104:GZ104,1,MATCH(Structure!$J$16,$GA$14:$GZ$14,0))))</f>
        <v/>
      </c>
      <c r="BH104" s="237" t="str">
        <f>IF(A104=FALSE,"",IF(HD104&lt;&gt;$BC$7,0,INDEX(HA104:HZ104,1,MATCH(Structure!$J$16,$HA$14:$HZ$14,0))))</f>
        <v/>
      </c>
      <c r="BI104" s="621" t="str">
        <f>IF(A104=FALSE,"",IF(ID104&lt;&gt;$BC$7,0,INDEX(IA104:IZ104,1,MATCH(Structure!$C$12,$IA$14:$IZ$14,0)))+OL104)</f>
        <v/>
      </c>
      <c r="BJ104" s="237" t="str">
        <f>IF(A104=FALSE,"",IF(JD104&lt;&gt;$BC$7,0,INDEX(JA104:JZ104,1,MATCH(Structure!$C$12,$JA$14:$JZ$14,0))))</f>
        <v/>
      </c>
      <c r="BK104" s="621" t="str">
        <f>IF(A104=FALSE,"",IF(KD104&lt;&gt;$BC$7,0,INDEX(KA104:KZ104,1,MATCH(Structure!$C$12,$KA$14:$KZ$14,0)))+PL104)</f>
        <v/>
      </c>
      <c r="BL104" s="237" t="str">
        <f>IF(A104=FALSE,"",IF(LD104&lt;&gt;$BC$7,0,INDEX(LA104:LZ104,1,MATCH(Structure!$C$12,$LA$14:$LZ$14,0))))</f>
        <v/>
      </c>
      <c r="BM104" s="237" t="str">
        <f>IF(A104=FALSE,"",IF(MD104&lt;&gt;$BC$7,0,INDEX(MA104:MZ104,1,MATCH(Structure!$C$12,$MA$14:$MZ$14,0))))</f>
        <v/>
      </c>
      <c r="BN104" s="326" t="str">
        <f>IF(A104=FALSE,"",IF(ND104&lt;&gt;$BC$7,0,INDEX(NA104:OC104,1,MATCH(Structure!$C$12,$NA$14:$OC$14,0))))</f>
        <v/>
      </c>
      <c r="BO104" s="435" t="str">
        <f t="shared" si="450"/>
        <v/>
      </c>
      <c r="BP104" s="237" t="str">
        <f t="shared" si="451"/>
        <v/>
      </c>
      <c r="BQ104" s="237" t="str">
        <f>IF(A104=FALSE,"",IF(ED104&lt;&gt;$BO$7,0,INDEX(EA104:EZ104,1,MATCH(Structure!$C$12,$EA$14:$EZ$14,0))))</f>
        <v/>
      </c>
      <c r="BR104" s="237" t="str">
        <f>IF(A104=FALSE,"",IF(FD104&lt;&gt;$BO$7,0,INDEX(FA104:FZ104,1,MATCH(Structure!$C$12,$FA$14:$FZ$14,0))))</f>
        <v/>
      </c>
      <c r="BS104" s="237" t="str">
        <f>IF(A104=FALSE,"",IF(ID104&lt;&gt;$BO$7,0,INDEX(IA104:IZ104,1,MATCH(Structure!$C$13,$IA$14:$IZ$14,0))))</f>
        <v/>
      </c>
      <c r="BT104" s="237" t="str">
        <f>IF(A104=FALSE,"",IF(JD104&lt;&gt;$BO$7,0,INDEX(JA104:JZ104,1,MATCH(Structure!$C$13,$JA$14:$JZ$14,0))))</f>
        <v/>
      </c>
      <c r="BU104" s="237" t="str">
        <f>IF(A104=FALSE,"",IF(KD104&lt;&gt;$BO$7,0,INDEX(KA104:KZ104,1,MATCH(Structure!$C$13,$KA$14:$KZ$14,0))))</f>
        <v/>
      </c>
      <c r="BV104" s="237" t="str">
        <f>IF(A104=FALSE,"",IF(LD104&lt;&gt;$BO$7,0,INDEX(LA104:LZ104,1,MATCH(Structure!$C$13,$LA$14:$LZ$14,0))))</f>
        <v/>
      </c>
      <c r="BW104" s="237" t="str">
        <f>IF(A104=FALSE,"",IF(MD104&lt;&gt;$BO$7,0,INDEX(MA104:MZ104,1,MATCH(Structure!$C$13,$MA$14:$MZ$14,0))))</f>
        <v/>
      </c>
      <c r="BX104" s="326" t="str">
        <f>IF(A104=FALSE,"",IF(ND104&lt;&gt;$BO$7,0,INDEX(NA104:OC104,1,MATCH(Structure!$C$13,$NA$14:$OC$14,0))))</f>
        <v/>
      </c>
      <c r="BY104" s="412"/>
      <c r="BZ104" s="412"/>
      <c r="CA104" s="1255" t="str">
        <f>IF(A104=FALSE,"",IF(LISTES!$A$17=1,Cotations!AG104,Cotations!AH104))</f>
        <v/>
      </c>
      <c r="CB104" s="1266" t="str">
        <f t="shared" si="452"/>
        <v/>
      </c>
      <c r="CC104" s="1120" t="str">
        <f t="shared" si="453"/>
        <v/>
      </c>
      <c r="CD104" s="1120" t="str">
        <f t="shared" si="454"/>
        <v/>
      </c>
      <c r="CE104" s="1120" t="str">
        <f t="shared" si="455"/>
        <v/>
      </c>
      <c r="CF104" s="1120" t="str">
        <f t="shared" si="456"/>
        <v/>
      </c>
      <c r="CG104" s="1267"/>
      <c r="CH104" s="1267"/>
      <c r="CI104" s="1268" t="str">
        <f t="shared" si="457"/>
        <v/>
      </c>
      <c r="CJ104" s="286" t="str">
        <f t="shared" si="458"/>
        <v/>
      </c>
      <c r="CK104" s="286" t="str">
        <f t="shared" si="459"/>
        <v/>
      </c>
      <c r="CL104" s="1263"/>
      <c r="CM104" s="1263"/>
      <c r="CN104" s="1263"/>
      <c r="CO104" s="1263"/>
      <c r="CP104" s="319" t="str">
        <f t="shared" si="460"/>
        <v/>
      </c>
      <c r="CQ104" s="443" t="str">
        <f>IF(A104=FALSE,"",Cotations!AM104)</f>
        <v/>
      </c>
      <c r="CR104" s="443" t="str">
        <f>IF(A104=FALSE,"",IF(Cotations!AN104="","",Cotations!AN104))</f>
        <v/>
      </c>
      <c r="CS104" s="433" t="str">
        <f>IF(A104=FALSE,"",Cotations!AO104)</f>
        <v/>
      </c>
      <c r="CT104" s="443" t="str">
        <f>IF(A104=FALSE,"",IF(CQ104="N/A",0,IF(INDEX(LISTES!$F$105:$F$109,MATCH(CQ104,LISTES!$C$105:$C$109,0))="FIX",IF(INDEX(LISTES!$E$105:$E$109,MATCH(CQ104,LISTES!$C$105:$C$109,0))=12,CR104/12*L104,CR104/365*M104),CS104*EQ104)))</f>
        <v/>
      </c>
      <c r="CU104" s="434" t="str">
        <f>IF(A104=FALSE,"",(CJ104+CK104)*Cotations!AP104)</f>
        <v/>
      </c>
      <c r="CV104" s="434" t="str">
        <f>IF(A104=FALSE,"",(CJ104+CK104)*Cotations!AQ104)</f>
        <v/>
      </c>
      <c r="DA104" s="1253" t="str">
        <f>IF(A104=FALSE,"",IF(LISTES!$A$17=1,Cotations!AV104,Cotations!AW104))</f>
        <v/>
      </c>
      <c r="DB104" s="1271" t="str">
        <f t="shared" si="461"/>
        <v/>
      </c>
      <c r="DC104" s="1270" t="str">
        <f t="shared" si="462"/>
        <v/>
      </c>
      <c r="DD104" s="1270" t="str">
        <f t="shared" si="463"/>
        <v/>
      </c>
      <c r="DE104" s="1270" t="str">
        <f t="shared" si="464"/>
        <v/>
      </c>
      <c r="DF104" s="1270" t="str">
        <f t="shared" si="465"/>
        <v/>
      </c>
      <c r="DG104" s="1270" t="str">
        <f t="shared" si="466"/>
        <v/>
      </c>
      <c r="DH104" s="1270" t="str">
        <f t="shared" si="467"/>
        <v/>
      </c>
      <c r="DI104" s="1271" t="str">
        <f t="shared" si="468"/>
        <v/>
      </c>
      <c r="DJ104" s="286" t="str">
        <f t="shared" si="469"/>
        <v/>
      </c>
      <c r="DK104" s="286" t="str">
        <f t="shared" si="470"/>
        <v/>
      </c>
      <c r="DL104" s="1264" t="str">
        <f t="shared" si="471"/>
        <v/>
      </c>
      <c r="DM104" s="1264" t="str">
        <f t="shared" si="472"/>
        <v/>
      </c>
      <c r="DN104" s="1264" t="str">
        <f t="shared" si="473"/>
        <v/>
      </c>
      <c r="DO104" s="1264" t="str">
        <f t="shared" si="474"/>
        <v/>
      </c>
      <c r="DP104" s="323" t="str">
        <f t="shared" si="368"/>
        <v/>
      </c>
      <c r="DQ104" s="444" t="str">
        <f>IF(A104=FALSE,"",Cotations!BW104)</f>
        <v/>
      </c>
      <c r="DR104" s="444" t="str">
        <f>IF(A104=FALSE,"",Cotations!BX104)</f>
        <v/>
      </c>
      <c r="DS104" s="433" t="str">
        <f>IF(A104=FALSE,"",Cotations!BY104)</f>
        <v/>
      </c>
      <c r="DT104" s="830" t="str">
        <f>IF(A104=FALSE,"",IF(DQ104="N/A",0,IF(INDEX(LISTES!$F$105:$F$109,MATCH(DQ104,LISTES!$C$105:$C$109,0))="FIX",IF(INDEX(LISTES!$E$105:$E$109,MATCH(DQ104,LISTES!$C$105:$C$109,0))=12,DR104/12*L104,DR104/365*M104),DS104*(DN104+DO104))))</f>
        <v/>
      </c>
      <c r="DU104" s="434" t="str">
        <f>IF(A104=FALSE,"",DJ104*Cotations!BZ104)</f>
        <v/>
      </c>
      <c r="DV104" s="434" t="str">
        <f>IF(A104=FALSE,"",DJ104*Cotations!CA104)</f>
        <v/>
      </c>
      <c r="EA104" s="432" t="str">
        <f>IF(A104=FALSE,"",Cotations!AT104)</f>
        <v/>
      </c>
      <c r="EB104" s="1234" t="str">
        <f>IF(A104=FALSE,"",YEAR(Detail!F104)&amp;Detail!AG104&amp;Detail!AD104&amp;"-"&amp;Detail!$AD$13&amp;Detail!AE104)</f>
        <v/>
      </c>
      <c r="EC104" s="434" t="str">
        <f>IF(A104=FALSE,"",IF(LISTES!$A$17=1,EB104,INDEX(colMOD1,MATCH(Cotations!AH104,colchoice,0))))</f>
        <v/>
      </c>
      <c r="ED104" s="277" t="str">
        <f t="shared" si="369"/>
        <v/>
      </c>
      <c r="EE104" s="277" t="str">
        <f t="shared" si="370"/>
        <v/>
      </c>
      <c r="EF104" s="277"/>
      <c r="EG104" s="277"/>
      <c r="EH104" s="277" t="str">
        <f t="shared" si="371"/>
        <v/>
      </c>
      <c r="EI104" s="1104" t="str">
        <f t="shared" si="372"/>
        <v/>
      </c>
      <c r="EJ104" s="1104" t="str">
        <f t="shared" si="373"/>
        <v/>
      </c>
      <c r="EK104" s="443" t="str">
        <f>IF(A104=FALSE,"",IF(Cotations!AF104="monthly",EH104/12*L104,EH104/365*M104))</f>
        <v/>
      </c>
      <c r="EL104" s="1103" t="str">
        <f>IF(A104=FALSE,"",IF(Cotations!AF104="monthly",EJ104/12*L104,EJ104/365*M104))</f>
        <v/>
      </c>
      <c r="EM104" s="433" t="str">
        <f>IF(A104=FALSE,"",IF(Cotations!AI104="","",Cotations!AI104))</f>
        <v/>
      </c>
      <c r="EN104" s="277" t="str">
        <f t="shared" si="374"/>
        <v/>
      </c>
      <c r="EO104" s="277" t="str">
        <f t="shared" si="375"/>
        <v/>
      </c>
      <c r="EP104" s="1104" t="str">
        <f t="shared" si="376"/>
        <v/>
      </c>
      <c r="EQ104" s="277" t="str">
        <f t="shared" si="377"/>
        <v/>
      </c>
      <c r="ER104" s="759" t="str">
        <f>IF(A104=FALSE,"",((EH104*TAXE)-(EH104*TAXE*EM104)+EI104)+IF(CQ104="N/A",0,IF(INDEX(LISTES!$F$105:$F$109,MATCH(CQ104,LISTES!$C$105:$C$109,0))="FIX",CR104,CS104*EQ104)))</f>
        <v/>
      </c>
      <c r="ET104" s="422"/>
      <c r="EU104" s="422"/>
      <c r="EV104" s="422"/>
      <c r="EW104" s="422"/>
      <c r="EX104" s="422"/>
      <c r="EY104" s="422"/>
      <c r="EZ104" s="422"/>
      <c r="FA104" s="432" t="str">
        <f>IF(A104=FALSE,"",Cotations!AT104)</f>
        <v/>
      </c>
      <c r="FB104" s="1235" t="str">
        <f>IF(A104=FALSE,"",IF(Detail!AL104="","N/A",YEAR(Detail!F104)&amp;Detail!AO104&amp;Detail!AL104&amp;"-"&amp;Detail!$AL$13&amp;Detail!AM104))</f>
        <v/>
      </c>
      <c r="FC104" s="434" t="str">
        <f>IF(A104=FALSE,"",IF(LISTES!$A$17=1,FB104,INDEX(colMOD2,MATCH(Cotations!AH104,colchoice,0))))</f>
        <v/>
      </c>
      <c r="FD104" s="277" t="str">
        <f t="shared" si="378"/>
        <v/>
      </c>
      <c r="FE104" s="443" t="str">
        <f>IF(A104=FALSE,"",IF(Detail!AM104="","",Detail!AM104))</f>
        <v/>
      </c>
      <c r="FF104" s="277"/>
      <c r="FG104" s="277"/>
      <c r="FH104" s="277" t="str">
        <f t="shared" si="379"/>
        <v/>
      </c>
      <c r="FI104" s="1104"/>
      <c r="FJ104" s="1104"/>
      <c r="FK104" s="443" t="str">
        <f>IF(A104=FALSE,"",IF(Cotations!AF104="monthly",FH104/12*L104,FH104/365*M104))</f>
        <v/>
      </c>
      <c r="FL104" s="1103" t="str">
        <f>IF(A104=FALSE,"",IF(Cotations!AF104="monthly",FJ104/12*L104,FJ104/365*M104))</f>
        <v/>
      </c>
      <c r="FM104" s="433" t="str">
        <f>IF(A104=FALSE,"",IF(Cotations!AJ104="","",Cotations!AJ104))</f>
        <v/>
      </c>
      <c r="FN104" s="277" t="str">
        <f t="shared" si="475"/>
        <v/>
      </c>
      <c r="FO104" s="277" t="str">
        <f t="shared" si="476"/>
        <v/>
      </c>
      <c r="FP104" s="1104"/>
      <c r="FQ104" s="277" t="str">
        <f t="shared" si="477"/>
        <v/>
      </c>
      <c r="FR104" s="759" t="str">
        <f>IF(A104=FALSE,"",((FH104*TAXE)-(FH104*TAXE*FM104))+IF(#REF!="N/A",0,IF(INDEX(LISTES!$F$105:$F$109,MATCH(#REF!,LISTES!$C$105:$C$109,0))="FIX",#REF!,#REF!*FQ104)))</f>
        <v/>
      </c>
      <c r="FS104" s="422"/>
      <c r="FT104" s="422"/>
      <c r="FU104" s="422"/>
      <c r="FV104" s="422"/>
      <c r="FW104" s="422"/>
      <c r="FX104" s="422"/>
      <c r="FY104" s="422"/>
      <c r="FZ104" s="422"/>
      <c r="GA104" s="432" t="str">
        <f t="shared" si="380"/>
        <v/>
      </c>
      <c r="GB104" s="1234" t="str">
        <f>IF(A104=FALSE,"",IF(Detail!DF104="","N/A",YEAR(Detail!F104)&amp;Detail!DI104&amp;Detail!DF104&amp;"-"&amp;Detail!$DF$13))</f>
        <v/>
      </c>
      <c r="GC104" s="434" t="str">
        <f>IF(A104=FALSE,"",IF(LISTES!$A$17=1,GB104,INDEX(colMOD3,MATCH(Cotations!AH104,colchoice,0))))</f>
        <v/>
      </c>
      <c r="GD104" s="277" t="str">
        <f t="shared" si="381"/>
        <v/>
      </c>
      <c r="GE104" s="277" t="str">
        <f t="shared" si="382"/>
        <v/>
      </c>
      <c r="GF104" s="277"/>
      <c r="GG104" s="277"/>
      <c r="GH104" s="277" t="str">
        <f t="shared" si="478"/>
        <v/>
      </c>
      <c r="GI104" s="1104" t="str">
        <f t="shared" si="479"/>
        <v/>
      </c>
      <c r="GJ104" s="1104" t="str">
        <f t="shared" si="480"/>
        <v/>
      </c>
      <c r="GK104" s="443" t="str">
        <f>IF(A104=FALSE,"",IF(Cotations!AF104="monthly",GH104/12*L104,GH104/365*M104))</f>
        <v/>
      </c>
      <c r="GL104" s="1103" t="str">
        <f>IF(A104=FALSE,"",IF(Cotations!AF104="monthly",GJ104/12*L104,GJ104/365*M104))</f>
        <v/>
      </c>
      <c r="GM104" s="433" t="str">
        <f>IF(A104=FALSE,"",IF(Cotations!AK104="","",Cotations!AK104))</f>
        <v/>
      </c>
      <c r="GN104" s="277" t="str">
        <f t="shared" si="481"/>
        <v/>
      </c>
      <c r="GO104" s="277" t="str">
        <f t="shared" si="482"/>
        <v/>
      </c>
      <c r="GP104" s="1104" t="str">
        <f t="shared" si="483"/>
        <v/>
      </c>
      <c r="GQ104" s="277" t="str">
        <f t="shared" si="484"/>
        <v/>
      </c>
      <c r="GR104" s="759" t="str">
        <f>IF(A104=FALSE,"",((GH104*TAXE)-(GH104*TAXE*GM104)+GI104)+IF(CQ104="N/A",0,IF(INDEX(LISTES!$F$105:$F$109,MATCH(CQ104,LISTES!$C$105:$C$109,0))="FIX",CR104,CS104*GQ104)))</f>
        <v/>
      </c>
      <c r="GS104" s="412"/>
      <c r="GT104" s="412"/>
      <c r="GU104" s="412"/>
      <c r="GV104" s="412"/>
      <c r="GW104" s="412"/>
      <c r="GX104" s="412"/>
      <c r="GY104" s="412"/>
      <c r="GZ104" s="412"/>
      <c r="HA104" s="432" t="str">
        <f t="shared" si="383"/>
        <v/>
      </c>
      <c r="HB104" s="1234" t="str">
        <f>IF(A104=FALSE,"",IF(Detail!DF104="","N/A",YEAR(Detail!F104)&amp;Detail!DI104&amp;Detail!DF104&amp;"-"&amp;Detail!$DF$13))</f>
        <v/>
      </c>
      <c r="HC104" s="434" t="str">
        <f>IF(A104=FALSE,"",IF(LISTES!$A$17=1,HB104,INDEX(colMOD4,MATCH(Cotations!AH104,colchoice,0))))</f>
        <v/>
      </c>
      <c r="HD104" s="277" t="str">
        <f t="shared" si="485"/>
        <v/>
      </c>
      <c r="HE104" s="277" t="str">
        <f t="shared" si="486"/>
        <v/>
      </c>
      <c r="HF104" s="277"/>
      <c r="HG104" s="277"/>
      <c r="HH104" s="277" t="str">
        <f t="shared" si="487"/>
        <v/>
      </c>
      <c r="HI104" s="1104" t="str">
        <f t="shared" si="488"/>
        <v/>
      </c>
      <c r="HJ104" s="1104" t="str">
        <f t="shared" si="489"/>
        <v/>
      </c>
      <c r="HK104" s="443" t="str">
        <f>IF(A104=FALSE,"",IF(Cotations!AF104="monthly",HH104/12*L104,HH104/365*M104))</f>
        <v/>
      </c>
      <c r="HL104" s="1103" t="str">
        <f>IF(A104=FALSE,"",IF(Cotations!AF104="monthly",HJ104/12*L104,HJ104/365*M104))</f>
        <v/>
      </c>
      <c r="HM104" s="433" t="str">
        <f>IF(A104=FALSE,"",IF(Cotations!AL104="","",Cotations!AL104))</f>
        <v/>
      </c>
      <c r="HN104" s="277" t="str">
        <f t="shared" si="490"/>
        <v/>
      </c>
      <c r="HO104" s="277" t="str">
        <f t="shared" si="491"/>
        <v/>
      </c>
      <c r="HP104" s="1104" t="str">
        <f t="shared" si="492"/>
        <v/>
      </c>
      <c r="HQ104" s="277" t="str">
        <f t="shared" si="493"/>
        <v/>
      </c>
      <c r="HR104" s="759" t="str">
        <f>IF(A104=FALSE,"",((HH104*TAXE)-(HH104*TAXE*HM104)+HI104)+IF(CQ104="N/A",0,IF(INDEX(LISTES!$F$105:$F$109,MATCH(CQ104,LISTES!$C$105:$C$109,0))="FIX",CR104,CS104*HQ104)))</f>
        <v/>
      </c>
      <c r="HS104" s="412"/>
      <c r="HT104" s="412"/>
      <c r="HU104" s="412"/>
      <c r="HV104" s="412"/>
      <c r="HW104" s="412"/>
      <c r="HX104" s="412"/>
      <c r="HY104" s="412"/>
      <c r="HZ104" s="1262"/>
      <c r="IA104" s="432" t="str">
        <f>IF(A104=FALSE,"",Cotations!AT104)</f>
        <v/>
      </c>
      <c r="IB104" s="1253" t="str">
        <f>IF(A104=FALSE,"",IF(Detail!AT104="","N/A",YEAR(Detail!F104)&amp;Detail!AW104&amp;Detail!AT104&amp;"-"&amp;Detail!$AT$13&amp;Detail!AU104))</f>
        <v/>
      </c>
      <c r="IC104" s="431" t="str">
        <f>IF(A104=FALSE,"",IF(LISTES!$A$17=1,IB104,INDEX(colMOD1,MATCH(DA104,colchoice,0))))</f>
        <v/>
      </c>
      <c r="ID104" s="759" t="str">
        <f t="shared" si="358"/>
        <v/>
      </c>
      <c r="IE104" s="292" t="str">
        <f>IF(A104=FALSE,"",IF(LISTES!$A$17=1,Detail!AU104,INDEX(Rates!$M$1:$M$270,MATCH(IC104,colMOD1,0))))</f>
        <v/>
      </c>
      <c r="IF104" s="409" t="str">
        <f t="shared" si="359"/>
        <v/>
      </c>
      <c r="IG104" s="430" t="str">
        <f>IF(A104=FALSE,"",IF(IA104="POEA",Cotations!AY104,IF(IA104="FIXE",Cotations!AZ104,IF(Cotations!BA104*Y104&lt;50000,Z104,Cotations!BA104*Y104))))</f>
        <v/>
      </c>
      <c r="IH104" s="292" t="str">
        <f t="shared" si="360"/>
        <v/>
      </c>
      <c r="II104" s="446" t="str">
        <f>IF(A104=FALSE,"",IF(Cotations!AU104="monthly",IH104/12*L104,IH104/365*M104))</f>
        <v/>
      </c>
      <c r="IJ104" s="429" t="str">
        <f>IF(A104=FALSE,"",IF(Cotations!BB104="","",Cotations!BB104))</f>
        <v/>
      </c>
      <c r="IK104" s="292" t="str">
        <f t="shared" si="361"/>
        <v/>
      </c>
      <c r="IL104" s="292" t="str">
        <f t="shared" si="362"/>
        <v/>
      </c>
      <c r="IM104" s="759" t="str">
        <f t="shared" si="363"/>
        <v/>
      </c>
      <c r="IN104" s="759" t="str">
        <f>IF(A104=FALSE,"",((IH104*TAXE)-(IH104*TAXE*IJ104))+IF(DQ104="N/A",0,IF(INDEX(LISTES!$F$105:$F$109,MATCH(DQ104,LISTES!$C$105:$C$109,0))="FIX",DR104,DS104*IM104)))</f>
        <v/>
      </c>
      <c r="JA104" s="432" t="str">
        <f>IF(A104=FALSE,"",Cotations!AT104)</f>
        <v/>
      </c>
      <c r="JB104" s="1234" t="str">
        <f>IF(A104=FALSE,"",IF(Detail!BB104="","N/A",YEAR(Detail!F104)&amp;Detail!BE104&amp;Detail!BB104&amp;"-"&amp;Detail!$BB$13&amp;Detail!BC104))</f>
        <v/>
      </c>
      <c r="JC104" s="431" t="str">
        <f>IF(A104=FALSE,"",IF(LISTES!$A$17=1,JB104,INDEX(colMOD2,MATCH(DA104,colchoice,0))))</f>
        <v/>
      </c>
      <c r="JD104" s="759" t="str">
        <f t="shared" si="384"/>
        <v/>
      </c>
      <c r="JE104" s="292"/>
      <c r="JF104" s="409" t="str">
        <f t="shared" si="385"/>
        <v/>
      </c>
      <c r="JG104" s="430" t="str">
        <f>IF(A104=FALSE,"",IF(JA104="POEA",Cotations!BC104,IF(JA104="FIXE",Cotations!BD104,IF(Cotations!BE104*Y104&lt;50000,Z104,Cotations!BE104*Y104))))</f>
        <v/>
      </c>
      <c r="JH104" s="292" t="str">
        <f t="shared" si="386"/>
        <v/>
      </c>
      <c r="JI104" s="446" t="str">
        <f>IF(A104=FALSE,"",IF(Cotations!AU104="monthly",JH104/12*L104,JH104/365*M104))</f>
        <v/>
      </c>
      <c r="JJ104" s="429" t="str">
        <f>IF(A104=FALSE,"",IF(Cotations!BF104="","",Cotations!BF104))</f>
        <v/>
      </c>
      <c r="JK104" s="292" t="str">
        <f t="shared" si="387"/>
        <v/>
      </c>
      <c r="JL104" s="292" t="str">
        <f t="shared" si="388"/>
        <v/>
      </c>
      <c r="JM104" s="759" t="str">
        <f t="shared" si="389"/>
        <v/>
      </c>
      <c r="JN104" s="759" t="str">
        <f>IF(A104=FALSE,"",((JH104*TAXE)-(JH104*TAXE*JJ104))+IF(#REF!="N/A",0,IF(INDEX(LISTES!$F$105:$F$109,MATCH(#REF!,LISTES!$C$105:$C$109,0))="FIX",#REF!,#REF!*JM104)))</f>
        <v/>
      </c>
      <c r="KA104" s="432" t="str">
        <f>IF(A104=FALSE,"",Cotations!AT104)</f>
        <v/>
      </c>
      <c r="KB104" s="1234" t="str">
        <f>IF(A104=FALSE,"",IF(Detail!BJ104="","N/A",YEAR(Detail!F104)&amp;Detail!BM104&amp;Detail!BJ104&amp;"-"&amp;Detail!$BJ$13&amp;Detail!BK104))</f>
        <v/>
      </c>
      <c r="KC104" s="431" t="str">
        <f>IF(A104=FALSE,"",IF(LISTES!$A$17=1,KB104,INDEX(colMOD3,MATCH(DA104,colchoice,0))))</f>
        <v/>
      </c>
      <c r="KD104" s="759" t="str">
        <f t="shared" si="390"/>
        <v/>
      </c>
      <c r="KE104" s="292"/>
      <c r="KF104" s="409" t="str">
        <f t="shared" si="391"/>
        <v/>
      </c>
      <c r="KG104" s="430" t="str">
        <f>IF(A104=FALSE,"",IF(KA104="POEA",Cotations!BG104,IF(KA104="FIXE",Cotations!BH104,IF(Cotations!BI104*Y104&lt;50000,Z104,Cotations!BI104*Y104))))</f>
        <v/>
      </c>
      <c r="KH104" s="292" t="str">
        <f t="shared" si="392"/>
        <v/>
      </c>
      <c r="KI104" s="446" t="str">
        <f>IF(A104=FALSE,"",IF(Cotations!AU104="monthly",KH104/12*L104,KH104/365*M104))</f>
        <v/>
      </c>
      <c r="KJ104" s="429" t="str">
        <f>IF(A104=FALSE,"",IF(Cotations!BJ104="","",Cotations!BJ104))</f>
        <v/>
      </c>
      <c r="KK104" s="292" t="str">
        <f t="shared" si="393"/>
        <v/>
      </c>
      <c r="KL104" s="292" t="str">
        <f t="shared" si="394"/>
        <v/>
      </c>
      <c r="KM104" s="759" t="str">
        <f t="shared" si="395"/>
        <v/>
      </c>
      <c r="KN104" s="759" t="str">
        <f>IF(A104=FALSE,"",((KH104*TAXE)-(KH104*TAXE*KJ104))+IF(#REF!="N/A",0,IF(INDEX(LISTES!$F$105:$F$109,MATCH(#REF!,LISTES!$C$105:$C$109,0))="FIX",#REF!,#REF!*KM104)))</f>
        <v/>
      </c>
      <c r="LA104" s="432" t="str">
        <f>IF(A104=FALSE,"",Cotations!AT104)</f>
        <v/>
      </c>
      <c r="LB104" s="1234" t="str">
        <f>IF(A104=FALSE,"",IF(Detail!BR104="","N/A",YEAR(Detail!F104)&amp;Detail!BU104&amp;Detail!BR104&amp;"-"&amp;Detail!$BR$13&amp;Detail!BS104))</f>
        <v/>
      </c>
      <c r="LC104" s="431" t="str">
        <f>IF(A104=FALSE,"",IF(LISTES!$A$17=1,LB104,INDEX(colMOD4,MATCH(DA104,colchoice,0))))</f>
        <v/>
      </c>
      <c r="LD104" s="759" t="str">
        <f t="shared" si="396"/>
        <v/>
      </c>
      <c r="LE104" s="292"/>
      <c r="LF104" s="409" t="str">
        <f t="shared" si="397"/>
        <v/>
      </c>
      <c r="LG104" s="430" t="str">
        <f>IF(A104=FALSE,"",IF(LA104="POEA",Cotations!BK104,IF(LA104="FIXE",Cotations!BL104,IF(Cotations!BM104*Y104&lt;50000,Z104,Cotations!BM104*Y104))))</f>
        <v/>
      </c>
      <c r="LH104" s="292" t="str">
        <f t="shared" si="398"/>
        <v/>
      </c>
      <c r="LI104" s="446" t="str">
        <f>IF(A104=FALSE,"",IF(Cotations!AU104="monthly",LH104/12*L104,LH104/365*M104))</f>
        <v/>
      </c>
      <c r="LJ104" s="429" t="str">
        <f>IF(A104=FALSE,"",IF(Cotations!BN104="","",Cotations!BN104))</f>
        <v/>
      </c>
      <c r="LK104" s="292" t="str">
        <f t="shared" si="399"/>
        <v/>
      </c>
      <c r="LL104" s="292" t="str">
        <f t="shared" si="400"/>
        <v/>
      </c>
      <c r="LM104" s="759" t="str">
        <f t="shared" si="401"/>
        <v/>
      </c>
      <c r="LN104" s="759" t="str">
        <f>IF(A104=FALSE,"",((LH104*TAXE)-(LH104*TAXE*LJ104))+IF(#REF!="N/A",0,IF(INDEX(LISTES!$F$105:$F$109,MATCH(#REF!,LISTES!$C$105:$C$109,0))="FIX",#REF!,#REF!*LM104)))</f>
        <v/>
      </c>
      <c r="MA104" s="432" t="str">
        <f t="shared" si="402"/>
        <v/>
      </c>
      <c r="MB104" s="1234" t="str">
        <f>IF(A104=FALSE,"",IF(Detail!BZ104="","N/A",YEAR(Detail!F104)&amp;Detail!CC104&amp;Detail!BZ104&amp;"-"&amp;Detail!$BZ$13&amp;" (100%/"&amp;Detail!CD104&amp;"/"&amp;Detail!CE104&amp;")"))</f>
        <v/>
      </c>
      <c r="MC104" s="431" t="str">
        <f>IF(A104=FALSE,"",IF(LISTES!$A$17=1,MB104,INDEX(colMOD5,MATCH(DA104,colchoice,0))))</f>
        <v/>
      </c>
      <c r="MD104" s="759" t="str">
        <f t="shared" si="403"/>
        <v/>
      </c>
      <c r="ME104" s="292"/>
      <c r="MF104" s="409" t="str">
        <f t="shared" si="404"/>
        <v/>
      </c>
      <c r="MG104" s="430" t="str">
        <f>IF(A104=FALSE,"",Cotations!BQ104*AA104)</f>
        <v/>
      </c>
      <c r="MH104" s="292" t="str">
        <f t="shared" si="405"/>
        <v/>
      </c>
      <c r="MI104" s="446" t="str">
        <f>IF(A104=FALSE,"",IF(Cotations!AU104="monthly",MH104/12*L104,MH104/365*M104))</f>
        <v/>
      </c>
      <c r="MJ104" s="429" t="str">
        <f>IF(A104=FALSE,"",IF(Cotations!BR104="","",Cotations!BR104))</f>
        <v/>
      </c>
      <c r="MK104" s="292" t="str">
        <f t="shared" si="406"/>
        <v/>
      </c>
      <c r="ML104" s="292" t="str">
        <f t="shared" si="407"/>
        <v/>
      </c>
      <c r="MM104" s="759" t="str">
        <f t="shared" si="408"/>
        <v/>
      </c>
      <c r="MN104" s="759" t="str">
        <f>IF(A104=FALSE,"",((MH104*TAXE)-(MH104*TAXE*MJ104))+IF(#REF!="N/A",0,IF(INDEX(LISTES!$F$105:$F$109,MATCH(#REF!,LISTES!$C$105:$C$109,0))="FIX",#REF!,#REF!*MM104)))</f>
        <v/>
      </c>
      <c r="NA104" s="432" t="str">
        <f t="shared" si="409"/>
        <v/>
      </c>
      <c r="NB104" s="1234" t="str">
        <f>IF(A104=FALSE,"",IF(Detail!CH104="","N/A",YEAR(Detail!F104)&amp;Detail!CK104&amp;Detail!CH104&amp;"-"&amp;Detail!$CH$13&amp;" (100%/"&amp;Detail!CL104&amp;"/"&amp;Detail!CM104&amp;")"))</f>
        <v/>
      </c>
      <c r="NC104" s="431" t="str">
        <f>IF(A104=FALSE,"",IF(LISTES!$A$17=1,NB104,INDEX(colMOD6,MATCH(DA104,colchoice,0))))</f>
        <v/>
      </c>
      <c r="ND104" s="759" t="str">
        <f t="shared" si="410"/>
        <v/>
      </c>
      <c r="NE104" s="292"/>
      <c r="NF104" s="409" t="str">
        <f t="shared" si="411"/>
        <v/>
      </c>
      <c r="NG104" s="430" t="str">
        <f>IF(A104=FALSE,"",Cotations!BU104*AA104)</f>
        <v/>
      </c>
      <c r="NH104" s="292" t="str">
        <f t="shared" si="412"/>
        <v/>
      </c>
      <c r="NI104" s="446" t="str">
        <f>IF(A104=FALSE,"",IF(Cotations!AU104="monthly",NH104/12*L104,NH104/365*M104))</f>
        <v/>
      </c>
      <c r="NJ104" s="429" t="str">
        <f>IF(A104=FALSE,"",IF(Cotations!BV104="","",Cotations!BV104))</f>
        <v/>
      </c>
      <c r="NK104" s="292" t="str">
        <f t="shared" si="413"/>
        <v/>
      </c>
      <c r="NL104" s="292" t="str">
        <f t="shared" si="414"/>
        <v/>
      </c>
      <c r="NM104" s="759" t="str">
        <f t="shared" si="415"/>
        <v/>
      </c>
      <c r="NN104" s="759" t="str">
        <f>IF(A104=FALSE,"",((NH104*TAXE)-(NH104*TAXE*NJ104))+IF(#REF!="N/A",0,IF(INDEX(LISTES!$F$105:$F$109,MATCH(#REF!,LISTES!$C$105:$C$109,0))="FIX",#REF!,#REF!*NM104)))</f>
        <v/>
      </c>
      <c r="NZ104" s="1281" t="str">
        <f>IF(A104=FALSE,"",IF(Detail!CP104="","N/A",YEAR(Detail!F104)&amp;Detail!CS104&amp;Detail!CP104&amp;"-"&amp;Detail!CQ104))</f>
        <v/>
      </c>
      <c r="OA104" s="432" t="str">
        <f>IF(A104=FALSE,"",Cotations!CF104)</f>
        <v/>
      </c>
      <c r="OB104" s="1282" t="str">
        <f>IF(A104=FALSE,"",IF(Detail!CP104="","N/A",YEAR(Detail!F104)&amp;Detail!CS104&amp;Detail!CP104&amp;"-"&amp;Detail!$CP$13&amp;Detail!CQ104))</f>
        <v/>
      </c>
      <c r="OC104" s="1283" t="str">
        <f>IF(A104=FALSE,"",IF(LISTES!$A$17=1,OB104,INDEX(colMOD1,MATCH(Cotations!CE104,colchoice,0))))</f>
        <v/>
      </c>
      <c r="OD104" s="759" t="str">
        <f t="shared" si="416"/>
        <v/>
      </c>
      <c r="OE104" s="292" t="str">
        <f>IF(A104=FALSE,"",Detail!CQ104)</f>
        <v/>
      </c>
      <c r="OF104" s="409" t="str">
        <f t="shared" si="417"/>
        <v/>
      </c>
      <c r="OG104" s="430" t="str">
        <f>IF(A104=FALSE,"",IF(OA104="FIXE",Cotations!CM104,Cotations!CN104*AA104))</f>
        <v/>
      </c>
      <c r="OH104" s="292" t="str">
        <f t="shared" si="494"/>
        <v/>
      </c>
      <c r="OI104" s="446" t="str">
        <f>IF(A104=FALSE,"",IF(Cotations!CF104="monthly",OH104/12*L104,OH104/365*M104))</f>
        <v/>
      </c>
      <c r="OJ104" s="429" t="str">
        <f>IF(A104=FALSE,"",IF(Cotations!CO104="","",Cotations!CO104))</f>
        <v/>
      </c>
      <c r="OK104" s="292" t="str">
        <f t="shared" si="495"/>
        <v/>
      </c>
      <c r="OL104" s="292" t="str">
        <f t="shared" si="496"/>
        <v/>
      </c>
      <c r="OM104" s="759" t="str">
        <f t="shared" si="418"/>
        <v/>
      </c>
      <c r="ON104" s="759" t="str">
        <f>IF(A104=FALSE,"",((OH104*(1+TAXE)-(OH104*(1+TAXE)*OJ104))+IF(#REF!="N/A",0,IF(INDEX(LISTES!$F$105:$F$109,MATCH(#REF!,LISTES!$C$105:$C$109,0))="FIX",#REF!,#REF!*OM104))))</f>
        <v/>
      </c>
      <c r="PA104" s="432" t="str">
        <f>IF(A104=FALSE,"",Cotations!CF104)</f>
        <v/>
      </c>
      <c r="PB104" s="1282" t="str">
        <f>IF(A104=FALSE,"",IF(Detail!CX104="","N/A",YEAR(Detail!F104)&amp;Detail!DA104&amp;Detail!CX104&amp;"-"&amp;Detail!$CX$13&amp;Detail!CY104))</f>
        <v/>
      </c>
      <c r="PC104" s="1283" t="str">
        <f>IF(A104=FALSE,"",IF(LISTES!$A$17=1,PB104,INDEX(colMOD3,MATCH(Cotations!CE104,colchoice,0))))</f>
        <v/>
      </c>
      <c r="PD104" s="759" t="str">
        <f t="shared" si="419"/>
        <v/>
      </c>
      <c r="PE104" s="292" t="str">
        <f>IF(A104=FALSE,"",IF(Detail!CY104="","",Detail!CY104))</f>
        <v/>
      </c>
      <c r="PF104" s="409" t="str">
        <f t="shared" si="497"/>
        <v/>
      </c>
      <c r="PG104" s="430" t="str">
        <f>IF(A104=FALSE,"",IF(PA104="FIXE",Cotations!CP104,Cotations!CQ104*AA104))</f>
        <v/>
      </c>
      <c r="PH104" s="292" t="str">
        <f t="shared" si="498"/>
        <v/>
      </c>
      <c r="PI104" s="446" t="str">
        <f>IF(A104=FALSE,"",IF(Cotations!CG104="monthly",PH104/12*L104,PH104/365*M104))</f>
        <v/>
      </c>
      <c r="PJ104" s="429" t="str">
        <f>IF(A104=FALSE,"",IF(Cotations!DA104="",0,Cotations!DA104))</f>
        <v/>
      </c>
      <c r="PK104" s="292" t="str">
        <f t="shared" si="499"/>
        <v/>
      </c>
      <c r="PL104" s="292" t="str">
        <f t="shared" si="500"/>
        <v/>
      </c>
      <c r="PM104" s="759" t="str">
        <f t="shared" si="420"/>
        <v/>
      </c>
      <c r="PN104" s="759" t="str">
        <f>IF(A104=FALSE,"",((PH104*(1+TAXE)-(PH104*(1+TAXE)*PJ104))+IF(#REF!="N/A",0,IF(INDEX(LISTES!$F$105:$F$109,MATCH(#REF!,LISTES!$C$105:$C$109,0))="FIX",#REF!,#REF!*PM104))))</f>
        <v/>
      </c>
    </row>
    <row r="105" spans="1:430">
      <c r="A105" s="779" t="b">
        <f t="shared" si="364"/>
        <v>0</v>
      </c>
      <c r="B105" s="779" t="b">
        <f>IF(NAMES!$B$9=TRUE,TRUE,FALSE)</f>
        <v>1</v>
      </c>
      <c r="C105" s="779" t="b">
        <f t="shared" si="421"/>
        <v>0</v>
      </c>
      <c r="D105" s="779" t="b">
        <f t="shared" si="422"/>
        <v>0</v>
      </c>
      <c r="E105" s="267" t="b">
        <f>IF(Cotations!C105="","",Cotations!C105)</f>
        <v>0</v>
      </c>
      <c r="F105" s="267" t="str">
        <f>IF(Cotations!AT105="","",Cotations!AT105)</f>
        <v>PROP</v>
      </c>
      <c r="G105" s="267" t="str">
        <f>IF(Cotations!D105="","",Cotations!D105)</f>
        <v>2016-2017!</v>
      </c>
      <c r="H105" s="267" t="str">
        <f>IF(Cotations!E105="","",Cotations!E105)</f>
        <v>SINGLE</v>
      </c>
      <c r="I105" s="267" t="str">
        <f>IF(Cotations!F105="","",Cotations!F105)</f>
        <v/>
      </c>
      <c r="J105" s="267" t="str">
        <f>IF(Cotations!G105="","",Cotations!G105)</f>
        <v/>
      </c>
      <c r="K105" s="267" t="str">
        <f>IF(Cotations!H105="","",Cotations!H105)</f>
        <v/>
      </c>
      <c r="L105" s="267" t="str">
        <f>IF(A105=FALSE,"",IF(Cotations!M105="","",Cotations!M105))</f>
        <v/>
      </c>
      <c r="M105" s="267" t="str">
        <f>IF(Cotations!O105="","",Cotations!O105)</f>
        <v/>
      </c>
      <c r="N105" s="588" t="str">
        <f>IF(NAMES!$B$10=TRUE,Cotations!I105,Cotations!K105)</f>
        <v/>
      </c>
      <c r="O105" s="588" t="str">
        <f>IF(NAMES!$B$10=TRUE,Cotations!J105,Cotations!L105)</f>
        <v/>
      </c>
      <c r="P105" s="780" t="str">
        <f t="shared" si="423"/>
        <v/>
      </c>
      <c r="Q105" s="588" t="str">
        <f>IF(A105=FALSE,"",IF(Crewlist!Y105="","",Crewlist!Y105))</f>
        <v/>
      </c>
      <c r="R105" s="78" t="str">
        <f>IF(Cotations!T105="","",Cotations!T105)</f>
        <v/>
      </c>
      <c r="S105" s="780" t="str">
        <f t="shared" si="424"/>
        <v/>
      </c>
      <c r="T105" s="759" t="str">
        <f>IF(A105=FALSE,"",VLOOKUP($U$15:$U$120,Currency!$A$2:$D$10,4,0)*Crewlist!N105)</f>
        <v/>
      </c>
      <c r="U105" s="1097" t="str">
        <f>IF(A105=FALSE,"",IF(DP105=0,Crewlist!M105&amp;"/"&amp;CP105,Crewlist!M105&amp;"/"&amp;DP105))</f>
        <v/>
      </c>
      <c r="V105" s="759" t="str">
        <f>IF(A105=FALSE,"",VLOOKUP($U$15:$U$120,Currency!$A$2:$D$10,4,0)*Detail!Q105)</f>
        <v/>
      </c>
      <c r="W105" s="1097" t="str">
        <f>IF(A105=FALSE,"",IF(DP105=0,Detail!R105&amp;"/"&amp;CP105,Detail!R105&amp;"/"&amp;DP105))</f>
        <v/>
      </c>
      <c r="X105" s="759" t="str">
        <f>IF(A105=FALSE,"",IF(LISTES!$C$17="Crewlist",Calcul!T105,Calcul!V105))</f>
        <v/>
      </c>
      <c r="Y105" s="618" t="str">
        <f t="shared" si="425"/>
        <v/>
      </c>
      <c r="Z105" s="618" t="str">
        <f>IF(A105=FALSE,"",IF(X105=0,0,IF((Cotations!BA105*12*X105)&lt;50000,50000,(12*X105))))</f>
        <v/>
      </c>
      <c r="AA105" s="618" t="str">
        <f t="shared" si="426"/>
        <v/>
      </c>
      <c r="AB105" s="618" t="str">
        <f>IF(A105=FALSE,"",IF(Crewlist!O105=0,"",Crewlist!O105))</f>
        <v/>
      </c>
      <c r="AC105" s="618" t="str">
        <f>IF(I105="","",VLOOKUP($AB$15:$AB$120,Currency!$A$15:$B$34,2,0))</f>
        <v/>
      </c>
      <c r="AD105" s="618" t="str">
        <f t="shared" si="427"/>
        <v/>
      </c>
      <c r="AE105" s="618" t="str">
        <f t="shared" si="428"/>
        <v/>
      </c>
      <c r="AF105" s="618" t="str">
        <f t="shared" si="429"/>
        <v/>
      </c>
      <c r="AG105" s="618" t="str">
        <f t="shared" si="430"/>
        <v/>
      </c>
      <c r="AH105" s="1097" t="str">
        <f t="shared" si="365"/>
        <v/>
      </c>
      <c r="AI105" s="759" t="str">
        <f t="shared" si="431"/>
        <v/>
      </c>
      <c r="AJ105" s="1120" t="str">
        <f t="shared" si="432"/>
        <v/>
      </c>
      <c r="AK105" s="1120" t="str">
        <f t="shared" si="433"/>
        <v/>
      </c>
      <c r="AL105" s="236" t="str">
        <f t="shared" si="434"/>
        <v/>
      </c>
      <c r="AM105" s="236" t="str">
        <f t="shared" si="435"/>
        <v/>
      </c>
      <c r="AN105" s="1112" t="str">
        <f t="shared" si="436"/>
        <v/>
      </c>
      <c r="AO105" s="236" t="str">
        <f t="shared" si="437"/>
        <v/>
      </c>
      <c r="AP105" s="327" t="str">
        <f>IF(A105=FALSE,"",INDEX(Rates!$Q$1:$Q$278,MATCH(CA105,colchoice,0)))</f>
        <v/>
      </c>
      <c r="AQ105" s="236" t="str">
        <f t="shared" si="438"/>
        <v/>
      </c>
      <c r="AR105" s="236" t="str">
        <f t="shared" si="439"/>
        <v/>
      </c>
      <c r="AS105" s="236" t="str">
        <f t="shared" si="366"/>
        <v/>
      </c>
      <c r="AT105" s="236" t="str">
        <f t="shared" si="367"/>
        <v/>
      </c>
      <c r="AU105" s="236" t="str">
        <f t="shared" si="440"/>
        <v/>
      </c>
      <c r="AV105" s="236" t="str">
        <f t="shared" si="441"/>
        <v/>
      </c>
      <c r="AW105" s="236" t="str">
        <f t="shared" si="442"/>
        <v/>
      </c>
      <c r="AX105" s="236" t="str">
        <f t="shared" si="443"/>
        <v/>
      </c>
      <c r="AY105" s="236" t="str">
        <f t="shared" si="444"/>
        <v/>
      </c>
      <c r="AZ105" s="236" t="str">
        <f t="shared" si="445"/>
        <v/>
      </c>
      <c r="BA105" s="236" t="str">
        <f t="shared" si="446"/>
        <v/>
      </c>
      <c r="BB105" s="467" t="str">
        <f t="shared" si="447"/>
        <v/>
      </c>
      <c r="BC105" s="329" t="str">
        <f t="shared" si="448"/>
        <v/>
      </c>
      <c r="BD105" s="237" t="str">
        <f t="shared" si="449"/>
        <v/>
      </c>
      <c r="BE105" s="237" t="str">
        <f>IF(A105=FALSE,"",IF(ED105&lt;&gt;$BC$7,0,INDEX(EA105:EZ105,1,MATCH(Structure!$J$16,$EA$14:$EZ$14,0))))</f>
        <v/>
      </c>
      <c r="BF105" s="237" t="str">
        <f>IF(A105=FALSE,"",IF(FD105&lt;&gt;$BC$7,0,INDEX(FA105:FZ105,1,MATCH(Structure!$J$16,$FA$14:$FZ$14,0))))</f>
        <v/>
      </c>
      <c r="BG105" s="237" t="str">
        <f>IF(A105=FALSE,"",IF(GD105&lt;&gt;$BC$7,0,INDEX(GA105:GZ105,1,MATCH(Structure!$J$16,$GA$14:$GZ$14,0))))</f>
        <v/>
      </c>
      <c r="BH105" s="237" t="str">
        <f>IF(A105=FALSE,"",IF(HD105&lt;&gt;$BC$7,0,INDEX(HA105:HZ105,1,MATCH(Structure!$J$16,$HA$14:$HZ$14,0))))</f>
        <v/>
      </c>
      <c r="BI105" s="621" t="str">
        <f>IF(A105=FALSE,"",IF(ID105&lt;&gt;$BC$7,0,INDEX(IA105:IZ105,1,MATCH(Structure!$C$12,$IA$14:$IZ$14,0)))+OL105)</f>
        <v/>
      </c>
      <c r="BJ105" s="237" t="str">
        <f>IF(A105=FALSE,"",IF(JD105&lt;&gt;$BC$7,0,INDEX(JA105:JZ105,1,MATCH(Structure!$C$12,$JA$14:$JZ$14,0))))</f>
        <v/>
      </c>
      <c r="BK105" s="621" t="str">
        <f>IF(A105=FALSE,"",IF(KD105&lt;&gt;$BC$7,0,INDEX(KA105:KZ105,1,MATCH(Structure!$C$12,$KA$14:$KZ$14,0)))+PL105)</f>
        <v/>
      </c>
      <c r="BL105" s="237" t="str">
        <f>IF(A105=FALSE,"",IF(LD105&lt;&gt;$BC$7,0,INDEX(LA105:LZ105,1,MATCH(Structure!$C$12,$LA$14:$LZ$14,0))))</f>
        <v/>
      </c>
      <c r="BM105" s="237" t="str">
        <f>IF(A105=FALSE,"",IF(MD105&lt;&gt;$BC$7,0,INDEX(MA105:MZ105,1,MATCH(Structure!$C$12,$MA$14:$MZ$14,0))))</f>
        <v/>
      </c>
      <c r="BN105" s="326" t="str">
        <f>IF(A105=FALSE,"",IF(ND105&lt;&gt;$BC$7,0,INDEX(NA105:OC105,1,MATCH(Structure!$C$12,$NA$14:$OC$14,0))))</f>
        <v/>
      </c>
      <c r="BO105" s="435" t="str">
        <f t="shared" si="450"/>
        <v/>
      </c>
      <c r="BP105" s="237" t="str">
        <f t="shared" si="451"/>
        <v/>
      </c>
      <c r="BQ105" s="237" t="str">
        <f>IF(A105=FALSE,"",IF(ED105&lt;&gt;$BO$7,0,INDEX(EA105:EZ105,1,MATCH(Structure!$C$12,$EA$14:$EZ$14,0))))</f>
        <v/>
      </c>
      <c r="BR105" s="237" t="str">
        <f>IF(A105=FALSE,"",IF(FD105&lt;&gt;$BO$7,0,INDEX(FA105:FZ105,1,MATCH(Structure!$C$12,$FA$14:$FZ$14,0))))</f>
        <v/>
      </c>
      <c r="BS105" s="237" t="str">
        <f>IF(A105=FALSE,"",IF(ID105&lt;&gt;$BO$7,0,INDEX(IA105:IZ105,1,MATCH(Structure!$C$13,$IA$14:$IZ$14,0))))</f>
        <v/>
      </c>
      <c r="BT105" s="237" t="str">
        <f>IF(A105=FALSE,"",IF(JD105&lt;&gt;$BO$7,0,INDEX(JA105:JZ105,1,MATCH(Structure!$C$13,$JA$14:$JZ$14,0))))</f>
        <v/>
      </c>
      <c r="BU105" s="237" t="str">
        <f>IF(A105=FALSE,"",IF(KD105&lt;&gt;$BO$7,0,INDEX(KA105:KZ105,1,MATCH(Structure!$C$13,$KA$14:$KZ$14,0))))</f>
        <v/>
      </c>
      <c r="BV105" s="237" t="str">
        <f>IF(A105=FALSE,"",IF(LD105&lt;&gt;$BO$7,0,INDEX(LA105:LZ105,1,MATCH(Structure!$C$13,$LA$14:$LZ$14,0))))</f>
        <v/>
      </c>
      <c r="BW105" s="237" t="str">
        <f>IF(A105=FALSE,"",IF(MD105&lt;&gt;$BO$7,0,INDEX(MA105:MZ105,1,MATCH(Structure!$C$13,$MA$14:$MZ$14,0))))</f>
        <v/>
      </c>
      <c r="BX105" s="326" t="str">
        <f>IF(A105=FALSE,"",IF(ND105&lt;&gt;$BO$7,0,INDEX(NA105:OC105,1,MATCH(Structure!$C$13,$NA$14:$OC$14,0))))</f>
        <v/>
      </c>
      <c r="BY105" s="412"/>
      <c r="BZ105" s="412"/>
      <c r="CA105" s="1255" t="str">
        <f>IF(A105=FALSE,"",IF(LISTES!$A$17=1,Cotations!AG105,Cotations!AH105))</f>
        <v/>
      </c>
      <c r="CB105" s="1266" t="str">
        <f t="shared" si="452"/>
        <v/>
      </c>
      <c r="CC105" s="1120" t="str">
        <f t="shared" si="453"/>
        <v/>
      </c>
      <c r="CD105" s="1120" t="str">
        <f t="shared" si="454"/>
        <v/>
      </c>
      <c r="CE105" s="1120" t="str">
        <f t="shared" si="455"/>
        <v/>
      </c>
      <c r="CF105" s="1120" t="str">
        <f t="shared" si="456"/>
        <v/>
      </c>
      <c r="CG105" s="1267"/>
      <c r="CH105" s="1267"/>
      <c r="CI105" s="1268" t="str">
        <f t="shared" si="457"/>
        <v/>
      </c>
      <c r="CJ105" s="286" t="str">
        <f t="shared" si="458"/>
        <v/>
      </c>
      <c r="CK105" s="286" t="str">
        <f t="shared" si="459"/>
        <v/>
      </c>
      <c r="CL105" s="1263"/>
      <c r="CM105" s="1263"/>
      <c r="CN105" s="1263"/>
      <c r="CO105" s="1263"/>
      <c r="CP105" s="319" t="str">
        <f t="shared" si="460"/>
        <v/>
      </c>
      <c r="CQ105" s="443" t="str">
        <f>IF(A105=FALSE,"",Cotations!AM105)</f>
        <v/>
      </c>
      <c r="CR105" s="443" t="str">
        <f>IF(A105=FALSE,"",IF(Cotations!AN105="","",Cotations!AN105))</f>
        <v/>
      </c>
      <c r="CS105" s="433" t="str">
        <f>IF(A105=FALSE,"",Cotations!AO105)</f>
        <v/>
      </c>
      <c r="CT105" s="443" t="str">
        <f>IF(A105=FALSE,"",IF(CQ105="N/A",0,IF(INDEX(LISTES!$F$105:$F$109,MATCH(CQ105,LISTES!$C$105:$C$109,0))="FIX",IF(INDEX(LISTES!$E$105:$E$109,MATCH(CQ105,LISTES!$C$105:$C$109,0))=12,CR105/12*L105,CR105/365*M105),CS105*EQ105)))</f>
        <v/>
      </c>
      <c r="CU105" s="434" t="str">
        <f>IF(A105=FALSE,"",(CJ105+CK105)*Cotations!AP105)</f>
        <v/>
      </c>
      <c r="CV105" s="434" t="str">
        <f>IF(A105=FALSE,"",(CJ105+CK105)*Cotations!AQ105)</f>
        <v/>
      </c>
      <c r="DA105" s="1253" t="str">
        <f>IF(A105=FALSE,"",IF(LISTES!$A$17=1,Cotations!AV105,Cotations!AW105))</f>
        <v/>
      </c>
      <c r="DB105" s="1271" t="str">
        <f t="shared" si="461"/>
        <v/>
      </c>
      <c r="DC105" s="1270" t="str">
        <f t="shared" si="462"/>
        <v/>
      </c>
      <c r="DD105" s="1270" t="str">
        <f t="shared" si="463"/>
        <v/>
      </c>
      <c r="DE105" s="1270" t="str">
        <f t="shared" si="464"/>
        <v/>
      </c>
      <c r="DF105" s="1270" t="str">
        <f t="shared" si="465"/>
        <v/>
      </c>
      <c r="DG105" s="1270" t="str">
        <f t="shared" si="466"/>
        <v/>
      </c>
      <c r="DH105" s="1270" t="str">
        <f t="shared" si="467"/>
        <v/>
      </c>
      <c r="DI105" s="1271" t="str">
        <f t="shared" si="468"/>
        <v/>
      </c>
      <c r="DJ105" s="286" t="str">
        <f t="shared" si="469"/>
        <v/>
      </c>
      <c r="DK105" s="286" t="str">
        <f t="shared" si="470"/>
        <v/>
      </c>
      <c r="DL105" s="1264" t="str">
        <f t="shared" si="471"/>
        <v/>
      </c>
      <c r="DM105" s="1264" t="str">
        <f t="shared" si="472"/>
        <v/>
      </c>
      <c r="DN105" s="1264" t="str">
        <f t="shared" si="473"/>
        <v/>
      </c>
      <c r="DO105" s="1264" t="str">
        <f t="shared" si="474"/>
        <v/>
      </c>
      <c r="DP105" s="323" t="str">
        <f t="shared" si="368"/>
        <v/>
      </c>
      <c r="DQ105" s="444" t="str">
        <f>IF(A105=FALSE,"",Cotations!BW105)</f>
        <v/>
      </c>
      <c r="DR105" s="444" t="str">
        <f>IF(A105=FALSE,"",Cotations!BX105)</f>
        <v/>
      </c>
      <c r="DS105" s="433" t="str">
        <f>IF(A105=FALSE,"",Cotations!BY105)</f>
        <v/>
      </c>
      <c r="DT105" s="830" t="str">
        <f>IF(A105=FALSE,"",IF(DQ105="N/A",0,IF(INDEX(LISTES!$F$105:$F$109,MATCH(DQ105,LISTES!$C$105:$C$109,0))="FIX",IF(INDEX(LISTES!$E$105:$E$109,MATCH(DQ105,LISTES!$C$105:$C$109,0))=12,DR105/12*L105,DR105/365*M105),DS105*(DN105+DO105))))</f>
        <v/>
      </c>
      <c r="DU105" s="434" t="str">
        <f>IF(A105=FALSE,"",DJ105*Cotations!BZ105)</f>
        <v/>
      </c>
      <c r="DV105" s="434" t="str">
        <f>IF(A105=FALSE,"",DJ105*Cotations!CA105)</f>
        <v/>
      </c>
      <c r="EA105" s="432" t="str">
        <f>IF(A105=FALSE,"",Cotations!AT105)</f>
        <v/>
      </c>
      <c r="EB105" s="1234" t="str">
        <f>IF(A105=FALSE,"",YEAR(Detail!F105)&amp;Detail!AG105&amp;Detail!AD105&amp;"-"&amp;Detail!$AD$13&amp;Detail!AE105)</f>
        <v/>
      </c>
      <c r="EC105" s="434" t="str">
        <f>IF(A105=FALSE,"",IF(LISTES!$A$17=1,EB105,INDEX(colMOD1,MATCH(Cotations!AH105,colchoice,0))))</f>
        <v/>
      </c>
      <c r="ED105" s="277" t="str">
        <f t="shared" si="369"/>
        <v/>
      </c>
      <c r="EE105" s="277" t="str">
        <f t="shared" si="370"/>
        <v/>
      </c>
      <c r="EF105" s="277"/>
      <c r="EG105" s="277"/>
      <c r="EH105" s="277" t="str">
        <f t="shared" si="371"/>
        <v/>
      </c>
      <c r="EI105" s="1104" t="str">
        <f t="shared" si="372"/>
        <v/>
      </c>
      <c r="EJ105" s="1104" t="str">
        <f t="shared" si="373"/>
        <v/>
      </c>
      <c r="EK105" s="443" t="str">
        <f>IF(A105=FALSE,"",IF(Cotations!AF105="monthly",EH105/12*L105,EH105/365*M105))</f>
        <v/>
      </c>
      <c r="EL105" s="1103" t="str">
        <f>IF(A105=FALSE,"",IF(Cotations!AF105="monthly",EJ105/12*L105,EJ105/365*M105))</f>
        <v/>
      </c>
      <c r="EM105" s="433" t="str">
        <f>IF(A105=FALSE,"",IF(Cotations!AI105="","",Cotations!AI105))</f>
        <v/>
      </c>
      <c r="EN105" s="277" t="str">
        <f t="shared" si="374"/>
        <v/>
      </c>
      <c r="EO105" s="277" t="str">
        <f t="shared" si="375"/>
        <v/>
      </c>
      <c r="EP105" s="1104" t="str">
        <f t="shared" si="376"/>
        <v/>
      </c>
      <c r="EQ105" s="277" t="str">
        <f t="shared" si="377"/>
        <v/>
      </c>
      <c r="ER105" s="759" t="str">
        <f>IF(A105=FALSE,"",((EH105*TAXE)-(EH105*TAXE*EM105)+EI105)+IF(CQ105="N/A",0,IF(INDEX(LISTES!$F$105:$F$109,MATCH(CQ105,LISTES!$C$105:$C$109,0))="FIX",CR105,CS105*EQ105)))</f>
        <v/>
      </c>
      <c r="ET105" s="422"/>
      <c r="EU105" s="422"/>
      <c r="EV105" s="422"/>
      <c r="EW105" s="422"/>
      <c r="EX105" s="422"/>
      <c r="EY105" s="422"/>
      <c r="EZ105" s="422"/>
      <c r="FA105" s="432" t="str">
        <f>IF(A105=FALSE,"",Cotations!AT105)</f>
        <v/>
      </c>
      <c r="FB105" s="1235" t="str">
        <f>IF(A105=FALSE,"",IF(Detail!AL105="","N/A",YEAR(Detail!F105)&amp;Detail!AO105&amp;Detail!AL105&amp;"-"&amp;Detail!$AL$13&amp;Detail!AM105))</f>
        <v/>
      </c>
      <c r="FC105" s="434" t="str">
        <f>IF(A105=FALSE,"",IF(LISTES!$A$17=1,FB105,INDEX(colMOD2,MATCH(Cotations!AH105,colchoice,0))))</f>
        <v/>
      </c>
      <c r="FD105" s="277" t="str">
        <f t="shared" si="378"/>
        <v/>
      </c>
      <c r="FE105" s="443" t="str">
        <f>IF(A105=FALSE,"",IF(Detail!AM105="","",Detail!AM105))</f>
        <v/>
      </c>
      <c r="FF105" s="277"/>
      <c r="FG105" s="277"/>
      <c r="FH105" s="277" t="str">
        <f t="shared" si="379"/>
        <v/>
      </c>
      <c r="FI105" s="1104"/>
      <c r="FJ105" s="1104"/>
      <c r="FK105" s="443" t="str">
        <f>IF(A105=FALSE,"",IF(Cotations!AF105="monthly",FH105/12*L105,FH105/365*M105))</f>
        <v/>
      </c>
      <c r="FL105" s="1103" t="str">
        <f>IF(A105=FALSE,"",IF(Cotations!AF105="monthly",FJ105/12*L105,FJ105/365*M105))</f>
        <v/>
      </c>
      <c r="FM105" s="433" t="str">
        <f>IF(A105=FALSE,"",IF(Cotations!AJ105="","",Cotations!AJ105))</f>
        <v/>
      </c>
      <c r="FN105" s="277" t="str">
        <f t="shared" si="475"/>
        <v/>
      </c>
      <c r="FO105" s="277" t="str">
        <f t="shared" si="476"/>
        <v/>
      </c>
      <c r="FP105" s="1104"/>
      <c r="FQ105" s="277" t="str">
        <f t="shared" si="477"/>
        <v/>
      </c>
      <c r="FR105" s="759" t="str">
        <f>IF(A105=FALSE,"",((FH105*TAXE)-(FH105*TAXE*FM105))+IF(#REF!="N/A",0,IF(INDEX(LISTES!$F$105:$F$109,MATCH(#REF!,LISTES!$C$105:$C$109,0))="FIX",#REF!,#REF!*FQ105)))</f>
        <v/>
      </c>
      <c r="FS105" s="422"/>
      <c r="FT105" s="422"/>
      <c r="FU105" s="422"/>
      <c r="FV105" s="422"/>
      <c r="FW105" s="422"/>
      <c r="FX105" s="422"/>
      <c r="FY105" s="422"/>
      <c r="FZ105" s="422"/>
      <c r="GA105" s="432" t="str">
        <f t="shared" si="380"/>
        <v/>
      </c>
      <c r="GB105" s="1234" t="str">
        <f>IF(A105=FALSE,"",IF(Detail!DF105="","N/A",YEAR(Detail!F105)&amp;Detail!DI105&amp;Detail!DF105&amp;"-"&amp;Detail!$DF$13))</f>
        <v/>
      </c>
      <c r="GC105" s="434" t="str">
        <f>IF(A105=FALSE,"",IF(LISTES!$A$17=1,GB105,INDEX(colMOD3,MATCH(Cotations!AH105,colchoice,0))))</f>
        <v/>
      </c>
      <c r="GD105" s="277" t="str">
        <f t="shared" si="381"/>
        <v/>
      </c>
      <c r="GE105" s="277" t="str">
        <f t="shared" si="382"/>
        <v/>
      </c>
      <c r="GF105" s="277"/>
      <c r="GG105" s="277"/>
      <c r="GH105" s="277" t="str">
        <f t="shared" si="478"/>
        <v/>
      </c>
      <c r="GI105" s="1104" t="str">
        <f t="shared" si="479"/>
        <v/>
      </c>
      <c r="GJ105" s="1104" t="str">
        <f t="shared" si="480"/>
        <v/>
      </c>
      <c r="GK105" s="443" t="str">
        <f>IF(A105=FALSE,"",IF(Cotations!AF105="monthly",GH105/12*L105,GH105/365*M105))</f>
        <v/>
      </c>
      <c r="GL105" s="1103" t="str">
        <f>IF(A105=FALSE,"",IF(Cotations!AF105="monthly",GJ105/12*L105,GJ105/365*M105))</f>
        <v/>
      </c>
      <c r="GM105" s="433" t="str">
        <f>IF(A105=FALSE,"",IF(Cotations!AK105="","",Cotations!AK105))</f>
        <v/>
      </c>
      <c r="GN105" s="277" t="str">
        <f t="shared" si="481"/>
        <v/>
      </c>
      <c r="GO105" s="277" t="str">
        <f t="shared" si="482"/>
        <v/>
      </c>
      <c r="GP105" s="1104" t="str">
        <f t="shared" si="483"/>
        <v/>
      </c>
      <c r="GQ105" s="277" t="str">
        <f t="shared" si="484"/>
        <v/>
      </c>
      <c r="GR105" s="759" t="str">
        <f>IF(A105=FALSE,"",((GH105*TAXE)-(GH105*TAXE*GM105)+GI105)+IF(CQ105="N/A",0,IF(INDEX(LISTES!$F$105:$F$109,MATCH(CQ105,LISTES!$C$105:$C$109,0))="FIX",CR105,CS105*GQ105)))</f>
        <v/>
      </c>
      <c r="GS105" s="412"/>
      <c r="GT105" s="412"/>
      <c r="GU105" s="412"/>
      <c r="GV105" s="412"/>
      <c r="GW105" s="412"/>
      <c r="GX105" s="412"/>
      <c r="GY105" s="412"/>
      <c r="GZ105" s="412"/>
      <c r="HA105" s="432" t="str">
        <f t="shared" si="383"/>
        <v/>
      </c>
      <c r="HB105" s="1234" t="str">
        <f>IF(A105=FALSE,"",IF(Detail!DF105="","N/A",YEAR(Detail!F105)&amp;Detail!DI105&amp;Detail!DF105&amp;"-"&amp;Detail!$DF$13))</f>
        <v/>
      </c>
      <c r="HC105" s="434" t="str">
        <f>IF(A105=FALSE,"",IF(LISTES!$A$17=1,HB105,INDEX(colMOD4,MATCH(Cotations!AH105,colchoice,0))))</f>
        <v/>
      </c>
      <c r="HD105" s="277" t="str">
        <f t="shared" si="485"/>
        <v/>
      </c>
      <c r="HE105" s="277" t="str">
        <f t="shared" si="486"/>
        <v/>
      </c>
      <c r="HF105" s="277"/>
      <c r="HG105" s="277"/>
      <c r="HH105" s="277" t="str">
        <f t="shared" si="487"/>
        <v/>
      </c>
      <c r="HI105" s="1104" t="str">
        <f t="shared" si="488"/>
        <v/>
      </c>
      <c r="HJ105" s="1104" t="str">
        <f t="shared" si="489"/>
        <v/>
      </c>
      <c r="HK105" s="443" t="str">
        <f>IF(A105=FALSE,"",IF(Cotations!AF105="monthly",HH105/12*L105,HH105/365*M105))</f>
        <v/>
      </c>
      <c r="HL105" s="1103" t="str">
        <f>IF(A105=FALSE,"",IF(Cotations!AF105="monthly",HJ105/12*L105,HJ105/365*M105))</f>
        <v/>
      </c>
      <c r="HM105" s="433" t="str">
        <f>IF(A105=FALSE,"",IF(Cotations!AL105="","",Cotations!AL105))</f>
        <v/>
      </c>
      <c r="HN105" s="277" t="str">
        <f t="shared" si="490"/>
        <v/>
      </c>
      <c r="HO105" s="277" t="str">
        <f t="shared" si="491"/>
        <v/>
      </c>
      <c r="HP105" s="1104" t="str">
        <f t="shared" si="492"/>
        <v/>
      </c>
      <c r="HQ105" s="277" t="str">
        <f t="shared" si="493"/>
        <v/>
      </c>
      <c r="HR105" s="759" t="str">
        <f>IF(A105=FALSE,"",((HH105*TAXE)-(HH105*TAXE*HM105)+HI105)+IF(CQ105="N/A",0,IF(INDEX(LISTES!$F$105:$F$109,MATCH(CQ105,LISTES!$C$105:$C$109,0))="FIX",CR105,CS105*HQ105)))</f>
        <v/>
      </c>
      <c r="HS105" s="412"/>
      <c r="HT105" s="412"/>
      <c r="HU105" s="412"/>
      <c r="HV105" s="412"/>
      <c r="HW105" s="412"/>
      <c r="HX105" s="412"/>
      <c r="HY105" s="412"/>
      <c r="HZ105" s="1262"/>
      <c r="IA105" s="432" t="str">
        <f>IF(A105=FALSE,"",Cotations!AT105)</f>
        <v/>
      </c>
      <c r="IB105" s="1253" t="str">
        <f>IF(A105=FALSE,"",IF(Detail!AT105="","N/A",YEAR(Detail!F105)&amp;Detail!AW105&amp;Detail!AT105&amp;"-"&amp;Detail!$AT$13&amp;Detail!AU105))</f>
        <v/>
      </c>
      <c r="IC105" s="431" t="str">
        <f>IF(A105=FALSE,"",IF(LISTES!$A$17=1,IB105,INDEX(colMOD1,MATCH(DA105,colchoice,0))))</f>
        <v/>
      </c>
      <c r="ID105" s="759" t="str">
        <f t="shared" si="358"/>
        <v/>
      </c>
      <c r="IE105" s="292" t="str">
        <f>IF(A105=FALSE,"",IF(LISTES!$A$17=1,Detail!AU105,INDEX(Rates!$M$1:$M$270,MATCH(IC105,colMOD1,0))))</f>
        <v/>
      </c>
      <c r="IF105" s="409" t="str">
        <f t="shared" si="359"/>
        <v/>
      </c>
      <c r="IG105" s="430" t="str">
        <f>IF(A105=FALSE,"",IF(IA105="POEA",Cotations!AY105,IF(IA105="FIXE",Cotations!AZ105,IF(Cotations!BA105*Y105&lt;50000,Z105,Cotations!BA105*Y105))))</f>
        <v/>
      </c>
      <c r="IH105" s="292" t="str">
        <f t="shared" si="360"/>
        <v/>
      </c>
      <c r="II105" s="446" t="str">
        <f>IF(A105=FALSE,"",IF(Cotations!AU105="monthly",IH105/12*L105,IH105/365*M105))</f>
        <v/>
      </c>
      <c r="IJ105" s="429" t="str">
        <f>IF(A105=FALSE,"",IF(Cotations!BB105="","",Cotations!BB105))</f>
        <v/>
      </c>
      <c r="IK105" s="292" t="str">
        <f t="shared" si="361"/>
        <v/>
      </c>
      <c r="IL105" s="292" t="str">
        <f t="shared" si="362"/>
        <v/>
      </c>
      <c r="IM105" s="759" t="str">
        <f t="shared" si="363"/>
        <v/>
      </c>
      <c r="IN105" s="759" t="str">
        <f>IF(A105=FALSE,"",((IH105*TAXE)-(IH105*TAXE*IJ105))+IF(DQ105="N/A",0,IF(INDEX(LISTES!$F$105:$F$109,MATCH(DQ105,LISTES!$C$105:$C$109,0))="FIX",DR105,DS105*IM105)))</f>
        <v/>
      </c>
      <c r="JA105" s="432" t="str">
        <f>IF(A105=FALSE,"",Cotations!AT105)</f>
        <v/>
      </c>
      <c r="JB105" s="1234" t="str">
        <f>IF(A105=FALSE,"",IF(Detail!BB105="","N/A",YEAR(Detail!F105)&amp;Detail!BE105&amp;Detail!BB105&amp;"-"&amp;Detail!$BB$13&amp;Detail!BC105))</f>
        <v/>
      </c>
      <c r="JC105" s="431" t="str">
        <f>IF(A105=FALSE,"",IF(LISTES!$A$17=1,JB105,INDEX(colMOD2,MATCH(DA105,colchoice,0))))</f>
        <v/>
      </c>
      <c r="JD105" s="759" t="str">
        <f t="shared" si="384"/>
        <v/>
      </c>
      <c r="JE105" s="292"/>
      <c r="JF105" s="409" t="str">
        <f t="shared" si="385"/>
        <v/>
      </c>
      <c r="JG105" s="430" t="str">
        <f>IF(A105=FALSE,"",IF(JA105="POEA",Cotations!BC105,IF(JA105="FIXE",Cotations!BD105,IF(Cotations!BE105*Y105&lt;50000,Z105,Cotations!BE105*Y105))))</f>
        <v/>
      </c>
      <c r="JH105" s="292" t="str">
        <f t="shared" si="386"/>
        <v/>
      </c>
      <c r="JI105" s="446" t="str">
        <f>IF(A105=FALSE,"",IF(Cotations!AU105="monthly",JH105/12*L105,JH105/365*M105))</f>
        <v/>
      </c>
      <c r="JJ105" s="429" t="str">
        <f>IF(A105=FALSE,"",IF(Cotations!BF105="","",Cotations!BF105))</f>
        <v/>
      </c>
      <c r="JK105" s="292" t="str">
        <f t="shared" si="387"/>
        <v/>
      </c>
      <c r="JL105" s="292" t="str">
        <f t="shared" si="388"/>
        <v/>
      </c>
      <c r="JM105" s="759" t="str">
        <f t="shared" si="389"/>
        <v/>
      </c>
      <c r="JN105" s="759" t="str">
        <f>IF(A105=FALSE,"",((JH105*TAXE)-(JH105*TAXE*JJ105))+IF(#REF!="N/A",0,IF(INDEX(LISTES!$F$105:$F$109,MATCH(#REF!,LISTES!$C$105:$C$109,0))="FIX",#REF!,#REF!*JM105)))</f>
        <v/>
      </c>
      <c r="KA105" s="432" t="str">
        <f>IF(A105=FALSE,"",Cotations!AT105)</f>
        <v/>
      </c>
      <c r="KB105" s="1234" t="str">
        <f>IF(A105=FALSE,"",IF(Detail!BJ105="","N/A",YEAR(Detail!F105)&amp;Detail!BM105&amp;Detail!BJ105&amp;"-"&amp;Detail!$BJ$13&amp;Detail!BK105))</f>
        <v/>
      </c>
      <c r="KC105" s="431" t="str">
        <f>IF(A105=FALSE,"",IF(LISTES!$A$17=1,KB105,INDEX(colMOD3,MATCH(DA105,colchoice,0))))</f>
        <v/>
      </c>
      <c r="KD105" s="759" t="str">
        <f t="shared" si="390"/>
        <v/>
      </c>
      <c r="KE105" s="292"/>
      <c r="KF105" s="409" t="str">
        <f t="shared" si="391"/>
        <v/>
      </c>
      <c r="KG105" s="430" t="str">
        <f>IF(A105=FALSE,"",IF(KA105="POEA",Cotations!BG105,IF(KA105="FIXE",Cotations!BH105,IF(Cotations!BI105*Y105&lt;50000,Z105,Cotations!BI105*Y105))))</f>
        <v/>
      </c>
      <c r="KH105" s="292" t="str">
        <f t="shared" si="392"/>
        <v/>
      </c>
      <c r="KI105" s="446" t="str">
        <f>IF(A105=FALSE,"",IF(Cotations!AU105="monthly",KH105/12*L105,KH105/365*M105))</f>
        <v/>
      </c>
      <c r="KJ105" s="429" t="str">
        <f>IF(A105=FALSE,"",IF(Cotations!BJ105="","",Cotations!BJ105))</f>
        <v/>
      </c>
      <c r="KK105" s="292" t="str">
        <f t="shared" si="393"/>
        <v/>
      </c>
      <c r="KL105" s="292" t="str">
        <f t="shared" si="394"/>
        <v/>
      </c>
      <c r="KM105" s="759" t="str">
        <f t="shared" si="395"/>
        <v/>
      </c>
      <c r="KN105" s="759" t="str">
        <f>IF(A105=FALSE,"",((KH105*TAXE)-(KH105*TAXE*KJ105))+IF(#REF!="N/A",0,IF(INDEX(LISTES!$F$105:$F$109,MATCH(#REF!,LISTES!$C$105:$C$109,0))="FIX",#REF!,#REF!*KM105)))</f>
        <v/>
      </c>
      <c r="LA105" s="432" t="str">
        <f>IF(A105=FALSE,"",Cotations!AT105)</f>
        <v/>
      </c>
      <c r="LB105" s="1234" t="str">
        <f>IF(A105=FALSE,"",IF(Detail!BR105="","N/A",YEAR(Detail!F105)&amp;Detail!BU105&amp;Detail!BR105&amp;"-"&amp;Detail!$BR$13&amp;Detail!BS105))</f>
        <v/>
      </c>
      <c r="LC105" s="431" t="str">
        <f>IF(A105=FALSE,"",IF(LISTES!$A$17=1,LB105,INDEX(colMOD4,MATCH(DA105,colchoice,0))))</f>
        <v/>
      </c>
      <c r="LD105" s="759" t="str">
        <f t="shared" si="396"/>
        <v/>
      </c>
      <c r="LE105" s="292"/>
      <c r="LF105" s="409" t="str">
        <f t="shared" si="397"/>
        <v/>
      </c>
      <c r="LG105" s="430" t="str">
        <f>IF(A105=FALSE,"",IF(LA105="POEA",Cotations!BK105,IF(LA105="FIXE",Cotations!BL105,IF(Cotations!BM105*Y105&lt;50000,Z105,Cotations!BM105*Y105))))</f>
        <v/>
      </c>
      <c r="LH105" s="292" t="str">
        <f t="shared" si="398"/>
        <v/>
      </c>
      <c r="LI105" s="446" t="str">
        <f>IF(A105=FALSE,"",IF(Cotations!AU105="monthly",LH105/12*L105,LH105/365*M105))</f>
        <v/>
      </c>
      <c r="LJ105" s="429" t="str">
        <f>IF(A105=FALSE,"",IF(Cotations!BN105="","",Cotations!BN105))</f>
        <v/>
      </c>
      <c r="LK105" s="292" t="str">
        <f t="shared" si="399"/>
        <v/>
      </c>
      <c r="LL105" s="292" t="str">
        <f t="shared" si="400"/>
        <v/>
      </c>
      <c r="LM105" s="759" t="str">
        <f t="shared" si="401"/>
        <v/>
      </c>
      <c r="LN105" s="759" t="str">
        <f>IF(A105=FALSE,"",((LH105*TAXE)-(LH105*TAXE*LJ105))+IF(#REF!="N/A",0,IF(INDEX(LISTES!$F$105:$F$109,MATCH(#REF!,LISTES!$C$105:$C$109,0))="FIX",#REF!,#REF!*LM105)))</f>
        <v/>
      </c>
      <c r="MA105" s="432" t="str">
        <f t="shared" si="402"/>
        <v/>
      </c>
      <c r="MB105" s="1234" t="str">
        <f>IF(A105=FALSE,"",IF(Detail!BZ105="","N/A",YEAR(Detail!F105)&amp;Detail!CC105&amp;Detail!BZ105&amp;"-"&amp;Detail!$BZ$13&amp;" (100%/"&amp;Detail!CD105&amp;"/"&amp;Detail!CE105&amp;")"))</f>
        <v/>
      </c>
      <c r="MC105" s="431" t="str">
        <f>IF(A105=FALSE,"",IF(LISTES!$A$17=1,MB105,INDEX(colMOD5,MATCH(DA105,colchoice,0))))</f>
        <v/>
      </c>
      <c r="MD105" s="759" t="str">
        <f t="shared" si="403"/>
        <v/>
      </c>
      <c r="ME105" s="292"/>
      <c r="MF105" s="409" t="str">
        <f t="shared" si="404"/>
        <v/>
      </c>
      <c r="MG105" s="430" t="str">
        <f>IF(A105=FALSE,"",Cotations!BQ105*AA105)</f>
        <v/>
      </c>
      <c r="MH105" s="292" t="str">
        <f t="shared" si="405"/>
        <v/>
      </c>
      <c r="MI105" s="446" t="str">
        <f>IF(A105=FALSE,"",IF(Cotations!AU105="monthly",MH105/12*L105,MH105/365*M105))</f>
        <v/>
      </c>
      <c r="MJ105" s="429" t="str">
        <f>IF(A105=FALSE,"",IF(Cotations!BR105="","",Cotations!BR105))</f>
        <v/>
      </c>
      <c r="MK105" s="292" t="str">
        <f t="shared" si="406"/>
        <v/>
      </c>
      <c r="ML105" s="292" t="str">
        <f t="shared" si="407"/>
        <v/>
      </c>
      <c r="MM105" s="759" t="str">
        <f t="shared" si="408"/>
        <v/>
      </c>
      <c r="MN105" s="759" t="str">
        <f>IF(A105=FALSE,"",((MH105*TAXE)-(MH105*TAXE*MJ105))+IF(#REF!="N/A",0,IF(INDEX(LISTES!$F$105:$F$109,MATCH(#REF!,LISTES!$C$105:$C$109,0))="FIX",#REF!,#REF!*MM105)))</f>
        <v/>
      </c>
      <c r="NA105" s="432" t="str">
        <f t="shared" si="409"/>
        <v/>
      </c>
      <c r="NB105" s="1234" t="str">
        <f>IF(A105=FALSE,"",IF(Detail!CH105="","N/A",YEAR(Detail!F105)&amp;Detail!CK105&amp;Detail!CH105&amp;"-"&amp;Detail!$CH$13&amp;" (100%/"&amp;Detail!CL105&amp;"/"&amp;Detail!CM105&amp;")"))</f>
        <v/>
      </c>
      <c r="NC105" s="431" t="str">
        <f>IF(A105=FALSE,"",IF(LISTES!$A$17=1,NB105,INDEX(colMOD6,MATCH(DA105,colchoice,0))))</f>
        <v/>
      </c>
      <c r="ND105" s="759" t="str">
        <f t="shared" si="410"/>
        <v/>
      </c>
      <c r="NE105" s="292"/>
      <c r="NF105" s="409" t="str">
        <f t="shared" si="411"/>
        <v/>
      </c>
      <c r="NG105" s="430" t="str">
        <f>IF(A105=FALSE,"",Cotations!BU105*AA105)</f>
        <v/>
      </c>
      <c r="NH105" s="292" t="str">
        <f t="shared" si="412"/>
        <v/>
      </c>
      <c r="NI105" s="446" t="str">
        <f>IF(A105=FALSE,"",IF(Cotations!AU105="monthly",NH105/12*L105,NH105/365*M105))</f>
        <v/>
      </c>
      <c r="NJ105" s="429" t="str">
        <f>IF(A105=FALSE,"",IF(Cotations!BV105="","",Cotations!BV105))</f>
        <v/>
      </c>
      <c r="NK105" s="292" t="str">
        <f t="shared" si="413"/>
        <v/>
      </c>
      <c r="NL105" s="292" t="str">
        <f t="shared" si="414"/>
        <v/>
      </c>
      <c r="NM105" s="759" t="str">
        <f t="shared" si="415"/>
        <v/>
      </c>
      <c r="NN105" s="759" t="str">
        <f>IF(A105=FALSE,"",((NH105*TAXE)-(NH105*TAXE*NJ105))+IF(#REF!="N/A",0,IF(INDEX(LISTES!$F$105:$F$109,MATCH(#REF!,LISTES!$C$105:$C$109,0))="FIX",#REF!,#REF!*NM105)))</f>
        <v/>
      </c>
      <c r="NZ105" s="1281" t="str">
        <f>IF(A105=FALSE,"",IF(Detail!CP105="","N/A",YEAR(Detail!F105)&amp;Detail!CS105&amp;Detail!CP105&amp;"-"&amp;Detail!CQ105))</f>
        <v/>
      </c>
      <c r="OA105" s="432" t="str">
        <f>IF(A105=FALSE,"",Cotations!CF105)</f>
        <v/>
      </c>
      <c r="OB105" s="1282" t="str">
        <f>IF(A105=FALSE,"",IF(Detail!CP105="","N/A",YEAR(Detail!F105)&amp;Detail!CS105&amp;Detail!CP105&amp;"-"&amp;Detail!$CP$13&amp;Detail!CQ105))</f>
        <v/>
      </c>
      <c r="OC105" s="1283" t="str">
        <f>IF(A105=FALSE,"",IF(LISTES!$A$17=1,OB105,INDEX(colMOD1,MATCH(Cotations!CE105,colchoice,0))))</f>
        <v/>
      </c>
      <c r="OD105" s="759" t="str">
        <f t="shared" si="416"/>
        <v/>
      </c>
      <c r="OE105" s="292" t="str">
        <f>IF(A105=FALSE,"",Detail!CQ105)</f>
        <v/>
      </c>
      <c r="OF105" s="409" t="str">
        <f t="shared" si="417"/>
        <v/>
      </c>
      <c r="OG105" s="430" t="str">
        <f>IF(A105=FALSE,"",IF(OA105="FIXE",Cotations!CM105,Cotations!CN105*AA105))</f>
        <v/>
      </c>
      <c r="OH105" s="292" t="str">
        <f t="shared" si="494"/>
        <v/>
      </c>
      <c r="OI105" s="446" t="str">
        <f>IF(A105=FALSE,"",IF(Cotations!CF105="monthly",OH105/12*L105,OH105/365*M105))</f>
        <v/>
      </c>
      <c r="OJ105" s="429" t="str">
        <f>IF(A105=FALSE,"",IF(Cotations!CO105="","",Cotations!CO105))</f>
        <v/>
      </c>
      <c r="OK105" s="292" t="str">
        <f t="shared" si="495"/>
        <v/>
      </c>
      <c r="OL105" s="292" t="str">
        <f t="shared" si="496"/>
        <v/>
      </c>
      <c r="OM105" s="759" t="str">
        <f t="shared" si="418"/>
        <v/>
      </c>
      <c r="ON105" s="759" t="str">
        <f>IF(A105=FALSE,"",((OH105*(1+TAXE)-(OH105*(1+TAXE)*OJ105))+IF(#REF!="N/A",0,IF(INDEX(LISTES!$F$105:$F$109,MATCH(#REF!,LISTES!$C$105:$C$109,0))="FIX",#REF!,#REF!*OM105))))</f>
        <v/>
      </c>
      <c r="PA105" s="432" t="str">
        <f>IF(A105=FALSE,"",Cotations!CF105)</f>
        <v/>
      </c>
      <c r="PB105" s="1282" t="str">
        <f>IF(A105=FALSE,"",IF(Detail!CX105="","N/A",YEAR(Detail!F105)&amp;Detail!DA105&amp;Detail!CX105&amp;"-"&amp;Detail!$CX$13&amp;Detail!CY105))</f>
        <v/>
      </c>
      <c r="PC105" s="1283" t="str">
        <f>IF(A105=FALSE,"",IF(LISTES!$A$17=1,PB105,INDEX(colMOD3,MATCH(Cotations!CE105,colchoice,0))))</f>
        <v/>
      </c>
      <c r="PD105" s="759" t="str">
        <f t="shared" si="419"/>
        <v/>
      </c>
      <c r="PE105" s="292" t="str">
        <f>IF(A105=FALSE,"",IF(Detail!CY105="","",Detail!CY105))</f>
        <v/>
      </c>
      <c r="PF105" s="409" t="str">
        <f t="shared" si="497"/>
        <v/>
      </c>
      <c r="PG105" s="430" t="str">
        <f>IF(A105=FALSE,"",IF(PA105="FIXE",Cotations!CP105,Cotations!CQ105*AA105))</f>
        <v/>
      </c>
      <c r="PH105" s="292" t="str">
        <f t="shared" si="498"/>
        <v/>
      </c>
      <c r="PI105" s="446" t="str">
        <f>IF(A105=FALSE,"",IF(Cotations!CG105="monthly",PH105/12*L105,PH105/365*M105))</f>
        <v/>
      </c>
      <c r="PJ105" s="429" t="str">
        <f>IF(A105=FALSE,"",IF(Cotations!DA105="",0,Cotations!DA105))</f>
        <v/>
      </c>
      <c r="PK105" s="292" t="str">
        <f t="shared" si="499"/>
        <v/>
      </c>
      <c r="PL105" s="292" t="str">
        <f t="shared" si="500"/>
        <v/>
      </c>
      <c r="PM105" s="759" t="str">
        <f t="shared" si="420"/>
        <v/>
      </c>
      <c r="PN105" s="759" t="str">
        <f>IF(A105=FALSE,"",((PH105*(1+TAXE)-(PH105*(1+TAXE)*PJ105))+IF(#REF!="N/A",0,IF(INDEX(LISTES!$F$105:$F$109,MATCH(#REF!,LISTES!$C$105:$C$109,0))="FIX",#REF!,#REF!*PM105))))</f>
        <v/>
      </c>
    </row>
    <row r="106" spans="1:430">
      <c r="A106" s="779" t="b">
        <f t="shared" si="364"/>
        <v>0</v>
      </c>
      <c r="B106" s="779" t="b">
        <f>IF(NAMES!$B$9=TRUE,TRUE,FALSE)</f>
        <v>1</v>
      </c>
      <c r="C106" s="779" t="b">
        <f t="shared" si="421"/>
        <v>0</v>
      </c>
      <c r="D106" s="779" t="b">
        <f t="shared" si="422"/>
        <v>0</v>
      </c>
      <c r="E106" s="267" t="b">
        <f>IF(Cotations!C106="","",Cotations!C106)</f>
        <v>0</v>
      </c>
      <c r="F106" s="267" t="str">
        <f>IF(Cotations!AT106="","",Cotations!AT106)</f>
        <v>PROP</v>
      </c>
      <c r="G106" s="267" t="str">
        <f>IF(Cotations!D106="","",Cotations!D106)</f>
        <v>2016-2017!</v>
      </c>
      <c r="H106" s="267" t="str">
        <f>IF(Cotations!E106="","",Cotations!E106)</f>
        <v>SINGLE</v>
      </c>
      <c r="I106" s="267" t="str">
        <f>IF(Cotations!F106="","",Cotations!F106)</f>
        <v/>
      </c>
      <c r="J106" s="267" t="str">
        <f>IF(Cotations!G106="","",Cotations!G106)</f>
        <v/>
      </c>
      <c r="K106" s="267" t="str">
        <f>IF(Cotations!H106="","",Cotations!H106)</f>
        <v/>
      </c>
      <c r="L106" s="267" t="str">
        <f>IF(A106=FALSE,"",IF(Cotations!M106="","",Cotations!M106))</f>
        <v/>
      </c>
      <c r="M106" s="267" t="str">
        <f>IF(Cotations!O106="","",Cotations!O106)</f>
        <v/>
      </c>
      <c r="N106" s="588" t="str">
        <f>IF(NAMES!$B$10=TRUE,Cotations!I106,Cotations!K106)</f>
        <v/>
      </c>
      <c r="O106" s="588" t="str">
        <f>IF(NAMES!$B$10=TRUE,Cotations!J106,Cotations!L106)</f>
        <v/>
      </c>
      <c r="P106" s="780" t="str">
        <f t="shared" si="423"/>
        <v/>
      </c>
      <c r="Q106" s="588" t="str">
        <f>IF(A106=FALSE,"",IF(Crewlist!Y106="","",Crewlist!Y106))</f>
        <v/>
      </c>
      <c r="R106" s="78" t="str">
        <f>IF(Cotations!T106="","",Cotations!T106)</f>
        <v/>
      </c>
      <c r="S106" s="780" t="str">
        <f t="shared" si="424"/>
        <v/>
      </c>
      <c r="T106" s="759" t="str">
        <f>IF(A106=FALSE,"",VLOOKUP($U$15:$U$120,Currency!$A$2:$D$10,4,0)*Crewlist!N106)</f>
        <v/>
      </c>
      <c r="U106" s="1097" t="str">
        <f>IF(A106=FALSE,"",IF(DP106=0,Crewlist!M106&amp;"/"&amp;CP106,Crewlist!M106&amp;"/"&amp;DP106))</f>
        <v/>
      </c>
      <c r="V106" s="759" t="str">
        <f>IF(A106=FALSE,"",VLOOKUP($U$15:$U$120,Currency!$A$2:$D$10,4,0)*Detail!Q106)</f>
        <v/>
      </c>
      <c r="W106" s="1097" t="str">
        <f>IF(A106=FALSE,"",IF(DP106=0,Detail!R106&amp;"/"&amp;CP106,Detail!R106&amp;"/"&amp;DP106))</f>
        <v/>
      </c>
      <c r="X106" s="759" t="str">
        <f>IF(A106=FALSE,"",IF(LISTES!$C$17="Crewlist",Calcul!T106,Calcul!V106))</f>
        <v/>
      </c>
      <c r="Y106" s="618" t="str">
        <f t="shared" si="425"/>
        <v/>
      </c>
      <c r="Z106" s="618" t="str">
        <f>IF(A106=FALSE,"",IF(X106=0,0,IF((Cotations!BA106*12*X106)&lt;50000,50000,(12*X106))))</f>
        <v/>
      </c>
      <c r="AA106" s="618" t="str">
        <f t="shared" si="426"/>
        <v/>
      </c>
      <c r="AB106" s="618" t="str">
        <f>IF(A106=FALSE,"",IF(Crewlist!O106=0,"",Crewlist!O106))</f>
        <v/>
      </c>
      <c r="AC106" s="618" t="str">
        <f>IF(I106="","",VLOOKUP($AB$15:$AB$120,Currency!$A$15:$B$34,2,0))</f>
        <v/>
      </c>
      <c r="AD106" s="618" t="str">
        <f t="shared" si="427"/>
        <v/>
      </c>
      <c r="AE106" s="618" t="str">
        <f t="shared" si="428"/>
        <v/>
      </c>
      <c r="AF106" s="618" t="str">
        <f t="shared" si="429"/>
        <v/>
      </c>
      <c r="AG106" s="618" t="str">
        <f t="shared" si="430"/>
        <v/>
      </c>
      <c r="AH106" s="1097" t="str">
        <f t="shared" si="365"/>
        <v/>
      </c>
      <c r="AI106" s="759" t="str">
        <f t="shared" si="431"/>
        <v/>
      </c>
      <c r="AJ106" s="1120" t="str">
        <f t="shared" si="432"/>
        <v/>
      </c>
      <c r="AK106" s="1120" t="str">
        <f t="shared" si="433"/>
        <v/>
      </c>
      <c r="AL106" s="236" t="str">
        <f t="shared" si="434"/>
        <v/>
      </c>
      <c r="AM106" s="236" t="str">
        <f t="shared" si="435"/>
        <v/>
      </c>
      <c r="AN106" s="1112" t="str">
        <f t="shared" si="436"/>
        <v/>
      </c>
      <c r="AO106" s="236" t="str">
        <f t="shared" si="437"/>
        <v/>
      </c>
      <c r="AP106" s="327" t="str">
        <f>IF(A106=FALSE,"",INDEX(Rates!$Q$1:$Q$278,MATCH(CA106,colchoice,0)))</f>
        <v/>
      </c>
      <c r="AQ106" s="236" t="str">
        <f t="shared" si="438"/>
        <v/>
      </c>
      <c r="AR106" s="236" t="str">
        <f t="shared" si="439"/>
        <v/>
      </c>
      <c r="AS106" s="236" t="str">
        <f t="shared" si="366"/>
        <v/>
      </c>
      <c r="AT106" s="236" t="str">
        <f t="shared" si="367"/>
        <v/>
      </c>
      <c r="AU106" s="236" t="str">
        <f t="shared" si="440"/>
        <v/>
      </c>
      <c r="AV106" s="236" t="str">
        <f t="shared" si="441"/>
        <v/>
      </c>
      <c r="AW106" s="236" t="str">
        <f t="shared" si="442"/>
        <v/>
      </c>
      <c r="AX106" s="236" t="str">
        <f t="shared" si="443"/>
        <v/>
      </c>
      <c r="AY106" s="236" t="str">
        <f t="shared" si="444"/>
        <v/>
      </c>
      <c r="AZ106" s="236" t="str">
        <f t="shared" si="445"/>
        <v/>
      </c>
      <c r="BA106" s="236" t="str">
        <f t="shared" si="446"/>
        <v/>
      </c>
      <c r="BB106" s="467" t="str">
        <f t="shared" si="447"/>
        <v/>
      </c>
      <c r="BC106" s="329" t="str">
        <f t="shared" si="448"/>
        <v/>
      </c>
      <c r="BD106" s="237" t="str">
        <f t="shared" si="449"/>
        <v/>
      </c>
      <c r="BE106" s="237" t="str">
        <f>IF(A106=FALSE,"",IF(ED106&lt;&gt;$BC$7,0,INDEX(EA106:EZ106,1,MATCH(Structure!$J$16,$EA$14:$EZ$14,0))))</f>
        <v/>
      </c>
      <c r="BF106" s="237" t="str">
        <f>IF(A106=FALSE,"",IF(FD106&lt;&gt;$BC$7,0,INDEX(FA106:FZ106,1,MATCH(Structure!$J$16,$FA$14:$FZ$14,0))))</f>
        <v/>
      </c>
      <c r="BG106" s="237" t="str">
        <f>IF(A106=FALSE,"",IF(GD106&lt;&gt;$BC$7,0,INDEX(GA106:GZ106,1,MATCH(Structure!$J$16,$GA$14:$GZ$14,0))))</f>
        <v/>
      </c>
      <c r="BH106" s="237" t="str">
        <f>IF(A106=FALSE,"",IF(HD106&lt;&gt;$BC$7,0,INDEX(HA106:HZ106,1,MATCH(Structure!$J$16,$HA$14:$HZ$14,0))))</f>
        <v/>
      </c>
      <c r="BI106" s="621" t="str">
        <f>IF(A106=FALSE,"",IF(ID106&lt;&gt;$BC$7,0,INDEX(IA106:IZ106,1,MATCH(Structure!$C$12,$IA$14:$IZ$14,0)))+OL106)</f>
        <v/>
      </c>
      <c r="BJ106" s="237" t="str">
        <f>IF(A106=FALSE,"",IF(JD106&lt;&gt;$BC$7,0,INDEX(JA106:JZ106,1,MATCH(Structure!$C$12,$JA$14:$JZ$14,0))))</f>
        <v/>
      </c>
      <c r="BK106" s="621" t="str">
        <f>IF(A106=FALSE,"",IF(KD106&lt;&gt;$BC$7,0,INDEX(KA106:KZ106,1,MATCH(Structure!$C$12,$KA$14:$KZ$14,0)))+PL106)</f>
        <v/>
      </c>
      <c r="BL106" s="237" t="str">
        <f>IF(A106=FALSE,"",IF(LD106&lt;&gt;$BC$7,0,INDEX(LA106:LZ106,1,MATCH(Structure!$C$12,$LA$14:$LZ$14,0))))</f>
        <v/>
      </c>
      <c r="BM106" s="237" t="str">
        <f>IF(A106=FALSE,"",IF(MD106&lt;&gt;$BC$7,0,INDEX(MA106:MZ106,1,MATCH(Structure!$C$12,$MA$14:$MZ$14,0))))</f>
        <v/>
      </c>
      <c r="BN106" s="326" t="str">
        <f>IF(A106=FALSE,"",IF(ND106&lt;&gt;$BC$7,0,INDEX(NA106:OC106,1,MATCH(Structure!$C$12,$NA$14:$OC$14,0))))</f>
        <v/>
      </c>
      <c r="BO106" s="435" t="str">
        <f t="shared" si="450"/>
        <v/>
      </c>
      <c r="BP106" s="237" t="str">
        <f t="shared" si="451"/>
        <v/>
      </c>
      <c r="BQ106" s="237" t="str">
        <f>IF(A106=FALSE,"",IF(ED106&lt;&gt;$BO$7,0,INDEX(EA106:EZ106,1,MATCH(Structure!$C$12,$EA$14:$EZ$14,0))))</f>
        <v/>
      </c>
      <c r="BR106" s="237" t="str">
        <f>IF(A106=FALSE,"",IF(FD106&lt;&gt;$BO$7,0,INDEX(FA106:FZ106,1,MATCH(Structure!$C$12,$FA$14:$FZ$14,0))))</f>
        <v/>
      </c>
      <c r="BS106" s="237" t="str">
        <f>IF(A106=FALSE,"",IF(ID106&lt;&gt;$BO$7,0,INDEX(IA106:IZ106,1,MATCH(Structure!$C$13,$IA$14:$IZ$14,0))))</f>
        <v/>
      </c>
      <c r="BT106" s="237" t="str">
        <f>IF(A106=FALSE,"",IF(JD106&lt;&gt;$BO$7,0,INDEX(JA106:JZ106,1,MATCH(Structure!$C$13,$JA$14:$JZ$14,0))))</f>
        <v/>
      </c>
      <c r="BU106" s="237" t="str">
        <f>IF(A106=FALSE,"",IF(KD106&lt;&gt;$BO$7,0,INDEX(KA106:KZ106,1,MATCH(Structure!$C$13,$KA$14:$KZ$14,0))))</f>
        <v/>
      </c>
      <c r="BV106" s="237" t="str">
        <f>IF(A106=FALSE,"",IF(LD106&lt;&gt;$BO$7,0,INDEX(LA106:LZ106,1,MATCH(Structure!$C$13,$LA$14:$LZ$14,0))))</f>
        <v/>
      </c>
      <c r="BW106" s="237" t="str">
        <f>IF(A106=FALSE,"",IF(MD106&lt;&gt;$BO$7,0,INDEX(MA106:MZ106,1,MATCH(Structure!$C$13,$MA$14:$MZ$14,0))))</f>
        <v/>
      </c>
      <c r="BX106" s="326" t="str">
        <f>IF(A106=FALSE,"",IF(ND106&lt;&gt;$BO$7,0,INDEX(NA106:OC106,1,MATCH(Structure!$C$13,$NA$14:$OC$14,0))))</f>
        <v/>
      </c>
      <c r="BY106" s="412"/>
      <c r="BZ106" s="412"/>
      <c r="CA106" s="1255" t="str">
        <f>IF(A106=FALSE,"",IF(LISTES!$A$17=1,Cotations!AG106,Cotations!AH106))</f>
        <v/>
      </c>
      <c r="CB106" s="1266" t="str">
        <f t="shared" si="452"/>
        <v/>
      </c>
      <c r="CC106" s="1120" t="str">
        <f t="shared" si="453"/>
        <v/>
      </c>
      <c r="CD106" s="1120" t="str">
        <f t="shared" si="454"/>
        <v/>
      </c>
      <c r="CE106" s="1120" t="str">
        <f t="shared" si="455"/>
        <v/>
      </c>
      <c r="CF106" s="1120" t="str">
        <f t="shared" si="456"/>
        <v/>
      </c>
      <c r="CG106" s="1267"/>
      <c r="CH106" s="1267"/>
      <c r="CI106" s="1268" t="str">
        <f t="shared" si="457"/>
        <v/>
      </c>
      <c r="CJ106" s="286" t="str">
        <f t="shared" si="458"/>
        <v/>
      </c>
      <c r="CK106" s="286" t="str">
        <f t="shared" si="459"/>
        <v/>
      </c>
      <c r="CL106" s="1263"/>
      <c r="CM106" s="1263"/>
      <c r="CN106" s="1263"/>
      <c r="CO106" s="1263"/>
      <c r="CP106" s="319" t="str">
        <f t="shared" si="460"/>
        <v/>
      </c>
      <c r="CQ106" s="443" t="str">
        <f>IF(A106=FALSE,"",Cotations!AM106)</f>
        <v/>
      </c>
      <c r="CR106" s="443" t="str">
        <f>IF(A106=FALSE,"",IF(Cotations!AN106="","",Cotations!AN106))</f>
        <v/>
      </c>
      <c r="CS106" s="433" t="str">
        <f>IF(A106=FALSE,"",Cotations!AO106)</f>
        <v/>
      </c>
      <c r="CT106" s="443" t="str">
        <f>IF(A106=FALSE,"",IF(CQ106="N/A",0,IF(INDEX(LISTES!$F$105:$F$109,MATCH(CQ106,LISTES!$C$105:$C$109,0))="FIX",IF(INDEX(LISTES!$E$105:$E$109,MATCH(CQ106,LISTES!$C$105:$C$109,0))=12,CR106/12*L106,CR106/365*M106),CS106*EQ106)))</f>
        <v/>
      </c>
      <c r="CU106" s="434" t="str">
        <f>IF(A106=FALSE,"",(CJ106+CK106)*Cotations!AP106)</f>
        <v/>
      </c>
      <c r="CV106" s="434" t="str">
        <f>IF(A106=FALSE,"",(CJ106+CK106)*Cotations!AQ106)</f>
        <v/>
      </c>
      <c r="DA106" s="1253" t="str">
        <f>IF(A106=FALSE,"",IF(LISTES!$A$17=1,Cotations!AV106,Cotations!AW106))</f>
        <v/>
      </c>
      <c r="DB106" s="1271" t="str">
        <f t="shared" si="461"/>
        <v/>
      </c>
      <c r="DC106" s="1270" t="str">
        <f t="shared" si="462"/>
        <v/>
      </c>
      <c r="DD106" s="1270" t="str">
        <f t="shared" si="463"/>
        <v/>
      </c>
      <c r="DE106" s="1270" t="str">
        <f t="shared" si="464"/>
        <v/>
      </c>
      <c r="DF106" s="1270" t="str">
        <f t="shared" si="465"/>
        <v/>
      </c>
      <c r="DG106" s="1270" t="str">
        <f t="shared" si="466"/>
        <v/>
      </c>
      <c r="DH106" s="1270" t="str">
        <f t="shared" si="467"/>
        <v/>
      </c>
      <c r="DI106" s="1271" t="str">
        <f t="shared" si="468"/>
        <v/>
      </c>
      <c r="DJ106" s="286" t="str">
        <f t="shared" si="469"/>
        <v/>
      </c>
      <c r="DK106" s="286" t="str">
        <f t="shared" si="470"/>
        <v/>
      </c>
      <c r="DL106" s="1264" t="str">
        <f t="shared" si="471"/>
        <v/>
      </c>
      <c r="DM106" s="1264" t="str">
        <f t="shared" si="472"/>
        <v/>
      </c>
      <c r="DN106" s="1264" t="str">
        <f t="shared" si="473"/>
        <v/>
      </c>
      <c r="DO106" s="1264" t="str">
        <f t="shared" si="474"/>
        <v/>
      </c>
      <c r="DP106" s="323" t="str">
        <f t="shared" si="368"/>
        <v/>
      </c>
      <c r="DQ106" s="444" t="str">
        <f>IF(A106=FALSE,"",Cotations!BW106)</f>
        <v/>
      </c>
      <c r="DR106" s="444" t="str">
        <f>IF(A106=FALSE,"",Cotations!BX106)</f>
        <v/>
      </c>
      <c r="DS106" s="433" t="str">
        <f>IF(A106=FALSE,"",Cotations!BY106)</f>
        <v/>
      </c>
      <c r="DT106" s="830" t="str">
        <f>IF(A106=FALSE,"",IF(DQ106="N/A",0,IF(INDEX(LISTES!$F$105:$F$109,MATCH(DQ106,LISTES!$C$105:$C$109,0))="FIX",IF(INDEX(LISTES!$E$105:$E$109,MATCH(DQ106,LISTES!$C$105:$C$109,0))=12,DR106/12*L106,DR106/365*M106),DS106*(DN106+DO106))))</f>
        <v/>
      </c>
      <c r="DU106" s="434" t="str">
        <f>IF(A106=FALSE,"",DJ106*Cotations!BZ106)</f>
        <v/>
      </c>
      <c r="DV106" s="434" t="str">
        <f>IF(A106=FALSE,"",DJ106*Cotations!CA106)</f>
        <v/>
      </c>
      <c r="EA106" s="432" t="str">
        <f>IF(A106=FALSE,"",Cotations!AT106)</f>
        <v/>
      </c>
      <c r="EB106" s="1234" t="str">
        <f>IF(A106=FALSE,"",YEAR(Detail!F106)&amp;Detail!AG106&amp;Detail!AD106&amp;"-"&amp;Detail!$AD$13&amp;Detail!AE106)</f>
        <v/>
      </c>
      <c r="EC106" s="434" t="str">
        <f>IF(A106=FALSE,"",IF(LISTES!$A$17=1,EB106,INDEX(colMOD1,MATCH(Cotations!AH106,colchoice,0))))</f>
        <v/>
      </c>
      <c r="ED106" s="277" t="str">
        <f t="shared" si="369"/>
        <v/>
      </c>
      <c r="EE106" s="277" t="str">
        <f t="shared" si="370"/>
        <v/>
      </c>
      <c r="EF106" s="277"/>
      <c r="EG106" s="277"/>
      <c r="EH106" s="277" t="str">
        <f t="shared" si="371"/>
        <v/>
      </c>
      <c r="EI106" s="1104" t="str">
        <f t="shared" si="372"/>
        <v/>
      </c>
      <c r="EJ106" s="1104" t="str">
        <f t="shared" si="373"/>
        <v/>
      </c>
      <c r="EK106" s="443" t="str">
        <f>IF(A106=FALSE,"",IF(Cotations!AF106="monthly",EH106/12*L106,EH106/365*M106))</f>
        <v/>
      </c>
      <c r="EL106" s="1103" t="str">
        <f>IF(A106=FALSE,"",IF(Cotations!AF106="monthly",EJ106/12*L106,EJ106/365*M106))</f>
        <v/>
      </c>
      <c r="EM106" s="433" t="str">
        <f>IF(A106=FALSE,"",IF(Cotations!AI106="","",Cotations!AI106))</f>
        <v/>
      </c>
      <c r="EN106" s="277" t="str">
        <f t="shared" si="374"/>
        <v/>
      </c>
      <c r="EO106" s="277" t="str">
        <f t="shared" si="375"/>
        <v/>
      </c>
      <c r="EP106" s="1104" t="str">
        <f t="shared" si="376"/>
        <v/>
      </c>
      <c r="EQ106" s="277" t="str">
        <f t="shared" si="377"/>
        <v/>
      </c>
      <c r="ER106" s="759" t="str">
        <f>IF(A106=FALSE,"",((EH106*TAXE)-(EH106*TAXE*EM106)+EI106)+IF(CQ106="N/A",0,IF(INDEX(LISTES!$F$105:$F$109,MATCH(CQ106,LISTES!$C$105:$C$109,0))="FIX",CR106,CS106*EQ106)))</f>
        <v/>
      </c>
      <c r="ET106" s="422"/>
      <c r="EU106" s="422"/>
      <c r="EV106" s="422"/>
      <c r="EW106" s="422"/>
      <c r="EX106" s="422"/>
      <c r="EY106" s="422"/>
      <c r="EZ106" s="422"/>
      <c r="FA106" s="432" t="str">
        <f>IF(A106=FALSE,"",Cotations!AT106)</f>
        <v/>
      </c>
      <c r="FB106" s="1235" t="str">
        <f>IF(A106=FALSE,"",IF(Detail!AL106="","N/A",YEAR(Detail!F106)&amp;Detail!AO106&amp;Detail!AL106&amp;"-"&amp;Detail!$AL$13&amp;Detail!AM106))</f>
        <v/>
      </c>
      <c r="FC106" s="434" t="str">
        <f>IF(A106=FALSE,"",IF(LISTES!$A$17=1,FB106,INDEX(colMOD2,MATCH(Cotations!AH106,colchoice,0))))</f>
        <v/>
      </c>
      <c r="FD106" s="277" t="str">
        <f t="shared" si="378"/>
        <v/>
      </c>
      <c r="FE106" s="443" t="str">
        <f>IF(A106=FALSE,"",IF(Detail!AM106="","",Detail!AM106))</f>
        <v/>
      </c>
      <c r="FF106" s="277"/>
      <c r="FG106" s="277"/>
      <c r="FH106" s="277" t="str">
        <f t="shared" si="379"/>
        <v/>
      </c>
      <c r="FI106" s="1104"/>
      <c r="FJ106" s="1104"/>
      <c r="FK106" s="443" t="str">
        <f>IF(A106=FALSE,"",IF(Cotations!AF106="monthly",FH106/12*L106,FH106/365*M106))</f>
        <v/>
      </c>
      <c r="FL106" s="1103" t="str">
        <f>IF(A106=FALSE,"",IF(Cotations!AF106="monthly",FJ106/12*L106,FJ106/365*M106))</f>
        <v/>
      </c>
      <c r="FM106" s="433" t="str">
        <f>IF(A106=FALSE,"",IF(Cotations!AJ106="","",Cotations!AJ106))</f>
        <v/>
      </c>
      <c r="FN106" s="277" t="str">
        <f t="shared" si="475"/>
        <v/>
      </c>
      <c r="FO106" s="277" t="str">
        <f t="shared" si="476"/>
        <v/>
      </c>
      <c r="FP106" s="1104"/>
      <c r="FQ106" s="277" t="str">
        <f t="shared" si="477"/>
        <v/>
      </c>
      <c r="FR106" s="759" t="str">
        <f>IF(A106=FALSE,"",((FH106*TAXE)-(FH106*TAXE*FM106))+IF(#REF!="N/A",0,IF(INDEX(LISTES!$F$105:$F$109,MATCH(#REF!,LISTES!$C$105:$C$109,0))="FIX",#REF!,#REF!*FQ106)))</f>
        <v/>
      </c>
      <c r="FS106" s="422"/>
      <c r="FT106" s="422"/>
      <c r="FU106" s="422"/>
      <c r="FV106" s="422"/>
      <c r="FW106" s="422"/>
      <c r="FX106" s="422"/>
      <c r="FY106" s="422"/>
      <c r="FZ106" s="422"/>
      <c r="GA106" s="432" t="str">
        <f t="shared" si="380"/>
        <v/>
      </c>
      <c r="GB106" s="1234" t="str">
        <f>IF(A106=FALSE,"",IF(Detail!DF106="","N/A",YEAR(Detail!F106)&amp;Detail!DI106&amp;Detail!DF106&amp;"-"&amp;Detail!$DF$13))</f>
        <v/>
      </c>
      <c r="GC106" s="434" t="str">
        <f>IF(A106=FALSE,"",IF(LISTES!$A$17=1,GB106,INDEX(colMOD3,MATCH(Cotations!AH106,colchoice,0))))</f>
        <v/>
      </c>
      <c r="GD106" s="277" t="str">
        <f t="shared" si="381"/>
        <v/>
      </c>
      <c r="GE106" s="277" t="str">
        <f t="shared" si="382"/>
        <v/>
      </c>
      <c r="GF106" s="277"/>
      <c r="GG106" s="277"/>
      <c r="GH106" s="277" t="str">
        <f t="shared" si="478"/>
        <v/>
      </c>
      <c r="GI106" s="1104" t="str">
        <f t="shared" si="479"/>
        <v/>
      </c>
      <c r="GJ106" s="1104" t="str">
        <f t="shared" si="480"/>
        <v/>
      </c>
      <c r="GK106" s="443" t="str">
        <f>IF(A106=FALSE,"",IF(Cotations!AF106="monthly",GH106/12*L106,GH106/365*M106))</f>
        <v/>
      </c>
      <c r="GL106" s="1103" t="str">
        <f>IF(A106=FALSE,"",IF(Cotations!AF106="monthly",GJ106/12*L106,GJ106/365*M106))</f>
        <v/>
      </c>
      <c r="GM106" s="433" t="str">
        <f>IF(A106=FALSE,"",IF(Cotations!AK106="","",Cotations!AK106))</f>
        <v/>
      </c>
      <c r="GN106" s="277" t="str">
        <f t="shared" si="481"/>
        <v/>
      </c>
      <c r="GO106" s="277" t="str">
        <f t="shared" si="482"/>
        <v/>
      </c>
      <c r="GP106" s="1104" t="str">
        <f t="shared" si="483"/>
        <v/>
      </c>
      <c r="GQ106" s="277" t="str">
        <f t="shared" si="484"/>
        <v/>
      </c>
      <c r="GR106" s="759" t="str">
        <f>IF(A106=FALSE,"",((GH106*TAXE)-(GH106*TAXE*GM106)+GI106)+IF(CQ106="N/A",0,IF(INDEX(LISTES!$F$105:$F$109,MATCH(CQ106,LISTES!$C$105:$C$109,0))="FIX",CR106,CS106*GQ106)))</f>
        <v/>
      </c>
      <c r="GS106" s="412"/>
      <c r="GT106" s="412"/>
      <c r="GU106" s="412"/>
      <c r="GV106" s="412"/>
      <c r="GW106" s="412"/>
      <c r="GX106" s="412"/>
      <c r="GY106" s="412"/>
      <c r="GZ106" s="412"/>
      <c r="HA106" s="432" t="str">
        <f t="shared" si="383"/>
        <v/>
      </c>
      <c r="HB106" s="1234" t="str">
        <f>IF(A106=FALSE,"",IF(Detail!DF106="","N/A",YEAR(Detail!F106)&amp;Detail!DI106&amp;Detail!DF106&amp;"-"&amp;Detail!$DF$13))</f>
        <v/>
      </c>
      <c r="HC106" s="434" t="str">
        <f>IF(A106=FALSE,"",IF(LISTES!$A$17=1,HB106,INDEX(colMOD4,MATCH(Cotations!AH106,colchoice,0))))</f>
        <v/>
      </c>
      <c r="HD106" s="277" t="str">
        <f t="shared" si="485"/>
        <v/>
      </c>
      <c r="HE106" s="277" t="str">
        <f t="shared" si="486"/>
        <v/>
      </c>
      <c r="HF106" s="277"/>
      <c r="HG106" s="277"/>
      <c r="HH106" s="277" t="str">
        <f t="shared" si="487"/>
        <v/>
      </c>
      <c r="HI106" s="1104" t="str">
        <f t="shared" si="488"/>
        <v/>
      </c>
      <c r="HJ106" s="1104" t="str">
        <f t="shared" si="489"/>
        <v/>
      </c>
      <c r="HK106" s="443" t="str">
        <f>IF(A106=FALSE,"",IF(Cotations!AF106="monthly",HH106/12*L106,HH106/365*M106))</f>
        <v/>
      </c>
      <c r="HL106" s="1103" t="str">
        <f>IF(A106=FALSE,"",IF(Cotations!AF106="monthly",HJ106/12*L106,HJ106/365*M106))</f>
        <v/>
      </c>
      <c r="HM106" s="433" t="str">
        <f>IF(A106=FALSE,"",IF(Cotations!AL106="","",Cotations!AL106))</f>
        <v/>
      </c>
      <c r="HN106" s="277" t="str">
        <f t="shared" si="490"/>
        <v/>
      </c>
      <c r="HO106" s="277" t="str">
        <f t="shared" si="491"/>
        <v/>
      </c>
      <c r="HP106" s="1104" t="str">
        <f t="shared" si="492"/>
        <v/>
      </c>
      <c r="HQ106" s="277" t="str">
        <f t="shared" si="493"/>
        <v/>
      </c>
      <c r="HR106" s="759" t="str">
        <f>IF(A106=FALSE,"",((HH106*TAXE)-(HH106*TAXE*HM106)+HI106)+IF(CQ106="N/A",0,IF(INDEX(LISTES!$F$105:$F$109,MATCH(CQ106,LISTES!$C$105:$C$109,0))="FIX",CR106,CS106*HQ106)))</f>
        <v/>
      </c>
      <c r="HS106" s="412"/>
      <c r="HT106" s="412"/>
      <c r="HU106" s="412"/>
      <c r="HV106" s="412"/>
      <c r="HW106" s="412"/>
      <c r="HX106" s="412"/>
      <c r="HY106" s="412"/>
      <c r="HZ106" s="1262"/>
      <c r="IA106" s="432" t="str">
        <f>IF(A106=FALSE,"",Cotations!AT106)</f>
        <v/>
      </c>
      <c r="IB106" s="1253" t="str">
        <f>IF(A106=FALSE,"",IF(Detail!AT106="","N/A",YEAR(Detail!F106)&amp;Detail!AW106&amp;Detail!AT106&amp;"-"&amp;Detail!$AT$13&amp;Detail!AU106))</f>
        <v/>
      </c>
      <c r="IC106" s="431" t="str">
        <f>IF(A106=FALSE,"",IF(LISTES!$A$17=1,IB106,INDEX(colMOD1,MATCH(DA106,colchoice,0))))</f>
        <v/>
      </c>
      <c r="ID106" s="759" t="str">
        <f t="shared" si="358"/>
        <v/>
      </c>
      <c r="IE106" s="292" t="str">
        <f>IF(A106=FALSE,"",IF(LISTES!$A$17=1,Detail!AU106,INDEX(Rates!$M$1:$M$270,MATCH(IC106,colMOD1,0))))</f>
        <v/>
      </c>
      <c r="IF106" s="409" t="str">
        <f t="shared" si="359"/>
        <v/>
      </c>
      <c r="IG106" s="430" t="str">
        <f>IF(A106=FALSE,"",IF(IA106="POEA",Cotations!AY106,IF(IA106="FIXE",Cotations!AZ106,IF(Cotations!BA106*Y106&lt;50000,Z106,Cotations!BA106*Y106))))</f>
        <v/>
      </c>
      <c r="IH106" s="292" t="str">
        <f t="shared" si="360"/>
        <v/>
      </c>
      <c r="II106" s="446" t="str">
        <f>IF(A106=FALSE,"",IF(Cotations!AU106="monthly",IH106/12*L106,IH106/365*M106))</f>
        <v/>
      </c>
      <c r="IJ106" s="429" t="str">
        <f>IF(A106=FALSE,"",IF(Cotations!BB106="","",Cotations!BB106))</f>
        <v/>
      </c>
      <c r="IK106" s="292" t="str">
        <f t="shared" si="361"/>
        <v/>
      </c>
      <c r="IL106" s="292" t="str">
        <f t="shared" si="362"/>
        <v/>
      </c>
      <c r="IM106" s="759" t="str">
        <f t="shared" si="363"/>
        <v/>
      </c>
      <c r="IN106" s="759" t="str">
        <f>IF(A106=FALSE,"",((IH106*TAXE)-(IH106*TAXE*IJ106))+IF(DQ106="N/A",0,IF(INDEX(LISTES!$F$105:$F$109,MATCH(DQ106,LISTES!$C$105:$C$109,0))="FIX",DR106,DS106*IM106)))</f>
        <v/>
      </c>
      <c r="JA106" s="432" t="str">
        <f>IF(A106=FALSE,"",Cotations!AT106)</f>
        <v/>
      </c>
      <c r="JB106" s="1234" t="str">
        <f>IF(A106=FALSE,"",IF(Detail!BB106="","N/A",YEAR(Detail!F106)&amp;Detail!BE106&amp;Detail!BB106&amp;"-"&amp;Detail!$BB$13&amp;Detail!BC106))</f>
        <v/>
      </c>
      <c r="JC106" s="431" t="str">
        <f>IF(A106=FALSE,"",IF(LISTES!$A$17=1,JB106,INDEX(colMOD2,MATCH(DA106,colchoice,0))))</f>
        <v/>
      </c>
      <c r="JD106" s="759" t="str">
        <f t="shared" si="384"/>
        <v/>
      </c>
      <c r="JE106" s="292"/>
      <c r="JF106" s="409" t="str">
        <f t="shared" si="385"/>
        <v/>
      </c>
      <c r="JG106" s="430" t="str">
        <f>IF(A106=FALSE,"",IF(JA106="POEA",Cotations!BC106,IF(JA106="FIXE",Cotations!BD106,IF(Cotations!BE106*Y106&lt;50000,Z106,Cotations!BE106*Y106))))</f>
        <v/>
      </c>
      <c r="JH106" s="292" t="str">
        <f t="shared" si="386"/>
        <v/>
      </c>
      <c r="JI106" s="446" t="str">
        <f>IF(A106=FALSE,"",IF(Cotations!AU106="monthly",JH106/12*L106,JH106/365*M106))</f>
        <v/>
      </c>
      <c r="JJ106" s="429" t="str">
        <f>IF(A106=FALSE,"",IF(Cotations!BF106="","",Cotations!BF106))</f>
        <v/>
      </c>
      <c r="JK106" s="292" t="str">
        <f t="shared" si="387"/>
        <v/>
      </c>
      <c r="JL106" s="292" t="str">
        <f t="shared" si="388"/>
        <v/>
      </c>
      <c r="JM106" s="759" t="str">
        <f t="shared" si="389"/>
        <v/>
      </c>
      <c r="JN106" s="759" t="str">
        <f>IF(A106=FALSE,"",((JH106*TAXE)-(JH106*TAXE*JJ106))+IF(#REF!="N/A",0,IF(INDEX(LISTES!$F$105:$F$109,MATCH(#REF!,LISTES!$C$105:$C$109,0))="FIX",#REF!,#REF!*JM106)))</f>
        <v/>
      </c>
      <c r="KA106" s="432" t="str">
        <f>IF(A106=FALSE,"",Cotations!AT106)</f>
        <v/>
      </c>
      <c r="KB106" s="1234" t="str">
        <f>IF(A106=FALSE,"",IF(Detail!BJ106="","N/A",YEAR(Detail!F106)&amp;Detail!BM106&amp;Detail!BJ106&amp;"-"&amp;Detail!$BJ$13&amp;Detail!BK106))</f>
        <v/>
      </c>
      <c r="KC106" s="431" t="str">
        <f>IF(A106=FALSE,"",IF(LISTES!$A$17=1,KB106,INDEX(colMOD3,MATCH(DA106,colchoice,0))))</f>
        <v/>
      </c>
      <c r="KD106" s="759" t="str">
        <f t="shared" si="390"/>
        <v/>
      </c>
      <c r="KE106" s="292"/>
      <c r="KF106" s="409" t="str">
        <f t="shared" si="391"/>
        <v/>
      </c>
      <c r="KG106" s="430" t="str">
        <f>IF(A106=FALSE,"",IF(KA106="POEA",Cotations!BG106,IF(KA106="FIXE",Cotations!BH106,IF(Cotations!BI106*Y106&lt;50000,Z106,Cotations!BI106*Y106))))</f>
        <v/>
      </c>
      <c r="KH106" s="292" t="str">
        <f t="shared" si="392"/>
        <v/>
      </c>
      <c r="KI106" s="446" t="str">
        <f>IF(A106=FALSE,"",IF(Cotations!AU106="monthly",KH106/12*L106,KH106/365*M106))</f>
        <v/>
      </c>
      <c r="KJ106" s="429" t="str">
        <f>IF(A106=FALSE,"",IF(Cotations!BJ106="","",Cotations!BJ106))</f>
        <v/>
      </c>
      <c r="KK106" s="292" t="str">
        <f t="shared" si="393"/>
        <v/>
      </c>
      <c r="KL106" s="292" t="str">
        <f t="shared" si="394"/>
        <v/>
      </c>
      <c r="KM106" s="759" t="str">
        <f t="shared" si="395"/>
        <v/>
      </c>
      <c r="KN106" s="759" t="str">
        <f>IF(A106=FALSE,"",((KH106*TAXE)-(KH106*TAXE*KJ106))+IF(#REF!="N/A",0,IF(INDEX(LISTES!$F$105:$F$109,MATCH(#REF!,LISTES!$C$105:$C$109,0))="FIX",#REF!,#REF!*KM106)))</f>
        <v/>
      </c>
      <c r="LA106" s="432" t="str">
        <f>IF(A106=FALSE,"",Cotations!AT106)</f>
        <v/>
      </c>
      <c r="LB106" s="1234" t="str">
        <f>IF(A106=FALSE,"",IF(Detail!BR106="","N/A",YEAR(Detail!F106)&amp;Detail!BU106&amp;Detail!BR106&amp;"-"&amp;Detail!$BR$13&amp;Detail!BS106))</f>
        <v/>
      </c>
      <c r="LC106" s="431" t="str">
        <f>IF(A106=FALSE,"",IF(LISTES!$A$17=1,LB106,INDEX(colMOD4,MATCH(DA106,colchoice,0))))</f>
        <v/>
      </c>
      <c r="LD106" s="759" t="str">
        <f t="shared" si="396"/>
        <v/>
      </c>
      <c r="LE106" s="292"/>
      <c r="LF106" s="409" t="str">
        <f t="shared" si="397"/>
        <v/>
      </c>
      <c r="LG106" s="430" t="str">
        <f>IF(A106=FALSE,"",IF(LA106="POEA",Cotations!BK106,IF(LA106="FIXE",Cotations!BL106,IF(Cotations!BM106*Y106&lt;50000,Z106,Cotations!BM106*Y106))))</f>
        <v/>
      </c>
      <c r="LH106" s="292" t="str">
        <f t="shared" si="398"/>
        <v/>
      </c>
      <c r="LI106" s="446" t="str">
        <f>IF(A106=FALSE,"",IF(Cotations!AU106="monthly",LH106/12*L106,LH106/365*M106))</f>
        <v/>
      </c>
      <c r="LJ106" s="429" t="str">
        <f>IF(A106=FALSE,"",IF(Cotations!BN106="","",Cotations!BN106))</f>
        <v/>
      </c>
      <c r="LK106" s="292" t="str">
        <f t="shared" si="399"/>
        <v/>
      </c>
      <c r="LL106" s="292" t="str">
        <f t="shared" si="400"/>
        <v/>
      </c>
      <c r="LM106" s="759" t="str">
        <f t="shared" si="401"/>
        <v/>
      </c>
      <c r="LN106" s="759" t="str">
        <f>IF(A106=FALSE,"",((LH106*TAXE)-(LH106*TAXE*LJ106))+IF(#REF!="N/A",0,IF(INDEX(LISTES!$F$105:$F$109,MATCH(#REF!,LISTES!$C$105:$C$109,0))="FIX",#REF!,#REF!*LM106)))</f>
        <v/>
      </c>
      <c r="MA106" s="432" t="str">
        <f t="shared" si="402"/>
        <v/>
      </c>
      <c r="MB106" s="1234" t="str">
        <f>IF(A106=FALSE,"",IF(Detail!BZ106="","N/A",YEAR(Detail!F106)&amp;Detail!CC106&amp;Detail!BZ106&amp;"-"&amp;Detail!$BZ$13&amp;" (100%/"&amp;Detail!CD106&amp;"/"&amp;Detail!CE106&amp;")"))</f>
        <v/>
      </c>
      <c r="MC106" s="431" t="str">
        <f>IF(A106=FALSE,"",IF(LISTES!$A$17=1,MB106,INDEX(colMOD5,MATCH(DA106,colchoice,0))))</f>
        <v/>
      </c>
      <c r="MD106" s="759" t="str">
        <f t="shared" si="403"/>
        <v/>
      </c>
      <c r="ME106" s="292"/>
      <c r="MF106" s="409" t="str">
        <f t="shared" si="404"/>
        <v/>
      </c>
      <c r="MG106" s="430" t="str">
        <f>IF(A106=FALSE,"",Cotations!BQ106*AA106)</f>
        <v/>
      </c>
      <c r="MH106" s="292" t="str">
        <f t="shared" si="405"/>
        <v/>
      </c>
      <c r="MI106" s="446" t="str">
        <f>IF(A106=FALSE,"",IF(Cotations!AU106="monthly",MH106/12*L106,MH106/365*M106))</f>
        <v/>
      </c>
      <c r="MJ106" s="429" t="str">
        <f>IF(A106=FALSE,"",IF(Cotations!BR106="","",Cotations!BR106))</f>
        <v/>
      </c>
      <c r="MK106" s="292" t="str">
        <f t="shared" si="406"/>
        <v/>
      </c>
      <c r="ML106" s="292" t="str">
        <f t="shared" si="407"/>
        <v/>
      </c>
      <c r="MM106" s="759" t="str">
        <f t="shared" si="408"/>
        <v/>
      </c>
      <c r="MN106" s="759" t="str">
        <f>IF(A106=FALSE,"",((MH106*TAXE)-(MH106*TAXE*MJ106))+IF(#REF!="N/A",0,IF(INDEX(LISTES!$F$105:$F$109,MATCH(#REF!,LISTES!$C$105:$C$109,0))="FIX",#REF!,#REF!*MM106)))</f>
        <v/>
      </c>
      <c r="NA106" s="432" t="str">
        <f t="shared" si="409"/>
        <v/>
      </c>
      <c r="NB106" s="1234" t="str">
        <f>IF(A106=FALSE,"",IF(Detail!CH106="","N/A",YEAR(Detail!F106)&amp;Detail!CK106&amp;Detail!CH106&amp;"-"&amp;Detail!$CH$13&amp;" (100%/"&amp;Detail!CL106&amp;"/"&amp;Detail!CM106&amp;")"))</f>
        <v/>
      </c>
      <c r="NC106" s="431" t="str">
        <f>IF(A106=FALSE,"",IF(LISTES!$A$17=1,NB106,INDEX(colMOD6,MATCH(DA106,colchoice,0))))</f>
        <v/>
      </c>
      <c r="ND106" s="759" t="str">
        <f t="shared" si="410"/>
        <v/>
      </c>
      <c r="NE106" s="292"/>
      <c r="NF106" s="409" t="str">
        <f t="shared" si="411"/>
        <v/>
      </c>
      <c r="NG106" s="430" t="str">
        <f>IF(A106=FALSE,"",Cotations!BU106*AA106)</f>
        <v/>
      </c>
      <c r="NH106" s="292" t="str">
        <f t="shared" si="412"/>
        <v/>
      </c>
      <c r="NI106" s="446" t="str">
        <f>IF(A106=FALSE,"",IF(Cotations!AU106="monthly",NH106/12*L106,NH106/365*M106))</f>
        <v/>
      </c>
      <c r="NJ106" s="429" t="str">
        <f>IF(A106=FALSE,"",IF(Cotations!BV106="","",Cotations!BV106))</f>
        <v/>
      </c>
      <c r="NK106" s="292" t="str">
        <f t="shared" si="413"/>
        <v/>
      </c>
      <c r="NL106" s="292" t="str">
        <f t="shared" si="414"/>
        <v/>
      </c>
      <c r="NM106" s="759" t="str">
        <f t="shared" si="415"/>
        <v/>
      </c>
      <c r="NN106" s="759" t="str">
        <f>IF(A106=FALSE,"",((NH106*TAXE)-(NH106*TAXE*NJ106))+IF(#REF!="N/A",0,IF(INDEX(LISTES!$F$105:$F$109,MATCH(#REF!,LISTES!$C$105:$C$109,0))="FIX",#REF!,#REF!*NM106)))</f>
        <v/>
      </c>
      <c r="NZ106" s="1281" t="str">
        <f>IF(A106=FALSE,"",IF(Detail!CP106="","N/A",YEAR(Detail!F106)&amp;Detail!CS106&amp;Detail!CP106&amp;"-"&amp;Detail!CQ106))</f>
        <v/>
      </c>
      <c r="OA106" s="432" t="str">
        <f>IF(A106=FALSE,"",Cotations!CF106)</f>
        <v/>
      </c>
      <c r="OB106" s="1282" t="str">
        <f>IF(A106=FALSE,"",IF(Detail!CP106="","N/A",YEAR(Detail!F106)&amp;Detail!CS106&amp;Detail!CP106&amp;"-"&amp;Detail!$CP$13&amp;Detail!CQ106))</f>
        <v/>
      </c>
      <c r="OC106" s="1283" t="str">
        <f>IF(A106=FALSE,"",IF(LISTES!$A$17=1,OB106,INDEX(colMOD1,MATCH(Cotations!CE106,colchoice,0))))</f>
        <v/>
      </c>
      <c r="OD106" s="759" t="str">
        <f t="shared" si="416"/>
        <v/>
      </c>
      <c r="OE106" s="292" t="str">
        <f>IF(A106=FALSE,"",Detail!CQ106)</f>
        <v/>
      </c>
      <c r="OF106" s="409" t="str">
        <f t="shared" si="417"/>
        <v/>
      </c>
      <c r="OG106" s="430" t="str">
        <f>IF(A106=FALSE,"",IF(OA106="FIXE",Cotations!CM106,Cotations!CN106*AA106))</f>
        <v/>
      </c>
      <c r="OH106" s="292" t="str">
        <f t="shared" si="494"/>
        <v/>
      </c>
      <c r="OI106" s="446" t="str">
        <f>IF(A106=FALSE,"",IF(Cotations!CF106="monthly",OH106/12*L106,OH106/365*M106))</f>
        <v/>
      </c>
      <c r="OJ106" s="429" t="str">
        <f>IF(A106=FALSE,"",IF(Cotations!CO106="","",Cotations!CO106))</f>
        <v/>
      </c>
      <c r="OK106" s="292" t="str">
        <f t="shared" si="495"/>
        <v/>
      </c>
      <c r="OL106" s="292" t="str">
        <f t="shared" si="496"/>
        <v/>
      </c>
      <c r="OM106" s="759" t="str">
        <f t="shared" si="418"/>
        <v/>
      </c>
      <c r="ON106" s="759" t="str">
        <f>IF(A106=FALSE,"",((OH106*(1+TAXE)-(OH106*(1+TAXE)*OJ106))+IF(#REF!="N/A",0,IF(INDEX(LISTES!$F$105:$F$109,MATCH(#REF!,LISTES!$C$105:$C$109,0))="FIX",#REF!,#REF!*OM106))))</f>
        <v/>
      </c>
      <c r="PA106" s="432" t="str">
        <f>IF(A106=FALSE,"",Cotations!CF106)</f>
        <v/>
      </c>
      <c r="PB106" s="1282" t="str">
        <f>IF(A106=FALSE,"",IF(Detail!CX106="","N/A",YEAR(Detail!F106)&amp;Detail!DA106&amp;Detail!CX106&amp;"-"&amp;Detail!$CX$13&amp;Detail!CY106))</f>
        <v/>
      </c>
      <c r="PC106" s="1283" t="str">
        <f>IF(A106=FALSE,"",IF(LISTES!$A$17=1,PB106,INDEX(colMOD3,MATCH(Cotations!CE106,colchoice,0))))</f>
        <v/>
      </c>
      <c r="PD106" s="759" t="str">
        <f t="shared" si="419"/>
        <v/>
      </c>
      <c r="PE106" s="292" t="str">
        <f>IF(A106=FALSE,"",IF(Detail!CY106="","",Detail!CY106))</f>
        <v/>
      </c>
      <c r="PF106" s="409" t="str">
        <f t="shared" si="497"/>
        <v/>
      </c>
      <c r="PG106" s="430" t="str">
        <f>IF(A106=FALSE,"",IF(PA106="FIXE",Cotations!CP106,Cotations!CQ106*AA106))</f>
        <v/>
      </c>
      <c r="PH106" s="292" t="str">
        <f t="shared" si="498"/>
        <v/>
      </c>
      <c r="PI106" s="446" t="str">
        <f>IF(A106=FALSE,"",IF(Cotations!CG106="monthly",PH106/12*L106,PH106/365*M106))</f>
        <v/>
      </c>
      <c r="PJ106" s="429" t="str">
        <f>IF(A106=FALSE,"",IF(Cotations!DA106="",0,Cotations!DA106))</f>
        <v/>
      </c>
      <c r="PK106" s="292" t="str">
        <f t="shared" si="499"/>
        <v/>
      </c>
      <c r="PL106" s="292" t="str">
        <f t="shared" si="500"/>
        <v/>
      </c>
      <c r="PM106" s="759" t="str">
        <f t="shared" si="420"/>
        <v/>
      </c>
      <c r="PN106" s="759" t="str">
        <f>IF(A106=FALSE,"",((PH106*(1+TAXE)-(PH106*(1+TAXE)*PJ106))+IF(#REF!="N/A",0,IF(INDEX(LISTES!$F$105:$F$109,MATCH(#REF!,LISTES!$C$105:$C$109,0))="FIX",#REF!,#REF!*PM106))))</f>
        <v/>
      </c>
    </row>
    <row r="107" spans="1:430">
      <c r="A107" s="779" t="b">
        <f t="shared" si="364"/>
        <v>0</v>
      </c>
      <c r="B107" s="779" t="b">
        <f>IF(NAMES!$B$9=TRUE,TRUE,FALSE)</f>
        <v>1</v>
      </c>
      <c r="C107" s="779" t="b">
        <f t="shared" si="421"/>
        <v>0</v>
      </c>
      <c r="D107" s="779" t="b">
        <f t="shared" si="422"/>
        <v>0</v>
      </c>
      <c r="E107" s="267" t="b">
        <f>IF(Cotations!C107="","",Cotations!C107)</f>
        <v>0</v>
      </c>
      <c r="F107" s="267" t="str">
        <f>IF(Cotations!AT107="","",Cotations!AT107)</f>
        <v>PROP</v>
      </c>
      <c r="G107" s="267" t="str">
        <f>IF(Cotations!D107="","",Cotations!D107)</f>
        <v>2016-2017!</v>
      </c>
      <c r="H107" s="267" t="str">
        <f>IF(Cotations!E107="","",Cotations!E107)</f>
        <v>SINGLE</v>
      </c>
      <c r="I107" s="267" t="str">
        <f>IF(Cotations!F107="","",Cotations!F107)</f>
        <v/>
      </c>
      <c r="J107" s="267" t="str">
        <f>IF(Cotations!G107="","",Cotations!G107)</f>
        <v/>
      </c>
      <c r="K107" s="267" t="str">
        <f>IF(Cotations!H107="","",Cotations!H107)</f>
        <v/>
      </c>
      <c r="L107" s="267" t="str">
        <f>IF(A107=FALSE,"",IF(Cotations!M107="","",Cotations!M107))</f>
        <v/>
      </c>
      <c r="M107" s="267" t="str">
        <f>IF(Cotations!O107="","",Cotations!O107)</f>
        <v/>
      </c>
      <c r="N107" s="588" t="str">
        <f>IF(NAMES!$B$10=TRUE,Cotations!I107,Cotations!K107)</f>
        <v/>
      </c>
      <c r="O107" s="588" t="str">
        <f>IF(NAMES!$B$10=TRUE,Cotations!J107,Cotations!L107)</f>
        <v/>
      </c>
      <c r="P107" s="780" t="str">
        <f t="shared" si="423"/>
        <v/>
      </c>
      <c r="Q107" s="588" t="str">
        <f>IF(A107=FALSE,"",IF(Crewlist!Y107="","",Crewlist!Y107))</f>
        <v/>
      </c>
      <c r="R107" s="78" t="str">
        <f>IF(Cotations!T107="","",Cotations!T107)</f>
        <v/>
      </c>
      <c r="S107" s="780" t="str">
        <f t="shared" si="424"/>
        <v/>
      </c>
      <c r="T107" s="759" t="str">
        <f>IF(A107=FALSE,"",VLOOKUP($U$15:$U$120,Currency!$A$2:$D$10,4,0)*Crewlist!N107)</f>
        <v/>
      </c>
      <c r="U107" s="1097" t="str">
        <f>IF(A107=FALSE,"",IF(DP107=0,Crewlist!M107&amp;"/"&amp;CP107,Crewlist!M107&amp;"/"&amp;DP107))</f>
        <v/>
      </c>
      <c r="V107" s="759" t="str">
        <f>IF(A107=FALSE,"",VLOOKUP($U$15:$U$120,Currency!$A$2:$D$10,4,0)*Detail!Q107)</f>
        <v/>
      </c>
      <c r="W107" s="1097" t="str">
        <f>IF(A107=FALSE,"",IF(DP107=0,Detail!R107&amp;"/"&amp;CP107,Detail!R107&amp;"/"&amp;DP107))</f>
        <v/>
      </c>
      <c r="X107" s="759" t="str">
        <f>IF(A107=FALSE,"",IF(LISTES!$C$17="Crewlist",Calcul!T107,Calcul!V107))</f>
        <v/>
      </c>
      <c r="Y107" s="618" t="str">
        <f t="shared" si="425"/>
        <v/>
      </c>
      <c r="Z107" s="618" t="str">
        <f>IF(A107=FALSE,"",IF(X107=0,0,IF((Cotations!BA107*12*X107)&lt;50000,50000,(12*X107))))</f>
        <v/>
      </c>
      <c r="AA107" s="618" t="str">
        <f t="shared" si="426"/>
        <v/>
      </c>
      <c r="AB107" s="618" t="str">
        <f>IF(A107=FALSE,"",IF(Crewlist!O107=0,"",Crewlist!O107))</f>
        <v/>
      </c>
      <c r="AC107" s="618" t="str">
        <f>IF(I107="","",VLOOKUP($AB$15:$AB$120,Currency!$A$15:$B$34,2,0))</f>
        <v/>
      </c>
      <c r="AD107" s="618" t="str">
        <f t="shared" si="427"/>
        <v/>
      </c>
      <c r="AE107" s="618" t="str">
        <f t="shared" si="428"/>
        <v/>
      </c>
      <c r="AF107" s="618" t="str">
        <f t="shared" si="429"/>
        <v/>
      </c>
      <c r="AG107" s="618" t="str">
        <f t="shared" si="430"/>
        <v/>
      </c>
      <c r="AH107" s="1097" t="str">
        <f t="shared" si="365"/>
        <v/>
      </c>
      <c r="AI107" s="759" t="str">
        <f t="shared" si="431"/>
        <v/>
      </c>
      <c r="AJ107" s="1120" t="str">
        <f t="shared" si="432"/>
        <v/>
      </c>
      <c r="AK107" s="1120" t="str">
        <f t="shared" si="433"/>
        <v/>
      </c>
      <c r="AL107" s="236" t="str">
        <f t="shared" si="434"/>
        <v/>
      </c>
      <c r="AM107" s="236" t="str">
        <f t="shared" si="435"/>
        <v/>
      </c>
      <c r="AN107" s="1112" t="str">
        <f t="shared" si="436"/>
        <v/>
      </c>
      <c r="AO107" s="236" t="str">
        <f t="shared" si="437"/>
        <v/>
      </c>
      <c r="AP107" s="327" t="str">
        <f>IF(A107=FALSE,"",INDEX(Rates!$Q$1:$Q$278,MATCH(CA107,colchoice,0)))</f>
        <v/>
      </c>
      <c r="AQ107" s="236" t="str">
        <f t="shared" si="438"/>
        <v/>
      </c>
      <c r="AR107" s="236" t="str">
        <f t="shared" si="439"/>
        <v/>
      </c>
      <c r="AS107" s="236" t="str">
        <f t="shared" si="366"/>
        <v/>
      </c>
      <c r="AT107" s="236" t="str">
        <f t="shared" si="367"/>
        <v/>
      </c>
      <c r="AU107" s="236" t="str">
        <f t="shared" si="440"/>
        <v/>
      </c>
      <c r="AV107" s="236" t="str">
        <f t="shared" si="441"/>
        <v/>
      </c>
      <c r="AW107" s="236" t="str">
        <f t="shared" si="442"/>
        <v/>
      </c>
      <c r="AX107" s="236" t="str">
        <f t="shared" si="443"/>
        <v/>
      </c>
      <c r="AY107" s="236" t="str">
        <f t="shared" si="444"/>
        <v/>
      </c>
      <c r="AZ107" s="236" t="str">
        <f t="shared" si="445"/>
        <v/>
      </c>
      <c r="BA107" s="236" t="str">
        <f t="shared" si="446"/>
        <v/>
      </c>
      <c r="BB107" s="467" t="str">
        <f t="shared" si="447"/>
        <v/>
      </c>
      <c r="BC107" s="329" t="str">
        <f t="shared" si="448"/>
        <v/>
      </c>
      <c r="BD107" s="237" t="str">
        <f t="shared" si="449"/>
        <v/>
      </c>
      <c r="BE107" s="237" t="str">
        <f>IF(A107=FALSE,"",IF(ED107&lt;&gt;$BC$7,0,INDEX(EA107:EZ107,1,MATCH(Structure!$J$16,$EA$14:$EZ$14,0))))</f>
        <v/>
      </c>
      <c r="BF107" s="237" t="str">
        <f>IF(A107=FALSE,"",IF(FD107&lt;&gt;$BC$7,0,INDEX(FA107:FZ107,1,MATCH(Structure!$J$16,$FA$14:$FZ$14,0))))</f>
        <v/>
      </c>
      <c r="BG107" s="237" t="str">
        <f>IF(A107=FALSE,"",IF(GD107&lt;&gt;$BC$7,0,INDEX(GA107:GZ107,1,MATCH(Structure!$J$16,$GA$14:$GZ$14,0))))</f>
        <v/>
      </c>
      <c r="BH107" s="237" t="str">
        <f>IF(A107=FALSE,"",IF(HD107&lt;&gt;$BC$7,0,INDEX(HA107:HZ107,1,MATCH(Structure!$J$16,$HA$14:$HZ$14,0))))</f>
        <v/>
      </c>
      <c r="BI107" s="621" t="str">
        <f>IF(A107=FALSE,"",IF(ID107&lt;&gt;$BC$7,0,INDEX(IA107:IZ107,1,MATCH(Structure!$C$12,$IA$14:$IZ$14,0)))+OL107)</f>
        <v/>
      </c>
      <c r="BJ107" s="237" t="str">
        <f>IF(A107=FALSE,"",IF(JD107&lt;&gt;$BC$7,0,INDEX(JA107:JZ107,1,MATCH(Structure!$C$12,$JA$14:$JZ$14,0))))</f>
        <v/>
      </c>
      <c r="BK107" s="621" t="str">
        <f>IF(A107=FALSE,"",IF(KD107&lt;&gt;$BC$7,0,INDEX(KA107:KZ107,1,MATCH(Structure!$C$12,$KA$14:$KZ$14,0)))+PL107)</f>
        <v/>
      </c>
      <c r="BL107" s="237" t="str">
        <f>IF(A107=FALSE,"",IF(LD107&lt;&gt;$BC$7,0,INDEX(LA107:LZ107,1,MATCH(Structure!$C$12,$LA$14:$LZ$14,0))))</f>
        <v/>
      </c>
      <c r="BM107" s="237" t="str">
        <f>IF(A107=FALSE,"",IF(MD107&lt;&gt;$BC$7,0,INDEX(MA107:MZ107,1,MATCH(Structure!$C$12,$MA$14:$MZ$14,0))))</f>
        <v/>
      </c>
      <c r="BN107" s="326" t="str">
        <f>IF(A107=FALSE,"",IF(ND107&lt;&gt;$BC$7,0,INDEX(NA107:OC107,1,MATCH(Structure!$C$12,$NA$14:$OC$14,0))))</f>
        <v/>
      </c>
      <c r="BO107" s="435" t="str">
        <f t="shared" si="450"/>
        <v/>
      </c>
      <c r="BP107" s="237" t="str">
        <f t="shared" si="451"/>
        <v/>
      </c>
      <c r="BQ107" s="237" t="str">
        <f>IF(A107=FALSE,"",IF(ED107&lt;&gt;$BO$7,0,INDEX(EA107:EZ107,1,MATCH(Structure!$C$12,$EA$14:$EZ$14,0))))</f>
        <v/>
      </c>
      <c r="BR107" s="237" t="str">
        <f>IF(A107=FALSE,"",IF(FD107&lt;&gt;$BO$7,0,INDEX(FA107:FZ107,1,MATCH(Structure!$C$12,$FA$14:$FZ$14,0))))</f>
        <v/>
      </c>
      <c r="BS107" s="237" t="str">
        <f>IF(A107=FALSE,"",IF(ID107&lt;&gt;$BO$7,0,INDEX(IA107:IZ107,1,MATCH(Structure!$C$13,$IA$14:$IZ$14,0))))</f>
        <v/>
      </c>
      <c r="BT107" s="237" t="str">
        <f>IF(A107=FALSE,"",IF(JD107&lt;&gt;$BO$7,0,INDEX(JA107:JZ107,1,MATCH(Structure!$C$13,$JA$14:$JZ$14,0))))</f>
        <v/>
      </c>
      <c r="BU107" s="237" t="str">
        <f>IF(A107=FALSE,"",IF(KD107&lt;&gt;$BO$7,0,INDEX(KA107:KZ107,1,MATCH(Structure!$C$13,$KA$14:$KZ$14,0))))</f>
        <v/>
      </c>
      <c r="BV107" s="237" t="str">
        <f>IF(A107=FALSE,"",IF(LD107&lt;&gt;$BO$7,0,INDEX(LA107:LZ107,1,MATCH(Structure!$C$13,$LA$14:$LZ$14,0))))</f>
        <v/>
      </c>
      <c r="BW107" s="237" t="str">
        <f>IF(A107=FALSE,"",IF(MD107&lt;&gt;$BO$7,0,INDEX(MA107:MZ107,1,MATCH(Structure!$C$13,$MA$14:$MZ$14,0))))</f>
        <v/>
      </c>
      <c r="BX107" s="326" t="str">
        <f>IF(A107=FALSE,"",IF(ND107&lt;&gt;$BO$7,0,INDEX(NA107:OC107,1,MATCH(Structure!$C$13,$NA$14:$OC$14,0))))</f>
        <v/>
      </c>
      <c r="BY107" s="412"/>
      <c r="BZ107" s="412"/>
      <c r="CA107" s="1255" t="str">
        <f>IF(A107=FALSE,"",IF(LISTES!$A$17=1,Cotations!AG107,Cotations!AH107))</f>
        <v/>
      </c>
      <c r="CB107" s="1266" t="str">
        <f t="shared" si="452"/>
        <v/>
      </c>
      <c r="CC107" s="1120" t="str">
        <f t="shared" si="453"/>
        <v/>
      </c>
      <c r="CD107" s="1120" t="str">
        <f t="shared" si="454"/>
        <v/>
      </c>
      <c r="CE107" s="1120" t="str">
        <f t="shared" si="455"/>
        <v/>
      </c>
      <c r="CF107" s="1120" t="str">
        <f t="shared" si="456"/>
        <v/>
      </c>
      <c r="CG107" s="1267"/>
      <c r="CH107" s="1267"/>
      <c r="CI107" s="1268" t="str">
        <f t="shared" si="457"/>
        <v/>
      </c>
      <c r="CJ107" s="286" t="str">
        <f t="shared" si="458"/>
        <v/>
      </c>
      <c r="CK107" s="286" t="str">
        <f t="shared" si="459"/>
        <v/>
      </c>
      <c r="CL107" s="1263"/>
      <c r="CM107" s="1263"/>
      <c r="CN107" s="1263"/>
      <c r="CO107" s="1263"/>
      <c r="CP107" s="319" t="str">
        <f t="shared" si="460"/>
        <v/>
      </c>
      <c r="CQ107" s="443" t="str">
        <f>IF(A107=FALSE,"",Cotations!AM107)</f>
        <v/>
      </c>
      <c r="CR107" s="443" t="str">
        <f>IF(A107=FALSE,"",IF(Cotations!AN107="","",Cotations!AN107))</f>
        <v/>
      </c>
      <c r="CS107" s="433" t="str">
        <f>IF(A107=FALSE,"",Cotations!AO107)</f>
        <v/>
      </c>
      <c r="CT107" s="443" t="str">
        <f>IF(A107=FALSE,"",IF(CQ107="N/A",0,IF(INDEX(LISTES!$F$105:$F$109,MATCH(CQ107,LISTES!$C$105:$C$109,0))="FIX",IF(INDEX(LISTES!$E$105:$E$109,MATCH(CQ107,LISTES!$C$105:$C$109,0))=12,CR107/12*L107,CR107/365*M107),CS107*EQ107)))</f>
        <v/>
      </c>
      <c r="CU107" s="434" t="str">
        <f>IF(A107=FALSE,"",(CJ107+CK107)*Cotations!AP107)</f>
        <v/>
      </c>
      <c r="CV107" s="434" t="str">
        <f>IF(A107=FALSE,"",(CJ107+CK107)*Cotations!AQ107)</f>
        <v/>
      </c>
      <c r="DA107" s="1253" t="str">
        <f>IF(A107=FALSE,"",IF(LISTES!$A$17=1,Cotations!AV107,Cotations!AW107))</f>
        <v/>
      </c>
      <c r="DB107" s="1271" t="str">
        <f t="shared" si="461"/>
        <v/>
      </c>
      <c r="DC107" s="1270" t="str">
        <f t="shared" si="462"/>
        <v/>
      </c>
      <c r="DD107" s="1270" t="str">
        <f t="shared" si="463"/>
        <v/>
      </c>
      <c r="DE107" s="1270" t="str">
        <f t="shared" si="464"/>
        <v/>
      </c>
      <c r="DF107" s="1270" t="str">
        <f t="shared" si="465"/>
        <v/>
      </c>
      <c r="DG107" s="1270" t="str">
        <f t="shared" si="466"/>
        <v/>
      </c>
      <c r="DH107" s="1270" t="str">
        <f t="shared" si="467"/>
        <v/>
      </c>
      <c r="DI107" s="1271" t="str">
        <f t="shared" si="468"/>
        <v/>
      </c>
      <c r="DJ107" s="286" t="str">
        <f t="shared" si="469"/>
        <v/>
      </c>
      <c r="DK107" s="286" t="str">
        <f t="shared" si="470"/>
        <v/>
      </c>
      <c r="DL107" s="1264" t="str">
        <f t="shared" si="471"/>
        <v/>
      </c>
      <c r="DM107" s="1264" t="str">
        <f t="shared" si="472"/>
        <v/>
      </c>
      <c r="DN107" s="1264" t="str">
        <f t="shared" si="473"/>
        <v/>
      </c>
      <c r="DO107" s="1264" t="str">
        <f t="shared" si="474"/>
        <v/>
      </c>
      <c r="DP107" s="323" t="str">
        <f t="shared" si="368"/>
        <v/>
      </c>
      <c r="DQ107" s="444" t="str">
        <f>IF(A107=FALSE,"",Cotations!BW107)</f>
        <v/>
      </c>
      <c r="DR107" s="444" t="str">
        <f>IF(A107=FALSE,"",Cotations!BX107)</f>
        <v/>
      </c>
      <c r="DS107" s="433" t="str">
        <f>IF(A107=FALSE,"",Cotations!BY107)</f>
        <v/>
      </c>
      <c r="DT107" s="830" t="str">
        <f>IF(A107=FALSE,"",IF(DQ107="N/A",0,IF(INDEX(LISTES!$F$105:$F$109,MATCH(DQ107,LISTES!$C$105:$C$109,0))="FIX",IF(INDEX(LISTES!$E$105:$E$109,MATCH(DQ107,LISTES!$C$105:$C$109,0))=12,DR107/12*L107,DR107/365*M107),DS107*(DN107+DO107))))</f>
        <v/>
      </c>
      <c r="DU107" s="434" t="str">
        <f>IF(A107=FALSE,"",DJ107*Cotations!BZ107)</f>
        <v/>
      </c>
      <c r="DV107" s="434" t="str">
        <f>IF(A107=FALSE,"",DJ107*Cotations!CA107)</f>
        <v/>
      </c>
      <c r="EA107" s="432" t="str">
        <f>IF(A107=FALSE,"",Cotations!AT107)</f>
        <v/>
      </c>
      <c r="EB107" s="1234" t="str">
        <f>IF(A107=FALSE,"",YEAR(Detail!F107)&amp;Detail!AG107&amp;Detail!AD107&amp;"-"&amp;Detail!$AD$13&amp;Detail!AE107)</f>
        <v/>
      </c>
      <c r="EC107" s="434" t="str">
        <f>IF(A107=FALSE,"",IF(LISTES!$A$17=1,EB107,INDEX(colMOD1,MATCH(Cotations!AH107,colchoice,0))))</f>
        <v/>
      </c>
      <c r="ED107" s="277" t="str">
        <f t="shared" si="369"/>
        <v/>
      </c>
      <c r="EE107" s="277" t="str">
        <f t="shared" si="370"/>
        <v/>
      </c>
      <c r="EF107" s="277"/>
      <c r="EG107" s="277"/>
      <c r="EH107" s="277" t="str">
        <f t="shared" si="371"/>
        <v/>
      </c>
      <c r="EI107" s="1104" t="str">
        <f t="shared" si="372"/>
        <v/>
      </c>
      <c r="EJ107" s="1104" t="str">
        <f t="shared" si="373"/>
        <v/>
      </c>
      <c r="EK107" s="443" t="str">
        <f>IF(A107=FALSE,"",IF(Cotations!AF107="monthly",EH107/12*L107,EH107/365*M107))</f>
        <v/>
      </c>
      <c r="EL107" s="1103" t="str">
        <f>IF(A107=FALSE,"",IF(Cotations!AF107="monthly",EJ107/12*L107,EJ107/365*M107))</f>
        <v/>
      </c>
      <c r="EM107" s="433" t="str">
        <f>IF(A107=FALSE,"",IF(Cotations!AI107="","",Cotations!AI107))</f>
        <v/>
      </c>
      <c r="EN107" s="277" t="str">
        <f t="shared" si="374"/>
        <v/>
      </c>
      <c r="EO107" s="277" t="str">
        <f t="shared" si="375"/>
        <v/>
      </c>
      <c r="EP107" s="1104" t="str">
        <f t="shared" si="376"/>
        <v/>
      </c>
      <c r="EQ107" s="277" t="str">
        <f t="shared" si="377"/>
        <v/>
      </c>
      <c r="ER107" s="759" t="str">
        <f>IF(A107=FALSE,"",((EH107*TAXE)-(EH107*TAXE*EM107)+EI107)+IF(CQ107="N/A",0,IF(INDEX(LISTES!$F$105:$F$109,MATCH(CQ107,LISTES!$C$105:$C$109,0))="FIX",CR107,CS107*EQ107)))</f>
        <v/>
      </c>
      <c r="ET107" s="422"/>
      <c r="EU107" s="422"/>
      <c r="EV107" s="422"/>
      <c r="EW107" s="422"/>
      <c r="EX107" s="422"/>
      <c r="EY107" s="422"/>
      <c r="EZ107" s="422"/>
      <c r="FA107" s="432" t="str">
        <f>IF(A107=FALSE,"",Cotations!AT107)</f>
        <v/>
      </c>
      <c r="FB107" s="1235" t="str">
        <f>IF(A107=FALSE,"",IF(Detail!AL107="","N/A",YEAR(Detail!F107)&amp;Detail!AO107&amp;Detail!AL107&amp;"-"&amp;Detail!$AL$13&amp;Detail!AM107))</f>
        <v/>
      </c>
      <c r="FC107" s="434" t="str">
        <f>IF(A107=FALSE,"",IF(LISTES!$A$17=1,FB107,INDEX(colMOD2,MATCH(Cotations!AH107,colchoice,0))))</f>
        <v/>
      </c>
      <c r="FD107" s="277" t="str">
        <f t="shared" si="378"/>
        <v/>
      </c>
      <c r="FE107" s="443" t="str">
        <f>IF(A107=FALSE,"",IF(Detail!AM107="","",Detail!AM107))</f>
        <v/>
      </c>
      <c r="FF107" s="277"/>
      <c r="FG107" s="277"/>
      <c r="FH107" s="277" t="str">
        <f t="shared" si="379"/>
        <v/>
      </c>
      <c r="FI107" s="1104"/>
      <c r="FJ107" s="1104"/>
      <c r="FK107" s="443" t="str">
        <f>IF(A107=FALSE,"",IF(Cotations!AF107="monthly",FH107/12*L107,FH107/365*M107))</f>
        <v/>
      </c>
      <c r="FL107" s="1103" t="str">
        <f>IF(A107=FALSE,"",IF(Cotations!AF107="monthly",FJ107/12*L107,FJ107/365*M107))</f>
        <v/>
      </c>
      <c r="FM107" s="433" t="str">
        <f>IF(A107=FALSE,"",IF(Cotations!AJ107="","",Cotations!AJ107))</f>
        <v/>
      </c>
      <c r="FN107" s="277" t="str">
        <f t="shared" si="475"/>
        <v/>
      </c>
      <c r="FO107" s="277" t="str">
        <f t="shared" si="476"/>
        <v/>
      </c>
      <c r="FP107" s="1104"/>
      <c r="FQ107" s="277" t="str">
        <f t="shared" si="477"/>
        <v/>
      </c>
      <c r="FR107" s="759" t="str">
        <f>IF(A107=FALSE,"",((FH107*TAXE)-(FH107*TAXE*FM107))+IF(#REF!="N/A",0,IF(INDEX(LISTES!$F$105:$F$109,MATCH(#REF!,LISTES!$C$105:$C$109,0))="FIX",#REF!,#REF!*FQ107)))</f>
        <v/>
      </c>
      <c r="FS107" s="422"/>
      <c r="FT107" s="422"/>
      <c r="FU107" s="422"/>
      <c r="FV107" s="422"/>
      <c r="FW107" s="422"/>
      <c r="FX107" s="422"/>
      <c r="FY107" s="422"/>
      <c r="FZ107" s="422"/>
      <c r="GA107" s="432" t="str">
        <f t="shared" si="380"/>
        <v/>
      </c>
      <c r="GB107" s="1234" t="str">
        <f>IF(A107=FALSE,"",IF(Detail!DF107="","N/A",YEAR(Detail!F107)&amp;Detail!DI107&amp;Detail!DF107&amp;"-"&amp;Detail!$DF$13))</f>
        <v/>
      </c>
      <c r="GC107" s="434" t="str">
        <f>IF(A107=FALSE,"",IF(LISTES!$A$17=1,GB107,INDEX(colMOD3,MATCH(Cotations!AH107,colchoice,0))))</f>
        <v/>
      </c>
      <c r="GD107" s="277" t="str">
        <f t="shared" si="381"/>
        <v/>
      </c>
      <c r="GE107" s="277" t="str">
        <f t="shared" si="382"/>
        <v/>
      </c>
      <c r="GF107" s="277"/>
      <c r="GG107" s="277"/>
      <c r="GH107" s="277" t="str">
        <f t="shared" si="478"/>
        <v/>
      </c>
      <c r="GI107" s="1104" t="str">
        <f t="shared" si="479"/>
        <v/>
      </c>
      <c r="GJ107" s="1104" t="str">
        <f t="shared" si="480"/>
        <v/>
      </c>
      <c r="GK107" s="443" t="str">
        <f>IF(A107=FALSE,"",IF(Cotations!AF107="monthly",GH107/12*L107,GH107/365*M107))</f>
        <v/>
      </c>
      <c r="GL107" s="1103" t="str">
        <f>IF(A107=FALSE,"",IF(Cotations!AF107="monthly",GJ107/12*L107,GJ107/365*M107))</f>
        <v/>
      </c>
      <c r="GM107" s="433" t="str">
        <f>IF(A107=FALSE,"",IF(Cotations!AK107="","",Cotations!AK107))</f>
        <v/>
      </c>
      <c r="GN107" s="277" t="str">
        <f t="shared" si="481"/>
        <v/>
      </c>
      <c r="GO107" s="277" t="str">
        <f t="shared" si="482"/>
        <v/>
      </c>
      <c r="GP107" s="1104" t="str">
        <f t="shared" si="483"/>
        <v/>
      </c>
      <c r="GQ107" s="277" t="str">
        <f t="shared" si="484"/>
        <v/>
      </c>
      <c r="GR107" s="759" t="str">
        <f>IF(A107=FALSE,"",((GH107*TAXE)-(GH107*TAXE*GM107)+GI107)+IF(CQ107="N/A",0,IF(INDEX(LISTES!$F$105:$F$109,MATCH(CQ107,LISTES!$C$105:$C$109,0))="FIX",CR107,CS107*GQ107)))</f>
        <v/>
      </c>
      <c r="GS107" s="412"/>
      <c r="GT107" s="412"/>
      <c r="GU107" s="412"/>
      <c r="GV107" s="412"/>
      <c r="GW107" s="412"/>
      <c r="GX107" s="412"/>
      <c r="GY107" s="412"/>
      <c r="GZ107" s="412"/>
      <c r="HA107" s="432" t="str">
        <f t="shared" si="383"/>
        <v/>
      </c>
      <c r="HB107" s="1234" t="str">
        <f>IF(A107=FALSE,"",IF(Detail!DF107="","N/A",YEAR(Detail!F107)&amp;Detail!DI107&amp;Detail!DF107&amp;"-"&amp;Detail!$DF$13))</f>
        <v/>
      </c>
      <c r="HC107" s="434" t="str">
        <f>IF(A107=FALSE,"",IF(LISTES!$A$17=1,HB107,INDEX(colMOD4,MATCH(Cotations!AH107,colchoice,0))))</f>
        <v/>
      </c>
      <c r="HD107" s="277" t="str">
        <f t="shared" si="485"/>
        <v/>
      </c>
      <c r="HE107" s="277" t="str">
        <f t="shared" si="486"/>
        <v/>
      </c>
      <c r="HF107" s="277"/>
      <c r="HG107" s="277"/>
      <c r="HH107" s="277" t="str">
        <f t="shared" si="487"/>
        <v/>
      </c>
      <c r="HI107" s="1104" t="str">
        <f t="shared" si="488"/>
        <v/>
      </c>
      <c r="HJ107" s="1104" t="str">
        <f t="shared" si="489"/>
        <v/>
      </c>
      <c r="HK107" s="443" t="str">
        <f>IF(A107=FALSE,"",IF(Cotations!AF107="monthly",HH107/12*L107,HH107/365*M107))</f>
        <v/>
      </c>
      <c r="HL107" s="1103" t="str">
        <f>IF(A107=FALSE,"",IF(Cotations!AF107="monthly",HJ107/12*L107,HJ107/365*M107))</f>
        <v/>
      </c>
      <c r="HM107" s="433" t="str">
        <f>IF(A107=FALSE,"",IF(Cotations!AL107="","",Cotations!AL107))</f>
        <v/>
      </c>
      <c r="HN107" s="277" t="str">
        <f t="shared" si="490"/>
        <v/>
      </c>
      <c r="HO107" s="277" t="str">
        <f t="shared" si="491"/>
        <v/>
      </c>
      <c r="HP107" s="1104" t="str">
        <f t="shared" si="492"/>
        <v/>
      </c>
      <c r="HQ107" s="277" t="str">
        <f t="shared" si="493"/>
        <v/>
      </c>
      <c r="HR107" s="759" t="str">
        <f>IF(A107=FALSE,"",((HH107*TAXE)-(HH107*TAXE*HM107)+HI107)+IF(CQ107="N/A",0,IF(INDEX(LISTES!$F$105:$F$109,MATCH(CQ107,LISTES!$C$105:$C$109,0))="FIX",CR107,CS107*HQ107)))</f>
        <v/>
      </c>
      <c r="HS107" s="412"/>
      <c r="HT107" s="412"/>
      <c r="HU107" s="412"/>
      <c r="HV107" s="412"/>
      <c r="HW107" s="412"/>
      <c r="HX107" s="412"/>
      <c r="HY107" s="412"/>
      <c r="HZ107" s="1262"/>
      <c r="IA107" s="432" t="str">
        <f>IF(A107=FALSE,"",Cotations!AT107)</f>
        <v/>
      </c>
      <c r="IB107" s="1253" t="str">
        <f>IF(A107=FALSE,"",IF(Detail!AT107="","N/A",YEAR(Detail!F107)&amp;Detail!AW107&amp;Detail!AT107&amp;"-"&amp;Detail!$AT$13&amp;Detail!AU107))</f>
        <v/>
      </c>
      <c r="IC107" s="431" t="str">
        <f>IF(A107=FALSE,"",IF(LISTES!$A$17=1,IB107,INDEX(colMOD1,MATCH(DA107,colchoice,0))))</f>
        <v/>
      </c>
      <c r="ID107" s="759" t="str">
        <f t="shared" si="358"/>
        <v/>
      </c>
      <c r="IE107" s="292" t="str">
        <f>IF(A107=FALSE,"",IF(LISTES!$A$17=1,Detail!AU107,INDEX(Rates!$M$1:$M$270,MATCH(IC107,colMOD1,0))))</f>
        <v/>
      </c>
      <c r="IF107" s="409" t="str">
        <f t="shared" si="359"/>
        <v/>
      </c>
      <c r="IG107" s="430" t="str">
        <f>IF(A107=FALSE,"",IF(IA107="POEA",Cotations!AY107,IF(IA107="FIXE",Cotations!AZ107,IF(Cotations!BA107*Y107&lt;50000,Z107,Cotations!BA107*Y107))))</f>
        <v/>
      </c>
      <c r="IH107" s="292" t="str">
        <f t="shared" si="360"/>
        <v/>
      </c>
      <c r="II107" s="446" t="str">
        <f>IF(A107=FALSE,"",IF(Cotations!AU107="monthly",IH107/12*L107,IH107/365*M107))</f>
        <v/>
      </c>
      <c r="IJ107" s="429" t="str">
        <f>IF(A107=FALSE,"",IF(Cotations!BB107="","",Cotations!BB107))</f>
        <v/>
      </c>
      <c r="IK107" s="292" t="str">
        <f t="shared" si="361"/>
        <v/>
      </c>
      <c r="IL107" s="292" t="str">
        <f t="shared" si="362"/>
        <v/>
      </c>
      <c r="IM107" s="759" t="str">
        <f t="shared" si="363"/>
        <v/>
      </c>
      <c r="IN107" s="759" t="str">
        <f>IF(A107=FALSE,"",((IH107*TAXE)-(IH107*TAXE*IJ107))+IF(DQ107="N/A",0,IF(INDEX(LISTES!$F$105:$F$109,MATCH(DQ107,LISTES!$C$105:$C$109,0))="FIX",DR107,DS107*IM107)))</f>
        <v/>
      </c>
      <c r="JA107" s="432" t="str">
        <f>IF(A107=FALSE,"",Cotations!AT107)</f>
        <v/>
      </c>
      <c r="JB107" s="1234" t="str">
        <f>IF(A107=FALSE,"",IF(Detail!BB107="","N/A",YEAR(Detail!F107)&amp;Detail!BE107&amp;Detail!BB107&amp;"-"&amp;Detail!$BB$13&amp;Detail!BC107))</f>
        <v/>
      </c>
      <c r="JC107" s="431" t="str">
        <f>IF(A107=FALSE,"",IF(LISTES!$A$17=1,JB107,INDEX(colMOD2,MATCH(DA107,colchoice,0))))</f>
        <v/>
      </c>
      <c r="JD107" s="759" t="str">
        <f t="shared" si="384"/>
        <v/>
      </c>
      <c r="JE107" s="292"/>
      <c r="JF107" s="409" t="str">
        <f t="shared" si="385"/>
        <v/>
      </c>
      <c r="JG107" s="430" t="str">
        <f>IF(A107=FALSE,"",IF(JA107="POEA",Cotations!BC107,IF(JA107="FIXE",Cotations!BD107,IF(Cotations!BE107*Y107&lt;50000,Z107,Cotations!BE107*Y107))))</f>
        <v/>
      </c>
      <c r="JH107" s="292" t="str">
        <f t="shared" si="386"/>
        <v/>
      </c>
      <c r="JI107" s="446" t="str">
        <f>IF(A107=FALSE,"",IF(Cotations!AU107="monthly",JH107/12*L107,JH107/365*M107))</f>
        <v/>
      </c>
      <c r="JJ107" s="429" t="str">
        <f>IF(A107=FALSE,"",IF(Cotations!BF107="","",Cotations!BF107))</f>
        <v/>
      </c>
      <c r="JK107" s="292" t="str">
        <f t="shared" si="387"/>
        <v/>
      </c>
      <c r="JL107" s="292" t="str">
        <f t="shared" si="388"/>
        <v/>
      </c>
      <c r="JM107" s="759" t="str">
        <f t="shared" si="389"/>
        <v/>
      </c>
      <c r="JN107" s="759" t="str">
        <f>IF(A107=FALSE,"",((JH107*TAXE)-(JH107*TAXE*JJ107))+IF(#REF!="N/A",0,IF(INDEX(LISTES!$F$105:$F$109,MATCH(#REF!,LISTES!$C$105:$C$109,0))="FIX",#REF!,#REF!*JM107)))</f>
        <v/>
      </c>
      <c r="KA107" s="432" t="str">
        <f>IF(A107=FALSE,"",Cotations!AT107)</f>
        <v/>
      </c>
      <c r="KB107" s="1234" t="str">
        <f>IF(A107=FALSE,"",IF(Detail!BJ107="","N/A",YEAR(Detail!F107)&amp;Detail!BM107&amp;Detail!BJ107&amp;"-"&amp;Detail!$BJ$13&amp;Detail!BK107))</f>
        <v/>
      </c>
      <c r="KC107" s="431" t="str">
        <f>IF(A107=FALSE,"",IF(LISTES!$A$17=1,KB107,INDEX(colMOD3,MATCH(DA107,colchoice,0))))</f>
        <v/>
      </c>
      <c r="KD107" s="759" t="str">
        <f t="shared" si="390"/>
        <v/>
      </c>
      <c r="KE107" s="292"/>
      <c r="KF107" s="409" t="str">
        <f t="shared" si="391"/>
        <v/>
      </c>
      <c r="KG107" s="430" t="str">
        <f>IF(A107=FALSE,"",IF(KA107="POEA",Cotations!BG107,IF(KA107="FIXE",Cotations!BH107,IF(Cotations!BI107*Y107&lt;50000,Z107,Cotations!BI107*Y107))))</f>
        <v/>
      </c>
      <c r="KH107" s="292" t="str">
        <f t="shared" si="392"/>
        <v/>
      </c>
      <c r="KI107" s="446" t="str">
        <f>IF(A107=FALSE,"",IF(Cotations!AU107="monthly",KH107/12*L107,KH107/365*M107))</f>
        <v/>
      </c>
      <c r="KJ107" s="429" t="str">
        <f>IF(A107=FALSE,"",IF(Cotations!BJ107="","",Cotations!BJ107))</f>
        <v/>
      </c>
      <c r="KK107" s="292" t="str">
        <f t="shared" si="393"/>
        <v/>
      </c>
      <c r="KL107" s="292" t="str">
        <f t="shared" si="394"/>
        <v/>
      </c>
      <c r="KM107" s="759" t="str">
        <f t="shared" si="395"/>
        <v/>
      </c>
      <c r="KN107" s="759" t="str">
        <f>IF(A107=FALSE,"",((KH107*TAXE)-(KH107*TAXE*KJ107))+IF(#REF!="N/A",0,IF(INDEX(LISTES!$F$105:$F$109,MATCH(#REF!,LISTES!$C$105:$C$109,0))="FIX",#REF!,#REF!*KM107)))</f>
        <v/>
      </c>
      <c r="LA107" s="432" t="str">
        <f>IF(A107=FALSE,"",Cotations!AT107)</f>
        <v/>
      </c>
      <c r="LB107" s="1234" t="str">
        <f>IF(A107=FALSE,"",IF(Detail!BR107="","N/A",YEAR(Detail!F107)&amp;Detail!BU107&amp;Detail!BR107&amp;"-"&amp;Detail!$BR$13&amp;Detail!BS107))</f>
        <v/>
      </c>
      <c r="LC107" s="431" t="str">
        <f>IF(A107=FALSE,"",IF(LISTES!$A$17=1,LB107,INDEX(colMOD4,MATCH(DA107,colchoice,0))))</f>
        <v/>
      </c>
      <c r="LD107" s="759" t="str">
        <f t="shared" si="396"/>
        <v/>
      </c>
      <c r="LE107" s="292"/>
      <c r="LF107" s="409" t="str">
        <f t="shared" si="397"/>
        <v/>
      </c>
      <c r="LG107" s="430" t="str">
        <f>IF(A107=FALSE,"",IF(LA107="POEA",Cotations!BK107,IF(LA107="FIXE",Cotations!BL107,IF(Cotations!BM107*Y107&lt;50000,Z107,Cotations!BM107*Y107))))</f>
        <v/>
      </c>
      <c r="LH107" s="292" t="str">
        <f t="shared" si="398"/>
        <v/>
      </c>
      <c r="LI107" s="446" t="str">
        <f>IF(A107=FALSE,"",IF(Cotations!AU107="monthly",LH107/12*L107,LH107/365*M107))</f>
        <v/>
      </c>
      <c r="LJ107" s="429" t="str">
        <f>IF(A107=FALSE,"",IF(Cotations!BN107="","",Cotations!BN107))</f>
        <v/>
      </c>
      <c r="LK107" s="292" t="str">
        <f t="shared" si="399"/>
        <v/>
      </c>
      <c r="LL107" s="292" t="str">
        <f t="shared" si="400"/>
        <v/>
      </c>
      <c r="LM107" s="759" t="str">
        <f t="shared" si="401"/>
        <v/>
      </c>
      <c r="LN107" s="759" t="str">
        <f>IF(A107=FALSE,"",((LH107*TAXE)-(LH107*TAXE*LJ107))+IF(#REF!="N/A",0,IF(INDEX(LISTES!$F$105:$F$109,MATCH(#REF!,LISTES!$C$105:$C$109,0))="FIX",#REF!,#REF!*LM107)))</f>
        <v/>
      </c>
      <c r="MA107" s="432" t="str">
        <f t="shared" si="402"/>
        <v/>
      </c>
      <c r="MB107" s="1234" t="str">
        <f>IF(A107=FALSE,"",IF(Detail!BZ107="","N/A",YEAR(Detail!F107)&amp;Detail!CC107&amp;Detail!BZ107&amp;"-"&amp;Detail!$BZ$13&amp;" (100%/"&amp;Detail!CD107&amp;"/"&amp;Detail!CE107&amp;")"))</f>
        <v/>
      </c>
      <c r="MC107" s="431" t="str">
        <f>IF(A107=FALSE,"",IF(LISTES!$A$17=1,MB107,INDEX(colMOD5,MATCH(DA107,colchoice,0))))</f>
        <v/>
      </c>
      <c r="MD107" s="759" t="str">
        <f t="shared" si="403"/>
        <v/>
      </c>
      <c r="ME107" s="292"/>
      <c r="MF107" s="409" t="str">
        <f t="shared" si="404"/>
        <v/>
      </c>
      <c r="MG107" s="430" t="str">
        <f>IF(A107=FALSE,"",Cotations!BQ107*AA107)</f>
        <v/>
      </c>
      <c r="MH107" s="292" t="str">
        <f t="shared" si="405"/>
        <v/>
      </c>
      <c r="MI107" s="446" t="str">
        <f>IF(A107=FALSE,"",IF(Cotations!AU107="monthly",MH107/12*L107,MH107/365*M107))</f>
        <v/>
      </c>
      <c r="MJ107" s="429" t="str">
        <f>IF(A107=FALSE,"",IF(Cotations!BR107="","",Cotations!BR107))</f>
        <v/>
      </c>
      <c r="MK107" s="292" t="str">
        <f t="shared" si="406"/>
        <v/>
      </c>
      <c r="ML107" s="292" t="str">
        <f t="shared" si="407"/>
        <v/>
      </c>
      <c r="MM107" s="759" t="str">
        <f t="shared" si="408"/>
        <v/>
      </c>
      <c r="MN107" s="759" t="str">
        <f>IF(A107=FALSE,"",((MH107*TAXE)-(MH107*TAXE*MJ107))+IF(#REF!="N/A",0,IF(INDEX(LISTES!$F$105:$F$109,MATCH(#REF!,LISTES!$C$105:$C$109,0))="FIX",#REF!,#REF!*MM107)))</f>
        <v/>
      </c>
      <c r="NA107" s="432" t="str">
        <f t="shared" si="409"/>
        <v/>
      </c>
      <c r="NB107" s="1234" t="str">
        <f>IF(A107=FALSE,"",IF(Detail!CH107="","N/A",YEAR(Detail!F107)&amp;Detail!CK107&amp;Detail!CH107&amp;"-"&amp;Detail!$CH$13&amp;" (100%/"&amp;Detail!CL107&amp;"/"&amp;Detail!CM107&amp;")"))</f>
        <v/>
      </c>
      <c r="NC107" s="431" t="str">
        <f>IF(A107=FALSE,"",IF(LISTES!$A$17=1,NB107,INDEX(colMOD6,MATCH(DA107,colchoice,0))))</f>
        <v/>
      </c>
      <c r="ND107" s="759" t="str">
        <f t="shared" si="410"/>
        <v/>
      </c>
      <c r="NE107" s="292"/>
      <c r="NF107" s="409" t="str">
        <f t="shared" si="411"/>
        <v/>
      </c>
      <c r="NG107" s="430" t="str">
        <f>IF(A107=FALSE,"",Cotations!BU107*AA107)</f>
        <v/>
      </c>
      <c r="NH107" s="292" t="str">
        <f t="shared" si="412"/>
        <v/>
      </c>
      <c r="NI107" s="446" t="str">
        <f>IF(A107=FALSE,"",IF(Cotations!AU107="monthly",NH107/12*L107,NH107/365*M107))</f>
        <v/>
      </c>
      <c r="NJ107" s="429" t="str">
        <f>IF(A107=FALSE,"",IF(Cotations!BV107="","",Cotations!BV107))</f>
        <v/>
      </c>
      <c r="NK107" s="292" t="str">
        <f t="shared" si="413"/>
        <v/>
      </c>
      <c r="NL107" s="292" t="str">
        <f t="shared" si="414"/>
        <v/>
      </c>
      <c r="NM107" s="759" t="str">
        <f t="shared" si="415"/>
        <v/>
      </c>
      <c r="NN107" s="759" t="str">
        <f>IF(A107=FALSE,"",((NH107*TAXE)-(NH107*TAXE*NJ107))+IF(#REF!="N/A",0,IF(INDEX(LISTES!$F$105:$F$109,MATCH(#REF!,LISTES!$C$105:$C$109,0))="FIX",#REF!,#REF!*NM107)))</f>
        <v/>
      </c>
      <c r="NZ107" s="1281" t="str">
        <f>IF(A107=FALSE,"",IF(Detail!CP107="","N/A",YEAR(Detail!F107)&amp;Detail!CS107&amp;Detail!CP107&amp;"-"&amp;Detail!CQ107))</f>
        <v/>
      </c>
      <c r="OA107" s="432" t="str">
        <f>IF(A107=FALSE,"",Cotations!CF107)</f>
        <v/>
      </c>
      <c r="OB107" s="1282" t="str">
        <f>IF(A107=FALSE,"",IF(Detail!CP107="","N/A",YEAR(Detail!F107)&amp;Detail!CS107&amp;Detail!CP107&amp;"-"&amp;Detail!$CP$13&amp;Detail!CQ107))</f>
        <v/>
      </c>
      <c r="OC107" s="1283" t="str">
        <f>IF(A107=FALSE,"",IF(LISTES!$A$17=1,OB107,INDEX(colMOD1,MATCH(Cotations!CE107,colchoice,0))))</f>
        <v/>
      </c>
      <c r="OD107" s="759" t="str">
        <f t="shared" si="416"/>
        <v/>
      </c>
      <c r="OE107" s="292" t="str">
        <f>IF(A107=FALSE,"",Detail!CQ107)</f>
        <v/>
      </c>
      <c r="OF107" s="409" t="str">
        <f t="shared" si="417"/>
        <v/>
      </c>
      <c r="OG107" s="430" t="str">
        <f>IF(A107=FALSE,"",IF(OA107="FIXE",Cotations!CM107,Cotations!CN107*AA107))</f>
        <v/>
      </c>
      <c r="OH107" s="292" t="str">
        <f t="shared" si="494"/>
        <v/>
      </c>
      <c r="OI107" s="446" t="str">
        <f>IF(A107=FALSE,"",IF(Cotations!CF107="monthly",OH107/12*L107,OH107/365*M107))</f>
        <v/>
      </c>
      <c r="OJ107" s="429" t="str">
        <f>IF(A107=FALSE,"",IF(Cotations!CO107="","",Cotations!CO107))</f>
        <v/>
      </c>
      <c r="OK107" s="292" t="str">
        <f t="shared" si="495"/>
        <v/>
      </c>
      <c r="OL107" s="292" t="str">
        <f t="shared" si="496"/>
        <v/>
      </c>
      <c r="OM107" s="759" t="str">
        <f t="shared" si="418"/>
        <v/>
      </c>
      <c r="ON107" s="759" t="str">
        <f>IF(A107=FALSE,"",((OH107*(1+TAXE)-(OH107*(1+TAXE)*OJ107))+IF(#REF!="N/A",0,IF(INDEX(LISTES!$F$105:$F$109,MATCH(#REF!,LISTES!$C$105:$C$109,0))="FIX",#REF!,#REF!*OM107))))</f>
        <v/>
      </c>
      <c r="PA107" s="432" t="str">
        <f>IF(A107=FALSE,"",Cotations!CF107)</f>
        <v/>
      </c>
      <c r="PB107" s="1282" t="str">
        <f>IF(A107=FALSE,"",IF(Detail!CX107="","N/A",YEAR(Detail!F107)&amp;Detail!DA107&amp;Detail!CX107&amp;"-"&amp;Detail!$CX$13&amp;Detail!CY107))</f>
        <v/>
      </c>
      <c r="PC107" s="1283" t="str">
        <f>IF(A107=FALSE,"",IF(LISTES!$A$17=1,PB107,INDEX(colMOD3,MATCH(Cotations!CE107,colchoice,0))))</f>
        <v/>
      </c>
      <c r="PD107" s="759" t="str">
        <f t="shared" si="419"/>
        <v/>
      </c>
      <c r="PE107" s="292" t="str">
        <f>IF(A107=FALSE,"",IF(Detail!CY107="","",Detail!CY107))</f>
        <v/>
      </c>
      <c r="PF107" s="409" t="str">
        <f t="shared" si="497"/>
        <v/>
      </c>
      <c r="PG107" s="430" t="str">
        <f>IF(A107=FALSE,"",IF(PA107="FIXE",Cotations!CP107,Cotations!CQ107*AA107))</f>
        <v/>
      </c>
      <c r="PH107" s="292" t="str">
        <f t="shared" si="498"/>
        <v/>
      </c>
      <c r="PI107" s="446" t="str">
        <f>IF(A107=FALSE,"",IF(Cotations!CG107="monthly",PH107/12*L107,PH107/365*M107))</f>
        <v/>
      </c>
      <c r="PJ107" s="429" t="str">
        <f>IF(A107=FALSE,"",IF(Cotations!DA107="",0,Cotations!DA107))</f>
        <v/>
      </c>
      <c r="PK107" s="292" t="str">
        <f t="shared" si="499"/>
        <v/>
      </c>
      <c r="PL107" s="292" t="str">
        <f t="shared" si="500"/>
        <v/>
      </c>
      <c r="PM107" s="759" t="str">
        <f t="shared" si="420"/>
        <v/>
      </c>
      <c r="PN107" s="759" t="str">
        <f>IF(A107=FALSE,"",((PH107*(1+TAXE)-(PH107*(1+TAXE)*PJ107))+IF(#REF!="N/A",0,IF(INDEX(LISTES!$F$105:$F$109,MATCH(#REF!,LISTES!$C$105:$C$109,0))="FIX",#REF!,#REF!*PM107))))</f>
        <v/>
      </c>
    </row>
    <row r="108" spans="1:430">
      <c r="A108" s="779" t="b">
        <f t="shared" si="364"/>
        <v>0</v>
      </c>
      <c r="B108" s="779" t="b">
        <f>IF(NAMES!$B$9=TRUE,TRUE,FALSE)</f>
        <v>1</v>
      </c>
      <c r="C108" s="779" t="b">
        <f t="shared" si="421"/>
        <v>0</v>
      </c>
      <c r="D108" s="779" t="b">
        <f t="shared" si="422"/>
        <v>0</v>
      </c>
      <c r="E108" s="267" t="b">
        <f>IF(Cotations!C108="","",Cotations!C108)</f>
        <v>0</v>
      </c>
      <c r="F108" s="267" t="str">
        <f>IF(Cotations!AT108="","",Cotations!AT108)</f>
        <v>PROP</v>
      </c>
      <c r="G108" s="267" t="str">
        <f>IF(Cotations!D108="","",Cotations!D108)</f>
        <v>2016-2017!</v>
      </c>
      <c r="H108" s="267" t="str">
        <f>IF(Cotations!E108="","",Cotations!E108)</f>
        <v>SINGLE</v>
      </c>
      <c r="I108" s="267" t="str">
        <f>IF(Cotations!F108="","",Cotations!F108)</f>
        <v/>
      </c>
      <c r="J108" s="267" t="str">
        <f>IF(Cotations!G108="","",Cotations!G108)</f>
        <v/>
      </c>
      <c r="K108" s="267" t="str">
        <f>IF(Cotations!H108="","",Cotations!H108)</f>
        <v/>
      </c>
      <c r="L108" s="267" t="str">
        <f>IF(A108=FALSE,"",IF(Cotations!M108="","",Cotations!M108))</f>
        <v/>
      </c>
      <c r="M108" s="267" t="str">
        <f>IF(Cotations!O108="","",Cotations!O108)</f>
        <v/>
      </c>
      <c r="N108" s="588" t="str">
        <f>IF(NAMES!$B$10=TRUE,Cotations!I108,Cotations!K108)</f>
        <v/>
      </c>
      <c r="O108" s="588" t="str">
        <f>IF(NAMES!$B$10=TRUE,Cotations!J108,Cotations!L108)</f>
        <v/>
      </c>
      <c r="P108" s="780" t="str">
        <f t="shared" si="423"/>
        <v/>
      </c>
      <c r="Q108" s="588" t="str">
        <f>IF(A108=FALSE,"",IF(Crewlist!Y108="","",Crewlist!Y108))</f>
        <v/>
      </c>
      <c r="R108" s="78" t="str">
        <f>IF(Cotations!T108="","",Cotations!T108)</f>
        <v/>
      </c>
      <c r="S108" s="780" t="str">
        <f t="shared" si="424"/>
        <v/>
      </c>
      <c r="T108" s="759" t="str">
        <f>IF(A108=FALSE,"",VLOOKUP($U$15:$U$120,Currency!$A$2:$D$10,4,0)*Crewlist!N108)</f>
        <v/>
      </c>
      <c r="U108" s="1097" t="str">
        <f>IF(A108=FALSE,"",IF(DP108=0,Crewlist!M108&amp;"/"&amp;CP108,Crewlist!M108&amp;"/"&amp;DP108))</f>
        <v/>
      </c>
      <c r="V108" s="759" t="str">
        <f>IF(A108=FALSE,"",VLOOKUP($U$15:$U$120,Currency!$A$2:$D$10,4,0)*Detail!Q108)</f>
        <v/>
      </c>
      <c r="W108" s="1097" t="str">
        <f>IF(A108=FALSE,"",IF(DP108=0,Detail!R108&amp;"/"&amp;CP108,Detail!R108&amp;"/"&amp;DP108))</f>
        <v/>
      </c>
      <c r="X108" s="759" t="str">
        <f>IF(A108=FALSE,"",IF(LISTES!$C$17="Crewlist",Calcul!T108,Calcul!V108))</f>
        <v/>
      </c>
      <c r="Y108" s="618" t="str">
        <f t="shared" si="425"/>
        <v/>
      </c>
      <c r="Z108" s="618" t="str">
        <f>IF(A108=FALSE,"",IF(X108=0,0,IF((Cotations!BA108*12*X108)&lt;50000,50000,(12*X108))))</f>
        <v/>
      </c>
      <c r="AA108" s="618" t="str">
        <f t="shared" si="426"/>
        <v/>
      </c>
      <c r="AB108" s="618" t="str">
        <f>IF(A108=FALSE,"",IF(Crewlist!O108=0,"",Crewlist!O108))</f>
        <v/>
      </c>
      <c r="AC108" s="618" t="str">
        <f>IF(I108="","",VLOOKUP($AB$15:$AB$120,Currency!$A$15:$B$34,2,0))</f>
        <v/>
      </c>
      <c r="AD108" s="618" t="str">
        <f t="shared" si="427"/>
        <v/>
      </c>
      <c r="AE108" s="618" t="str">
        <f t="shared" si="428"/>
        <v/>
      </c>
      <c r="AF108" s="618" t="str">
        <f t="shared" si="429"/>
        <v/>
      </c>
      <c r="AG108" s="618" t="str">
        <f t="shared" si="430"/>
        <v/>
      </c>
      <c r="AH108" s="1097" t="str">
        <f t="shared" si="365"/>
        <v/>
      </c>
      <c r="AI108" s="759" t="str">
        <f t="shared" si="431"/>
        <v/>
      </c>
      <c r="AJ108" s="1120" t="str">
        <f t="shared" si="432"/>
        <v/>
      </c>
      <c r="AK108" s="1120" t="str">
        <f t="shared" si="433"/>
        <v/>
      </c>
      <c r="AL108" s="236" t="str">
        <f t="shared" si="434"/>
        <v/>
      </c>
      <c r="AM108" s="236" t="str">
        <f t="shared" si="435"/>
        <v/>
      </c>
      <c r="AN108" s="1112" t="str">
        <f t="shared" si="436"/>
        <v/>
      </c>
      <c r="AO108" s="236" t="str">
        <f t="shared" si="437"/>
        <v/>
      </c>
      <c r="AP108" s="327" t="str">
        <f>IF(A108=FALSE,"",INDEX(Rates!$Q$1:$Q$278,MATCH(CA108,colchoice,0)))</f>
        <v/>
      </c>
      <c r="AQ108" s="236" t="str">
        <f t="shared" si="438"/>
        <v/>
      </c>
      <c r="AR108" s="236" t="str">
        <f t="shared" si="439"/>
        <v/>
      </c>
      <c r="AS108" s="236" t="str">
        <f t="shared" si="366"/>
        <v/>
      </c>
      <c r="AT108" s="236" t="str">
        <f t="shared" si="367"/>
        <v/>
      </c>
      <c r="AU108" s="236" t="str">
        <f t="shared" si="440"/>
        <v/>
      </c>
      <c r="AV108" s="236" t="str">
        <f t="shared" si="441"/>
        <v/>
      </c>
      <c r="AW108" s="236" t="str">
        <f t="shared" si="442"/>
        <v/>
      </c>
      <c r="AX108" s="236" t="str">
        <f t="shared" si="443"/>
        <v/>
      </c>
      <c r="AY108" s="236" t="str">
        <f t="shared" si="444"/>
        <v/>
      </c>
      <c r="AZ108" s="236" t="str">
        <f t="shared" si="445"/>
        <v/>
      </c>
      <c r="BA108" s="236" t="str">
        <f t="shared" si="446"/>
        <v/>
      </c>
      <c r="BB108" s="467" t="str">
        <f t="shared" si="447"/>
        <v/>
      </c>
      <c r="BC108" s="329" t="str">
        <f t="shared" si="448"/>
        <v/>
      </c>
      <c r="BD108" s="237" t="str">
        <f t="shared" si="449"/>
        <v/>
      </c>
      <c r="BE108" s="237" t="str">
        <f>IF(A108=FALSE,"",IF(ED108&lt;&gt;$BC$7,0,INDEX(EA108:EZ108,1,MATCH(Structure!$J$16,$EA$14:$EZ$14,0))))</f>
        <v/>
      </c>
      <c r="BF108" s="237" t="str">
        <f>IF(A108=FALSE,"",IF(FD108&lt;&gt;$BC$7,0,INDEX(FA108:FZ108,1,MATCH(Structure!$J$16,$FA$14:$FZ$14,0))))</f>
        <v/>
      </c>
      <c r="BG108" s="237" t="str">
        <f>IF(A108=FALSE,"",IF(GD108&lt;&gt;$BC$7,0,INDEX(GA108:GZ108,1,MATCH(Structure!$J$16,$GA$14:$GZ$14,0))))</f>
        <v/>
      </c>
      <c r="BH108" s="237" t="str">
        <f>IF(A108=FALSE,"",IF(HD108&lt;&gt;$BC$7,0,INDEX(HA108:HZ108,1,MATCH(Structure!$J$16,$HA$14:$HZ$14,0))))</f>
        <v/>
      </c>
      <c r="BI108" s="621" t="str">
        <f>IF(A108=FALSE,"",IF(ID108&lt;&gt;$BC$7,0,INDEX(IA108:IZ108,1,MATCH(Structure!$C$12,$IA$14:$IZ$14,0)))+OL108)</f>
        <v/>
      </c>
      <c r="BJ108" s="237" t="str">
        <f>IF(A108=FALSE,"",IF(JD108&lt;&gt;$BC$7,0,INDEX(JA108:JZ108,1,MATCH(Structure!$C$12,$JA$14:$JZ$14,0))))</f>
        <v/>
      </c>
      <c r="BK108" s="621" t="str">
        <f>IF(A108=FALSE,"",IF(KD108&lt;&gt;$BC$7,0,INDEX(KA108:KZ108,1,MATCH(Structure!$C$12,$KA$14:$KZ$14,0)))+PL108)</f>
        <v/>
      </c>
      <c r="BL108" s="237" t="str">
        <f>IF(A108=FALSE,"",IF(LD108&lt;&gt;$BC$7,0,INDEX(LA108:LZ108,1,MATCH(Structure!$C$12,$LA$14:$LZ$14,0))))</f>
        <v/>
      </c>
      <c r="BM108" s="237" t="str">
        <f>IF(A108=FALSE,"",IF(MD108&lt;&gt;$BC$7,0,INDEX(MA108:MZ108,1,MATCH(Structure!$C$12,$MA$14:$MZ$14,0))))</f>
        <v/>
      </c>
      <c r="BN108" s="326" t="str">
        <f>IF(A108=FALSE,"",IF(ND108&lt;&gt;$BC$7,0,INDEX(NA108:OC108,1,MATCH(Structure!$C$12,$NA$14:$OC$14,0))))</f>
        <v/>
      </c>
      <c r="BO108" s="435" t="str">
        <f t="shared" si="450"/>
        <v/>
      </c>
      <c r="BP108" s="237" t="str">
        <f t="shared" si="451"/>
        <v/>
      </c>
      <c r="BQ108" s="237" t="str">
        <f>IF(A108=FALSE,"",IF(ED108&lt;&gt;$BO$7,0,INDEX(EA108:EZ108,1,MATCH(Structure!$C$12,$EA$14:$EZ$14,0))))</f>
        <v/>
      </c>
      <c r="BR108" s="237" t="str">
        <f>IF(A108=FALSE,"",IF(FD108&lt;&gt;$BO$7,0,INDEX(FA108:FZ108,1,MATCH(Structure!$C$12,$FA$14:$FZ$14,0))))</f>
        <v/>
      </c>
      <c r="BS108" s="237" t="str">
        <f>IF(A108=FALSE,"",IF(ID108&lt;&gt;$BO$7,0,INDEX(IA108:IZ108,1,MATCH(Structure!$C$13,$IA$14:$IZ$14,0))))</f>
        <v/>
      </c>
      <c r="BT108" s="237" t="str">
        <f>IF(A108=FALSE,"",IF(JD108&lt;&gt;$BO$7,0,INDEX(JA108:JZ108,1,MATCH(Structure!$C$13,$JA$14:$JZ$14,0))))</f>
        <v/>
      </c>
      <c r="BU108" s="237" t="str">
        <f>IF(A108=FALSE,"",IF(KD108&lt;&gt;$BO$7,0,INDEX(KA108:KZ108,1,MATCH(Structure!$C$13,$KA$14:$KZ$14,0))))</f>
        <v/>
      </c>
      <c r="BV108" s="237" t="str">
        <f>IF(A108=FALSE,"",IF(LD108&lt;&gt;$BO$7,0,INDEX(LA108:LZ108,1,MATCH(Structure!$C$13,$LA$14:$LZ$14,0))))</f>
        <v/>
      </c>
      <c r="BW108" s="237" t="str">
        <f>IF(A108=FALSE,"",IF(MD108&lt;&gt;$BO$7,0,INDEX(MA108:MZ108,1,MATCH(Structure!$C$13,$MA$14:$MZ$14,0))))</f>
        <v/>
      </c>
      <c r="BX108" s="326" t="str">
        <f>IF(A108=FALSE,"",IF(ND108&lt;&gt;$BO$7,0,INDEX(NA108:OC108,1,MATCH(Structure!$C$13,$NA$14:$OC$14,0))))</f>
        <v/>
      </c>
      <c r="BY108" s="412"/>
      <c r="BZ108" s="412"/>
      <c r="CA108" s="1255" t="str">
        <f>IF(A108=FALSE,"",IF(LISTES!$A$17=1,Cotations!AG108,Cotations!AH108))</f>
        <v/>
      </c>
      <c r="CB108" s="1266" t="str">
        <f t="shared" si="452"/>
        <v/>
      </c>
      <c r="CC108" s="1120" t="str">
        <f t="shared" si="453"/>
        <v/>
      </c>
      <c r="CD108" s="1120" t="str">
        <f t="shared" si="454"/>
        <v/>
      </c>
      <c r="CE108" s="1120" t="str">
        <f t="shared" si="455"/>
        <v/>
      </c>
      <c r="CF108" s="1120" t="str">
        <f t="shared" si="456"/>
        <v/>
      </c>
      <c r="CG108" s="1267"/>
      <c r="CH108" s="1267"/>
      <c r="CI108" s="1268" t="str">
        <f t="shared" si="457"/>
        <v/>
      </c>
      <c r="CJ108" s="286" t="str">
        <f t="shared" si="458"/>
        <v/>
      </c>
      <c r="CK108" s="286" t="str">
        <f t="shared" si="459"/>
        <v/>
      </c>
      <c r="CL108" s="1263"/>
      <c r="CM108" s="1263"/>
      <c r="CN108" s="1263"/>
      <c r="CO108" s="1263"/>
      <c r="CP108" s="319" t="str">
        <f t="shared" si="460"/>
        <v/>
      </c>
      <c r="CQ108" s="443" t="str">
        <f>IF(A108=FALSE,"",Cotations!AM108)</f>
        <v/>
      </c>
      <c r="CR108" s="443" t="str">
        <f>IF(A108=FALSE,"",IF(Cotations!AN108="","",Cotations!AN108))</f>
        <v/>
      </c>
      <c r="CS108" s="433" t="str">
        <f>IF(A108=FALSE,"",Cotations!AO108)</f>
        <v/>
      </c>
      <c r="CT108" s="443" t="str">
        <f>IF(A108=FALSE,"",IF(CQ108="N/A",0,IF(INDEX(LISTES!$F$105:$F$109,MATCH(CQ108,LISTES!$C$105:$C$109,0))="FIX",IF(INDEX(LISTES!$E$105:$E$109,MATCH(CQ108,LISTES!$C$105:$C$109,0))=12,CR108/12*L108,CR108/365*M108),CS108*EQ108)))</f>
        <v/>
      </c>
      <c r="CU108" s="434" t="str">
        <f>IF(A108=FALSE,"",(CJ108+CK108)*Cotations!AP108)</f>
        <v/>
      </c>
      <c r="CV108" s="434" t="str">
        <f>IF(A108=FALSE,"",(CJ108+CK108)*Cotations!AQ108)</f>
        <v/>
      </c>
      <c r="DA108" s="1253" t="str">
        <f>IF(A108=FALSE,"",IF(LISTES!$A$17=1,Cotations!AV108,Cotations!AW108))</f>
        <v/>
      </c>
      <c r="DB108" s="1271" t="str">
        <f t="shared" si="461"/>
        <v/>
      </c>
      <c r="DC108" s="1270" t="str">
        <f t="shared" si="462"/>
        <v/>
      </c>
      <c r="DD108" s="1270" t="str">
        <f t="shared" si="463"/>
        <v/>
      </c>
      <c r="DE108" s="1270" t="str">
        <f t="shared" si="464"/>
        <v/>
      </c>
      <c r="DF108" s="1270" t="str">
        <f t="shared" si="465"/>
        <v/>
      </c>
      <c r="DG108" s="1270" t="str">
        <f t="shared" si="466"/>
        <v/>
      </c>
      <c r="DH108" s="1270" t="str">
        <f t="shared" si="467"/>
        <v/>
      </c>
      <c r="DI108" s="1271" t="str">
        <f t="shared" si="468"/>
        <v/>
      </c>
      <c r="DJ108" s="286" t="str">
        <f t="shared" si="469"/>
        <v/>
      </c>
      <c r="DK108" s="286" t="str">
        <f t="shared" si="470"/>
        <v/>
      </c>
      <c r="DL108" s="1264" t="str">
        <f t="shared" si="471"/>
        <v/>
      </c>
      <c r="DM108" s="1264" t="str">
        <f t="shared" si="472"/>
        <v/>
      </c>
      <c r="DN108" s="1264" t="str">
        <f t="shared" si="473"/>
        <v/>
      </c>
      <c r="DO108" s="1264" t="str">
        <f t="shared" si="474"/>
        <v/>
      </c>
      <c r="DP108" s="323" t="str">
        <f t="shared" si="368"/>
        <v/>
      </c>
      <c r="DQ108" s="444" t="str">
        <f>IF(A108=FALSE,"",Cotations!BW108)</f>
        <v/>
      </c>
      <c r="DR108" s="444" t="str">
        <f>IF(A108=FALSE,"",Cotations!BX108)</f>
        <v/>
      </c>
      <c r="DS108" s="433" t="str">
        <f>IF(A108=FALSE,"",Cotations!BY108)</f>
        <v/>
      </c>
      <c r="DT108" s="830" t="str">
        <f>IF(A108=FALSE,"",IF(DQ108="N/A",0,IF(INDEX(LISTES!$F$105:$F$109,MATCH(DQ108,LISTES!$C$105:$C$109,0))="FIX",IF(INDEX(LISTES!$E$105:$E$109,MATCH(DQ108,LISTES!$C$105:$C$109,0))=12,DR108/12*L108,DR108/365*M108),DS108*(DN108+DO108))))</f>
        <v/>
      </c>
      <c r="DU108" s="434" t="str">
        <f>IF(A108=FALSE,"",DJ108*Cotations!BZ108)</f>
        <v/>
      </c>
      <c r="DV108" s="434" t="str">
        <f>IF(A108=FALSE,"",DJ108*Cotations!CA108)</f>
        <v/>
      </c>
      <c r="EA108" s="432" t="str">
        <f>IF(A108=FALSE,"",Cotations!AT108)</f>
        <v/>
      </c>
      <c r="EB108" s="1234" t="str">
        <f>IF(A108=FALSE,"",YEAR(Detail!F108)&amp;Detail!AG108&amp;Detail!AD108&amp;"-"&amp;Detail!$AD$13&amp;Detail!AE108)</f>
        <v/>
      </c>
      <c r="EC108" s="434" t="str">
        <f>IF(A108=FALSE,"",IF(LISTES!$A$17=1,EB108,INDEX(colMOD1,MATCH(Cotations!AH108,colchoice,0))))</f>
        <v/>
      </c>
      <c r="ED108" s="277" t="str">
        <f t="shared" si="369"/>
        <v/>
      </c>
      <c r="EE108" s="277" t="str">
        <f t="shared" si="370"/>
        <v/>
      </c>
      <c r="EF108" s="277"/>
      <c r="EG108" s="277"/>
      <c r="EH108" s="277" t="str">
        <f t="shared" si="371"/>
        <v/>
      </c>
      <c r="EI108" s="1104" t="str">
        <f t="shared" si="372"/>
        <v/>
      </c>
      <c r="EJ108" s="1104" t="str">
        <f t="shared" si="373"/>
        <v/>
      </c>
      <c r="EK108" s="443" t="str">
        <f>IF(A108=FALSE,"",IF(Cotations!AF108="monthly",EH108/12*L108,EH108/365*M108))</f>
        <v/>
      </c>
      <c r="EL108" s="1103" t="str">
        <f>IF(A108=FALSE,"",IF(Cotations!AF108="monthly",EJ108/12*L108,EJ108/365*M108))</f>
        <v/>
      </c>
      <c r="EM108" s="433" t="str">
        <f>IF(A108=FALSE,"",IF(Cotations!AI108="","",Cotations!AI108))</f>
        <v/>
      </c>
      <c r="EN108" s="277" t="str">
        <f t="shared" si="374"/>
        <v/>
      </c>
      <c r="EO108" s="277" t="str">
        <f t="shared" si="375"/>
        <v/>
      </c>
      <c r="EP108" s="1104" t="str">
        <f t="shared" si="376"/>
        <v/>
      </c>
      <c r="EQ108" s="277" t="str">
        <f t="shared" si="377"/>
        <v/>
      </c>
      <c r="ER108" s="759" t="str">
        <f>IF(A108=FALSE,"",((EH108*TAXE)-(EH108*TAXE*EM108)+EI108)+IF(CQ108="N/A",0,IF(INDEX(LISTES!$F$105:$F$109,MATCH(CQ108,LISTES!$C$105:$C$109,0))="FIX",CR108,CS108*EQ108)))</f>
        <v/>
      </c>
      <c r="ET108" s="422"/>
      <c r="EU108" s="422"/>
      <c r="EV108" s="422"/>
      <c r="EW108" s="422"/>
      <c r="EX108" s="422"/>
      <c r="EY108" s="422"/>
      <c r="EZ108" s="422"/>
      <c r="FA108" s="432" t="str">
        <f>IF(A108=FALSE,"",Cotations!AT108)</f>
        <v/>
      </c>
      <c r="FB108" s="1235" t="str">
        <f>IF(A108=FALSE,"",IF(Detail!AL108="","N/A",YEAR(Detail!F108)&amp;Detail!AO108&amp;Detail!AL108&amp;"-"&amp;Detail!$AL$13&amp;Detail!AM108))</f>
        <v/>
      </c>
      <c r="FC108" s="434" t="str">
        <f>IF(A108=FALSE,"",IF(LISTES!$A$17=1,FB108,INDEX(colMOD2,MATCH(Cotations!AH108,colchoice,0))))</f>
        <v/>
      </c>
      <c r="FD108" s="277" t="str">
        <f t="shared" si="378"/>
        <v/>
      </c>
      <c r="FE108" s="443" t="str">
        <f>IF(A108=FALSE,"",IF(Detail!AM108="","",Detail!AM108))</f>
        <v/>
      </c>
      <c r="FF108" s="277"/>
      <c r="FG108" s="277"/>
      <c r="FH108" s="277" t="str">
        <f t="shared" si="379"/>
        <v/>
      </c>
      <c r="FI108" s="1104"/>
      <c r="FJ108" s="1104"/>
      <c r="FK108" s="443" t="str">
        <f>IF(A108=FALSE,"",IF(Cotations!AF108="monthly",FH108/12*L108,FH108/365*M108))</f>
        <v/>
      </c>
      <c r="FL108" s="1103" t="str">
        <f>IF(A108=FALSE,"",IF(Cotations!AF108="monthly",FJ108/12*L108,FJ108/365*M108))</f>
        <v/>
      </c>
      <c r="FM108" s="433" t="str">
        <f>IF(A108=FALSE,"",IF(Cotations!AJ108="","",Cotations!AJ108))</f>
        <v/>
      </c>
      <c r="FN108" s="277" t="str">
        <f t="shared" si="475"/>
        <v/>
      </c>
      <c r="FO108" s="277" t="str">
        <f t="shared" si="476"/>
        <v/>
      </c>
      <c r="FP108" s="1104"/>
      <c r="FQ108" s="277" t="str">
        <f t="shared" si="477"/>
        <v/>
      </c>
      <c r="FR108" s="759" t="str">
        <f>IF(A108=FALSE,"",((FH108*TAXE)-(FH108*TAXE*FM108))+IF(#REF!="N/A",0,IF(INDEX(LISTES!$F$105:$F$109,MATCH(#REF!,LISTES!$C$105:$C$109,0))="FIX",#REF!,#REF!*FQ108)))</f>
        <v/>
      </c>
      <c r="FS108" s="422"/>
      <c r="FT108" s="422"/>
      <c r="FU108" s="422"/>
      <c r="FV108" s="422"/>
      <c r="FW108" s="422"/>
      <c r="FX108" s="422"/>
      <c r="FY108" s="422"/>
      <c r="FZ108" s="422"/>
      <c r="GA108" s="432" t="str">
        <f t="shared" si="380"/>
        <v/>
      </c>
      <c r="GB108" s="1234" t="str">
        <f>IF(A108=FALSE,"",IF(Detail!DF108="","N/A",YEAR(Detail!F108)&amp;Detail!DI108&amp;Detail!DF108&amp;"-"&amp;Detail!$DF$13))</f>
        <v/>
      </c>
      <c r="GC108" s="434" t="str">
        <f>IF(A108=FALSE,"",IF(LISTES!$A$17=1,GB108,INDEX(colMOD3,MATCH(Cotations!AH108,colchoice,0))))</f>
        <v/>
      </c>
      <c r="GD108" s="277" t="str">
        <f t="shared" si="381"/>
        <v/>
      </c>
      <c r="GE108" s="277" t="str">
        <f t="shared" si="382"/>
        <v/>
      </c>
      <c r="GF108" s="277"/>
      <c r="GG108" s="277"/>
      <c r="GH108" s="277" t="str">
        <f t="shared" si="478"/>
        <v/>
      </c>
      <c r="GI108" s="1104" t="str">
        <f t="shared" si="479"/>
        <v/>
      </c>
      <c r="GJ108" s="1104" t="str">
        <f t="shared" si="480"/>
        <v/>
      </c>
      <c r="GK108" s="443" t="str">
        <f>IF(A108=FALSE,"",IF(Cotations!AF108="monthly",GH108/12*L108,GH108/365*M108))</f>
        <v/>
      </c>
      <c r="GL108" s="1103" t="str">
        <f>IF(A108=FALSE,"",IF(Cotations!AF108="monthly",GJ108/12*L108,GJ108/365*M108))</f>
        <v/>
      </c>
      <c r="GM108" s="433" t="str">
        <f>IF(A108=FALSE,"",IF(Cotations!AK108="","",Cotations!AK108))</f>
        <v/>
      </c>
      <c r="GN108" s="277" t="str">
        <f t="shared" si="481"/>
        <v/>
      </c>
      <c r="GO108" s="277" t="str">
        <f t="shared" si="482"/>
        <v/>
      </c>
      <c r="GP108" s="1104" t="str">
        <f t="shared" si="483"/>
        <v/>
      </c>
      <c r="GQ108" s="277" t="str">
        <f t="shared" si="484"/>
        <v/>
      </c>
      <c r="GR108" s="759" t="str">
        <f>IF(A108=FALSE,"",((GH108*TAXE)-(GH108*TAXE*GM108)+GI108)+IF(CQ108="N/A",0,IF(INDEX(LISTES!$F$105:$F$109,MATCH(CQ108,LISTES!$C$105:$C$109,0))="FIX",CR108,CS108*GQ108)))</f>
        <v/>
      </c>
      <c r="GS108" s="412"/>
      <c r="GT108" s="412"/>
      <c r="GU108" s="412"/>
      <c r="GV108" s="412"/>
      <c r="GW108" s="412"/>
      <c r="GX108" s="412"/>
      <c r="GY108" s="412"/>
      <c r="GZ108" s="412"/>
      <c r="HA108" s="432" t="str">
        <f t="shared" si="383"/>
        <v/>
      </c>
      <c r="HB108" s="1234" t="str">
        <f>IF(A108=FALSE,"",IF(Detail!DF108="","N/A",YEAR(Detail!F108)&amp;Detail!DI108&amp;Detail!DF108&amp;"-"&amp;Detail!$DF$13))</f>
        <v/>
      </c>
      <c r="HC108" s="434" t="str">
        <f>IF(A108=FALSE,"",IF(LISTES!$A$17=1,HB108,INDEX(colMOD4,MATCH(Cotations!AH108,colchoice,0))))</f>
        <v/>
      </c>
      <c r="HD108" s="277" t="str">
        <f t="shared" si="485"/>
        <v/>
      </c>
      <c r="HE108" s="277" t="str">
        <f t="shared" si="486"/>
        <v/>
      </c>
      <c r="HF108" s="277"/>
      <c r="HG108" s="277"/>
      <c r="HH108" s="277" t="str">
        <f t="shared" si="487"/>
        <v/>
      </c>
      <c r="HI108" s="1104" t="str">
        <f t="shared" si="488"/>
        <v/>
      </c>
      <c r="HJ108" s="1104" t="str">
        <f t="shared" si="489"/>
        <v/>
      </c>
      <c r="HK108" s="443" t="str">
        <f>IF(A108=FALSE,"",IF(Cotations!AF108="monthly",HH108/12*L108,HH108/365*M108))</f>
        <v/>
      </c>
      <c r="HL108" s="1103" t="str">
        <f>IF(A108=FALSE,"",IF(Cotations!AF108="monthly",HJ108/12*L108,HJ108/365*M108))</f>
        <v/>
      </c>
      <c r="HM108" s="433" t="str">
        <f>IF(A108=FALSE,"",IF(Cotations!AL108="","",Cotations!AL108))</f>
        <v/>
      </c>
      <c r="HN108" s="277" t="str">
        <f t="shared" si="490"/>
        <v/>
      </c>
      <c r="HO108" s="277" t="str">
        <f t="shared" si="491"/>
        <v/>
      </c>
      <c r="HP108" s="1104" t="str">
        <f t="shared" si="492"/>
        <v/>
      </c>
      <c r="HQ108" s="277" t="str">
        <f t="shared" si="493"/>
        <v/>
      </c>
      <c r="HR108" s="759" t="str">
        <f>IF(A108=FALSE,"",((HH108*TAXE)-(HH108*TAXE*HM108)+HI108)+IF(CQ108="N/A",0,IF(INDEX(LISTES!$F$105:$F$109,MATCH(CQ108,LISTES!$C$105:$C$109,0))="FIX",CR108,CS108*HQ108)))</f>
        <v/>
      </c>
      <c r="HS108" s="412"/>
      <c r="HT108" s="412"/>
      <c r="HU108" s="412"/>
      <c r="HV108" s="412"/>
      <c r="HW108" s="412"/>
      <c r="HX108" s="412"/>
      <c r="HY108" s="412"/>
      <c r="HZ108" s="1262"/>
      <c r="IA108" s="432" t="str">
        <f>IF(A108=FALSE,"",Cotations!AT108)</f>
        <v/>
      </c>
      <c r="IB108" s="1253" t="str">
        <f>IF(A108=FALSE,"",IF(Detail!AT108="","N/A",YEAR(Detail!F108)&amp;Detail!AW108&amp;Detail!AT108&amp;"-"&amp;Detail!$AT$13&amp;Detail!AU108))</f>
        <v/>
      </c>
      <c r="IC108" s="431" t="str">
        <f>IF(A108=FALSE,"",IF(LISTES!$A$17=1,IB108,INDEX(colMOD1,MATCH(DA108,colchoice,0))))</f>
        <v/>
      </c>
      <c r="ID108" s="759" t="str">
        <f t="shared" si="358"/>
        <v/>
      </c>
      <c r="IE108" s="292" t="str">
        <f>IF(A108=FALSE,"",IF(LISTES!$A$17=1,Detail!AU108,INDEX(Rates!$M$1:$M$270,MATCH(IC108,colMOD1,0))))</f>
        <v/>
      </c>
      <c r="IF108" s="409" t="str">
        <f t="shared" si="359"/>
        <v/>
      </c>
      <c r="IG108" s="430" t="str">
        <f>IF(A108=FALSE,"",IF(IA108="POEA",Cotations!AY108,IF(IA108="FIXE",Cotations!AZ108,IF(Cotations!BA108*Y108&lt;50000,Z108,Cotations!BA108*Y108))))</f>
        <v/>
      </c>
      <c r="IH108" s="292" t="str">
        <f t="shared" si="360"/>
        <v/>
      </c>
      <c r="II108" s="446" t="str">
        <f>IF(A108=FALSE,"",IF(Cotations!AU108="monthly",IH108/12*L108,IH108/365*M108))</f>
        <v/>
      </c>
      <c r="IJ108" s="429" t="str">
        <f>IF(A108=FALSE,"",IF(Cotations!BB108="","",Cotations!BB108))</f>
        <v/>
      </c>
      <c r="IK108" s="292" t="str">
        <f t="shared" si="361"/>
        <v/>
      </c>
      <c r="IL108" s="292" t="str">
        <f t="shared" si="362"/>
        <v/>
      </c>
      <c r="IM108" s="759" t="str">
        <f t="shared" si="363"/>
        <v/>
      </c>
      <c r="IN108" s="759" t="str">
        <f>IF(A108=FALSE,"",((IH108*TAXE)-(IH108*TAXE*IJ108))+IF(DQ108="N/A",0,IF(INDEX(LISTES!$F$105:$F$109,MATCH(DQ108,LISTES!$C$105:$C$109,0))="FIX",DR108,DS108*IM108)))</f>
        <v/>
      </c>
      <c r="JA108" s="432" t="str">
        <f>IF(A108=FALSE,"",Cotations!AT108)</f>
        <v/>
      </c>
      <c r="JB108" s="1234" t="str">
        <f>IF(A108=FALSE,"",IF(Detail!BB108="","N/A",YEAR(Detail!F108)&amp;Detail!BE108&amp;Detail!BB108&amp;"-"&amp;Detail!$BB$13&amp;Detail!BC108))</f>
        <v/>
      </c>
      <c r="JC108" s="431" t="str">
        <f>IF(A108=FALSE,"",IF(LISTES!$A$17=1,JB108,INDEX(colMOD2,MATCH(DA108,colchoice,0))))</f>
        <v/>
      </c>
      <c r="JD108" s="759" t="str">
        <f t="shared" si="384"/>
        <v/>
      </c>
      <c r="JE108" s="292"/>
      <c r="JF108" s="409" t="str">
        <f t="shared" si="385"/>
        <v/>
      </c>
      <c r="JG108" s="430" t="str">
        <f>IF(A108=FALSE,"",IF(JA108="POEA",Cotations!BC108,IF(JA108="FIXE",Cotations!BD108,IF(Cotations!BE108*Y108&lt;50000,Z108,Cotations!BE108*Y108))))</f>
        <v/>
      </c>
      <c r="JH108" s="292" t="str">
        <f t="shared" si="386"/>
        <v/>
      </c>
      <c r="JI108" s="446" t="str">
        <f>IF(A108=FALSE,"",IF(Cotations!AU108="monthly",JH108/12*L108,JH108/365*M108))</f>
        <v/>
      </c>
      <c r="JJ108" s="429" t="str">
        <f>IF(A108=FALSE,"",IF(Cotations!BF108="","",Cotations!BF108))</f>
        <v/>
      </c>
      <c r="JK108" s="292" t="str">
        <f t="shared" si="387"/>
        <v/>
      </c>
      <c r="JL108" s="292" t="str">
        <f t="shared" si="388"/>
        <v/>
      </c>
      <c r="JM108" s="759" t="str">
        <f t="shared" si="389"/>
        <v/>
      </c>
      <c r="JN108" s="759" t="str">
        <f>IF(A108=FALSE,"",((JH108*TAXE)-(JH108*TAXE*JJ108))+IF(#REF!="N/A",0,IF(INDEX(LISTES!$F$105:$F$109,MATCH(#REF!,LISTES!$C$105:$C$109,0))="FIX",#REF!,#REF!*JM108)))</f>
        <v/>
      </c>
      <c r="KA108" s="432" t="str">
        <f>IF(A108=FALSE,"",Cotations!AT108)</f>
        <v/>
      </c>
      <c r="KB108" s="1234" t="str">
        <f>IF(A108=FALSE,"",IF(Detail!BJ108="","N/A",YEAR(Detail!F108)&amp;Detail!BM108&amp;Detail!BJ108&amp;"-"&amp;Detail!$BJ$13&amp;Detail!BK108))</f>
        <v/>
      </c>
      <c r="KC108" s="431" t="str">
        <f>IF(A108=FALSE,"",IF(LISTES!$A$17=1,KB108,INDEX(colMOD3,MATCH(DA108,colchoice,0))))</f>
        <v/>
      </c>
      <c r="KD108" s="759" t="str">
        <f t="shared" si="390"/>
        <v/>
      </c>
      <c r="KE108" s="292"/>
      <c r="KF108" s="409" t="str">
        <f t="shared" si="391"/>
        <v/>
      </c>
      <c r="KG108" s="430" t="str">
        <f>IF(A108=FALSE,"",IF(KA108="POEA",Cotations!BG108,IF(KA108="FIXE",Cotations!BH108,IF(Cotations!BI108*Y108&lt;50000,Z108,Cotations!BI108*Y108))))</f>
        <v/>
      </c>
      <c r="KH108" s="292" t="str">
        <f t="shared" si="392"/>
        <v/>
      </c>
      <c r="KI108" s="446" t="str">
        <f>IF(A108=FALSE,"",IF(Cotations!AU108="monthly",KH108/12*L108,KH108/365*M108))</f>
        <v/>
      </c>
      <c r="KJ108" s="429" t="str">
        <f>IF(A108=FALSE,"",IF(Cotations!BJ108="","",Cotations!BJ108))</f>
        <v/>
      </c>
      <c r="KK108" s="292" t="str">
        <f t="shared" si="393"/>
        <v/>
      </c>
      <c r="KL108" s="292" t="str">
        <f t="shared" si="394"/>
        <v/>
      </c>
      <c r="KM108" s="759" t="str">
        <f t="shared" si="395"/>
        <v/>
      </c>
      <c r="KN108" s="759" t="str">
        <f>IF(A108=FALSE,"",((KH108*TAXE)-(KH108*TAXE*KJ108))+IF(#REF!="N/A",0,IF(INDEX(LISTES!$F$105:$F$109,MATCH(#REF!,LISTES!$C$105:$C$109,0))="FIX",#REF!,#REF!*KM108)))</f>
        <v/>
      </c>
      <c r="LA108" s="432" t="str">
        <f>IF(A108=FALSE,"",Cotations!AT108)</f>
        <v/>
      </c>
      <c r="LB108" s="1234" t="str">
        <f>IF(A108=FALSE,"",IF(Detail!BR108="","N/A",YEAR(Detail!F108)&amp;Detail!BU108&amp;Detail!BR108&amp;"-"&amp;Detail!$BR$13&amp;Detail!BS108))</f>
        <v/>
      </c>
      <c r="LC108" s="431" t="str">
        <f>IF(A108=FALSE,"",IF(LISTES!$A$17=1,LB108,INDEX(colMOD4,MATCH(DA108,colchoice,0))))</f>
        <v/>
      </c>
      <c r="LD108" s="759" t="str">
        <f t="shared" si="396"/>
        <v/>
      </c>
      <c r="LE108" s="292"/>
      <c r="LF108" s="409" t="str">
        <f t="shared" si="397"/>
        <v/>
      </c>
      <c r="LG108" s="430" t="str">
        <f>IF(A108=FALSE,"",IF(LA108="POEA",Cotations!BK108,IF(LA108="FIXE",Cotations!BL108,IF(Cotations!BM108*Y108&lt;50000,Z108,Cotations!BM108*Y108))))</f>
        <v/>
      </c>
      <c r="LH108" s="292" t="str">
        <f t="shared" si="398"/>
        <v/>
      </c>
      <c r="LI108" s="446" t="str">
        <f>IF(A108=FALSE,"",IF(Cotations!AU108="monthly",LH108/12*L108,LH108/365*M108))</f>
        <v/>
      </c>
      <c r="LJ108" s="429" t="str">
        <f>IF(A108=FALSE,"",IF(Cotations!BN108="","",Cotations!BN108))</f>
        <v/>
      </c>
      <c r="LK108" s="292" t="str">
        <f t="shared" si="399"/>
        <v/>
      </c>
      <c r="LL108" s="292" t="str">
        <f t="shared" si="400"/>
        <v/>
      </c>
      <c r="LM108" s="759" t="str">
        <f t="shared" si="401"/>
        <v/>
      </c>
      <c r="LN108" s="759" t="str">
        <f>IF(A108=FALSE,"",((LH108*TAXE)-(LH108*TAXE*LJ108))+IF(#REF!="N/A",0,IF(INDEX(LISTES!$F$105:$F$109,MATCH(#REF!,LISTES!$C$105:$C$109,0))="FIX",#REF!,#REF!*LM108)))</f>
        <v/>
      </c>
      <c r="MA108" s="432" t="str">
        <f t="shared" si="402"/>
        <v/>
      </c>
      <c r="MB108" s="1234" t="str">
        <f>IF(A108=FALSE,"",IF(Detail!BZ108="","N/A",YEAR(Detail!F108)&amp;Detail!CC108&amp;Detail!BZ108&amp;"-"&amp;Detail!$BZ$13&amp;" (100%/"&amp;Detail!CD108&amp;"/"&amp;Detail!CE108&amp;")"))</f>
        <v/>
      </c>
      <c r="MC108" s="431" t="str">
        <f>IF(A108=FALSE,"",IF(LISTES!$A$17=1,MB108,INDEX(colMOD5,MATCH(DA108,colchoice,0))))</f>
        <v/>
      </c>
      <c r="MD108" s="759" t="str">
        <f t="shared" si="403"/>
        <v/>
      </c>
      <c r="ME108" s="292"/>
      <c r="MF108" s="409" t="str">
        <f t="shared" si="404"/>
        <v/>
      </c>
      <c r="MG108" s="430" t="str">
        <f>IF(A108=FALSE,"",Cotations!BQ108*AA108)</f>
        <v/>
      </c>
      <c r="MH108" s="292" t="str">
        <f t="shared" si="405"/>
        <v/>
      </c>
      <c r="MI108" s="446" t="str">
        <f>IF(A108=FALSE,"",IF(Cotations!AU108="monthly",MH108/12*L108,MH108/365*M108))</f>
        <v/>
      </c>
      <c r="MJ108" s="429" t="str">
        <f>IF(A108=FALSE,"",IF(Cotations!BR108="","",Cotations!BR108))</f>
        <v/>
      </c>
      <c r="MK108" s="292" t="str">
        <f t="shared" si="406"/>
        <v/>
      </c>
      <c r="ML108" s="292" t="str">
        <f t="shared" si="407"/>
        <v/>
      </c>
      <c r="MM108" s="759" t="str">
        <f t="shared" si="408"/>
        <v/>
      </c>
      <c r="MN108" s="759" t="str">
        <f>IF(A108=FALSE,"",((MH108*TAXE)-(MH108*TAXE*MJ108))+IF(#REF!="N/A",0,IF(INDEX(LISTES!$F$105:$F$109,MATCH(#REF!,LISTES!$C$105:$C$109,0))="FIX",#REF!,#REF!*MM108)))</f>
        <v/>
      </c>
      <c r="NA108" s="432" t="str">
        <f t="shared" si="409"/>
        <v/>
      </c>
      <c r="NB108" s="1234" t="str">
        <f>IF(A108=FALSE,"",IF(Detail!CH108="","N/A",YEAR(Detail!F108)&amp;Detail!CK108&amp;Detail!CH108&amp;"-"&amp;Detail!$CH$13&amp;" (100%/"&amp;Detail!CL108&amp;"/"&amp;Detail!CM108&amp;")"))</f>
        <v/>
      </c>
      <c r="NC108" s="431" t="str">
        <f>IF(A108=FALSE,"",IF(LISTES!$A$17=1,NB108,INDEX(colMOD6,MATCH(DA108,colchoice,0))))</f>
        <v/>
      </c>
      <c r="ND108" s="759" t="str">
        <f t="shared" si="410"/>
        <v/>
      </c>
      <c r="NE108" s="292"/>
      <c r="NF108" s="409" t="str">
        <f t="shared" si="411"/>
        <v/>
      </c>
      <c r="NG108" s="430" t="str">
        <f>IF(A108=FALSE,"",Cotations!BU108*AA108)</f>
        <v/>
      </c>
      <c r="NH108" s="292" t="str">
        <f t="shared" si="412"/>
        <v/>
      </c>
      <c r="NI108" s="446" t="str">
        <f>IF(A108=FALSE,"",IF(Cotations!AU108="monthly",NH108/12*L108,NH108/365*M108))</f>
        <v/>
      </c>
      <c r="NJ108" s="429" t="str">
        <f>IF(A108=FALSE,"",IF(Cotations!BV108="","",Cotations!BV108))</f>
        <v/>
      </c>
      <c r="NK108" s="292" t="str">
        <f t="shared" si="413"/>
        <v/>
      </c>
      <c r="NL108" s="292" t="str">
        <f t="shared" si="414"/>
        <v/>
      </c>
      <c r="NM108" s="759" t="str">
        <f t="shared" si="415"/>
        <v/>
      </c>
      <c r="NN108" s="759" t="str">
        <f>IF(A108=FALSE,"",((NH108*TAXE)-(NH108*TAXE*NJ108))+IF(#REF!="N/A",0,IF(INDEX(LISTES!$F$105:$F$109,MATCH(#REF!,LISTES!$C$105:$C$109,0))="FIX",#REF!,#REF!*NM108)))</f>
        <v/>
      </c>
      <c r="NZ108" s="1281" t="str">
        <f>IF(A108=FALSE,"",IF(Detail!CP108="","N/A",YEAR(Detail!F108)&amp;Detail!CS108&amp;Detail!CP108&amp;"-"&amp;Detail!CQ108))</f>
        <v/>
      </c>
      <c r="OA108" s="432" t="str">
        <f>IF(A108=FALSE,"",Cotations!CF108)</f>
        <v/>
      </c>
      <c r="OB108" s="1282" t="str">
        <f>IF(A108=FALSE,"",IF(Detail!CP108="","N/A",YEAR(Detail!F108)&amp;Detail!CS108&amp;Detail!CP108&amp;"-"&amp;Detail!$CP$13&amp;Detail!CQ108))</f>
        <v/>
      </c>
      <c r="OC108" s="1283" t="str">
        <f>IF(A108=FALSE,"",IF(LISTES!$A$17=1,OB108,INDEX(colMOD1,MATCH(Cotations!CE108,colchoice,0))))</f>
        <v/>
      </c>
      <c r="OD108" s="759" t="str">
        <f t="shared" si="416"/>
        <v/>
      </c>
      <c r="OE108" s="292" t="str">
        <f>IF(A108=FALSE,"",Detail!CQ108)</f>
        <v/>
      </c>
      <c r="OF108" s="409" t="str">
        <f t="shared" si="417"/>
        <v/>
      </c>
      <c r="OG108" s="430" t="str">
        <f>IF(A108=FALSE,"",IF(OA108="FIXE",Cotations!CM108,Cotations!CN108*AA108))</f>
        <v/>
      </c>
      <c r="OH108" s="292" t="str">
        <f t="shared" si="494"/>
        <v/>
      </c>
      <c r="OI108" s="446" t="str">
        <f>IF(A108=FALSE,"",IF(Cotations!CF108="monthly",OH108/12*L108,OH108/365*M108))</f>
        <v/>
      </c>
      <c r="OJ108" s="429" t="str">
        <f>IF(A108=FALSE,"",IF(Cotations!CO108="","",Cotations!CO108))</f>
        <v/>
      </c>
      <c r="OK108" s="292" t="str">
        <f t="shared" si="495"/>
        <v/>
      </c>
      <c r="OL108" s="292" t="str">
        <f t="shared" si="496"/>
        <v/>
      </c>
      <c r="OM108" s="759" t="str">
        <f t="shared" si="418"/>
        <v/>
      </c>
      <c r="ON108" s="759" t="str">
        <f>IF(A108=FALSE,"",((OH108*(1+TAXE)-(OH108*(1+TAXE)*OJ108))+IF(#REF!="N/A",0,IF(INDEX(LISTES!$F$105:$F$109,MATCH(#REF!,LISTES!$C$105:$C$109,0))="FIX",#REF!,#REF!*OM108))))</f>
        <v/>
      </c>
      <c r="PA108" s="432" t="str">
        <f>IF(A108=FALSE,"",Cotations!CF108)</f>
        <v/>
      </c>
      <c r="PB108" s="1282" t="str">
        <f>IF(A108=FALSE,"",IF(Detail!CX108="","N/A",YEAR(Detail!F108)&amp;Detail!DA108&amp;Detail!CX108&amp;"-"&amp;Detail!$CX$13&amp;Detail!CY108))</f>
        <v/>
      </c>
      <c r="PC108" s="1283" t="str">
        <f>IF(A108=FALSE,"",IF(LISTES!$A$17=1,PB108,INDEX(colMOD3,MATCH(Cotations!CE108,colchoice,0))))</f>
        <v/>
      </c>
      <c r="PD108" s="759" t="str">
        <f t="shared" si="419"/>
        <v/>
      </c>
      <c r="PE108" s="292" t="str">
        <f>IF(A108=FALSE,"",IF(Detail!CY108="","",Detail!CY108))</f>
        <v/>
      </c>
      <c r="PF108" s="409" t="str">
        <f t="shared" si="497"/>
        <v/>
      </c>
      <c r="PG108" s="430" t="str">
        <f>IF(A108=FALSE,"",IF(PA108="FIXE",Cotations!CP108,Cotations!CQ108*AA108))</f>
        <v/>
      </c>
      <c r="PH108" s="292" t="str">
        <f t="shared" si="498"/>
        <v/>
      </c>
      <c r="PI108" s="446" t="str">
        <f>IF(A108=FALSE,"",IF(Cotations!CG108="monthly",PH108/12*L108,PH108/365*M108))</f>
        <v/>
      </c>
      <c r="PJ108" s="429" t="str">
        <f>IF(A108=FALSE,"",IF(Cotations!DA108="",0,Cotations!DA108))</f>
        <v/>
      </c>
      <c r="PK108" s="292" t="str">
        <f t="shared" si="499"/>
        <v/>
      </c>
      <c r="PL108" s="292" t="str">
        <f t="shared" si="500"/>
        <v/>
      </c>
      <c r="PM108" s="759" t="str">
        <f t="shared" si="420"/>
        <v/>
      </c>
      <c r="PN108" s="759" t="str">
        <f>IF(A108=FALSE,"",((PH108*(1+TAXE)-(PH108*(1+TAXE)*PJ108))+IF(#REF!="N/A",0,IF(INDEX(LISTES!$F$105:$F$109,MATCH(#REF!,LISTES!$C$105:$C$109,0))="FIX",#REF!,#REF!*PM108))))</f>
        <v/>
      </c>
    </row>
    <row r="109" spans="1:430">
      <c r="A109" s="779" t="b">
        <f t="shared" si="364"/>
        <v>0</v>
      </c>
      <c r="B109" s="779" t="b">
        <f>IF(NAMES!$B$9=TRUE,TRUE,FALSE)</f>
        <v>1</v>
      </c>
      <c r="C109" s="779" t="b">
        <f t="shared" si="421"/>
        <v>0</v>
      </c>
      <c r="D109" s="779" t="b">
        <f t="shared" si="422"/>
        <v>0</v>
      </c>
      <c r="E109" s="267" t="b">
        <f>IF(Cotations!C109="","",Cotations!C109)</f>
        <v>0</v>
      </c>
      <c r="F109" s="267" t="str">
        <f>IF(Cotations!AT109="","",Cotations!AT109)</f>
        <v>PROP</v>
      </c>
      <c r="G109" s="267" t="str">
        <f>IF(Cotations!D109="","",Cotations!D109)</f>
        <v>2016-2017!</v>
      </c>
      <c r="H109" s="267" t="str">
        <f>IF(Cotations!E109="","",Cotations!E109)</f>
        <v>SINGLE</v>
      </c>
      <c r="I109" s="267" t="str">
        <f>IF(Cotations!F109="","",Cotations!F109)</f>
        <v/>
      </c>
      <c r="J109" s="267" t="str">
        <f>IF(Cotations!G109="","",Cotations!G109)</f>
        <v/>
      </c>
      <c r="K109" s="267" t="str">
        <f>IF(Cotations!H109="","",Cotations!H109)</f>
        <v/>
      </c>
      <c r="L109" s="267" t="str">
        <f>IF(A109=FALSE,"",IF(Cotations!M109="","",Cotations!M109))</f>
        <v/>
      </c>
      <c r="M109" s="267" t="str">
        <f>IF(Cotations!O109="","",Cotations!O109)</f>
        <v/>
      </c>
      <c r="N109" s="588" t="str">
        <f>IF(NAMES!$B$10=TRUE,Cotations!I109,Cotations!K109)</f>
        <v/>
      </c>
      <c r="O109" s="588" t="str">
        <f>IF(NAMES!$B$10=TRUE,Cotations!J109,Cotations!L109)</f>
        <v/>
      </c>
      <c r="P109" s="780" t="str">
        <f t="shared" si="423"/>
        <v/>
      </c>
      <c r="Q109" s="588" t="str">
        <f>IF(A109=FALSE,"",IF(Crewlist!Y109="","",Crewlist!Y109))</f>
        <v/>
      </c>
      <c r="R109" s="78" t="str">
        <f>IF(Cotations!T109="","",Cotations!T109)</f>
        <v/>
      </c>
      <c r="S109" s="780" t="str">
        <f t="shared" si="424"/>
        <v/>
      </c>
      <c r="T109" s="759" t="str">
        <f>IF(A109=FALSE,"",VLOOKUP($U$15:$U$120,Currency!$A$2:$D$10,4,0)*Crewlist!N109)</f>
        <v/>
      </c>
      <c r="U109" s="1097" t="str">
        <f>IF(A109=FALSE,"",IF(DP109=0,Crewlist!M109&amp;"/"&amp;CP109,Crewlist!M109&amp;"/"&amp;DP109))</f>
        <v/>
      </c>
      <c r="V109" s="759" t="str">
        <f>IF(A109=FALSE,"",VLOOKUP($U$15:$U$120,Currency!$A$2:$D$10,4,0)*Detail!Q109)</f>
        <v/>
      </c>
      <c r="W109" s="1097" t="str">
        <f>IF(A109=FALSE,"",IF(DP109=0,Detail!R109&amp;"/"&amp;CP109,Detail!R109&amp;"/"&amp;DP109))</f>
        <v/>
      </c>
      <c r="X109" s="759" t="str">
        <f>IF(A109=FALSE,"",IF(LISTES!$C$17="Crewlist",Calcul!T109,Calcul!V109))</f>
        <v/>
      </c>
      <c r="Y109" s="618" t="str">
        <f t="shared" si="425"/>
        <v/>
      </c>
      <c r="Z109" s="618" t="str">
        <f>IF(A109=FALSE,"",IF(X109=0,0,IF((Cotations!BA109*12*X109)&lt;50000,50000,(12*X109))))</f>
        <v/>
      </c>
      <c r="AA109" s="618" t="str">
        <f t="shared" si="426"/>
        <v/>
      </c>
      <c r="AB109" s="618" t="str">
        <f>IF(A109=FALSE,"",IF(Crewlist!O109=0,"",Crewlist!O109))</f>
        <v/>
      </c>
      <c r="AC109" s="618" t="str">
        <f>IF(I109="","",VLOOKUP($AB$15:$AB$120,Currency!$A$15:$B$34,2,0))</f>
        <v/>
      </c>
      <c r="AD109" s="618" t="str">
        <f t="shared" si="427"/>
        <v/>
      </c>
      <c r="AE109" s="618" t="str">
        <f t="shared" si="428"/>
        <v/>
      </c>
      <c r="AF109" s="618" t="str">
        <f t="shared" si="429"/>
        <v/>
      </c>
      <c r="AG109" s="618" t="str">
        <f t="shared" si="430"/>
        <v/>
      </c>
      <c r="AH109" s="1097" t="str">
        <f t="shared" si="365"/>
        <v/>
      </c>
      <c r="AI109" s="759" t="str">
        <f t="shared" si="431"/>
        <v/>
      </c>
      <c r="AJ109" s="1120" t="str">
        <f t="shared" si="432"/>
        <v/>
      </c>
      <c r="AK109" s="1120" t="str">
        <f t="shared" si="433"/>
        <v/>
      </c>
      <c r="AL109" s="236" t="str">
        <f t="shared" si="434"/>
        <v/>
      </c>
      <c r="AM109" s="236" t="str">
        <f t="shared" si="435"/>
        <v/>
      </c>
      <c r="AN109" s="1112" t="str">
        <f t="shared" si="436"/>
        <v/>
      </c>
      <c r="AO109" s="236" t="str">
        <f t="shared" si="437"/>
        <v/>
      </c>
      <c r="AP109" s="327" t="str">
        <f>IF(A109=FALSE,"",INDEX(Rates!$Q$1:$Q$278,MATCH(CA109,colchoice,0)))</f>
        <v/>
      </c>
      <c r="AQ109" s="236" t="str">
        <f t="shared" si="438"/>
        <v/>
      </c>
      <c r="AR109" s="236" t="str">
        <f t="shared" si="439"/>
        <v/>
      </c>
      <c r="AS109" s="236" t="str">
        <f t="shared" si="366"/>
        <v/>
      </c>
      <c r="AT109" s="236" t="str">
        <f t="shared" si="367"/>
        <v/>
      </c>
      <c r="AU109" s="236" t="str">
        <f t="shared" si="440"/>
        <v/>
      </c>
      <c r="AV109" s="236" t="str">
        <f t="shared" si="441"/>
        <v/>
      </c>
      <c r="AW109" s="236" t="str">
        <f t="shared" si="442"/>
        <v/>
      </c>
      <c r="AX109" s="236" t="str">
        <f t="shared" si="443"/>
        <v/>
      </c>
      <c r="AY109" s="236" t="str">
        <f t="shared" si="444"/>
        <v/>
      </c>
      <c r="AZ109" s="236" t="str">
        <f t="shared" si="445"/>
        <v/>
      </c>
      <c r="BA109" s="236" t="str">
        <f t="shared" si="446"/>
        <v/>
      </c>
      <c r="BB109" s="467" t="str">
        <f t="shared" si="447"/>
        <v/>
      </c>
      <c r="BC109" s="329" t="str">
        <f t="shared" si="448"/>
        <v/>
      </c>
      <c r="BD109" s="237" t="str">
        <f t="shared" si="449"/>
        <v/>
      </c>
      <c r="BE109" s="237" t="str">
        <f>IF(A109=FALSE,"",IF(ED109&lt;&gt;$BC$7,0,INDEX(EA109:EZ109,1,MATCH(Structure!$J$16,$EA$14:$EZ$14,0))))</f>
        <v/>
      </c>
      <c r="BF109" s="237" t="str">
        <f>IF(A109=FALSE,"",IF(FD109&lt;&gt;$BC$7,0,INDEX(FA109:FZ109,1,MATCH(Structure!$J$16,$FA$14:$FZ$14,0))))</f>
        <v/>
      </c>
      <c r="BG109" s="237" t="str">
        <f>IF(A109=FALSE,"",IF(GD109&lt;&gt;$BC$7,0,INDEX(GA109:GZ109,1,MATCH(Structure!$J$16,$GA$14:$GZ$14,0))))</f>
        <v/>
      </c>
      <c r="BH109" s="237" t="str">
        <f>IF(A109=FALSE,"",IF(HD109&lt;&gt;$BC$7,0,INDEX(HA109:HZ109,1,MATCH(Structure!$J$16,$HA$14:$HZ$14,0))))</f>
        <v/>
      </c>
      <c r="BI109" s="621" t="str">
        <f>IF(A109=FALSE,"",IF(ID109&lt;&gt;$BC$7,0,INDEX(IA109:IZ109,1,MATCH(Structure!$C$12,$IA$14:$IZ$14,0)))+OL109)</f>
        <v/>
      </c>
      <c r="BJ109" s="237" t="str">
        <f>IF(A109=FALSE,"",IF(JD109&lt;&gt;$BC$7,0,INDEX(JA109:JZ109,1,MATCH(Structure!$C$12,$JA$14:$JZ$14,0))))</f>
        <v/>
      </c>
      <c r="BK109" s="621" t="str">
        <f>IF(A109=FALSE,"",IF(KD109&lt;&gt;$BC$7,0,INDEX(KA109:KZ109,1,MATCH(Structure!$C$12,$KA$14:$KZ$14,0)))+PL109)</f>
        <v/>
      </c>
      <c r="BL109" s="237" t="str">
        <f>IF(A109=FALSE,"",IF(LD109&lt;&gt;$BC$7,0,INDEX(LA109:LZ109,1,MATCH(Structure!$C$12,$LA$14:$LZ$14,0))))</f>
        <v/>
      </c>
      <c r="BM109" s="237" t="str">
        <f>IF(A109=FALSE,"",IF(MD109&lt;&gt;$BC$7,0,INDEX(MA109:MZ109,1,MATCH(Structure!$C$12,$MA$14:$MZ$14,0))))</f>
        <v/>
      </c>
      <c r="BN109" s="326" t="str">
        <f>IF(A109=FALSE,"",IF(ND109&lt;&gt;$BC$7,0,INDEX(NA109:OC109,1,MATCH(Structure!$C$12,$NA$14:$OC$14,0))))</f>
        <v/>
      </c>
      <c r="BO109" s="435" t="str">
        <f t="shared" si="450"/>
        <v/>
      </c>
      <c r="BP109" s="237" t="str">
        <f t="shared" si="451"/>
        <v/>
      </c>
      <c r="BQ109" s="237" t="str">
        <f>IF(A109=FALSE,"",IF(ED109&lt;&gt;$BO$7,0,INDEX(EA109:EZ109,1,MATCH(Structure!$C$12,$EA$14:$EZ$14,0))))</f>
        <v/>
      </c>
      <c r="BR109" s="237" t="str">
        <f>IF(A109=FALSE,"",IF(FD109&lt;&gt;$BO$7,0,INDEX(FA109:FZ109,1,MATCH(Structure!$C$12,$FA$14:$FZ$14,0))))</f>
        <v/>
      </c>
      <c r="BS109" s="237" t="str">
        <f>IF(A109=FALSE,"",IF(ID109&lt;&gt;$BO$7,0,INDEX(IA109:IZ109,1,MATCH(Structure!$C$13,$IA$14:$IZ$14,0))))</f>
        <v/>
      </c>
      <c r="BT109" s="237" t="str">
        <f>IF(A109=FALSE,"",IF(JD109&lt;&gt;$BO$7,0,INDEX(JA109:JZ109,1,MATCH(Structure!$C$13,$JA$14:$JZ$14,0))))</f>
        <v/>
      </c>
      <c r="BU109" s="237" t="str">
        <f>IF(A109=FALSE,"",IF(KD109&lt;&gt;$BO$7,0,INDEX(KA109:KZ109,1,MATCH(Structure!$C$13,$KA$14:$KZ$14,0))))</f>
        <v/>
      </c>
      <c r="BV109" s="237" t="str">
        <f>IF(A109=FALSE,"",IF(LD109&lt;&gt;$BO$7,0,INDEX(LA109:LZ109,1,MATCH(Structure!$C$13,$LA$14:$LZ$14,0))))</f>
        <v/>
      </c>
      <c r="BW109" s="237" t="str">
        <f>IF(A109=FALSE,"",IF(MD109&lt;&gt;$BO$7,0,INDEX(MA109:MZ109,1,MATCH(Structure!$C$13,$MA$14:$MZ$14,0))))</f>
        <v/>
      </c>
      <c r="BX109" s="326" t="str">
        <f>IF(A109=FALSE,"",IF(ND109&lt;&gt;$BO$7,0,INDEX(NA109:OC109,1,MATCH(Structure!$C$13,$NA$14:$OC$14,0))))</f>
        <v/>
      </c>
      <c r="BY109" s="412"/>
      <c r="BZ109" s="412"/>
      <c r="CA109" s="1255" t="str">
        <f>IF(A109=FALSE,"",IF(LISTES!$A$17=1,Cotations!AG109,Cotations!AH109))</f>
        <v/>
      </c>
      <c r="CB109" s="1266" t="str">
        <f t="shared" si="452"/>
        <v/>
      </c>
      <c r="CC109" s="1120" t="str">
        <f t="shared" si="453"/>
        <v/>
      </c>
      <c r="CD109" s="1120" t="str">
        <f t="shared" si="454"/>
        <v/>
      </c>
      <c r="CE109" s="1120" t="str">
        <f t="shared" si="455"/>
        <v/>
      </c>
      <c r="CF109" s="1120" t="str">
        <f t="shared" si="456"/>
        <v/>
      </c>
      <c r="CG109" s="1267"/>
      <c r="CH109" s="1267"/>
      <c r="CI109" s="1268" t="str">
        <f t="shared" si="457"/>
        <v/>
      </c>
      <c r="CJ109" s="286" t="str">
        <f t="shared" si="458"/>
        <v/>
      </c>
      <c r="CK109" s="286" t="str">
        <f t="shared" si="459"/>
        <v/>
      </c>
      <c r="CL109" s="1263"/>
      <c r="CM109" s="1263"/>
      <c r="CN109" s="1263"/>
      <c r="CO109" s="1263"/>
      <c r="CP109" s="319" t="str">
        <f t="shared" si="460"/>
        <v/>
      </c>
      <c r="CQ109" s="443" t="str">
        <f>IF(A109=FALSE,"",Cotations!AM109)</f>
        <v/>
      </c>
      <c r="CR109" s="443" t="str">
        <f>IF(A109=FALSE,"",IF(Cotations!AN109="","",Cotations!AN109))</f>
        <v/>
      </c>
      <c r="CS109" s="433" t="str">
        <f>IF(A109=FALSE,"",Cotations!AO109)</f>
        <v/>
      </c>
      <c r="CT109" s="443" t="str">
        <f>IF(A109=FALSE,"",IF(CQ109="N/A",0,IF(INDEX(LISTES!$F$105:$F$109,MATCH(CQ109,LISTES!$C$105:$C$109,0))="FIX",IF(INDEX(LISTES!$E$105:$E$109,MATCH(CQ109,LISTES!$C$105:$C$109,0))=12,CR109/12*L109,CR109/365*M109),CS109*EQ109)))</f>
        <v/>
      </c>
      <c r="CU109" s="434" t="str">
        <f>IF(A109=FALSE,"",(CJ109+CK109)*Cotations!AP109)</f>
        <v/>
      </c>
      <c r="CV109" s="434" t="str">
        <f>IF(A109=FALSE,"",(CJ109+CK109)*Cotations!AQ109)</f>
        <v/>
      </c>
      <c r="DA109" s="1253" t="str">
        <f>IF(A109=FALSE,"",IF(LISTES!$A$17=1,Cotations!AV109,Cotations!AW109))</f>
        <v/>
      </c>
      <c r="DB109" s="1271" t="str">
        <f t="shared" si="461"/>
        <v/>
      </c>
      <c r="DC109" s="1270" t="str">
        <f t="shared" si="462"/>
        <v/>
      </c>
      <c r="DD109" s="1270" t="str">
        <f t="shared" si="463"/>
        <v/>
      </c>
      <c r="DE109" s="1270" t="str">
        <f t="shared" si="464"/>
        <v/>
      </c>
      <c r="DF109" s="1270" t="str">
        <f t="shared" si="465"/>
        <v/>
      </c>
      <c r="DG109" s="1270" t="str">
        <f t="shared" si="466"/>
        <v/>
      </c>
      <c r="DH109" s="1270" t="str">
        <f t="shared" si="467"/>
        <v/>
      </c>
      <c r="DI109" s="1271" t="str">
        <f t="shared" si="468"/>
        <v/>
      </c>
      <c r="DJ109" s="286" t="str">
        <f t="shared" si="469"/>
        <v/>
      </c>
      <c r="DK109" s="286" t="str">
        <f t="shared" si="470"/>
        <v/>
      </c>
      <c r="DL109" s="1264" t="str">
        <f t="shared" si="471"/>
        <v/>
      </c>
      <c r="DM109" s="1264" t="str">
        <f t="shared" si="472"/>
        <v/>
      </c>
      <c r="DN109" s="1264" t="str">
        <f t="shared" si="473"/>
        <v/>
      </c>
      <c r="DO109" s="1264" t="str">
        <f t="shared" si="474"/>
        <v/>
      </c>
      <c r="DP109" s="323" t="str">
        <f t="shared" si="368"/>
        <v/>
      </c>
      <c r="DQ109" s="444" t="str">
        <f>IF(A109=FALSE,"",Cotations!BW109)</f>
        <v/>
      </c>
      <c r="DR109" s="444" t="str">
        <f>IF(A109=FALSE,"",Cotations!BX109)</f>
        <v/>
      </c>
      <c r="DS109" s="433" t="str">
        <f>IF(A109=FALSE,"",Cotations!BY109)</f>
        <v/>
      </c>
      <c r="DT109" s="830" t="str">
        <f>IF(A109=FALSE,"",IF(DQ109="N/A",0,IF(INDEX(LISTES!$F$105:$F$109,MATCH(DQ109,LISTES!$C$105:$C$109,0))="FIX",IF(INDEX(LISTES!$E$105:$E$109,MATCH(DQ109,LISTES!$C$105:$C$109,0))=12,DR109/12*L109,DR109/365*M109),DS109*(DN109+DO109))))</f>
        <v/>
      </c>
      <c r="DU109" s="434" t="str">
        <f>IF(A109=FALSE,"",DJ109*Cotations!BZ109)</f>
        <v/>
      </c>
      <c r="DV109" s="434" t="str">
        <f>IF(A109=FALSE,"",DJ109*Cotations!CA109)</f>
        <v/>
      </c>
      <c r="EA109" s="432" t="str">
        <f>IF(A109=FALSE,"",Cotations!AT109)</f>
        <v/>
      </c>
      <c r="EB109" s="1234" t="str">
        <f>IF(A109=FALSE,"",YEAR(Detail!F109)&amp;Detail!AG109&amp;Detail!AD109&amp;"-"&amp;Detail!$AD$13&amp;Detail!AE109)</f>
        <v/>
      </c>
      <c r="EC109" s="434" t="str">
        <f>IF(A109=FALSE,"",IF(LISTES!$A$17=1,EB109,INDEX(colMOD1,MATCH(Cotations!AH109,colchoice,0))))</f>
        <v/>
      </c>
      <c r="ED109" s="277" t="str">
        <f t="shared" si="369"/>
        <v/>
      </c>
      <c r="EE109" s="277" t="str">
        <f t="shared" si="370"/>
        <v/>
      </c>
      <c r="EF109" s="277"/>
      <c r="EG109" s="277"/>
      <c r="EH109" s="277" t="str">
        <f t="shared" si="371"/>
        <v/>
      </c>
      <c r="EI109" s="1104" t="str">
        <f t="shared" si="372"/>
        <v/>
      </c>
      <c r="EJ109" s="1104" t="str">
        <f t="shared" si="373"/>
        <v/>
      </c>
      <c r="EK109" s="443" t="str">
        <f>IF(A109=FALSE,"",IF(Cotations!AF109="monthly",EH109/12*L109,EH109/365*M109))</f>
        <v/>
      </c>
      <c r="EL109" s="1103" t="str">
        <f>IF(A109=FALSE,"",IF(Cotations!AF109="monthly",EJ109/12*L109,EJ109/365*M109))</f>
        <v/>
      </c>
      <c r="EM109" s="433" t="str">
        <f>IF(A109=FALSE,"",IF(Cotations!AI109="","",Cotations!AI109))</f>
        <v/>
      </c>
      <c r="EN109" s="277" t="str">
        <f t="shared" si="374"/>
        <v/>
      </c>
      <c r="EO109" s="277" t="str">
        <f t="shared" si="375"/>
        <v/>
      </c>
      <c r="EP109" s="1104" t="str">
        <f t="shared" si="376"/>
        <v/>
      </c>
      <c r="EQ109" s="277" t="str">
        <f t="shared" si="377"/>
        <v/>
      </c>
      <c r="ER109" s="759" t="str">
        <f>IF(A109=FALSE,"",((EH109*TAXE)-(EH109*TAXE*EM109)+EI109)+IF(CQ109="N/A",0,IF(INDEX(LISTES!$F$105:$F$109,MATCH(CQ109,LISTES!$C$105:$C$109,0))="FIX",CR109,CS109*EQ109)))</f>
        <v/>
      </c>
      <c r="ET109" s="422"/>
      <c r="EU109" s="422"/>
      <c r="EV109" s="422"/>
      <c r="EW109" s="422"/>
      <c r="EX109" s="422"/>
      <c r="EY109" s="422"/>
      <c r="EZ109" s="422"/>
      <c r="FA109" s="432" t="str">
        <f>IF(A109=FALSE,"",Cotations!AT109)</f>
        <v/>
      </c>
      <c r="FB109" s="1235" t="str">
        <f>IF(A109=FALSE,"",IF(Detail!AL109="","N/A",YEAR(Detail!F109)&amp;Detail!AO109&amp;Detail!AL109&amp;"-"&amp;Detail!$AL$13&amp;Detail!AM109))</f>
        <v/>
      </c>
      <c r="FC109" s="434" t="str">
        <f>IF(A109=FALSE,"",IF(LISTES!$A$17=1,FB109,INDEX(colMOD2,MATCH(Cotations!AH109,colchoice,0))))</f>
        <v/>
      </c>
      <c r="FD109" s="277" t="str">
        <f t="shared" si="378"/>
        <v/>
      </c>
      <c r="FE109" s="443" t="str">
        <f>IF(A109=FALSE,"",IF(Detail!AM109="","",Detail!AM109))</f>
        <v/>
      </c>
      <c r="FF109" s="277"/>
      <c r="FG109" s="277"/>
      <c r="FH109" s="277" t="str">
        <f t="shared" si="379"/>
        <v/>
      </c>
      <c r="FI109" s="1104"/>
      <c r="FJ109" s="1104"/>
      <c r="FK109" s="443" t="str">
        <f>IF(A109=FALSE,"",IF(Cotations!AF109="monthly",FH109/12*L109,FH109/365*M109))</f>
        <v/>
      </c>
      <c r="FL109" s="1103" t="str">
        <f>IF(A109=FALSE,"",IF(Cotations!AF109="monthly",FJ109/12*L109,FJ109/365*M109))</f>
        <v/>
      </c>
      <c r="FM109" s="433" t="str">
        <f>IF(A109=FALSE,"",IF(Cotations!AJ109="","",Cotations!AJ109))</f>
        <v/>
      </c>
      <c r="FN109" s="277" t="str">
        <f t="shared" si="475"/>
        <v/>
      </c>
      <c r="FO109" s="277" t="str">
        <f t="shared" si="476"/>
        <v/>
      </c>
      <c r="FP109" s="1104"/>
      <c r="FQ109" s="277" t="str">
        <f t="shared" si="477"/>
        <v/>
      </c>
      <c r="FR109" s="759" t="str">
        <f>IF(A109=FALSE,"",((FH109*TAXE)-(FH109*TAXE*FM109))+IF(#REF!="N/A",0,IF(INDEX(LISTES!$F$105:$F$109,MATCH(#REF!,LISTES!$C$105:$C$109,0))="FIX",#REF!,#REF!*FQ109)))</f>
        <v/>
      </c>
      <c r="FS109" s="422"/>
      <c r="FT109" s="422"/>
      <c r="FU109" s="422"/>
      <c r="FV109" s="422"/>
      <c r="FW109" s="422"/>
      <c r="FX109" s="422"/>
      <c r="FY109" s="422"/>
      <c r="FZ109" s="422"/>
      <c r="GA109" s="432" t="str">
        <f t="shared" si="380"/>
        <v/>
      </c>
      <c r="GB109" s="1234" t="str">
        <f>IF(A109=FALSE,"",IF(Detail!DF109="","N/A",YEAR(Detail!F109)&amp;Detail!DI109&amp;Detail!DF109&amp;"-"&amp;Detail!$DF$13))</f>
        <v/>
      </c>
      <c r="GC109" s="434" t="str">
        <f>IF(A109=FALSE,"",IF(LISTES!$A$17=1,GB109,INDEX(colMOD3,MATCH(Cotations!AH109,colchoice,0))))</f>
        <v/>
      </c>
      <c r="GD109" s="277" t="str">
        <f t="shared" si="381"/>
        <v/>
      </c>
      <c r="GE109" s="277" t="str">
        <f t="shared" si="382"/>
        <v/>
      </c>
      <c r="GF109" s="277"/>
      <c r="GG109" s="277"/>
      <c r="GH109" s="277" t="str">
        <f t="shared" si="478"/>
        <v/>
      </c>
      <c r="GI109" s="1104" t="str">
        <f t="shared" si="479"/>
        <v/>
      </c>
      <c r="GJ109" s="1104" t="str">
        <f t="shared" si="480"/>
        <v/>
      </c>
      <c r="GK109" s="443" t="str">
        <f>IF(A109=FALSE,"",IF(Cotations!AF109="monthly",GH109/12*L109,GH109/365*M109))</f>
        <v/>
      </c>
      <c r="GL109" s="1103" t="str">
        <f>IF(A109=FALSE,"",IF(Cotations!AF109="monthly",GJ109/12*L109,GJ109/365*M109))</f>
        <v/>
      </c>
      <c r="GM109" s="433" t="str">
        <f>IF(A109=FALSE,"",IF(Cotations!AK109="","",Cotations!AK109))</f>
        <v/>
      </c>
      <c r="GN109" s="277" t="str">
        <f t="shared" si="481"/>
        <v/>
      </c>
      <c r="GO109" s="277" t="str">
        <f t="shared" si="482"/>
        <v/>
      </c>
      <c r="GP109" s="1104" t="str">
        <f t="shared" si="483"/>
        <v/>
      </c>
      <c r="GQ109" s="277" t="str">
        <f t="shared" si="484"/>
        <v/>
      </c>
      <c r="GR109" s="759" t="str">
        <f>IF(A109=FALSE,"",((GH109*TAXE)-(GH109*TAXE*GM109)+GI109)+IF(CQ109="N/A",0,IF(INDEX(LISTES!$F$105:$F$109,MATCH(CQ109,LISTES!$C$105:$C$109,0))="FIX",CR109,CS109*GQ109)))</f>
        <v/>
      </c>
      <c r="GS109" s="412"/>
      <c r="GT109" s="412"/>
      <c r="GU109" s="412"/>
      <c r="GV109" s="412"/>
      <c r="GW109" s="412"/>
      <c r="GX109" s="412"/>
      <c r="GY109" s="412"/>
      <c r="GZ109" s="412"/>
      <c r="HA109" s="432" t="str">
        <f t="shared" si="383"/>
        <v/>
      </c>
      <c r="HB109" s="1234" t="str">
        <f>IF(A109=FALSE,"",IF(Detail!DF109="","N/A",YEAR(Detail!F109)&amp;Detail!DI109&amp;Detail!DF109&amp;"-"&amp;Detail!$DF$13))</f>
        <v/>
      </c>
      <c r="HC109" s="434" t="str">
        <f>IF(A109=FALSE,"",IF(LISTES!$A$17=1,HB109,INDEX(colMOD4,MATCH(Cotations!AH109,colchoice,0))))</f>
        <v/>
      </c>
      <c r="HD109" s="277" t="str">
        <f t="shared" si="485"/>
        <v/>
      </c>
      <c r="HE109" s="277" t="str">
        <f t="shared" si="486"/>
        <v/>
      </c>
      <c r="HF109" s="277"/>
      <c r="HG109" s="277"/>
      <c r="HH109" s="277" t="str">
        <f t="shared" si="487"/>
        <v/>
      </c>
      <c r="HI109" s="1104" t="str">
        <f t="shared" si="488"/>
        <v/>
      </c>
      <c r="HJ109" s="1104" t="str">
        <f t="shared" si="489"/>
        <v/>
      </c>
      <c r="HK109" s="443" t="str">
        <f>IF(A109=FALSE,"",IF(Cotations!AF109="monthly",HH109/12*L109,HH109/365*M109))</f>
        <v/>
      </c>
      <c r="HL109" s="1103" t="str">
        <f>IF(A109=FALSE,"",IF(Cotations!AF109="monthly",HJ109/12*L109,HJ109/365*M109))</f>
        <v/>
      </c>
      <c r="HM109" s="433" t="str">
        <f>IF(A109=FALSE,"",IF(Cotations!AL109="","",Cotations!AL109))</f>
        <v/>
      </c>
      <c r="HN109" s="277" t="str">
        <f t="shared" si="490"/>
        <v/>
      </c>
      <c r="HO109" s="277" t="str">
        <f t="shared" si="491"/>
        <v/>
      </c>
      <c r="HP109" s="1104" t="str">
        <f t="shared" si="492"/>
        <v/>
      </c>
      <c r="HQ109" s="277" t="str">
        <f t="shared" si="493"/>
        <v/>
      </c>
      <c r="HR109" s="759" t="str">
        <f>IF(A109=FALSE,"",((HH109*TAXE)-(HH109*TAXE*HM109)+HI109)+IF(CQ109="N/A",0,IF(INDEX(LISTES!$F$105:$F$109,MATCH(CQ109,LISTES!$C$105:$C$109,0))="FIX",CR109,CS109*HQ109)))</f>
        <v/>
      </c>
      <c r="HS109" s="412"/>
      <c r="HT109" s="412"/>
      <c r="HU109" s="412"/>
      <c r="HV109" s="412"/>
      <c r="HW109" s="412"/>
      <c r="HX109" s="412"/>
      <c r="HY109" s="412"/>
      <c r="HZ109" s="1262"/>
      <c r="IA109" s="432" t="str">
        <f>IF(A109=FALSE,"",Cotations!AT109)</f>
        <v/>
      </c>
      <c r="IB109" s="1253" t="str">
        <f>IF(A109=FALSE,"",IF(Detail!AT109="","N/A",YEAR(Detail!F109)&amp;Detail!AW109&amp;Detail!AT109&amp;"-"&amp;Detail!$AT$13&amp;Detail!AU109))</f>
        <v/>
      </c>
      <c r="IC109" s="431" t="str">
        <f>IF(A109=FALSE,"",IF(LISTES!$A$17=1,IB109,INDEX(colMOD1,MATCH(DA109,colchoice,0))))</f>
        <v/>
      </c>
      <c r="ID109" s="759" t="str">
        <f t="shared" si="358"/>
        <v/>
      </c>
      <c r="IE109" s="292" t="str">
        <f>IF(A109=FALSE,"",IF(LISTES!$A$17=1,Detail!AU109,INDEX(Rates!$M$1:$M$270,MATCH(IC109,colMOD1,0))))</f>
        <v/>
      </c>
      <c r="IF109" s="409" t="str">
        <f t="shared" si="359"/>
        <v/>
      </c>
      <c r="IG109" s="430" t="str">
        <f>IF(A109=FALSE,"",IF(IA109="POEA",Cotations!AY109,IF(IA109="FIXE",Cotations!AZ109,IF(Cotations!BA109*Y109&lt;50000,Z109,Cotations!BA109*Y109))))</f>
        <v/>
      </c>
      <c r="IH109" s="292" t="str">
        <f t="shared" si="360"/>
        <v/>
      </c>
      <c r="II109" s="446" t="str">
        <f>IF(A109=FALSE,"",IF(Cotations!AU109="monthly",IH109/12*L109,IH109/365*M109))</f>
        <v/>
      </c>
      <c r="IJ109" s="429" t="str">
        <f>IF(A109=FALSE,"",IF(Cotations!BB109="","",Cotations!BB109))</f>
        <v/>
      </c>
      <c r="IK109" s="292" t="str">
        <f t="shared" si="361"/>
        <v/>
      </c>
      <c r="IL109" s="292" t="str">
        <f t="shared" si="362"/>
        <v/>
      </c>
      <c r="IM109" s="759" t="str">
        <f t="shared" si="363"/>
        <v/>
      </c>
      <c r="IN109" s="759" t="str">
        <f>IF(A109=FALSE,"",((IH109*TAXE)-(IH109*TAXE*IJ109))+IF(DQ109="N/A",0,IF(INDEX(LISTES!$F$105:$F$109,MATCH(DQ109,LISTES!$C$105:$C$109,0))="FIX",DR109,DS109*IM109)))</f>
        <v/>
      </c>
      <c r="JA109" s="432" t="str">
        <f>IF(A109=FALSE,"",Cotations!AT109)</f>
        <v/>
      </c>
      <c r="JB109" s="1234" t="str">
        <f>IF(A109=FALSE,"",IF(Detail!BB109="","N/A",YEAR(Detail!F109)&amp;Detail!BE109&amp;Detail!BB109&amp;"-"&amp;Detail!$BB$13&amp;Detail!BC109))</f>
        <v/>
      </c>
      <c r="JC109" s="431" t="str">
        <f>IF(A109=FALSE,"",IF(LISTES!$A$17=1,JB109,INDEX(colMOD2,MATCH(DA109,colchoice,0))))</f>
        <v/>
      </c>
      <c r="JD109" s="759" t="str">
        <f t="shared" si="384"/>
        <v/>
      </c>
      <c r="JE109" s="292"/>
      <c r="JF109" s="409" t="str">
        <f t="shared" si="385"/>
        <v/>
      </c>
      <c r="JG109" s="430" t="str">
        <f>IF(A109=FALSE,"",IF(JA109="POEA",Cotations!BC109,IF(JA109="FIXE",Cotations!BD109,IF(Cotations!BE109*Y109&lt;50000,Z109,Cotations!BE109*Y109))))</f>
        <v/>
      </c>
      <c r="JH109" s="292" t="str">
        <f t="shared" si="386"/>
        <v/>
      </c>
      <c r="JI109" s="446" t="str">
        <f>IF(A109=FALSE,"",IF(Cotations!AU109="monthly",JH109/12*L109,JH109/365*M109))</f>
        <v/>
      </c>
      <c r="JJ109" s="429" t="str">
        <f>IF(A109=FALSE,"",IF(Cotations!BF109="","",Cotations!BF109))</f>
        <v/>
      </c>
      <c r="JK109" s="292" t="str">
        <f t="shared" si="387"/>
        <v/>
      </c>
      <c r="JL109" s="292" t="str">
        <f t="shared" si="388"/>
        <v/>
      </c>
      <c r="JM109" s="759" t="str">
        <f t="shared" si="389"/>
        <v/>
      </c>
      <c r="JN109" s="759" t="str">
        <f>IF(A109=FALSE,"",((JH109*TAXE)-(JH109*TAXE*JJ109))+IF(#REF!="N/A",0,IF(INDEX(LISTES!$F$105:$F$109,MATCH(#REF!,LISTES!$C$105:$C$109,0))="FIX",#REF!,#REF!*JM109)))</f>
        <v/>
      </c>
      <c r="KA109" s="432" t="str">
        <f>IF(A109=FALSE,"",Cotations!AT109)</f>
        <v/>
      </c>
      <c r="KB109" s="1234" t="str">
        <f>IF(A109=FALSE,"",IF(Detail!BJ109="","N/A",YEAR(Detail!F109)&amp;Detail!BM109&amp;Detail!BJ109&amp;"-"&amp;Detail!$BJ$13&amp;Detail!BK109))</f>
        <v/>
      </c>
      <c r="KC109" s="431" t="str">
        <f>IF(A109=FALSE,"",IF(LISTES!$A$17=1,KB109,INDEX(colMOD3,MATCH(DA109,colchoice,0))))</f>
        <v/>
      </c>
      <c r="KD109" s="759" t="str">
        <f t="shared" si="390"/>
        <v/>
      </c>
      <c r="KE109" s="292"/>
      <c r="KF109" s="409" t="str">
        <f t="shared" si="391"/>
        <v/>
      </c>
      <c r="KG109" s="430" t="str">
        <f>IF(A109=FALSE,"",IF(KA109="POEA",Cotations!BG109,IF(KA109="FIXE",Cotations!BH109,IF(Cotations!BI109*Y109&lt;50000,Z109,Cotations!BI109*Y109))))</f>
        <v/>
      </c>
      <c r="KH109" s="292" t="str">
        <f t="shared" si="392"/>
        <v/>
      </c>
      <c r="KI109" s="446" t="str">
        <f>IF(A109=FALSE,"",IF(Cotations!AU109="monthly",KH109/12*L109,KH109/365*M109))</f>
        <v/>
      </c>
      <c r="KJ109" s="429" t="str">
        <f>IF(A109=FALSE,"",IF(Cotations!BJ109="","",Cotations!BJ109))</f>
        <v/>
      </c>
      <c r="KK109" s="292" t="str">
        <f t="shared" si="393"/>
        <v/>
      </c>
      <c r="KL109" s="292" t="str">
        <f t="shared" si="394"/>
        <v/>
      </c>
      <c r="KM109" s="759" t="str">
        <f t="shared" si="395"/>
        <v/>
      </c>
      <c r="KN109" s="759" t="str">
        <f>IF(A109=FALSE,"",((KH109*TAXE)-(KH109*TAXE*KJ109))+IF(#REF!="N/A",0,IF(INDEX(LISTES!$F$105:$F$109,MATCH(#REF!,LISTES!$C$105:$C$109,0))="FIX",#REF!,#REF!*KM109)))</f>
        <v/>
      </c>
      <c r="LA109" s="432" t="str">
        <f>IF(A109=FALSE,"",Cotations!AT109)</f>
        <v/>
      </c>
      <c r="LB109" s="1234" t="str">
        <f>IF(A109=FALSE,"",IF(Detail!BR109="","N/A",YEAR(Detail!F109)&amp;Detail!BU109&amp;Detail!BR109&amp;"-"&amp;Detail!$BR$13&amp;Detail!BS109))</f>
        <v/>
      </c>
      <c r="LC109" s="431" t="str">
        <f>IF(A109=FALSE,"",IF(LISTES!$A$17=1,LB109,INDEX(colMOD4,MATCH(DA109,colchoice,0))))</f>
        <v/>
      </c>
      <c r="LD109" s="759" t="str">
        <f t="shared" si="396"/>
        <v/>
      </c>
      <c r="LE109" s="292"/>
      <c r="LF109" s="409" t="str">
        <f t="shared" si="397"/>
        <v/>
      </c>
      <c r="LG109" s="430" t="str">
        <f>IF(A109=FALSE,"",IF(LA109="POEA",Cotations!BK109,IF(LA109="FIXE",Cotations!BL109,IF(Cotations!BM109*Y109&lt;50000,Z109,Cotations!BM109*Y109))))</f>
        <v/>
      </c>
      <c r="LH109" s="292" t="str">
        <f t="shared" si="398"/>
        <v/>
      </c>
      <c r="LI109" s="446" t="str">
        <f>IF(A109=FALSE,"",IF(Cotations!AU109="monthly",LH109/12*L109,LH109/365*M109))</f>
        <v/>
      </c>
      <c r="LJ109" s="429" t="str">
        <f>IF(A109=FALSE,"",IF(Cotations!BN109="","",Cotations!BN109))</f>
        <v/>
      </c>
      <c r="LK109" s="292" t="str">
        <f t="shared" si="399"/>
        <v/>
      </c>
      <c r="LL109" s="292" t="str">
        <f t="shared" si="400"/>
        <v/>
      </c>
      <c r="LM109" s="759" t="str">
        <f t="shared" si="401"/>
        <v/>
      </c>
      <c r="LN109" s="759" t="str">
        <f>IF(A109=FALSE,"",((LH109*TAXE)-(LH109*TAXE*LJ109))+IF(#REF!="N/A",0,IF(INDEX(LISTES!$F$105:$F$109,MATCH(#REF!,LISTES!$C$105:$C$109,0))="FIX",#REF!,#REF!*LM109)))</f>
        <v/>
      </c>
      <c r="MA109" s="432" t="str">
        <f t="shared" si="402"/>
        <v/>
      </c>
      <c r="MB109" s="1234" t="str">
        <f>IF(A109=FALSE,"",IF(Detail!BZ109="","N/A",YEAR(Detail!F109)&amp;Detail!CC109&amp;Detail!BZ109&amp;"-"&amp;Detail!$BZ$13&amp;" (100%/"&amp;Detail!CD109&amp;"/"&amp;Detail!CE109&amp;")"))</f>
        <v/>
      </c>
      <c r="MC109" s="431" t="str">
        <f>IF(A109=FALSE,"",IF(LISTES!$A$17=1,MB109,INDEX(colMOD5,MATCH(DA109,colchoice,0))))</f>
        <v/>
      </c>
      <c r="MD109" s="759" t="str">
        <f t="shared" si="403"/>
        <v/>
      </c>
      <c r="ME109" s="292"/>
      <c r="MF109" s="409" t="str">
        <f t="shared" si="404"/>
        <v/>
      </c>
      <c r="MG109" s="430" t="str">
        <f>IF(A109=FALSE,"",Cotations!BQ109*AA109)</f>
        <v/>
      </c>
      <c r="MH109" s="292" t="str">
        <f t="shared" si="405"/>
        <v/>
      </c>
      <c r="MI109" s="446" t="str">
        <f>IF(A109=FALSE,"",IF(Cotations!AU109="monthly",MH109/12*L109,MH109/365*M109))</f>
        <v/>
      </c>
      <c r="MJ109" s="429" t="str">
        <f>IF(A109=FALSE,"",IF(Cotations!BR109="","",Cotations!BR109))</f>
        <v/>
      </c>
      <c r="MK109" s="292" t="str">
        <f t="shared" si="406"/>
        <v/>
      </c>
      <c r="ML109" s="292" t="str">
        <f t="shared" si="407"/>
        <v/>
      </c>
      <c r="MM109" s="759" t="str">
        <f t="shared" si="408"/>
        <v/>
      </c>
      <c r="MN109" s="759" t="str">
        <f>IF(A109=FALSE,"",((MH109*TAXE)-(MH109*TAXE*MJ109))+IF(#REF!="N/A",0,IF(INDEX(LISTES!$F$105:$F$109,MATCH(#REF!,LISTES!$C$105:$C$109,0))="FIX",#REF!,#REF!*MM109)))</f>
        <v/>
      </c>
      <c r="NA109" s="432" t="str">
        <f t="shared" si="409"/>
        <v/>
      </c>
      <c r="NB109" s="1234" t="str">
        <f>IF(A109=FALSE,"",IF(Detail!CH109="","N/A",YEAR(Detail!F109)&amp;Detail!CK109&amp;Detail!CH109&amp;"-"&amp;Detail!$CH$13&amp;" (100%/"&amp;Detail!CL109&amp;"/"&amp;Detail!CM109&amp;")"))</f>
        <v/>
      </c>
      <c r="NC109" s="431" t="str">
        <f>IF(A109=FALSE,"",IF(LISTES!$A$17=1,NB109,INDEX(colMOD6,MATCH(DA109,colchoice,0))))</f>
        <v/>
      </c>
      <c r="ND109" s="759" t="str">
        <f t="shared" si="410"/>
        <v/>
      </c>
      <c r="NE109" s="292"/>
      <c r="NF109" s="409" t="str">
        <f t="shared" si="411"/>
        <v/>
      </c>
      <c r="NG109" s="430" t="str">
        <f>IF(A109=FALSE,"",Cotations!BU109*AA109)</f>
        <v/>
      </c>
      <c r="NH109" s="292" t="str">
        <f t="shared" si="412"/>
        <v/>
      </c>
      <c r="NI109" s="446" t="str">
        <f>IF(A109=FALSE,"",IF(Cotations!AU109="monthly",NH109/12*L109,NH109/365*M109))</f>
        <v/>
      </c>
      <c r="NJ109" s="429" t="str">
        <f>IF(A109=FALSE,"",IF(Cotations!BV109="","",Cotations!BV109))</f>
        <v/>
      </c>
      <c r="NK109" s="292" t="str">
        <f t="shared" si="413"/>
        <v/>
      </c>
      <c r="NL109" s="292" t="str">
        <f t="shared" si="414"/>
        <v/>
      </c>
      <c r="NM109" s="759" t="str">
        <f t="shared" si="415"/>
        <v/>
      </c>
      <c r="NN109" s="759" t="str">
        <f>IF(A109=FALSE,"",((NH109*TAXE)-(NH109*TAXE*NJ109))+IF(#REF!="N/A",0,IF(INDEX(LISTES!$F$105:$F$109,MATCH(#REF!,LISTES!$C$105:$C$109,0))="FIX",#REF!,#REF!*NM109)))</f>
        <v/>
      </c>
      <c r="NZ109" s="1281" t="str">
        <f>IF(A109=FALSE,"",IF(Detail!CP109="","N/A",YEAR(Detail!F109)&amp;Detail!CS109&amp;Detail!CP109&amp;"-"&amp;Detail!CQ109))</f>
        <v/>
      </c>
      <c r="OA109" s="432" t="str">
        <f>IF(A109=FALSE,"",Cotations!CF109)</f>
        <v/>
      </c>
      <c r="OB109" s="1282" t="str">
        <f>IF(A109=FALSE,"",IF(Detail!CP109="","N/A",YEAR(Detail!F109)&amp;Detail!CS109&amp;Detail!CP109&amp;"-"&amp;Detail!$CP$13&amp;Detail!CQ109))</f>
        <v/>
      </c>
      <c r="OC109" s="1283" t="str">
        <f>IF(A109=FALSE,"",IF(LISTES!$A$17=1,OB109,INDEX(colMOD1,MATCH(Cotations!CE109,colchoice,0))))</f>
        <v/>
      </c>
      <c r="OD109" s="759" t="str">
        <f t="shared" si="416"/>
        <v/>
      </c>
      <c r="OE109" s="292" t="str">
        <f>IF(A109=FALSE,"",Detail!CQ109)</f>
        <v/>
      </c>
      <c r="OF109" s="409" t="str">
        <f t="shared" si="417"/>
        <v/>
      </c>
      <c r="OG109" s="430" t="str">
        <f>IF(A109=FALSE,"",IF(OA109="FIXE",Cotations!CM109,Cotations!CN109*AA109))</f>
        <v/>
      </c>
      <c r="OH109" s="292" t="str">
        <f t="shared" si="494"/>
        <v/>
      </c>
      <c r="OI109" s="446" t="str">
        <f>IF(A109=FALSE,"",IF(Cotations!CF109="monthly",OH109/12*L109,OH109/365*M109))</f>
        <v/>
      </c>
      <c r="OJ109" s="429" t="str">
        <f>IF(A109=FALSE,"",IF(Cotations!CO109="","",Cotations!CO109))</f>
        <v/>
      </c>
      <c r="OK109" s="292" t="str">
        <f t="shared" si="495"/>
        <v/>
      </c>
      <c r="OL109" s="292" t="str">
        <f t="shared" si="496"/>
        <v/>
      </c>
      <c r="OM109" s="759" t="str">
        <f t="shared" si="418"/>
        <v/>
      </c>
      <c r="ON109" s="759" t="str">
        <f>IF(A109=FALSE,"",((OH109*(1+TAXE)-(OH109*(1+TAXE)*OJ109))+IF(#REF!="N/A",0,IF(INDEX(LISTES!$F$105:$F$109,MATCH(#REF!,LISTES!$C$105:$C$109,0))="FIX",#REF!,#REF!*OM109))))</f>
        <v/>
      </c>
      <c r="PA109" s="432" t="str">
        <f>IF(A109=FALSE,"",Cotations!CF109)</f>
        <v/>
      </c>
      <c r="PB109" s="1282" t="str">
        <f>IF(A109=FALSE,"",IF(Detail!CX109="","N/A",YEAR(Detail!F109)&amp;Detail!DA109&amp;Detail!CX109&amp;"-"&amp;Detail!$CX$13&amp;Detail!CY109))</f>
        <v/>
      </c>
      <c r="PC109" s="1283" t="str">
        <f>IF(A109=FALSE,"",IF(LISTES!$A$17=1,PB109,INDEX(colMOD3,MATCH(Cotations!CE109,colchoice,0))))</f>
        <v/>
      </c>
      <c r="PD109" s="759" t="str">
        <f t="shared" si="419"/>
        <v/>
      </c>
      <c r="PE109" s="292" t="str">
        <f>IF(A109=FALSE,"",IF(Detail!CY109="","",Detail!CY109))</f>
        <v/>
      </c>
      <c r="PF109" s="409" t="str">
        <f t="shared" si="497"/>
        <v/>
      </c>
      <c r="PG109" s="430" t="str">
        <f>IF(A109=FALSE,"",IF(PA109="FIXE",Cotations!CP109,Cotations!CQ109*AA109))</f>
        <v/>
      </c>
      <c r="PH109" s="292" t="str">
        <f t="shared" si="498"/>
        <v/>
      </c>
      <c r="PI109" s="446" t="str">
        <f>IF(A109=FALSE,"",IF(Cotations!CG109="monthly",PH109/12*L109,PH109/365*M109))</f>
        <v/>
      </c>
      <c r="PJ109" s="429" t="str">
        <f>IF(A109=FALSE,"",IF(Cotations!DA109="",0,Cotations!DA109))</f>
        <v/>
      </c>
      <c r="PK109" s="292" t="str">
        <f t="shared" si="499"/>
        <v/>
      </c>
      <c r="PL109" s="292" t="str">
        <f t="shared" si="500"/>
        <v/>
      </c>
      <c r="PM109" s="759" t="str">
        <f t="shared" si="420"/>
        <v/>
      </c>
      <c r="PN109" s="759" t="str">
        <f>IF(A109=FALSE,"",((PH109*(1+TAXE)-(PH109*(1+TAXE)*PJ109))+IF(#REF!="N/A",0,IF(INDEX(LISTES!$F$105:$F$109,MATCH(#REF!,LISTES!$C$105:$C$109,0))="FIX",#REF!,#REF!*PM109))))</f>
        <v/>
      </c>
    </row>
    <row r="110" spans="1:430">
      <c r="A110" s="779" t="b">
        <f t="shared" si="364"/>
        <v>0</v>
      </c>
      <c r="B110" s="779" t="b">
        <f>IF(NAMES!$B$9=TRUE,TRUE,FALSE)</f>
        <v>1</v>
      </c>
      <c r="C110" s="779" t="b">
        <f t="shared" si="421"/>
        <v>0</v>
      </c>
      <c r="D110" s="779" t="b">
        <f t="shared" si="422"/>
        <v>0</v>
      </c>
      <c r="E110" s="267" t="b">
        <f>IF(Cotations!C110="","",Cotations!C110)</f>
        <v>0</v>
      </c>
      <c r="F110" s="267" t="str">
        <f>IF(Cotations!AT110="","",Cotations!AT110)</f>
        <v>PROP</v>
      </c>
      <c r="G110" s="267" t="str">
        <f>IF(Cotations!D110="","",Cotations!D110)</f>
        <v>2016-2017!</v>
      </c>
      <c r="H110" s="267" t="str">
        <f>IF(Cotations!E110="","",Cotations!E110)</f>
        <v>SINGLE</v>
      </c>
      <c r="I110" s="267" t="str">
        <f>IF(Cotations!F110="","",Cotations!F110)</f>
        <v/>
      </c>
      <c r="J110" s="267" t="str">
        <f>IF(Cotations!G110="","",Cotations!G110)</f>
        <v/>
      </c>
      <c r="K110" s="267" t="str">
        <f>IF(Cotations!H110="","",Cotations!H110)</f>
        <v/>
      </c>
      <c r="L110" s="267" t="str">
        <f>IF(A110=FALSE,"",IF(Cotations!M110="","",Cotations!M110))</f>
        <v/>
      </c>
      <c r="M110" s="267" t="str">
        <f>IF(Cotations!O110="","",Cotations!O110)</f>
        <v/>
      </c>
      <c r="N110" s="588" t="str">
        <f>IF(NAMES!$B$10=TRUE,Cotations!I110,Cotations!K110)</f>
        <v/>
      </c>
      <c r="O110" s="588" t="str">
        <f>IF(NAMES!$B$10=TRUE,Cotations!J110,Cotations!L110)</f>
        <v/>
      </c>
      <c r="P110" s="780" t="str">
        <f t="shared" si="423"/>
        <v/>
      </c>
      <c r="Q110" s="588" t="str">
        <f>IF(A110=FALSE,"",IF(Crewlist!Y110="","",Crewlist!Y110))</f>
        <v/>
      </c>
      <c r="R110" s="78" t="str">
        <f>IF(Cotations!T110="","",Cotations!T110)</f>
        <v/>
      </c>
      <c r="S110" s="780" t="str">
        <f t="shared" si="424"/>
        <v/>
      </c>
      <c r="T110" s="759" t="str">
        <f>IF(A110=FALSE,"",VLOOKUP($U$15:$U$120,Currency!$A$2:$D$10,4,0)*Crewlist!N110)</f>
        <v/>
      </c>
      <c r="U110" s="1097" t="str">
        <f>IF(A110=FALSE,"",IF(DP110=0,Crewlist!M110&amp;"/"&amp;CP110,Crewlist!M110&amp;"/"&amp;DP110))</f>
        <v/>
      </c>
      <c r="V110" s="759" t="str">
        <f>IF(A110=FALSE,"",VLOOKUP($U$15:$U$120,Currency!$A$2:$D$10,4,0)*Detail!Q110)</f>
        <v/>
      </c>
      <c r="W110" s="1097" t="str">
        <f>IF(A110=FALSE,"",IF(DP110=0,Detail!R110&amp;"/"&amp;CP110,Detail!R110&amp;"/"&amp;DP110))</f>
        <v/>
      </c>
      <c r="X110" s="759" t="str">
        <f>IF(A110=FALSE,"",IF(LISTES!$C$17="Crewlist",Calcul!T110,Calcul!V110))</f>
        <v/>
      </c>
      <c r="Y110" s="618" t="str">
        <f t="shared" si="425"/>
        <v/>
      </c>
      <c r="Z110" s="618" t="str">
        <f>IF(A110=FALSE,"",IF(X110=0,0,IF((Cotations!BA110*12*X110)&lt;50000,50000,(12*X110))))</f>
        <v/>
      </c>
      <c r="AA110" s="618" t="str">
        <f t="shared" si="426"/>
        <v/>
      </c>
      <c r="AB110" s="618" t="str">
        <f>IF(A110=FALSE,"",IF(Crewlist!O110=0,"",Crewlist!O110))</f>
        <v/>
      </c>
      <c r="AC110" s="618" t="str">
        <f>IF(I110="","",VLOOKUP($AB$15:$AB$120,Currency!$A$15:$B$34,2,0))</f>
        <v/>
      </c>
      <c r="AD110" s="618" t="str">
        <f t="shared" si="427"/>
        <v/>
      </c>
      <c r="AE110" s="618" t="str">
        <f t="shared" si="428"/>
        <v/>
      </c>
      <c r="AF110" s="618" t="str">
        <f t="shared" si="429"/>
        <v/>
      </c>
      <c r="AG110" s="618" t="str">
        <f t="shared" si="430"/>
        <v/>
      </c>
      <c r="AH110" s="1097" t="str">
        <f t="shared" si="365"/>
        <v/>
      </c>
      <c r="AI110" s="759" t="str">
        <f t="shared" si="431"/>
        <v/>
      </c>
      <c r="AJ110" s="1120" t="str">
        <f t="shared" si="432"/>
        <v/>
      </c>
      <c r="AK110" s="1120" t="str">
        <f t="shared" si="433"/>
        <v/>
      </c>
      <c r="AL110" s="236" t="str">
        <f t="shared" si="434"/>
        <v/>
      </c>
      <c r="AM110" s="236" t="str">
        <f t="shared" si="435"/>
        <v/>
      </c>
      <c r="AN110" s="1112" t="str">
        <f t="shared" si="436"/>
        <v/>
      </c>
      <c r="AO110" s="236" t="str">
        <f t="shared" si="437"/>
        <v/>
      </c>
      <c r="AP110" s="327" t="str">
        <f>IF(A110=FALSE,"",INDEX(Rates!$Q$1:$Q$278,MATCH(CA110,colchoice,0)))</f>
        <v/>
      </c>
      <c r="AQ110" s="236" t="str">
        <f t="shared" si="438"/>
        <v/>
      </c>
      <c r="AR110" s="236" t="str">
        <f t="shared" si="439"/>
        <v/>
      </c>
      <c r="AS110" s="236" t="str">
        <f t="shared" si="366"/>
        <v/>
      </c>
      <c r="AT110" s="236" t="str">
        <f t="shared" si="367"/>
        <v/>
      </c>
      <c r="AU110" s="236" t="str">
        <f t="shared" si="440"/>
        <v/>
      </c>
      <c r="AV110" s="236" t="str">
        <f t="shared" si="441"/>
        <v/>
      </c>
      <c r="AW110" s="236" t="str">
        <f t="shared" si="442"/>
        <v/>
      </c>
      <c r="AX110" s="236" t="str">
        <f t="shared" si="443"/>
        <v/>
      </c>
      <c r="AY110" s="236" t="str">
        <f t="shared" si="444"/>
        <v/>
      </c>
      <c r="AZ110" s="236" t="str">
        <f t="shared" si="445"/>
        <v/>
      </c>
      <c r="BA110" s="236" t="str">
        <f t="shared" si="446"/>
        <v/>
      </c>
      <c r="BB110" s="467" t="str">
        <f t="shared" si="447"/>
        <v/>
      </c>
      <c r="BC110" s="329" t="str">
        <f t="shared" si="448"/>
        <v/>
      </c>
      <c r="BD110" s="237" t="str">
        <f t="shared" si="449"/>
        <v/>
      </c>
      <c r="BE110" s="237" t="str">
        <f>IF(A110=FALSE,"",IF(ED110&lt;&gt;$BC$7,0,INDEX(EA110:EZ110,1,MATCH(Structure!$J$16,$EA$14:$EZ$14,0))))</f>
        <v/>
      </c>
      <c r="BF110" s="237" t="str">
        <f>IF(A110=FALSE,"",IF(FD110&lt;&gt;$BC$7,0,INDEX(FA110:FZ110,1,MATCH(Structure!$J$16,$FA$14:$FZ$14,0))))</f>
        <v/>
      </c>
      <c r="BG110" s="237" t="str">
        <f>IF(A110=FALSE,"",IF(GD110&lt;&gt;$BC$7,0,INDEX(GA110:GZ110,1,MATCH(Structure!$J$16,$GA$14:$GZ$14,0))))</f>
        <v/>
      </c>
      <c r="BH110" s="237" t="str">
        <f>IF(A110=FALSE,"",IF(HD110&lt;&gt;$BC$7,0,INDEX(HA110:HZ110,1,MATCH(Structure!$J$16,$HA$14:$HZ$14,0))))</f>
        <v/>
      </c>
      <c r="BI110" s="621" t="str">
        <f>IF(A110=FALSE,"",IF(ID110&lt;&gt;$BC$7,0,INDEX(IA110:IZ110,1,MATCH(Structure!$C$12,$IA$14:$IZ$14,0)))+OL110)</f>
        <v/>
      </c>
      <c r="BJ110" s="237" t="str">
        <f>IF(A110=FALSE,"",IF(JD110&lt;&gt;$BC$7,0,INDEX(JA110:JZ110,1,MATCH(Structure!$C$12,$JA$14:$JZ$14,0))))</f>
        <v/>
      </c>
      <c r="BK110" s="621" t="str">
        <f>IF(A110=FALSE,"",IF(KD110&lt;&gt;$BC$7,0,INDEX(KA110:KZ110,1,MATCH(Structure!$C$12,$KA$14:$KZ$14,0)))+PL110)</f>
        <v/>
      </c>
      <c r="BL110" s="237" t="str">
        <f>IF(A110=FALSE,"",IF(LD110&lt;&gt;$BC$7,0,INDEX(LA110:LZ110,1,MATCH(Structure!$C$12,$LA$14:$LZ$14,0))))</f>
        <v/>
      </c>
      <c r="BM110" s="237" t="str">
        <f>IF(A110=FALSE,"",IF(MD110&lt;&gt;$BC$7,0,INDEX(MA110:MZ110,1,MATCH(Structure!$C$12,$MA$14:$MZ$14,0))))</f>
        <v/>
      </c>
      <c r="BN110" s="326" t="str">
        <f>IF(A110=FALSE,"",IF(ND110&lt;&gt;$BC$7,0,INDEX(NA110:OC110,1,MATCH(Structure!$C$12,$NA$14:$OC$14,0))))</f>
        <v/>
      </c>
      <c r="BO110" s="435" t="str">
        <f t="shared" si="450"/>
        <v/>
      </c>
      <c r="BP110" s="237" t="str">
        <f t="shared" si="451"/>
        <v/>
      </c>
      <c r="BQ110" s="237" t="str">
        <f>IF(A110=FALSE,"",IF(ED110&lt;&gt;$BO$7,0,INDEX(EA110:EZ110,1,MATCH(Structure!$C$12,$EA$14:$EZ$14,0))))</f>
        <v/>
      </c>
      <c r="BR110" s="237" t="str">
        <f>IF(A110=FALSE,"",IF(FD110&lt;&gt;$BO$7,0,INDEX(FA110:FZ110,1,MATCH(Structure!$C$12,$FA$14:$FZ$14,0))))</f>
        <v/>
      </c>
      <c r="BS110" s="237" t="str">
        <f>IF(A110=FALSE,"",IF(ID110&lt;&gt;$BO$7,0,INDEX(IA110:IZ110,1,MATCH(Structure!$C$13,$IA$14:$IZ$14,0))))</f>
        <v/>
      </c>
      <c r="BT110" s="237" t="str">
        <f>IF(A110=FALSE,"",IF(JD110&lt;&gt;$BO$7,0,INDEX(JA110:JZ110,1,MATCH(Structure!$C$13,$JA$14:$JZ$14,0))))</f>
        <v/>
      </c>
      <c r="BU110" s="237" t="str">
        <f>IF(A110=FALSE,"",IF(KD110&lt;&gt;$BO$7,0,INDEX(KA110:KZ110,1,MATCH(Structure!$C$13,$KA$14:$KZ$14,0))))</f>
        <v/>
      </c>
      <c r="BV110" s="237" t="str">
        <f>IF(A110=FALSE,"",IF(LD110&lt;&gt;$BO$7,0,INDEX(LA110:LZ110,1,MATCH(Structure!$C$13,$LA$14:$LZ$14,0))))</f>
        <v/>
      </c>
      <c r="BW110" s="237" t="str">
        <f>IF(A110=FALSE,"",IF(MD110&lt;&gt;$BO$7,0,INDEX(MA110:MZ110,1,MATCH(Structure!$C$13,$MA$14:$MZ$14,0))))</f>
        <v/>
      </c>
      <c r="BX110" s="326" t="str">
        <f>IF(A110=FALSE,"",IF(ND110&lt;&gt;$BO$7,0,INDEX(NA110:OC110,1,MATCH(Structure!$C$13,$NA$14:$OC$14,0))))</f>
        <v/>
      </c>
      <c r="BY110" s="412"/>
      <c r="BZ110" s="412"/>
      <c r="CA110" s="1255" t="str">
        <f>IF(A110=FALSE,"",IF(LISTES!$A$17=1,Cotations!AG110,Cotations!AH110))</f>
        <v/>
      </c>
      <c r="CB110" s="1266" t="str">
        <f t="shared" si="452"/>
        <v/>
      </c>
      <c r="CC110" s="1120" t="str">
        <f t="shared" si="453"/>
        <v/>
      </c>
      <c r="CD110" s="1120" t="str">
        <f t="shared" si="454"/>
        <v/>
      </c>
      <c r="CE110" s="1120" t="str">
        <f t="shared" si="455"/>
        <v/>
      </c>
      <c r="CF110" s="1120" t="str">
        <f t="shared" si="456"/>
        <v/>
      </c>
      <c r="CG110" s="1267"/>
      <c r="CH110" s="1267"/>
      <c r="CI110" s="1268" t="str">
        <f t="shared" si="457"/>
        <v/>
      </c>
      <c r="CJ110" s="286" t="str">
        <f t="shared" si="458"/>
        <v/>
      </c>
      <c r="CK110" s="286" t="str">
        <f t="shared" si="459"/>
        <v/>
      </c>
      <c r="CL110" s="1263"/>
      <c r="CM110" s="1263"/>
      <c r="CN110" s="1263"/>
      <c r="CO110" s="1263"/>
      <c r="CP110" s="319" t="str">
        <f t="shared" si="460"/>
        <v/>
      </c>
      <c r="CQ110" s="443" t="str">
        <f>IF(A110=FALSE,"",Cotations!AM110)</f>
        <v/>
      </c>
      <c r="CR110" s="443" t="str">
        <f>IF(A110=FALSE,"",IF(Cotations!AN110="","",Cotations!AN110))</f>
        <v/>
      </c>
      <c r="CS110" s="433" t="str">
        <f>IF(A110=FALSE,"",Cotations!AO110)</f>
        <v/>
      </c>
      <c r="CT110" s="443" t="str">
        <f>IF(A110=FALSE,"",IF(CQ110="N/A",0,IF(INDEX(LISTES!$F$105:$F$109,MATCH(CQ110,LISTES!$C$105:$C$109,0))="FIX",IF(INDEX(LISTES!$E$105:$E$109,MATCH(CQ110,LISTES!$C$105:$C$109,0))=12,CR110/12*L110,CR110/365*M110),CS110*EQ110)))</f>
        <v/>
      </c>
      <c r="CU110" s="434" t="str">
        <f>IF(A110=FALSE,"",(CJ110+CK110)*Cotations!AP110)</f>
        <v/>
      </c>
      <c r="CV110" s="434" t="str">
        <f>IF(A110=FALSE,"",(CJ110+CK110)*Cotations!AQ110)</f>
        <v/>
      </c>
      <c r="DA110" s="1253" t="str">
        <f>IF(A110=FALSE,"",IF(LISTES!$A$17=1,Cotations!AV110,Cotations!AW110))</f>
        <v/>
      </c>
      <c r="DB110" s="1271" t="str">
        <f t="shared" si="461"/>
        <v/>
      </c>
      <c r="DC110" s="1270" t="str">
        <f t="shared" si="462"/>
        <v/>
      </c>
      <c r="DD110" s="1270" t="str">
        <f t="shared" si="463"/>
        <v/>
      </c>
      <c r="DE110" s="1270" t="str">
        <f t="shared" si="464"/>
        <v/>
      </c>
      <c r="DF110" s="1270" t="str">
        <f t="shared" si="465"/>
        <v/>
      </c>
      <c r="DG110" s="1270" t="str">
        <f t="shared" si="466"/>
        <v/>
      </c>
      <c r="DH110" s="1270" t="str">
        <f t="shared" si="467"/>
        <v/>
      </c>
      <c r="DI110" s="1271" t="str">
        <f t="shared" si="468"/>
        <v/>
      </c>
      <c r="DJ110" s="286" t="str">
        <f t="shared" si="469"/>
        <v/>
      </c>
      <c r="DK110" s="286" t="str">
        <f t="shared" si="470"/>
        <v/>
      </c>
      <c r="DL110" s="1264" t="str">
        <f t="shared" si="471"/>
        <v/>
      </c>
      <c r="DM110" s="1264" t="str">
        <f t="shared" si="472"/>
        <v/>
      </c>
      <c r="DN110" s="1264" t="str">
        <f t="shared" si="473"/>
        <v/>
      </c>
      <c r="DO110" s="1264" t="str">
        <f t="shared" si="474"/>
        <v/>
      </c>
      <c r="DP110" s="323" t="str">
        <f t="shared" si="368"/>
        <v/>
      </c>
      <c r="DQ110" s="444" t="str">
        <f>IF(A110=FALSE,"",Cotations!BW110)</f>
        <v/>
      </c>
      <c r="DR110" s="444" t="str">
        <f>IF(A110=FALSE,"",Cotations!BX110)</f>
        <v/>
      </c>
      <c r="DS110" s="433" t="str">
        <f>IF(A110=FALSE,"",Cotations!BY110)</f>
        <v/>
      </c>
      <c r="DT110" s="830" t="str">
        <f>IF(A110=FALSE,"",IF(DQ110="N/A",0,IF(INDEX(LISTES!$F$105:$F$109,MATCH(DQ110,LISTES!$C$105:$C$109,0))="FIX",IF(INDEX(LISTES!$E$105:$E$109,MATCH(DQ110,LISTES!$C$105:$C$109,0))=12,DR110/12*L110,DR110/365*M110),DS110*(DN110+DO110))))</f>
        <v/>
      </c>
      <c r="DU110" s="434" t="str">
        <f>IF(A110=FALSE,"",DJ110*Cotations!BZ110)</f>
        <v/>
      </c>
      <c r="DV110" s="434" t="str">
        <f>IF(A110=FALSE,"",DJ110*Cotations!CA110)</f>
        <v/>
      </c>
      <c r="EA110" s="432" t="str">
        <f>IF(A110=FALSE,"",Cotations!AT110)</f>
        <v/>
      </c>
      <c r="EB110" s="1234" t="str">
        <f>IF(A110=FALSE,"",YEAR(Detail!F110)&amp;Detail!AG110&amp;Detail!AD110&amp;"-"&amp;Detail!$AD$13&amp;Detail!AE110)</f>
        <v/>
      </c>
      <c r="EC110" s="434" t="str">
        <f>IF(A110=FALSE,"",IF(LISTES!$A$17=1,EB110,INDEX(colMOD1,MATCH(Cotations!AH110,colchoice,0))))</f>
        <v/>
      </c>
      <c r="ED110" s="277" t="str">
        <f t="shared" si="369"/>
        <v/>
      </c>
      <c r="EE110" s="277" t="str">
        <f t="shared" si="370"/>
        <v/>
      </c>
      <c r="EF110" s="277"/>
      <c r="EG110" s="277"/>
      <c r="EH110" s="277" t="str">
        <f t="shared" si="371"/>
        <v/>
      </c>
      <c r="EI110" s="1104" t="str">
        <f t="shared" si="372"/>
        <v/>
      </c>
      <c r="EJ110" s="1104" t="str">
        <f t="shared" si="373"/>
        <v/>
      </c>
      <c r="EK110" s="443" t="str">
        <f>IF(A110=FALSE,"",IF(Cotations!AF110="monthly",EH110/12*L110,EH110/365*M110))</f>
        <v/>
      </c>
      <c r="EL110" s="1103" t="str">
        <f>IF(A110=FALSE,"",IF(Cotations!AF110="monthly",EJ110/12*L110,EJ110/365*M110))</f>
        <v/>
      </c>
      <c r="EM110" s="433" t="str">
        <f>IF(A110=FALSE,"",IF(Cotations!AI110="","",Cotations!AI110))</f>
        <v/>
      </c>
      <c r="EN110" s="277" t="str">
        <f t="shared" si="374"/>
        <v/>
      </c>
      <c r="EO110" s="277" t="str">
        <f t="shared" si="375"/>
        <v/>
      </c>
      <c r="EP110" s="1104" t="str">
        <f t="shared" si="376"/>
        <v/>
      </c>
      <c r="EQ110" s="277" t="str">
        <f t="shared" si="377"/>
        <v/>
      </c>
      <c r="ER110" s="759" t="str">
        <f>IF(A110=FALSE,"",((EH110*TAXE)-(EH110*TAXE*EM110)+EI110)+IF(CQ110="N/A",0,IF(INDEX(LISTES!$F$105:$F$109,MATCH(CQ110,LISTES!$C$105:$C$109,0))="FIX",CR110,CS110*EQ110)))</f>
        <v/>
      </c>
      <c r="ET110" s="422"/>
      <c r="EU110" s="422"/>
      <c r="EV110" s="422"/>
      <c r="EW110" s="422"/>
      <c r="EX110" s="422"/>
      <c r="EY110" s="422"/>
      <c r="EZ110" s="422"/>
      <c r="FA110" s="432" t="str">
        <f>IF(A110=FALSE,"",Cotations!AT110)</f>
        <v/>
      </c>
      <c r="FB110" s="1235" t="str">
        <f>IF(A110=FALSE,"",IF(Detail!AL110="","N/A",YEAR(Detail!F110)&amp;Detail!AO110&amp;Detail!AL110&amp;"-"&amp;Detail!$AL$13&amp;Detail!AM110))</f>
        <v/>
      </c>
      <c r="FC110" s="434" t="str">
        <f>IF(A110=FALSE,"",IF(LISTES!$A$17=1,FB110,INDEX(colMOD2,MATCH(Cotations!AH110,colchoice,0))))</f>
        <v/>
      </c>
      <c r="FD110" s="277" t="str">
        <f t="shared" si="378"/>
        <v/>
      </c>
      <c r="FE110" s="443" t="str">
        <f>IF(A110=FALSE,"",IF(Detail!AM110="","",Detail!AM110))</f>
        <v/>
      </c>
      <c r="FF110" s="277"/>
      <c r="FG110" s="277"/>
      <c r="FH110" s="277" t="str">
        <f t="shared" si="379"/>
        <v/>
      </c>
      <c r="FI110" s="1104"/>
      <c r="FJ110" s="1104"/>
      <c r="FK110" s="443" t="str">
        <f>IF(A110=FALSE,"",IF(Cotations!AF110="monthly",FH110/12*L110,FH110/365*M110))</f>
        <v/>
      </c>
      <c r="FL110" s="1103" t="str">
        <f>IF(A110=FALSE,"",IF(Cotations!AF110="monthly",FJ110/12*L110,FJ110/365*M110))</f>
        <v/>
      </c>
      <c r="FM110" s="433" t="str">
        <f>IF(A110=FALSE,"",IF(Cotations!AJ110="","",Cotations!AJ110))</f>
        <v/>
      </c>
      <c r="FN110" s="277" t="str">
        <f t="shared" si="475"/>
        <v/>
      </c>
      <c r="FO110" s="277" t="str">
        <f t="shared" si="476"/>
        <v/>
      </c>
      <c r="FP110" s="1104"/>
      <c r="FQ110" s="277" t="str">
        <f t="shared" si="477"/>
        <v/>
      </c>
      <c r="FR110" s="759" t="str">
        <f>IF(A110=FALSE,"",((FH110*TAXE)-(FH110*TAXE*FM110))+IF(#REF!="N/A",0,IF(INDEX(LISTES!$F$105:$F$109,MATCH(#REF!,LISTES!$C$105:$C$109,0))="FIX",#REF!,#REF!*FQ110)))</f>
        <v/>
      </c>
      <c r="FS110" s="422"/>
      <c r="FT110" s="422"/>
      <c r="FU110" s="422"/>
      <c r="FV110" s="422"/>
      <c r="FW110" s="422"/>
      <c r="FX110" s="422"/>
      <c r="FY110" s="422"/>
      <c r="FZ110" s="422"/>
      <c r="GA110" s="432" t="str">
        <f t="shared" si="380"/>
        <v/>
      </c>
      <c r="GB110" s="1234" t="str">
        <f>IF(A110=FALSE,"",IF(Detail!DF110="","N/A",YEAR(Detail!F110)&amp;Detail!DI110&amp;Detail!DF110&amp;"-"&amp;Detail!$DF$13))</f>
        <v/>
      </c>
      <c r="GC110" s="434" t="str">
        <f>IF(A110=FALSE,"",IF(LISTES!$A$17=1,GB110,INDEX(colMOD3,MATCH(Cotations!AH110,colchoice,0))))</f>
        <v/>
      </c>
      <c r="GD110" s="277" t="str">
        <f t="shared" si="381"/>
        <v/>
      </c>
      <c r="GE110" s="277" t="str">
        <f t="shared" si="382"/>
        <v/>
      </c>
      <c r="GF110" s="277"/>
      <c r="GG110" s="277"/>
      <c r="GH110" s="277" t="str">
        <f t="shared" si="478"/>
        <v/>
      </c>
      <c r="GI110" s="1104" t="str">
        <f t="shared" si="479"/>
        <v/>
      </c>
      <c r="GJ110" s="1104" t="str">
        <f t="shared" si="480"/>
        <v/>
      </c>
      <c r="GK110" s="443" t="str">
        <f>IF(A110=FALSE,"",IF(Cotations!AF110="monthly",GH110/12*L110,GH110/365*M110))</f>
        <v/>
      </c>
      <c r="GL110" s="1103" t="str">
        <f>IF(A110=FALSE,"",IF(Cotations!AF110="monthly",GJ110/12*L110,GJ110/365*M110))</f>
        <v/>
      </c>
      <c r="GM110" s="433" t="str">
        <f>IF(A110=FALSE,"",IF(Cotations!AK110="","",Cotations!AK110))</f>
        <v/>
      </c>
      <c r="GN110" s="277" t="str">
        <f t="shared" si="481"/>
        <v/>
      </c>
      <c r="GO110" s="277" t="str">
        <f t="shared" si="482"/>
        <v/>
      </c>
      <c r="GP110" s="1104" t="str">
        <f t="shared" si="483"/>
        <v/>
      </c>
      <c r="GQ110" s="277" t="str">
        <f t="shared" si="484"/>
        <v/>
      </c>
      <c r="GR110" s="759" t="str">
        <f>IF(A110=FALSE,"",((GH110*TAXE)-(GH110*TAXE*GM110)+GI110)+IF(CQ110="N/A",0,IF(INDEX(LISTES!$F$105:$F$109,MATCH(CQ110,LISTES!$C$105:$C$109,0))="FIX",CR110,CS110*GQ110)))</f>
        <v/>
      </c>
      <c r="GS110" s="412"/>
      <c r="GT110" s="412"/>
      <c r="GU110" s="412"/>
      <c r="GV110" s="412"/>
      <c r="GW110" s="412"/>
      <c r="GX110" s="412"/>
      <c r="GY110" s="412"/>
      <c r="GZ110" s="412"/>
      <c r="HA110" s="432" t="str">
        <f t="shared" si="383"/>
        <v/>
      </c>
      <c r="HB110" s="1234" t="str">
        <f>IF(A110=FALSE,"",IF(Detail!DF110="","N/A",YEAR(Detail!F110)&amp;Detail!DI110&amp;Detail!DF110&amp;"-"&amp;Detail!$DF$13))</f>
        <v/>
      </c>
      <c r="HC110" s="434" t="str">
        <f>IF(A110=FALSE,"",IF(LISTES!$A$17=1,HB110,INDEX(colMOD4,MATCH(Cotations!AH110,colchoice,0))))</f>
        <v/>
      </c>
      <c r="HD110" s="277" t="str">
        <f t="shared" si="485"/>
        <v/>
      </c>
      <c r="HE110" s="277" t="str">
        <f t="shared" si="486"/>
        <v/>
      </c>
      <c r="HF110" s="277"/>
      <c r="HG110" s="277"/>
      <c r="HH110" s="277" t="str">
        <f t="shared" si="487"/>
        <v/>
      </c>
      <c r="HI110" s="1104" t="str">
        <f t="shared" si="488"/>
        <v/>
      </c>
      <c r="HJ110" s="1104" t="str">
        <f t="shared" si="489"/>
        <v/>
      </c>
      <c r="HK110" s="443" t="str">
        <f>IF(A110=FALSE,"",IF(Cotations!AF110="monthly",HH110/12*L110,HH110/365*M110))</f>
        <v/>
      </c>
      <c r="HL110" s="1103" t="str">
        <f>IF(A110=FALSE,"",IF(Cotations!AF110="monthly",HJ110/12*L110,HJ110/365*M110))</f>
        <v/>
      </c>
      <c r="HM110" s="433" t="str">
        <f>IF(A110=FALSE,"",IF(Cotations!AL110="","",Cotations!AL110))</f>
        <v/>
      </c>
      <c r="HN110" s="277" t="str">
        <f t="shared" si="490"/>
        <v/>
      </c>
      <c r="HO110" s="277" t="str">
        <f t="shared" si="491"/>
        <v/>
      </c>
      <c r="HP110" s="1104" t="str">
        <f t="shared" si="492"/>
        <v/>
      </c>
      <c r="HQ110" s="277" t="str">
        <f t="shared" si="493"/>
        <v/>
      </c>
      <c r="HR110" s="759" t="str">
        <f>IF(A110=FALSE,"",((HH110*TAXE)-(HH110*TAXE*HM110)+HI110)+IF(CQ110="N/A",0,IF(INDEX(LISTES!$F$105:$F$109,MATCH(CQ110,LISTES!$C$105:$C$109,0))="FIX",CR110,CS110*HQ110)))</f>
        <v/>
      </c>
      <c r="HS110" s="412"/>
      <c r="HT110" s="412"/>
      <c r="HU110" s="412"/>
      <c r="HV110" s="412"/>
      <c r="HW110" s="412"/>
      <c r="HX110" s="412"/>
      <c r="HY110" s="412"/>
      <c r="HZ110" s="1262"/>
      <c r="IA110" s="432" t="str">
        <f>IF(A110=FALSE,"",Cotations!AT110)</f>
        <v/>
      </c>
      <c r="IB110" s="1253" t="str">
        <f>IF(A110=FALSE,"",IF(Detail!AT110="","N/A",YEAR(Detail!F110)&amp;Detail!AW110&amp;Detail!AT110&amp;"-"&amp;Detail!$AT$13&amp;Detail!AU110))</f>
        <v/>
      </c>
      <c r="IC110" s="431" t="str">
        <f>IF(A110=FALSE,"",IF(LISTES!$A$17=1,IB110,INDEX(colMOD1,MATCH(DA110,colchoice,0))))</f>
        <v/>
      </c>
      <c r="ID110" s="759" t="str">
        <f t="shared" si="358"/>
        <v/>
      </c>
      <c r="IE110" s="292" t="str">
        <f>IF(A110=FALSE,"",IF(LISTES!$A$17=1,Detail!AU110,INDEX(Rates!$M$1:$M$270,MATCH(IC110,colMOD1,0))))</f>
        <v/>
      </c>
      <c r="IF110" s="409" t="str">
        <f t="shared" si="359"/>
        <v/>
      </c>
      <c r="IG110" s="430" t="str">
        <f>IF(A110=FALSE,"",IF(IA110="POEA",Cotations!AY110,IF(IA110="FIXE",Cotations!AZ110,IF(Cotations!BA110*Y110&lt;50000,Z110,Cotations!BA110*Y110))))</f>
        <v/>
      </c>
      <c r="IH110" s="292" t="str">
        <f t="shared" si="360"/>
        <v/>
      </c>
      <c r="II110" s="446" t="str">
        <f>IF(A110=FALSE,"",IF(Cotations!AU110="monthly",IH110/12*L110,IH110/365*M110))</f>
        <v/>
      </c>
      <c r="IJ110" s="429" t="str">
        <f>IF(A110=FALSE,"",IF(Cotations!BB110="","",Cotations!BB110))</f>
        <v/>
      </c>
      <c r="IK110" s="292" t="str">
        <f t="shared" si="361"/>
        <v/>
      </c>
      <c r="IL110" s="292" t="str">
        <f t="shared" si="362"/>
        <v/>
      </c>
      <c r="IM110" s="759" t="str">
        <f t="shared" si="363"/>
        <v/>
      </c>
      <c r="IN110" s="759" t="str">
        <f>IF(A110=FALSE,"",((IH110*TAXE)-(IH110*TAXE*IJ110))+IF(DQ110="N/A",0,IF(INDEX(LISTES!$F$105:$F$109,MATCH(DQ110,LISTES!$C$105:$C$109,0))="FIX",DR110,DS110*IM110)))</f>
        <v/>
      </c>
      <c r="JA110" s="432" t="str">
        <f>IF(A110=FALSE,"",Cotations!AT110)</f>
        <v/>
      </c>
      <c r="JB110" s="1234" t="str">
        <f>IF(A110=FALSE,"",IF(Detail!BB110="","N/A",YEAR(Detail!F110)&amp;Detail!BE110&amp;Detail!BB110&amp;"-"&amp;Detail!$BB$13&amp;Detail!BC110))</f>
        <v/>
      </c>
      <c r="JC110" s="431" t="str">
        <f>IF(A110=FALSE,"",IF(LISTES!$A$17=1,JB110,INDEX(colMOD2,MATCH(DA110,colchoice,0))))</f>
        <v/>
      </c>
      <c r="JD110" s="759" t="str">
        <f t="shared" si="384"/>
        <v/>
      </c>
      <c r="JE110" s="292"/>
      <c r="JF110" s="409" t="str">
        <f t="shared" si="385"/>
        <v/>
      </c>
      <c r="JG110" s="430" t="str">
        <f>IF(A110=FALSE,"",IF(JA110="POEA",Cotations!BC110,IF(JA110="FIXE",Cotations!BD110,IF(Cotations!BE110*Y110&lt;50000,Z110,Cotations!BE110*Y110))))</f>
        <v/>
      </c>
      <c r="JH110" s="292" t="str">
        <f t="shared" si="386"/>
        <v/>
      </c>
      <c r="JI110" s="446" t="str">
        <f>IF(A110=FALSE,"",IF(Cotations!AU110="monthly",JH110/12*L110,JH110/365*M110))</f>
        <v/>
      </c>
      <c r="JJ110" s="429" t="str">
        <f>IF(A110=FALSE,"",IF(Cotations!BF110="","",Cotations!BF110))</f>
        <v/>
      </c>
      <c r="JK110" s="292" t="str">
        <f t="shared" si="387"/>
        <v/>
      </c>
      <c r="JL110" s="292" t="str">
        <f t="shared" si="388"/>
        <v/>
      </c>
      <c r="JM110" s="759" t="str">
        <f t="shared" si="389"/>
        <v/>
      </c>
      <c r="JN110" s="759" t="str">
        <f>IF(A110=FALSE,"",((JH110*TAXE)-(JH110*TAXE*JJ110))+IF(#REF!="N/A",0,IF(INDEX(LISTES!$F$105:$F$109,MATCH(#REF!,LISTES!$C$105:$C$109,0))="FIX",#REF!,#REF!*JM110)))</f>
        <v/>
      </c>
      <c r="KA110" s="432" t="str">
        <f>IF(A110=FALSE,"",Cotations!AT110)</f>
        <v/>
      </c>
      <c r="KB110" s="1234" t="str">
        <f>IF(A110=FALSE,"",IF(Detail!BJ110="","N/A",YEAR(Detail!F110)&amp;Detail!BM110&amp;Detail!BJ110&amp;"-"&amp;Detail!$BJ$13&amp;Detail!BK110))</f>
        <v/>
      </c>
      <c r="KC110" s="431" t="str">
        <f>IF(A110=FALSE,"",IF(LISTES!$A$17=1,KB110,INDEX(colMOD3,MATCH(DA110,colchoice,0))))</f>
        <v/>
      </c>
      <c r="KD110" s="759" t="str">
        <f t="shared" si="390"/>
        <v/>
      </c>
      <c r="KE110" s="292"/>
      <c r="KF110" s="409" t="str">
        <f t="shared" si="391"/>
        <v/>
      </c>
      <c r="KG110" s="430" t="str">
        <f>IF(A110=FALSE,"",IF(KA110="POEA",Cotations!BG110,IF(KA110="FIXE",Cotations!BH110,IF(Cotations!BI110*Y110&lt;50000,Z110,Cotations!BI110*Y110))))</f>
        <v/>
      </c>
      <c r="KH110" s="292" t="str">
        <f t="shared" si="392"/>
        <v/>
      </c>
      <c r="KI110" s="446" t="str">
        <f>IF(A110=FALSE,"",IF(Cotations!AU110="monthly",KH110/12*L110,KH110/365*M110))</f>
        <v/>
      </c>
      <c r="KJ110" s="429" t="str">
        <f>IF(A110=FALSE,"",IF(Cotations!BJ110="","",Cotations!BJ110))</f>
        <v/>
      </c>
      <c r="KK110" s="292" t="str">
        <f t="shared" si="393"/>
        <v/>
      </c>
      <c r="KL110" s="292" t="str">
        <f t="shared" si="394"/>
        <v/>
      </c>
      <c r="KM110" s="759" t="str">
        <f t="shared" si="395"/>
        <v/>
      </c>
      <c r="KN110" s="759" t="str">
        <f>IF(A110=FALSE,"",((KH110*TAXE)-(KH110*TAXE*KJ110))+IF(#REF!="N/A",0,IF(INDEX(LISTES!$F$105:$F$109,MATCH(#REF!,LISTES!$C$105:$C$109,0))="FIX",#REF!,#REF!*KM110)))</f>
        <v/>
      </c>
      <c r="LA110" s="432" t="str">
        <f>IF(A110=FALSE,"",Cotations!AT110)</f>
        <v/>
      </c>
      <c r="LB110" s="1234" t="str">
        <f>IF(A110=FALSE,"",IF(Detail!BR110="","N/A",YEAR(Detail!F110)&amp;Detail!BU110&amp;Detail!BR110&amp;"-"&amp;Detail!$BR$13&amp;Detail!BS110))</f>
        <v/>
      </c>
      <c r="LC110" s="431" t="str">
        <f>IF(A110=FALSE,"",IF(LISTES!$A$17=1,LB110,INDEX(colMOD4,MATCH(DA110,colchoice,0))))</f>
        <v/>
      </c>
      <c r="LD110" s="759" t="str">
        <f t="shared" si="396"/>
        <v/>
      </c>
      <c r="LE110" s="292"/>
      <c r="LF110" s="409" t="str">
        <f t="shared" si="397"/>
        <v/>
      </c>
      <c r="LG110" s="430" t="str">
        <f>IF(A110=FALSE,"",IF(LA110="POEA",Cotations!BK110,IF(LA110="FIXE",Cotations!BL110,IF(Cotations!BM110*Y110&lt;50000,Z110,Cotations!BM110*Y110))))</f>
        <v/>
      </c>
      <c r="LH110" s="292" t="str">
        <f t="shared" si="398"/>
        <v/>
      </c>
      <c r="LI110" s="446" t="str">
        <f>IF(A110=FALSE,"",IF(Cotations!AU110="monthly",LH110/12*L110,LH110/365*M110))</f>
        <v/>
      </c>
      <c r="LJ110" s="429" t="str">
        <f>IF(A110=FALSE,"",IF(Cotations!BN110="","",Cotations!BN110))</f>
        <v/>
      </c>
      <c r="LK110" s="292" t="str">
        <f t="shared" si="399"/>
        <v/>
      </c>
      <c r="LL110" s="292" t="str">
        <f t="shared" si="400"/>
        <v/>
      </c>
      <c r="LM110" s="759" t="str">
        <f t="shared" si="401"/>
        <v/>
      </c>
      <c r="LN110" s="759" t="str">
        <f>IF(A110=FALSE,"",((LH110*TAXE)-(LH110*TAXE*LJ110))+IF(#REF!="N/A",0,IF(INDEX(LISTES!$F$105:$F$109,MATCH(#REF!,LISTES!$C$105:$C$109,0))="FIX",#REF!,#REF!*LM110)))</f>
        <v/>
      </c>
      <c r="MA110" s="432" t="str">
        <f t="shared" si="402"/>
        <v/>
      </c>
      <c r="MB110" s="1234" t="str">
        <f>IF(A110=FALSE,"",IF(Detail!BZ110="","N/A",YEAR(Detail!F110)&amp;Detail!CC110&amp;Detail!BZ110&amp;"-"&amp;Detail!$BZ$13&amp;" (100%/"&amp;Detail!CD110&amp;"/"&amp;Detail!CE110&amp;")"))</f>
        <v/>
      </c>
      <c r="MC110" s="431" t="str">
        <f>IF(A110=FALSE,"",IF(LISTES!$A$17=1,MB110,INDEX(colMOD5,MATCH(DA110,colchoice,0))))</f>
        <v/>
      </c>
      <c r="MD110" s="759" t="str">
        <f t="shared" si="403"/>
        <v/>
      </c>
      <c r="ME110" s="292"/>
      <c r="MF110" s="409" t="str">
        <f t="shared" si="404"/>
        <v/>
      </c>
      <c r="MG110" s="430" t="str">
        <f>IF(A110=FALSE,"",Cotations!BQ110*AA110)</f>
        <v/>
      </c>
      <c r="MH110" s="292" t="str">
        <f t="shared" si="405"/>
        <v/>
      </c>
      <c r="MI110" s="446" t="str">
        <f>IF(A110=FALSE,"",IF(Cotations!AU110="monthly",MH110/12*L110,MH110/365*M110))</f>
        <v/>
      </c>
      <c r="MJ110" s="429" t="str">
        <f>IF(A110=FALSE,"",IF(Cotations!BR110="","",Cotations!BR110))</f>
        <v/>
      </c>
      <c r="MK110" s="292" t="str">
        <f t="shared" si="406"/>
        <v/>
      </c>
      <c r="ML110" s="292" t="str">
        <f t="shared" si="407"/>
        <v/>
      </c>
      <c r="MM110" s="759" t="str">
        <f t="shared" si="408"/>
        <v/>
      </c>
      <c r="MN110" s="759" t="str">
        <f>IF(A110=FALSE,"",((MH110*TAXE)-(MH110*TAXE*MJ110))+IF(#REF!="N/A",0,IF(INDEX(LISTES!$F$105:$F$109,MATCH(#REF!,LISTES!$C$105:$C$109,0))="FIX",#REF!,#REF!*MM110)))</f>
        <v/>
      </c>
      <c r="NA110" s="432" t="str">
        <f t="shared" si="409"/>
        <v/>
      </c>
      <c r="NB110" s="1234" t="str">
        <f>IF(A110=FALSE,"",IF(Detail!CH110="","N/A",YEAR(Detail!F110)&amp;Detail!CK110&amp;Detail!CH110&amp;"-"&amp;Detail!$CH$13&amp;" (100%/"&amp;Detail!CL110&amp;"/"&amp;Detail!CM110&amp;")"))</f>
        <v/>
      </c>
      <c r="NC110" s="431" t="str">
        <f>IF(A110=FALSE,"",IF(LISTES!$A$17=1,NB110,INDEX(colMOD6,MATCH(DA110,colchoice,0))))</f>
        <v/>
      </c>
      <c r="ND110" s="759" t="str">
        <f t="shared" si="410"/>
        <v/>
      </c>
      <c r="NE110" s="292"/>
      <c r="NF110" s="409" t="str">
        <f t="shared" si="411"/>
        <v/>
      </c>
      <c r="NG110" s="430" t="str">
        <f>IF(A110=FALSE,"",Cotations!BU110*AA110)</f>
        <v/>
      </c>
      <c r="NH110" s="292" t="str">
        <f t="shared" si="412"/>
        <v/>
      </c>
      <c r="NI110" s="446" t="str">
        <f>IF(A110=FALSE,"",IF(Cotations!AU110="monthly",NH110/12*L110,NH110/365*M110))</f>
        <v/>
      </c>
      <c r="NJ110" s="429" t="str">
        <f>IF(A110=FALSE,"",IF(Cotations!BV110="","",Cotations!BV110))</f>
        <v/>
      </c>
      <c r="NK110" s="292" t="str">
        <f t="shared" si="413"/>
        <v/>
      </c>
      <c r="NL110" s="292" t="str">
        <f t="shared" si="414"/>
        <v/>
      </c>
      <c r="NM110" s="759" t="str">
        <f t="shared" si="415"/>
        <v/>
      </c>
      <c r="NN110" s="759" t="str">
        <f>IF(A110=FALSE,"",((NH110*TAXE)-(NH110*TAXE*NJ110))+IF(#REF!="N/A",0,IF(INDEX(LISTES!$F$105:$F$109,MATCH(#REF!,LISTES!$C$105:$C$109,0))="FIX",#REF!,#REF!*NM110)))</f>
        <v/>
      </c>
      <c r="NZ110" s="1281" t="str">
        <f>IF(A110=FALSE,"",IF(Detail!CP110="","N/A",YEAR(Detail!F110)&amp;Detail!CS110&amp;Detail!CP110&amp;"-"&amp;Detail!CQ110))</f>
        <v/>
      </c>
      <c r="OA110" s="432" t="str">
        <f>IF(A110=FALSE,"",Cotations!CF110)</f>
        <v/>
      </c>
      <c r="OB110" s="1282" t="str">
        <f>IF(A110=FALSE,"",IF(Detail!CP110="","N/A",YEAR(Detail!F110)&amp;Detail!CS110&amp;Detail!CP110&amp;"-"&amp;Detail!$CP$13&amp;Detail!CQ110))</f>
        <v/>
      </c>
      <c r="OC110" s="1283" t="str">
        <f>IF(A110=FALSE,"",IF(LISTES!$A$17=1,OB110,INDEX(colMOD1,MATCH(Cotations!CE110,colchoice,0))))</f>
        <v/>
      </c>
      <c r="OD110" s="759" t="str">
        <f t="shared" si="416"/>
        <v/>
      </c>
      <c r="OE110" s="292" t="str">
        <f>IF(A110=FALSE,"",Detail!CQ110)</f>
        <v/>
      </c>
      <c r="OF110" s="409" t="str">
        <f t="shared" si="417"/>
        <v/>
      </c>
      <c r="OG110" s="430" t="str">
        <f>IF(A110=FALSE,"",IF(OA110="FIXE",Cotations!CM110,Cotations!CN110*AA110))</f>
        <v/>
      </c>
      <c r="OH110" s="292" t="str">
        <f t="shared" si="494"/>
        <v/>
      </c>
      <c r="OI110" s="446" t="str">
        <f>IF(A110=FALSE,"",IF(Cotations!CF110="monthly",OH110/12*L110,OH110/365*M110))</f>
        <v/>
      </c>
      <c r="OJ110" s="429" t="str">
        <f>IF(A110=FALSE,"",IF(Cotations!CO110="","",Cotations!CO110))</f>
        <v/>
      </c>
      <c r="OK110" s="292" t="str">
        <f t="shared" si="495"/>
        <v/>
      </c>
      <c r="OL110" s="292" t="str">
        <f t="shared" si="496"/>
        <v/>
      </c>
      <c r="OM110" s="759" t="str">
        <f t="shared" si="418"/>
        <v/>
      </c>
      <c r="ON110" s="759" t="str">
        <f>IF(A110=FALSE,"",((OH110*(1+TAXE)-(OH110*(1+TAXE)*OJ110))+IF(#REF!="N/A",0,IF(INDEX(LISTES!$F$105:$F$109,MATCH(#REF!,LISTES!$C$105:$C$109,0))="FIX",#REF!,#REF!*OM110))))</f>
        <v/>
      </c>
      <c r="PA110" s="432" t="str">
        <f>IF(A110=FALSE,"",Cotations!CF110)</f>
        <v/>
      </c>
      <c r="PB110" s="1282" t="str">
        <f>IF(A110=FALSE,"",IF(Detail!CX110="","N/A",YEAR(Detail!F110)&amp;Detail!DA110&amp;Detail!CX110&amp;"-"&amp;Detail!$CX$13&amp;Detail!CY110))</f>
        <v/>
      </c>
      <c r="PC110" s="1283" t="str">
        <f>IF(A110=FALSE,"",IF(LISTES!$A$17=1,PB110,INDEX(colMOD3,MATCH(Cotations!CE110,colchoice,0))))</f>
        <v/>
      </c>
      <c r="PD110" s="759" t="str">
        <f t="shared" si="419"/>
        <v/>
      </c>
      <c r="PE110" s="292" t="str">
        <f>IF(A110=FALSE,"",IF(Detail!CY110="","",Detail!CY110))</f>
        <v/>
      </c>
      <c r="PF110" s="409" t="str">
        <f t="shared" si="497"/>
        <v/>
      </c>
      <c r="PG110" s="430" t="str">
        <f>IF(A110=FALSE,"",IF(PA110="FIXE",Cotations!CP110,Cotations!CQ110*AA110))</f>
        <v/>
      </c>
      <c r="PH110" s="292" t="str">
        <f t="shared" si="498"/>
        <v/>
      </c>
      <c r="PI110" s="446" t="str">
        <f>IF(A110=FALSE,"",IF(Cotations!CG110="monthly",PH110/12*L110,PH110/365*M110))</f>
        <v/>
      </c>
      <c r="PJ110" s="429" t="str">
        <f>IF(A110=FALSE,"",IF(Cotations!DA110="",0,Cotations!DA110))</f>
        <v/>
      </c>
      <c r="PK110" s="292" t="str">
        <f t="shared" si="499"/>
        <v/>
      </c>
      <c r="PL110" s="292" t="str">
        <f t="shared" si="500"/>
        <v/>
      </c>
      <c r="PM110" s="759" t="str">
        <f t="shared" si="420"/>
        <v/>
      </c>
      <c r="PN110" s="759" t="str">
        <f>IF(A110=FALSE,"",((PH110*(1+TAXE)-(PH110*(1+TAXE)*PJ110))+IF(#REF!="N/A",0,IF(INDEX(LISTES!$F$105:$F$109,MATCH(#REF!,LISTES!$C$105:$C$109,0))="FIX",#REF!,#REF!*PM110))))</f>
        <v/>
      </c>
    </row>
    <row r="111" spans="1:430">
      <c r="A111" s="779" t="b">
        <f t="shared" ref="A111:A120" si="501">IF(B111=FALSE,FALSE,IF(C111=FALSE,FALSE,IF(D111=FALSE,FALSE,TRUE)))</f>
        <v>0</v>
      </c>
      <c r="B111" s="779" t="b">
        <f>IF(NAMES!$B$9=TRUE,TRUE,FALSE)</f>
        <v>1</v>
      </c>
      <c r="C111" s="779" t="b">
        <f t="shared" si="421"/>
        <v>0</v>
      </c>
      <c r="D111" s="779" t="b">
        <f t="shared" si="422"/>
        <v>0</v>
      </c>
      <c r="E111" s="267" t="b">
        <f>IF(Cotations!C111="","",Cotations!C111)</f>
        <v>0</v>
      </c>
      <c r="F111" s="267" t="str">
        <f>IF(Cotations!AT111="","",Cotations!AT111)</f>
        <v>PROP</v>
      </c>
      <c r="G111" s="267" t="str">
        <f>IF(Cotations!D111="","",Cotations!D111)</f>
        <v>2016-2017!</v>
      </c>
      <c r="H111" s="267" t="str">
        <f>IF(Cotations!E111="","",Cotations!E111)</f>
        <v>SINGLE</v>
      </c>
      <c r="I111" s="267" t="str">
        <f>IF(Cotations!F111="","",Cotations!F111)</f>
        <v/>
      </c>
      <c r="J111" s="267" t="str">
        <f>IF(Cotations!G111="","",Cotations!G111)</f>
        <v/>
      </c>
      <c r="K111" s="267" t="str">
        <f>IF(Cotations!H111="","",Cotations!H111)</f>
        <v/>
      </c>
      <c r="L111" s="267" t="str">
        <f>IF(A111=FALSE,"",IF(Cotations!M111="","",Cotations!M111))</f>
        <v/>
      </c>
      <c r="M111" s="267" t="str">
        <f>IF(Cotations!O111="","",Cotations!O111)</f>
        <v/>
      </c>
      <c r="N111" s="588" t="str">
        <f>IF(NAMES!$B$10=TRUE,Cotations!I111,Cotations!K111)</f>
        <v/>
      </c>
      <c r="O111" s="588" t="str">
        <f>IF(NAMES!$B$10=TRUE,Cotations!J111,Cotations!L111)</f>
        <v/>
      </c>
      <c r="P111" s="780" t="str">
        <f t="shared" si="423"/>
        <v/>
      </c>
      <c r="Q111" s="588" t="str">
        <f>IF(A111=FALSE,"",IF(Crewlist!Y111="","",Crewlist!Y111))</f>
        <v/>
      </c>
      <c r="R111" s="78" t="str">
        <f>IF(Cotations!T111="","",Cotations!T111)</f>
        <v/>
      </c>
      <c r="S111" s="780" t="str">
        <f t="shared" si="424"/>
        <v/>
      </c>
      <c r="T111" s="759" t="str">
        <f>IF(A111=FALSE,"",VLOOKUP($U$15:$U$120,Currency!$A$2:$D$10,4,0)*Crewlist!N111)</f>
        <v/>
      </c>
      <c r="U111" s="1097" t="str">
        <f>IF(A111=FALSE,"",IF(DP111=0,Crewlist!M111&amp;"/"&amp;CP111,Crewlist!M111&amp;"/"&amp;DP111))</f>
        <v/>
      </c>
      <c r="V111" s="759" t="str">
        <f>IF(A111=FALSE,"",VLOOKUP($U$15:$U$120,Currency!$A$2:$D$10,4,0)*Detail!Q111)</f>
        <v/>
      </c>
      <c r="W111" s="1097" t="str">
        <f>IF(A111=FALSE,"",IF(DP111=0,Detail!R111&amp;"/"&amp;CP111,Detail!R111&amp;"/"&amp;DP111))</f>
        <v/>
      </c>
      <c r="X111" s="759" t="str">
        <f>IF(A111=FALSE,"",IF(LISTES!$C$17="Crewlist",Calcul!T111,Calcul!V111))</f>
        <v/>
      </c>
      <c r="Y111" s="618" t="str">
        <f t="shared" si="425"/>
        <v/>
      </c>
      <c r="Z111" s="618" t="str">
        <f>IF(A111=FALSE,"",IF(X111=0,0,IF((Cotations!BA111*12*X111)&lt;50000,50000,(12*X111))))</f>
        <v/>
      </c>
      <c r="AA111" s="618" t="str">
        <f t="shared" si="426"/>
        <v/>
      </c>
      <c r="AB111" s="618" t="str">
        <f>IF(A111=FALSE,"",IF(Crewlist!O111=0,"",Crewlist!O111))</f>
        <v/>
      </c>
      <c r="AC111" s="618" t="str">
        <f>IF(I111="","",VLOOKUP($AB$15:$AB$120,Currency!$A$15:$B$34,2,0))</f>
        <v/>
      </c>
      <c r="AD111" s="618" t="str">
        <f t="shared" si="427"/>
        <v/>
      </c>
      <c r="AE111" s="618" t="str">
        <f t="shared" si="428"/>
        <v/>
      </c>
      <c r="AF111" s="618" t="str">
        <f t="shared" si="429"/>
        <v/>
      </c>
      <c r="AG111" s="618" t="str">
        <f t="shared" si="430"/>
        <v/>
      </c>
      <c r="AH111" s="1097" t="str">
        <f t="shared" ref="AH111:AH120" si="502">IF(A111=FALSE,"",CP111)</f>
        <v/>
      </c>
      <c r="AI111" s="759" t="str">
        <f t="shared" si="431"/>
        <v/>
      </c>
      <c r="AJ111" s="1120" t="str">
        <f t="shared" si="432"/>
        <v/>
      </c>
      <c r="AK111" s="1120" t="str">
        <f t="shared" si="433"/>
        <v/>
      </c>
      <c r="AL111" s="236" t="str">
        <f t="shared" si="434"/>
        <v/>
      </c>
      <c r="AM111" s="236" t="str">
        <f t="shared" si="435"/>
        <v/>
      </c>
      <c r="AN111" s="1112" t="str">
        <f t="shared" si="436"/>
        <v/>
      </c>
      <c r="AO111" s="236" t="str">
        <f t="shared" si="437"/>
        <v/>
      </c>
      <c r="AP111" s="327" t="str">
        <f>IF(A111=FALSE,"",INDEX(Rates!$Q$1:$Q$278,MATCH(CA111,colchoice,0)))</f>
        <v/>
      </c>
      <c r="AQ111" s="236" t="str">
        <f t="shared" si="438"/>
        <v/>
      </c>
      <c r="AR111" s="236" t="str">
        <f t="shared" si="439"/>
        <v/>
      </c>
      <c r="AS111" s="236" t="str">
        <f t="shared" ref="AS111:AS120" si="503">IF(A111=FALSE,"",SUM(AU111:AV111)*TAXE)</f>
        <v/>
      </c>
      <c r="AT111" s="236" t="str">
        <f t="shared" ref="AT111:AT120" si="504">IF(A111=FALSE,"",SUM(AW111:BB111)*TAXE)</f>
        <v/>
      </c>
      <c r="AU111" s="236" t="str">
        <f t="shared" si="440"/>
        <v/>
      </c>
      <c r="AV111" s="236" t="str">
        <f t="shared" si="441"/>
        <v/>
      </c>
      <c r="AW111" s="236" t="str">
        <f t="shared" si="442"/>
        <v/>
      </c>
      <c r="AX111" s="236" t="str">
        <f t="shared" si="443"/>
        <v/>
      </c>
      <c r="AY111" s="236" t="str">
        <f t="shared" si="444"/>
        <v/>
      </c>
      <c r="AZ111" s="236" t="str">
        <f t="shared" si="445"/>
        <v/>
      </c>
      <c r="BA111" s="236" t="str">
        <f t="shared" si="446"/>
        <v/>
      </c>
      <c r="BB111" s="467" t="str">
        <f t="shared" si="447"/>
        <v/>
      </c>
      <c r="BC111" s="329" t="str">
        <f t="shared" si="448"/>
        <v/>
      </c>
      <c r="BD111" s="237" t="str">
        <f t="shared" si="449"/>
        <v/>
      </c>
      <c r="BE111" s="237" t="str">
        <f>IF(A111=FALSE,"",IF(ED111&lt;&gt;$BC$7,0,INDEX(EA111:EZ111,1,MATCH(Structure!$J$16,$EA$14:$EZ$14,0))))</f>
        <v/>
      </c>
      <c r="BF111" s="237" t="str">
        <f>IF(A111=FALSE,"",IF(FD111&lt;&gt;$BC$7,0,INDEX(FA111:FZ111,1,MATCH(Structure!$J$16,$FA$14:$FZ$14,0))))</f>
        <v/>
      </c>
      <c r="BG111" s="237" t="str">
        <f>IF(A111=FALSE,"",IF(GD111&lt;&gt;$BC$7,0,INDEX(GA111:GZ111,1,MATCH(Structure!$J$16,$GA$14:$GZ$14,0))))</f>
        <v/>
      </c>
      <c r="BH111" s="237" t="str">
        <f>IF(A111=FALSE,"",IF(HD111&lt;&gt;$BC$7,0,INDEX(HA111:HZ111,1,MATCH(Structure!$J$16,$HA$14:$HZ$14,0))))</f>
        <v/>
      </c>
      <c r="BI111" s="621" t="str">
        <f>IF(A111=FALSE,"",IF(ID111&lt;&gt;$BC$7,0,INDEX(IA111:IZ111,1,MATCH(Structure!$C$12,$IA$14:$IZ$14,0)))+OL111)</f>
        <v/>
      </c>
      <c r="BJ111" s="237" t="str">
        <f>IF(A111=FALSE,"",IF(JD111&lt;&gt;$BC$7,0,INDEX(JA111:JZ111,1,MATCH(Structure!$C$12,$JA$14:$JZ$14,0))))</f>
        <v/>
      </c>
      <c r="BK111" s="621" t="str">
        <f>IF(A111=FALSE,"",IF(KD111&lt;&gt;$BC$7,0,INDEX(KA111:KZ111,1,MATCH(Structure!$C$12,$KA$14:$KZ$14,0)))+PL111)</f>
        <v/>
      </c>
      <c r="BL111" s="237" t="str">
        <f>IF(A111=FALSE,"",IF(LD111&lt;&gt;$BC$7,0,INDEX(LA111:LZ111,1,MATCH(Structure!$C$12,$LA$14:$LZ$14,0))))</f>
        <v/>
      </c>
      <c r="BM111" s="237" t="str">
        <f>IF(A111=FALSE,"",IF(MD111&lt;&gt;$BC$7,0,INDEX(MA111:MZ111,1,MATCH(Structure!$C$12,$MA$14:$MZ$14,0))))</f>
        <v/>
      </c>
      <c r="BN111" s="326" t="str">
        <f>IF(A111=FALSE,"",IF(ND111&lt;&gt;$BC$7,0,INDEX(NA111:OC111,1,MATCH(Structure!$C$12,$NA$14:$OC$14,0))))</f>
        <v/>
      </c>
      <c r="BO111" s="435" t="str">
        <f t="shared" si="450"/>
        <v/>
      </c>
      <c r="BP111" s="237" t="str">
        <f t="shared" si="451"/>
        <v/>
      </c>
      <c r="BQ111" s="237" t="str">
        <f>IF(A111=FALSE,"",IF(ED111&lt;&gt;$BO$7,0,INDEX(EA111:EZ111,1,MATCH(Structure!$C$12,$EA$14:$EZ$14,0))))</f>
        <v/>
      </c>
      <c r="BR111" s="237" t="str">
        <f>IF(A111=FALSE,"",IF(FD111&lt;&gt;$BO$7,0,INDEX(FA111:FZ111,1,MATCH(Structure!$C$12,$FA$14:$FZ$14,0))))</f>
        <v/>
      </c>
      <c r="BS111" s="237" t="str">
        <f>IF(A111=FALSE,"",IF(ID111&lt;&gt;$BO$7,0,INDEX(IA111:IZ111,1,MATCH(Structure!$C$13,$IA$14:$IZ$14,0))))</f>
        <v/>
      </c>
      <c r="BT111" s="237" t="str">
        <f>IF(A111=FALSE,"",IF(JD111&lt;&gt;$BO$7,0,INDEX(JA111:JZ111,1,MATCH(Structure!$C$13,$JA$14:$JZ$14,0))))</f>
        <v/>
      </c>
      <c r="BU111" s="237" t="str">
        <f>IF(A111=FALSE,"",IF(KD111&lt;&gt;$BO$7,0,INDEX(KA111:KZ111,1,MATCH(Structure!$C$13,$KA$14:$KZ$14,0))))</f>
        <v/>
      </c>
      <c r="BV111" s="237" t="str">
        <f>IF(A111=FALSE,"",IF(LD111&lt;&gt;$BO$7,0,INDEX(LA111:LZ111,1,MATCH(Structure!$C$13,$LA$14:$LZ$14,0))))</f>
        <v/>
      </c>
      <c r="BW111" s="237" t="str">
        <f>IF(A111=FALSE,"",IF(MD111&lt;&gt;$BO$7,0,INDEX(MA111:MZ111,1,MATCH(Structure!$C$13,$MA$14:$MZ$14,0))))</f>
        <v/>
      </c>
      <c r="BX111" s="326" t="str">
        <f>IF(A111=FALSE,"",IF(ND111&lt;&gt;$BO$7,0,INDEX(NA111:OC111,1,MATCH(Structure!$C$13,$NA$14:$OC$14,0))))</f>
        <v/>
      </c>
      <c r="BY111" s="412"/>
      <c r="BZ111" s="412"/>
      <c r="CA111" s="1255" t="str">
        <f>IF(A111=FALSE,"",IF(LISTES!$A$17=1,Cotations!AG111,Cotations!AH111))</f>
        <v/>
      </c>
      <c r="CB111" s="1266" t="str">
        <f t="shared" si="452"/>
        <v/>
      </c>
      <c r="CC111" s="1120" t="str">
        <f t="shared" si="453"/>
        <v/>
      </c>
      <c r="CD111" s="1120" t="str">
        <f t="shared" si="454"/>
        <v/>
      </c>
      <c r="CE111" s="1120" t="str">
        <f t="shared" si="455"/>
        <v/>
      </c>
      <c r="CF111" s="1120" t="str">
        <f t="shared" si="456"/>
        <v/>
      </c>
      <c r="CG111" s="1267"/>
      <c r="CH111" s="1267"/>
      <c r="CI111" s="1268" t="str">
        <f t="shared" si="457"/>
        <v/>
      </c>
      <c r="CJ111" s="286" t="str">
        <f t="shared" si="458"/>
        <v/>
      </c>
      <c r="CK111" s="286" t="str">
        <f t="shared" si="459"/>
        <v/>
      </c>
      <c r="CL111" s="1263"/>
      <c r="CM111" s="1263"/>
      <c r="CN111" s="1263"/>
      <c r="CO111" s="1263"/>
      <c r="CP111" s="319" t="str">
        <f t="shared" si="460"/>
        <v/>
      </c>
      <c r="CQ111" s="443" t="str">
        <f>IF(A111=FALSE,"",Cotations!AM111)</f>
        <v/>
      </c>
      <c r="CR111" s="443" t="str">
        <f>IF(A111=FALSE,"",IF(Cotations!AN111="","",Cotations!AN111))</f>
        <v/>
      </c>
      <c r="CS111" s="433" t="str">
        <f>IF(A111=FALSE,"",Cotations!AO111)</f>
        <v/>
      </c>
      <c r="CT111" s="443" t="str">
        <f>IF(A111=FALSE,"",IF(CQ111="N/A",0,IF(INDEX(LISTES!$F$105:$F$109,MATCH(CQ111,LISTES!$C$105:$C$109,0))="FIX",IF(INDEX(LISTES!$E$105:$E$109,MATCH(CQ111,LISTES!$C$105:$C$109,0))=12,CR111/12*L111,CR111/365*M111),CS111*EQ111)))</f>
        <v/>
      </c>
      <c r="CU111" s="434" t="str">
        <f>IF(A111=FALSE,"",(CJ111+CK111)*Cotations!AP111)</f>
        <v/>
      </c>
      <c r="CV111" s="434" t="str">
        <f>IF(A111=FALSE,"",(CJ111+CK111)*Cotations!AQ111)</f>
        <v/>
      </c>
      <c r="DA111" s="1253" t="str">
        <f>IF(A111=FALSE,"",IF(LISTES!$A$17=1,Cotations!AV111,Cotations!AW111))</f>
        <v/>
      </c>
      <c r="DB111" s="1271" t="str">
        <f t="shared" si="461"/>
        <v/>
      </c>
      <c r="DC111" s="1270" t="str">
        <f t="shared" si="462"/>
        <v/>
      </c>
      <c r="DD111" s="1270" t="str">
        <f t="shared" si="463"/>
        <v/>
      </c>
      <c r="DE111" s="1270" t="str">
        <f t="shared" si="464"/>
        <v/>
      </c>
      <c r="DF111" s="1270" t="str">
        <f t="shared" si="465"/>
        <v/>
      </c>
      <c r="DG111" s="1270" t="str">
        <f t="shared" si="466"/>
        <v/>
      </c>
      <c r="DH111" s="1270" t="str">
        <f t="shared" si="467"/>
        <v/>
      </c>
      <c r="DI111" s="1271" t="str">
        <f t="shared" si="468"/>
        <v/>
      </c>
      <c r="DJ111" s="286" t="str">
        <f t="shared" si="469"/>
        <v/>
      </c>
      <c r="DK111" s="286" t="str">
        <f t="shared" si="470"/>
        <v/>
      </c>
      <c r="DL111" s="1264" t="str">
        <f t="shared" si="471"/>
        <v/>
      </c>
      <c r="DM111" s="1264" t="str">
        <f t="shared" si="472"/>
        <v/>
      </c>
      <c r="DN111" s="1264" t="str">
        <f t="shared" si="473"/>
        <v/>
      </c>
      <c r="DO111" s="1264" t="str">
        <f t="shared" si="474"/>
        <v/>
      </c>
      <c r="DP111" s="323" t="str">
        <f t="shared" ref="DP111:DP120" si="505">IF(A111=FALSE,"",INDEX(colCurrency,MATCH(IC111,colMOD1,0)))</f>
        <v/>
      </c>
      <c r="DQ111" s="444" t="str">
        <f>IF(A111=FALSE,"",Cotations!BW111)</f>
        <v/>
      </c>
      <c r="DR111" s="444" t="str">
        <f>IF(A111=FALSE,"",Cotations!BX111)</f>
        <v/>
      </c>
      <c r="DS111" s="433" t="str">
        <f>IF(A111=FALSE,"",Cotations!BY111)</f>
        <v/>
      </c>
      <c r="DT111" s="830" t="str">
        <f>IF(A111=FALSE,"",IF(DQ111="N/A",0,IF(INDEX(LISTES!$F$105:$F$109,MATCH(DQ111,LISTES!$C$105:$C$109,0))="FIX",IF(INDEX(LISTES!$E$105:$E$109,MATCH(DQ111,LISTES!$C$105:$C$109,0))=12,DR111/12*L111,DR111/365*M111),DS111*(DN111+DO111))))</f>
        <v/>
      </c>
      <c r="DU111" s="434" t="str">
        <f>IF(A111=FALSE,"",DJ111*Cotations!BZ111)</f>
        <v/>
      </c>
      <c r="DV111" s="434" t="str">
        <f>IF(A111=FALSE,"",DJ111*Cotations!CA111)</f>
        <v/>
      </c>
      <c r="EA111" s="432" t="str">
        <f>IF(A111=FALSE,"",Cotations!AT111)</f>
        <v/>
      </c>
      <c r="EB111" s="1234" t="str">
        <f>IF(A111=FALSE,"",YEAR(Detail!F111)&amp;Detail!AG111&amp;Detail!AD111&amp;"-"&amp;Detail!$AD$13&amp;Detail!AE111)</f>
        <v/>
      </c>
      <c r="EC111" s="434" t="str">
        <f>IF(A111=FALSE,"",IF(LISTES!$A$17=1,EB111,INDEX(colMOD1,MATCH(Cotations!AH111,colchoice,0))))</f>
        <v/>
      </c>
      <c r="ED111" s="277" t="str">
        <f t="shared" ref="ED111:ED120" si="506">IF(A111=FALSE,"",INDEX(colAssureur,MATCH(EC111,colMOD1,0)))</f>
        <v/>
      </c>
      <c r="EE111" s="277" t="str">
        <f t="shared" ref="EE111:EE120" si="507">IF(A111=FALSE,"",IF(N111="","",INDEX(colProduct,MATCH(EC111,colMOD1,0))))</f>
        <v/>
      </c>
      <c r="EF111" s="277"/>
      <c r="EG111" s="277"/>
      <c r="EH111" s="277" t="str">
        <f t="shared" ref="EH111:EH120" si="508">IF(A111=FALSE,"",INDEX(colMOD1HT,MATCH(EC111,colMOD1,0)))</f>
        <v/>
      </c>
      <c r="EI111" s="1104" t="str">
        <f t="shared" ref="EI111:EI120" si="509">IF(A111=FALSE,"",INDEX(colSURCOM,MATCH(EC111,colMOD1,0)))</f>
        <v/>
      </c>
      <c r="EJ111" s="1104" t="str">
        <f t="shared" ref="EJ111:EJ120" si="510">IF(A111=FALSE,"",INDEX(colRatesHTsurcom,MATCH(EC111,colMOD1,0)))</f>
        <v/>
      </c>
      <c r="EK111" s="443" t="str">
        <f>IF(A111=FALSE,"",IF(Cotations!AF111="monthly",EH111/12*L111,EH111/365*M111))</f>
        <v/>
      </c>
      <c r="EL111" s="1103" t="str">
        <f>IF(A111=FALSE,"",IF(Cotations!AF111="monthly",EJ111/12*L111,EJ111/365*M111))</f>
        <v/>
      </c>
      <c r="EM111" s="433" t="str">
        <f>IF(A111=FALSE,"",IF(Cotations!AI111="","",Cotations!AI111))</f>
        <v/>
      </c>
      <c r="EN111" s="277" t="str">
        <f t="shared" ref="EN111:EN120" si="511">IF(A111=FALSE,"",EK111*EM111)</f>
        <v/>
      </c>
      <c r="EO111" s="277" t="str">
        <f t="shared" ref="EO111:EO120" si="512">IF(A111=FALSE,"",EK111-EN111)</f>
        <v/>
      </c>
      <c r="EP111" s="1104" t="str">
        <f t="shared" ref="EP111:EP120" si="513">IF(A111=FALSE,"",IF(EI111=0,0,EL111-(EK111-EN111)))</f>
        <v/>
      </c>
      <c r="EQ111" s="277" t="str">
        <f t="shared" ref="EQ111:EQ120" si="514">IF(A111=FALSE,"",(EO111*TAXE)+EP111)</f>
        <v/>
      </c>
      <c r="ER111" s="759" t="str">
        <f>IF(A111=FALSE,"",((EH111*TAXE)-(EH111*TAXE*EM111)+EI111)+IF(CQ111="N/A",0,IF(INDEX(LISTES!$F$105:$F$109,MATCH(CQ111,LISTES!$C$105:$C$109,0))="FIX",CR111,CS111*EQ111)))</f>
        <v/>
      </c>
      <c r="ET111" s="422"/>
      <c r="EU111" s="422"/>
      <c r="EV111" s="422"/>
      <c r="EW111" s="422"/>
      <c r="EX111" s="422"/>
      <c r="EY111" s="422"/>
      <c r="EZ111" s="422"/>
      <c r="FA111" s="432" t="str">
        <f>IF(A111=FALSE,"",Cotations!AT111)</f>
        <v/>
      </c>
      <c r="FB111" s="1235" t="str">
        <f>IF(A111=FALSE,"",IF(Detail!AL111="","N/A",YEAR(Detail!F111)&amp;Detail!AO111&amp;Detail!AL111&amp;"-"&amp;Detail!$AL$13&amp;Detail!AM111))</f>
        <v/>
      </c>
      <c r="FC111" s="434" t="str">
        <f>IF(A111=FALSE,"",IF(LISTES!$A$17=1,FB111,INDEX(colMOD2,MATCH(Cotations!AH111,colchoice,0))))</f>
        <v/>
      </c>
      <c r="FD111" s="277" t="str">
        <f t="shared" ref="FD111:FD120" si="515">IF(A111=FALSE,"",INDEX(colAssureur,MATCH(FC111,colMOD2,0)))</f>
        <v/>
      </c>
      <c r="FE111" s="443" t="str">
        <f>IF(A111=FALSE,"",IF(Detail!AM111="","",Detail!AM111))</f>
        <v/>
      </c>
      <c r="FF111" s="277"/>
      <c r="FG111" s="277"/>
      <c r="FH111" s="277" t="str">
        <f t="shared" ref="FH111:FH120" si="516">IF(A111=FALSE,"",INDEX(colMOD2HT,MATCH(FC111,colMOD2,0)))</f>
        <v/>
      </c>
      <c r="FI111" s="1104"/>
      <c r="FJ111" s="1104"/>
      <c r="FK111" s="443" t="str">
        <f>IF(A111=FALSE,"",IF(Cotations!AF111="monthly",FH111/12*L111,FH111/365*M111))</f>
        <v/>
      </c>
      <c r="FL111" s="1103" t="str">
        <f>IF(A111=FALSE,"",IF(Cotations!AF111="monthly",FJ111/12*L111,FJ111/365*M111))</f>
        <v/>
      </c>
      <c r="FM111" s="433" t="str">
        <f>IF(A111=FALSE,"",IF(Cotations!AJ111="","",Cotations!AJ111))</f>
        <v/>
      </c>
      <c r="FN111" s="277" t="str">
        <f t="shared" si="475"/>
        <v/>
      </c>
      <c r="FO111" s="277" t="str">
        <f t="shared" si="476"/>
        <v/>
      </c>
      <c r="FP111" s="1104"/>
      <c r="FQ111" s="277" t="str">
        <f t="shared" si="477"/>
        <v/>
      </c>
      <c r="FR111" s="759" t="str">
        <f>IF(A111=FALSE,"",((FH111*TAXE)-(FH111*TAXE*FM111))+IF(#REF!="N/A",0,IF(INDEX(LISTES!$F$105:$F$109,MATCH(#REF!,LISTES!$C$105:$C$109,0))="FIX",#REF!,#REF!*FQ111)))</f>
        <v/>
      </c>
      <c r="FS111" s="422"/>
      <c r="FT111" s="422"/>
      <c r="FU111" s="422"/>
      <c r="FV111" s="422"/>
      <c r="FW111" s="422"/>
      <c r="FX111" s="422"/>
      <c r="FY111" s="422"/>
      <c r="FZ111" s="422"/>
      <c r="GA111" s="432" t="str">
        <f t="shared" ref="GA111:GA120" si="517">IF(A111=FALSE,"",EA111)</f>
        <v/>
      </c>
      <c r="GB111" s="1234" t="str">
        <f>IF(A111=FALSE,"",IF(Detail!DF111="","N/A",YEAR(Detail!F111)&amp;Detail!DI111&amp;Detail!DF111&amp;"-"&amp;Detail!$DF$13))</f>
        <v/>
      </c>
      <c r="GC111" s="434" t="str">
        <f>IF(A111=FALSE,"",IF(LISTES!$A$17=1,GB111,INDEX(colMOD3,MATCH(Cotations!AH111,colchoice,0))))</f>
        <v/>
      </c>
      <c r="GD111" s="277" t="str">
        <f t="shared" ref="GD111:GD120" si="518">IF(A111=FALSE,"",INDEX(colAssureur,MATCH(GC111,colMOD3,0)))</f>
        <v/>
      </c>
      <c r="GE111" s="277" t="str">
        <f t="shared" ref="GE111:GE120" si="519">IF(A111=FALSE,"",INDEX(colProduct,MATCH(GC111,colMOD3,0)))</f>
        <v/>
      </c>
      <c r="GF111" s="277"/>
      <c r="GG111" s="277"/>
      <c r="GH111" s="277" t="str">
        <f t="shared" si="478"/>
        <v/>
      </c>
      <c r="GI111" s="1104" t="str">
        <f t="shared" si="479"/>
        <v/>
      </c>
      <c r="GJ111" s="1104" t="str">
        <f t="shared" si="480"/>
        <v/>
      </c>
      <c r="GK111" s="443" t="str">
        <f>IF(A111=FALSE,"",IF(Cotations!AF111="monthly",GH111/12*L111,GH111/365*M111))</f>
        <v/>
      </c>
      <c r="GL111" s="1103" t="str">
        <f>IF(A111=FALSE,"",IF(Cotations!AF111="monthly",GJ111/12*L111,GJ111/365*M111))</f>
        <v/>
      </c>
      <c r="GM111" s="433" t="str">
        <f>IF(A111=FALSE,"",IF(Cotations!AK111="","",Cotations!AK111))</f>
        <v/>
      </c>
      <c r="GN111" s="277" t="str">
        <f t="shared" si="481"/>
        <v/>
      </c>
      <c r="GO111" s="277" t="str">
        <f t="shared" si="482"/>
        <v/>
      </c>
      <c r="GP111" s="1104" t="str">
        <f t="shared" si="483"/>
        <v/>
      </c>
      <c r="GQ111" s="277" t="str">
        <f t="shared" si="484"/>
        <v/>
      </c>
      <c r="GR111" s="759" t="str">
        <f>IF(A111=FALSE,"",((GH111*TAXE)-(GH111*TAXE*GM111)+GI111)+IF(CQ111="N/A",0,IF(INDEX(LISTES!$F$105:$F$109,MATCH(CQ111,LISTES!$C$105:$C$109,0))="FIX",CR111,CS111*GQ111)))</f>
        <v/>
      </c>
      <c r="GS111" s="412"/>
      <c r="GT111" s="412"/>
      <c r="GU111" s="412"/>
      <c r="GV111" s="412"/>
      <c r="GW111" s="412"/>
      <c r="GX111" s="412"/>
      <c r="GY111" s="412"/>
      <c r="GZ111" s="412"/>
      <c r="HA111" s="432" t="str">
        <f t="shared" ref="HA111:HA120" si="520">IF(A111=FALSE,"",EA111)</f>
        <v/>
      </c>
      <c r="HB111" s="1234" t="str">
        <f>IF(A111=FALSE,"",IF(Detail!DF111="","N/A",YEAR(Detail!F111)&amp;Detail!DI111&amp;Detail!DF111&amp;"-"&amp;Detail!$DF$13))</f>
        <v/>
      </c>
      <c r="HC111" s="434" t="str">
        <f>IF(A111=FALSE,"",IF(LISTES!$A$17=1,HB111,INDEX(colMOD4,MATCH(Cotations!AH111,colchoice,0))))</f>
        <v/>
      </c>
      <c r="HD111" s="277" t="str">
        <f t="shared" si="485"/>
        <v/>
      </c>
      <c r="HE111" s="277" t="str">
        <f t="shared" si="486"/>
        <v/>
      </c>
      <c r="HF111" s="277"/>
      <c r="HG111" s="277"/>
      <c r="HH111" s="277" t="str">
        <f t="shared" si="487"/>
        <v/>
      </c>
      <c r="HI111" s="1104" t="str">
        <f t="shared" si="488"/>
        <v/>
      </c>
      <c r="HJ111" s="1104" t="str">
        <f t="shared" si="489"/>
        <v/>
      </c>
      <c r="HK111" s="443" t="str">
        <f>IF(A111=FALSE,"",IF(Cotations!AF111="monthly",HH111/12*L111,HH111/365*M111))</f>
        <v/>
      </c>
      <c r="HL111" s="1103" t="str">
        <f>IF(A111=FALSE,"",IF(Cotations!AF111="monthly",HJ111/12*L111,HJ111/365*M111))</f>
        <v/>
      </c>
      <c r="HM111" s="433" t="str">
        <f>IF(A111=FALSE,"",IF(Cotations!AL111="","",Cotations!AL111))</f>
        <v/>
      </c>
      <c r="HN111" s="277" t="str">
        <f t="shared" si="490"/>
        <v/>
      </c>
      <c r="HO111" s="277" t="str">
        <f t="shared" si="491"/>
        <v/>
      </c>
      <c r="HP111" s="1104" t="str">
        <f t="shared" si="492"/>
        <v/>
      </c>
      <c r="HQ111" s="277" t="str">
        <f t="shared" si="493"/>
        <v/>
      </c>
      <c r="HR111" s="759" t="str">
        <f>IF(A111=FALSE,"",((HH111*TAXE)-(HH111*TAXE*HM111)+HI111)+IF(CQ111="N/A",0,IF(INDEX(LISTES!$F$105:$F$109,MATCH(CQ111,LISTES!$C$105:$C$109,0))="FIX",CR111,CS111*HQ111)))</f>
        <v/>
      </c>
      <c r="HS111" s="412"/>
      <c r="HT111" s="412"/>
      <c r="HU111" s="412"/>
      <c r="HV111" s="412"/>
      <c r="HW111" s="412"/>
      <c r="HX111" s="412"/>
      <c r="HY111" s="412"/>
      <c r="HZ111" s="1262"/>
      <c r="IA111" s="432" t="str">
        <f>IF(A111=FALSE,"",Cotations!AT111)</f>
        <v/>
      </c>
      <c r="IB111" s="1253" t="str">
        <f>IF(A111=FALSE,"",IF(Detail!AT111="","N/A",YEAR(Detail!F111)&amp;Detail!AW111&amp;Detail!AT111&amp;"-"&amp;Detail!$AT$13&amp;Detail!AU111))</f>
        <v/>
      </c>
      <c r="IC111" s="431" t="str">
        <f>IF(A111=FALSE,"",IF(LISTES!$A$17=1,IB111,INDEX(colMOD1,MATCH(DA111,colchoice,0))))</f>
        <v/>
      </c>
      <c r="ID111" s="759" t="str">
        <f t="shared" si="358"/>
        <v/>
      </c>
      <c r="IE111" s="292" t="str">
        <f>IF(A111=FALSE,"",IF(LISTES!$A$17=1,Detail!AU111,INDEX(Rates!$M$1:$M$270,MATCH(IC111,colMOD1,0))))</f>
        <v/>
      </c>
      <c r="IF111" s="409" t="str">
        <f t="shared" si="359"/>
        <v/>
      </c>
      <c r="IG111" s="430" t="str">
        <f>IF(A111=FALSE,"",IF(IA111="POEA",Cotations!AY111,IF(IA111="FIXE",Cotations!AZ111,IF(Cotations!BA111*Y111&lt;50000,Z111,Cotations!BA111*Y111))))</f>
        <v/>
      </c>
      <c r="IH111" s="292" t="str">
        <f t="shared" si="360"/>
        <v/>
      </c>
      <c r="II111" s="446" t="str">
        <f>IF(A111=FALSE,"",IF(Cotations!AU111="monthly",IH111/12*L111,IH111/365*M111))</f>
        <v/>
      </c>
      <c r="IJ111" s="429" t="str">
        <f>IF(A111=FALSE,"",IF(Cotations!BB111="","",Cotations!BB111))</f>
        <v/>
      </c>
      <c r="IK111" s="292" t="str">
        <f t="shared" si="361"/>
        <v/>
      </c>
      <c r="IL111" s="292" t="str">
        <f t="shared" si="362"/>
        <v/>
      </c>
      <c r="IM111" s="759" t="str">
        <f t="shared" si="363"/>
        <v/>
      </c>
      <c r="IN111" s="759" t="str">
        <f>IF(A111=FALSE,"",((IH111*TAXE)-(IH111*TAXE*IJ111))+IF(DQ111="N/A",0,IF(INDEX(LISTES!$F$105:$F$109,MATCH(DQ111,LISTES!$C$105:$C$109,0))="FIX",DR111,DS111*IM111)))</f>
        <v/>
      </c>
      <c r="JA111" s="432" t="str">
        <f>IF(A111=FALSE,"",Cotations!AT111)</f>
        <v/>
      </c>
      <c r="JB111" s="1234" t="str">
        <f>IF(A111=FALSE,"",IF(Detail!BB111="","N/A",YEAR(Detail!F111)&amp;Detail!BE111&amp;Detail!BB111&amp;"-"&amp;Detail!$BB$13&amp;Detail!BC111))</f>
        <v/>
      </c>
      <c r="JC111" s="431" t="str">
        <f>IF(A111=FALSE,"",IF(LISTES!$A$17=1,JB111,INDEX(colMOD2,MATCH(DA111,colchoice,0))))</f>
        <v/>
      </c>
      <c r="JD111" s="759" t="str">
        <f t="shared" ref="JD111:JD120" si="521">IF(A111=FALSE,"",INDEX(colAssureur,MATCH(JC111,colMOD2,0)))</f>
        <v/>
      </c>
      <c r="JE111" s="292"/>
      <c r="JF111" s="409" t="str">
        <f t="shared" ref="JF111:JF120" si="522">IF(A111=FALSE,"",IF(JA111="POEA",$JA$2,INDEX(colMOD2HT,MATCH(JC111,colMOD2,0))))</f>
        <v/>
      </c>
      <c r="JG111" s="430" t="str">
        <f>IF(A111=FALSE,"",IF(JA111="POEA",Cotations!BC111,IF(JA111="FIXE",Cotations!BD111,IF(Cotations!BE111*Y111&lt;50000,Z111,Cotations!BE111*Y111))))</f>
        <v/>
      </c>
      <c r="JH111" s="292" t="str">
        <f t="shared" ref="JH111:JH120" si="523">IF(A111=FALSE,"",IF(JC111="N/A",0,JG111*INDEX(colMOD2HT,MATCH(JC111,colMOD2,0))))</f>
        <v/>
      </c>
      <c r="JI111" s="446" t="str">
        <f>IF(A111=FALSE,"",IF(Cotations!AU111="monthly",JH111/12*L111,JH111/365*M111))</f>
        <v/>
      </c>
      <c r="JJ111" s="429" t="str">
        <f>IF(A111=FALSE,"",IF(Cotations!BF111="","",Cotations!BF111))</f>
        <v/>
      </c>
      <c r="JK111" s="292" t="str">
        <f t="shared" ref="JK111:JK120" si="524">IF(A111=FALSE,"",JI111*JJ111)</f>
        <v/>
      </c>
      <c r="JL111" s="292" t="str">
        <f t="shared" ref="JL111:JL120" si="525">IF(A111=FALSE,"",JI111-JK111)</f>
        <v/>
      </c>
      <c r="JM111" s="759" t="str">
        <f t="shared" ref="JM111:JM120" si="526">IF(A111=FALSE,"",JL111*TAXE)</f>
        <v/>
      </c>
      <c r="JN111" s="759" t="str">
        <f>IF(A111=FALSE,"",((JH111*TAXE)-(JH111*TAXE*JJ111))+IF(#REF!="N/A",0,IF(INDEX(LISTES!$F$105:$F$109,MATCH(#REF!,LISTES!$C$105:$C$109,0))="FIX",#REF!,#REF!*JM111)))</f>
        <v/>
      </c>
      <c r="KA111" s="432" t="str">
        <f>IF(A111=FALSE,"",Cotations!AT111)</f>
        <v/>
      </c>
      <c r="KB111" s="1234" t="str">
        <f>IF(A111=FALSE,"",IF(Detail!BJ111="","N/A",YEAR(Detail!F111)&amp;Detail!BM111&amp;Detail!BJ111&amp;"-"&amp;Detail!$BJ$13&amp;Detail!BK111))</f>
        <v/>
      </c>
      <c r="KC111" s="431" t="str">
        <f>IF(A111=FALSE,"",IF(LISTES!$A$17=1,KB111,INDEX(colMOD3,MATCH(DA111,colchoice,0))))</f>
        <v/>
      </c>
      <c r="KD111" s="759" t="str">
        <f t="shared" ref="KD111:KD120" si="527">IF(A111=FALSE,"",INDEX(colAssureur,MATCH(KC111,colMOD3,0)))</f>
        <v/>
      </c>
      <c r="KE111" s="292"/>
      <c r="KF111" s="409" t="str">
        <f t="shared" ref="KF111:KF120" si="528">IF(A111=FALSE,"",IF(KA111="POEA",$KA$2,INDEX(colMOD1HT,MATCH(KC111,colMOD3,0))))</f>
        <v/>
      </c>
      <c r="KG111" s="430" t="str">
        <f>IF(A111=FALSE,"",IF(KA111="POEA",Cotations!BG111,IF(KA111="FIXE",Cotations!BH111,IF(Cotations!BI111*Y111&lt;50000,Z111,Cotations!BI111*Y111))))</f>
        <v/>
      </c>
      <c r="KH111" s="292" t="str">
        <f t="shared" ref="KH111:KH120" si="529">IF(A111=FALSE,"",IF(KC111="N/A",0,KG111*INDEX(colMOD3HT,MATCH(KC111,colMOD3,0))))</f>
        <v/>
      </c>
      <c r="KI111" s="446" t="str">
        <f>IF(A111=FALSE,"",IF(Cotations!AU111="monthly",KH111/12*L111,KH111/365*M111))</f>
        <v/>
      </c>
      <c r="KJ111" s="429" t="str">
        <f>IF(A111=FALSE,"",IF(Cotations!BJ111="","",Cotations!BJ111))</f>
        <v/>
      </c>
      <c r="KK111" s="292" t="str">
        <f t="shared" ref="KK111:KK120" si="530">IF(A111=FALSE,"",KI111*KJ111)</f>
        <v/>
      </c>
      <c r="KL111" s="292" t="str">
        <f t="shared" ref="KL111:KL120" si="531">IF(A111=FALSE,"",KI111-KK111)</f>
        <v/>
      </c>
      <c r="KM111" s="759" t="str">
        <f t="shared" ref="KM111:KM120" si="532">IF(A111=FALSE,"",KL111*TAXE)</f>
        <v/>
      </c>
      <c r="KN111" s="759" t="str">
        <f>IF(A111=FALSE,"",((KH111*TAXE)-(KH111*TAXE*KJ111))+IF(#REF!="N/A",0,IF(INDEX(LISTES!$F$105:$F$109,MATCH(#REF!,LISTES!$C$105:$C$109,0))="FIX",#REF!,#REF!*KM111)))</f>
        <v/>
      </c>
      <c r="LA111" s="432" t="str">
        <f>IF(A111=FALSE,"",Cotations!AT111)</f>
        <v/>
      </c>
      <c r="LB111" s="1234" t="str">
        <f>IF(A111=FALSE,"",IF(Detail!BR111="","N/A",YEAR(Detail!F111)&amp;Detail!BU111&amp;Detail!BR111&amp;"-"&amp;Detail!$BR$13&amp;Detail!BS111))</f>
        <v/>
      </c>
      <c r="LC111" s="431" t="str">
        <f>IF(A111=FALSE,"",IF(LISTES!$A$17=1,LB111,INDEX(colMOD4,MATCH(DA111,colchoice,0))))</f>
        <v/>
      </c>
      <c r="LD111" s="759" t="str">
        <f t="shared" ref="LD111:LD120" si="533">IF(A111=FALSE,"",INDEX(colAssureur,MATCH(LC111,colMOD4,0)))</f>
        <v/>
      </c>
      <c r="LE111" s="292"/>
      <c r="LF111" s="409" t="str">
        <f t="shared" ref="LF111:LF120" si="534">IF(A111=FALSE,"",IF(LA111="POEA",$LA$2,INDEX(colMOD4HT,MATCH(LC111,colMOD4,0))))</f>
        <v/>
      </c>
      <c r="LG111" s="430" t="str">
        <f>IF(A111=FALSE,"",IF(LA111="POEA",Cotations!BK111,IF(LA111="FIXE",Cotations!BL111,IF(Cotations!BM111*Y111&lt;50000,Z111,Cotations!BM111*Y111))))</f>
        <v/>
      </c>
      <c r="LH111" s="292" t="str">
        <f t="shared" ref="LH111:LH120" si="535">IF(A111=FALSE,"",IF(LC111="N/A",0,LG111*INDEX(colMOD4HT,MATCH(LC111,colMOD4,0))))</f>
        <v/>
      </c>
      <c r="LI111" s="446" t="str">
        <f>IF(A111=FALSE,"",IF(Cotations!AU111="monthly",LH111/12*L111,LH111/365*M111))</f>
        <v/>
      </c>
      <c r="LJ111" s="429" t="str">
        <f>IF(A111=FALSE,"",IF(Cotations!BN111="","",Cotations!BN111))</f>
        <v/>
      </c>
      <c r="LK111" s="292" t="str">
        <f t="shared" ref="LK111:LK120" si="536">IF(A111=FALSE,"",LI111*LJ111)</f>
        <v/>
      </c>
      <c r="LL111" s="292" t="str">
        <f t="shared" ref="LL111:LL120" si="537">IF(A111=FALSE,"",LI111-LK111)</f>
        <v/>
      </c>
      <c r="LM111" s="759" t="str">
        <f t="shared" ref="LM111:LM120" si="538">IF(A111=FALSE,"",LL111*TAXE)</f>
        <v/>
      </c>
      <c r="LN111" s="759" t="str">
        <f>IF(A111=FALSE,"",((LH111*TAXE)-(LH111*TAXE*LJ111))+IF(#REF!="N/A",0,IF(INDEX(LISTES!$F$105:$F$109,MATCH(#REF!,LISTES!$C$105:$C$109,0))="FIX",#REF!,#REF!*LM111)))</f>
        <v/>
      </c>
      <c r="MA111" s="432" t="str">
        <f t="shared" ref="MA111:MA120" si="539">IF(A111=FALSE,"","PROP")</f>
        <v/>
      </c>
      <c r="MB111" s="1234" t="str">
        <f>IF(A111=FALSE,"",IF(Detail!BZ111="","N/A",YEAR(Detail!F111)&amp;Detail!CC111&amp;Detail!BZ111&amp;"-"&amp;Detail!$BZ$13&amp;" (100%/"&amp;Detail!CD111&amp;"/"&amp;Detail!CE111&amp;")"))</f>
        <v/>
      </c>
      <c r="MC111" s="431" t="str">
        <f>IF(A111=FALSE,"",IF(LISTES!$A$17=1,MB111,INDEX(colMOD5,MATCH(DA111,colchoice,0))))</f>
        <v/>
      </c>
      <c r="MD111" s="759" t="str">
        <f t="shared" ref="MD111:MD120" si="540">IF(A111=FALSE,"",INDEX(colAssureur,MATCH(MC111,colMOD5,0)))</f>
        <v/>
      </c>
      <c r="ME111" s="292"/>
      <c r="MF111" s="409" t="str">
        <f t="shared" ref="MF111:MF120" si="541">IF(A111=FALSE,"",IF(MA111="POEA",$MA$2,INDEX(colMOD5HT,MATCH(MC111,colMOD5,0))))</f>
        <v/>
      </c>
      <c r="MG111" s="430" t="str">
        <f>IF(A111=FALSE,"",Cotations!BQ111*AA111)</f>
        <v/>
      </c>
      <c r="MH111" s="292" t="str">
        <f t="shared" ref="MH111:MH120" si="542">IF(A111=FALSE,"",IF(MC111="N/A",0,MG111*INDEX(colMOD5HT,MATCH(MC111,colMOD5,0))))</f>
        <v/>
      </c>
      <c r="MI111" s="446" t="str">
        <f>IF(A111=FALSE,"",IF(Cotations!AU111="monthly",MH111/12*L111,MH111/365*M111))</f>
        <v/>
      </c>
      <c r="MJ111" s="429" t="str">
        <f>IF(A111=FALSE,"",IF(Cotations!BR111="","",Cotations!BR111))</f>
        <v/>
      </c>
      <c r="MK111" s="292" t="str">
        <f t="shared" ref="MK111:MK120" si="543">IF(A111=FALSE,"",MI111*MJ111)</f>
        <v/>
      </c>
      <c r="ML111" s="292" t="str">
        <f t="shared" ref="ML111:ML120" si="544">IF(A111=FALSE,"",MI111-MK111)</f>
        <v/>
      </c>
      <c r="MM111" s="759" t="str">
        <f t="shared" ref="MM111:MM120" si="545">IF(A111=FALSE,"",ML111*TAXE)</f>
        <v/>
      </c>
      <c r="MN111" s="759" t="str">
        <f>IF(A111=FALSE,"",((MH111*TAXE)-(MH111*TAXE*MJ111))+IF(#REF!="N/A",0,IF(INDEX(LISTES!$F$105:$F$109,MATCH(#REF!,LISTES!$C$105:$C$109,0))="FIX",#REF!,#REF!*MM111)))</f>
        <v/>
      </c>
      <c r="NA111" s="432" t="str">
        <f t="shared" ref="NA111:NA120" si="546">IF(A111=FALSE,"","PROP")</f>
        <v/>
      </c>
      <c r="NB111" s="1234" t="str">
        <f>IF(A111=FALSE,"",IF(Detail!CH111="","N/A",YEAR(Detail!F111)&amp;Detail!CK111&amp;Detail!CH111&amp;"-"&amp;Detail!$CH$13&amp;" (100%/"&amp;Detail!CL111&amp;"/"&amp;Detail!CM111&amp;")"))</f>
        <v/>
      </c>
      <c r="NC111" s="431" t="str">
        <f>IF(A111=FALSE,"",IF(LISTES!$A$17=1,NB111,INDEX(colMOD6,MATCH(DA111,colchoice,0))))</f>
        <v/>
      </c>
      <c r="ND111" s="759" t="str">
        <f t="shared" ref="ND111:ND120" si="547">IF(A111=FALSE,"",INDEX(colAssureur,MATCH(NC111,colMOD6,0)))</f>
        <v/>
      </c>
      <c r="NE111" s="292"/>
      <c r="NF111" s="409" t="str">
        <f t="shared" ref="NF111:NF120" si="548">IF(A111=FALSE,"",IF(NA111="POEA",$NA$2,INDEX(colMOD5HT,MATCH(NC111,colMOD6,0))))</f>
        <v/>
      </c>
      <c r="NG111" s="430" t="str">
        <f>IF(A111=FALSE,"",Cotations!BU111*AA111)</f>
        <v/>
      </c>
      <c r="NH111" s="292" t="str">
        <f t="shared" ref="NH111:NH120" si="549">IF(A111=FALSE,"",IF(NC111="N/A",0,NG111*INDEX(colMOD6HT,MATCH(NC111,colMOD6,0))))</f>
        <v/>
      </c>
      <c r="NI111" s="446" t="str">
        <f>IF(A111=FALSE,"",IF(Cotations!AU111="monthly",NH111/12*L111,NH111/365*M111))</f>
        <v/>
      </c>
      <c r="NJ111" s="429" t="str">
        <f>IF(A111=FALSE,"",IF(Cotations!BV111="","",Cotations!BV111))</f>
        <v/>
      </c>
      <c r="NK111" s="292" t="str">
        <f t="shared" ref="NK111:NK120" si="550">IF(A111=FALSE,"",NI111*NJ111)</f>
        <v/>
      </c>
      <c r="NL111" s="292" t="str">
        <f t="shared" ref="NL111:NL120" si="551">IF(A111=FALSE,"",NI111-NK111)</f>
        <v/>
      </c>
      <c r="NM111" s="759" t="str">
        <f t="shared" ref="NM111:NM120" si="552">IF(A111=FALSE,"",NL111*TAXE)</f>
        <v/>
      </c>
      <c r="NN111" s="759" t="str">
        <f>IF(A111=FALSE,"",((NH111*TAXE)-(NH111*TAXE*NJ111))+IF(#REF!="N/A",0,IF(INDEX(LISTES!$F$105:$F$109,MATCH(#REF!,LISTES!$C$105:$C$109,0))="FIX",#REF!,#REF!*NM111)))</f>
        <v/>
      </c>
      <c r="NZ111" s="1281" t="str">
        <f>IF(A111=FALSE,"",IF(Detail!CP111="","N/A",YEAR(Detail!F111)&amp;Detail!CS111&amp;Detail!CP111&amp;"-"&amp;Detail!CQ111))</f>
        <v/>
      </c>
      <c r="OA111" s="432" t="str">
        <f>IF(A111=FALSE,"",Cotations!CF111)</f>
        <v/>
      </c>
      <c r="OB111" s="1282" t="str">
        <f>IF(A111=FALSE,"",IF(Detail!CP111="","N/A",YEAR(Detail!F111)&amp;Detail!CS111&amp;Detail!CP111&amp;"-"&amp;Detail!$CP$13&amp;Detail!CQ111))</f>
        <v/>
      </c>
      <c r="OC111" s="1283" t="str">
        <f>IF(A111=FALSE,"",IF(LISTES!$A$17=1,OB111,INDEX(colMOD1,MATCH(Cotations!CE111,colchoice,0))))</f>
        <v/>
      </c>
      <c r="OD111" s="759" t="str">
        <f t="shared" ref="OD111:OD120" si="553">IF(A111=FALSE,"",INDEX(colAssureur,MATCH(OC111,colMOD1,0)))</f>
        <v/>
      </c>
      <c r="OE111" s="292" t="str">
        <f>IF(A111=FALSE,"",Detail!CQ111)</f>
        <v/>
      </c>
      <c r="OF111" s="409" t="str">
        <f t="shared" ref="OF111:OF120" si="554">IF(A111=FALSE,"",IF(OC111="",0,INDEX(colMOD1HT,MATCH(OC111,colMOD1,0))))</f>
        <v/>
      </c>
      <c r="OG111" s="430" t="str">
        <f>IF(A111=FALSE,"",IF(OA111="FIXE",Cotations!CM111,Cotations!CN111*AA111))</f>
        <v/>
      </c>
      <c r="OH111" s="292" t="str">
        <f t="shared" si="494"/>
        <v/>
      </c>
      <c r="OI111" s="446" t="str">
        <f>IF(A111=FALSE,"",IF(Cotations!CF111="monthly",OH111/12*L111,OH111/365*M111))</f>
        <v/>
      </c>
      <c r="OJ111" s="429" t="str">
        <f>IF(A111=FALSE,"",IF(Cotations!CO111="","",Cotations!CO111))</f>
        <v/>
      </c>
      <c r="OK111" s="292" t="str">
        <f t="shared" si="495"/>
        <v/>
      </c>
      <c r="OL111" s="292" t="str">
        <f t="shared" si="496"/>
        <v/>
      </c>
      <c r="OM111" s="759" t="str">
        <f t="shared" ref="OM111:OM120" si="555">IF(A111=FALSE,"",OL111*TAXE)</f>
        <v/>
      </c>
      <c r="ON111" s="759" t="str">
        <f>IF(A111=FALSE,"",((OH111*(1+TAXE)-(OH111*(1+TAXE)*OJ111))+IF(#REF!="N/A",0,IF(INDEX(LISTES!$F$105:$F$109,MATCH(#REF!,LISTES!$C$105:$C$109,0))="FIX",#REF!,#REF!*OM111))))</f>
        <v/>
      </c>
      <c r="PA111" s="432" t="str">
        <f>IF(A111=FALSE,"",Cotations!CF111)</f>
        <v/>
      </c>
      <c r="PB111" s="1282" t="str">
        <f>IF(A111=FALSE,"",IF(Detail!CX111="","N/A",YEAR(Detail!F111)&amp;Detail!DA111&amp;Detail!CX111&amp;"-"&amp;Detail!$CX$13&amp;Detail!CY111))</f>
        <v/>
      </c>
      <c r="PC111" s="1283" t="str">
        <f>IF(A111=FALSE,"",IF(LISTES!$A$17=1,PB111,INDEX(colMOD3,MATCH(Cotations!CE111,colchoice,0))))</f>
        <v/>
      </c>
      <c r="PD111" s="759" t="str">
        <f t="shared" ref="PD111:PD120" si="556">IF(A111=FALSE,"",INDEX(colAssureur,MATCH(PC111,colMOD3,0)))</f>
        <v/>
      </c>
      <c r="PE111" s="292" t="str">
        <f>IF(A111=FALSE,"",IF(Detail!CY111="","",Detail!CY111))</f>
        <v/>
      </c>
      <c r="PF111" s="409" t="str">
        <f t="shared" si="497"/>
        <v/>
      </c>
      <c r="PG111" s="430" t="str">
        <f>IF(A111=FALSE,"",IF(PA111="FIXE",Cotations!CP111,Cotations!CQ111*AA111))</f>
        <v/>
      </c>
      <c r="PH111" s="292" t="str">
        <f t="shared" si="498"/>
        <v/>
      </c>
      <c r="PI111" s="446" t="str">
        <f>IF(A111=FALSE,"",IF(Cotations!CG111="monthly",PH111/12*L111,PH111/365*M111))</f>
        <v/>
      </c>
      <c r="PJ111" s="429" t="str">
        <f>IF(A111=FALSE,"",IF(Cotations!DA111="",0,Cotations!DA111))</f>
        <v/>
      </c>
      <c r="PK111" s="292" t="str">
        <f t="shared" si="499"/>
        <v/>
      </c>
      <c r="PL111" s="292" t="str">
        <f t="shared" si="500"/>
        <v/>
      </c>
      <c r="PM111" s="759" t="str">
        <f t="shared" ref="PM111:PM120" si="557">IF(A111=FALSE,"",PL111*TAXE)</f>
        <v/>
      </c>
      <c r="PN111" s="759" t="str">
        <f>IF(A111=FALSE,"",((PH111*(1+TAXE)-(PH111*(1+TAXE)*PJ111))+IF(#REF!="N/A",0,IF(INDEX(LISTES!$F$105:$F$109,MATCH(#REF!,LISTES!$C$105:$C$109,0))="FIX",#REF!,#REF!*PM111))))</f>
        <v/>
      </c>
    </row>
    <row r="112" spans="1:430">
      <c r="A112" s="779" t="b">
        <f t="shared" si="501"/>
        <v>0</v>
      </c>
      <c r="B112" s="779" t="b">
        <f>IF(NAMES!$B$9=TRUE,TRUE,FALSE)</f>
        <v>1</v>
      </c>
      <c r="C112" s="779" t="b">
        <f t="shared" si="421"/>
        <v>0</v>
      </c>
      <c r="D112" s="779" t="b">
        <f t="shared" si="422"/>
        <v>0</v>
      </c>
      <c r="E112" s="267" t="b">
        <f>IF(Cotations!C112="","",Cotations!C112)</f>
        <v>0</v>
      </c>
      <c r="F112" s="267" t="str">
        <f>IF(Cotations!AT112="","",Cotations!AT112)</f>
        <v>PROP</v>
      </c>
      <c r="G112" s="267" t="str">
        <f>IF(Cotations!D112="","",Cotations!D112)</f>
        <v>2016-2017!</v>
      </c>
      <c r="H112" s="267" t="str">
        <f>IF(Cotations!E112="","",Cotations!E112)</f>
        <v/>
      </c>
      <c r="I112" s="267" t="str">
        <f>IF(Cotations!F112="","",Cotations!F112)</f>
        <v/>
      </c>
      <c r="J112" s="267" t="str">
        <f>IF(Cotations!G112="","",Cotations!G112)</f>
        <v/>
      </c>
      <c r="K112" s="267" t="str">
        <f>IF(Cotations!H112="","",Cotations!H112)</f>
        <v/>
      </c>
      <c r="L112" s="267" t="str">
        <f>IF(A112=FALSE,"",IF(Cotations!M112="","",Cotations!M112))</f>
        <v/>
      </c>
      <c r="M112" s="267" t="str">
        <f>IF(Cotations!O112="","",Cotations!O112)</f>
        <v/>
      </c>
      <c r="N112" s="588" t="str">
        <f>IF(NAMES!$B$10=TRUE,Cotations!I112,Cotations!K112)</f>
        <v/>
      </c>
      <c r="O112" s="588" t="str">
        <f>IF(NAMES!$B$10=TRUE,Cotations!J112,Cotations!L112)</f>
        <v/>
      </c>
      <c r="P112" s="780" t="str">
        <f t="shared" si="423"/>
        <v/>
      </c>
      <c r="Q112" s="588" t="str">
        <f>IF(A112=FALSE,"",IF(Crewlist!Y112="","",Crewlist!Y112))</f>
        <v/>
      </c>
      <c r="R112" s="78" t="str">
        <f>IF(Cotations!T112="","",Cotations!T112)</f>
        <v/>
      </c>
      <c r="S112" s="780" t="str">
        <f t="shared" si="424"/>
        <v/>
      </c>
      <c r="T112" s="759" t="str">
        <f>IF(A112=FALSE,"",VLOOKUP($U$15:$U$120,Currency!$A$2:$D$10,4,0)*Crewlist!N112)</f>
        <v/>
      </c>
      <c r="U112" s="1097" t="str">
        <f>IF(A112=FALSE,"",IF(DP112=0,Crewlist!M112&amp;"/"&amp;CP112,Crewlist!M112&amp;"/"&amp;DP112))</f>
        <v/>
      </c>
      <c r="V112" s="759" t="str">
        <f>IF(A112=FALSE,"",VLOOKUP($U$15:$U$120,Currency!$A$2:$D$10,4,0)*Detail!Q112)</f>
        <v/>
      </c>
      <c r="W112" s="1097" t="str">
        <f>IF(A112=FALSE,"",IF(DP112=0,Detail!R112&amp;"/"&amp;CP112,Detail!R112&amp;"/"&amp;DP112))</f>
        <v/>
      </c>
      <c r="X112" s="759" t="str">
        <f>IF(A112=FALSE,"",IF(LISTES!$C$17="Crewlist",Calcul!T112,Calcul!V112))</f>
        <v/>
      </c>
      <c r="Y112" s="618" t="str">
        <f t="shared" si="425"/>
        <v/>
      </c>
      <c r="Z112" s="618" t="str">
        <f>IF(A112=FALSE,"",IF(X112=0,0,IF((Cotations!BA112*12*X112)&lt;50000,50000,(12*X112))))</f>
        <v/>
      </c>
      <c r="AA112" s="618" t="str">
        <f t="shared" si="426"/>
        <v/>
      </c>
      <c r="AB112" s="618" t="str">
        <f>IF(A112=FALSE,"",IF(Crewlist!O112=0,"",Crewlist!O112))</f>
        <v/>
      </c>
      <c r="AC112" s="618" t="str">
        <f>IF(I112="","",VLOOKUP($AB$15:$AB$120,Currency!$A$15:$B$34,2,0))</f>
        <v/>
      </c>
      <c r="AD112" s="618" t="str">
        <f t="shared" si="427"/>
        <v/>
      </c>
      <c r="AE112" s="618" t="str">
        <f t="shared" si="428"/>
        <v/>
      </c>
      <c r="AF112" s="618" t="str">
        <f t="shared" si="429"/>
        <v/>
      </c>
      <c r="AG112" s="618" t="str">
        <f t="shared" si="430"/>
        <v/>
      </c>
      <c r="AH112" s="1097" t="str">
        <f t="shared" si="502"/>
        <v/>
      </c>
      <c r="AI112" s="759" t="str">
        <f t="shared" si="431"/>
        <v/>
      </c>
      <c r="AJ112" s="1120" t="str">
        <f t="shared" si="432"/>
        <v/>
      </c>
      <c r="AK112" s="1120" t="str">
        <f t="shared" si="433"/>
        <v/>
      </c>
      <c r="AL112" s="236" t="str">
        <f t="shared" si="434"/>
        <v/>
      </c>
      <c r="AM112" s="236" t="str">
        <f t="shared" si="435"/>
        <v/>
      </c>
      <c r="AN112" s="1112" t="str">
        <f t="shared" si="436"/>
        <v/>
      </c>
      <c r="AO112" s="236" t="str">
        <f t="shared" si="437"/>
        <v/>
      </c>
      <c r="AP112" s="327" t="str">
        <f>IF(A112=FALSE,"",INDEX(Rates!$Q$1:$Q$278,MATCH(CA112,colchoice,0)))</f>
        <v/>
      </c>
      <c r="AQ112" s="236" t="str">
        <f t="shared" si="438"/>
        <v/>
      </c>
      <c r="AR112" s="236" t="str">
        <f t="shared" si="439"/>
        <v/>
      </c>
      <c r="AS112" s="236" t="str">
        <f t="shared" si="503"/>
        <v/>
      </c>
      <c r="AT112" s="236" t="str">
        <f t="shared" si="504"/>
        <v/>
      </c>
      <c r="AU112" s="236" t="str">
        <f t="shared" si="440"/>
        <v/>
      </c>
      <c r="AV112" s="236" t="str">
        <f t="shared" si="441"/>
        <v/>
      </c>
      <c r="AW112" s="236" t="str">
        <f t="shared" si="442"/>
        <v/>
      </c>
      <c r="AX112" s="236" t="str">
        <f t="shared" si="443"/>
        <v/>
      </c>
      <c r="AY112" s="236" t="str">
        <f t="shared" si="444"/>
        <v/>
      </c>
      <c r="AZ112" s="236" t="str">
        <f t="shared" si="445"/>
        <v/>
      </c>
      <c r="BA112" s="236" t="str">
        <f t="shared" si="446"/>
        <v/>
      </c>
      <c r="BB112" s="467" t="str">
        <f t="shared" si="447"/>
        <v/>
      </c>
      <c r="BC112" s="329" t="str">
        <f t="shared" si="448"/>
        <v/>
      </c>
      <c r="BD112" s="237" t="str">
        <f t="shared" si="449"/>
        <v/>
      </c>
      <c r="BE112" s="237" t="str">
        <f>IF(A112=FALSE,"",IF(ED112&lt;&gt;$BC$7,0,INDEX(EA112:EZ112,1,MATCH(Structure!$J$16,$EA$14:$EZ$14,0))))</f>
        <v/>
      </c>
      <c r="BF112" s="237" t="str">
        <f>IF(A112=FALSE,"",IF(FD112&lt;&gt;$BC$7,0,INDEX(FA112:FZ112,1,MATCH(Structure!$J$16,$FA$14:$FZ$14,0))))</f>
        <v/>
      </c>
      <c r="BG112" s="237" t="str">
        <f>IF(A112=FALSE,"",IF(GD112&lt;&gt;$BC$7,0,INDEX(GA112:GZ112,1,MATCH(Structure!$J$16,$GA$14:$GZ$14,0))))</f>
        <v/>
      </c>
      <c r="BH112" s="237" t="str">
        <f>IF(A112=FALSE,"",IF(HD112&lt;&gt;$BC$7,0,INDEX(HA112:HZ112,1,MATCH(Structure!$J$16,$HA$14:$HZ$14,0))))</f>
        <v/>
      </c>
      <c r="BI112" s="621" t="str">
        <f>IF(A112=FALSE,"",IF(ID112&lt;&gt;$BC$7,0,INDEX(IA112:IZ112,1,MATCH(Structure!$C$12,$IA$14:$IZ$14,0)))+OL112)</f>
        <v/>
      </c>
      <c r="BJ112" s="237" t="str">
        <f>IF(A112=FALSE,"",IF(JD112&lt;&gt;$BC$7,0,INDEX(JA112:JZ112,1,MATCH(Structure!$C$12,$JA$14:$JZ$14,0))))</f>
        <v/>
      </c>
      <c r="BK112" s="621" t="str">
        <f>IF(A112=FALSE,"",IF(KD112&lt;&gt;$BC$7,0,INDEX(KA112:KZ112,1,MATCH(Structure!$C$12,$KA$14:$KZ$14,0)))+PL112)</f>
        <v/>
      </c>
      <c r="BL112" s="237" t="str">
        <f>IF(A112=FALSE,"",IF(LD112&lt;&gt;$BC$7,0,INDEX(LA112:LZ112,1,MATCH(Structure!$C$12,$LA$14:$LZ$14,0))))</f>
        <v/>
      </c>
      <c r="BM112" s="237" t="str">
        <f>IF(A112=FALSE,"",IF(MD112&lt;&gt;$BC$7,0,INDEX(MA112:MZ112,1,MATCH(Structure!$C$12,$MA$14:$MZ$14,0))))</f>
        <v/>
      </c>
      <c r="BN112" s="326" t="str">
        <f>IF(A112=FALSE,"",IF(ND112&lt;&gt;$BC$7,0,INDEX(NA112:OC112,1,MATCH(Structure!$C$12,$NA$14:$OC$14,0))))</f>
        <v/>
      </c>
      <c r="BO112" s="435" t="str">
        <f t="shared" si="450"/>
        <v/>
      </c>
      <c r="BP112" s="237" t="str">
        <f t="shared" si="451"/>
        <v/>
      </c>
      <c r="BQ112" s="237" t="str">
        <f>IF(A112=FALSE,"",IF(ED112&lt;&gt;$BO$7,0,INDEX(EA112:EZ112,1,MATCH(Structure!$C$12,$EA$14:$EZ$14,0))))</f>
        <v/>
      </c>
      <c r="BR112" s="237" t="str">
        <f>IF(A112=FALSE,"",IF(FD112&lt;&gt;$BO$7,0,INDEX(FA112:FZ112,1,MATCH(Structure!$C$12,$FA$14:$FZ$14,0))))</f>
        <v/>
      </c>
      <c r="BS112" s="237" t="str">
        <f>IF(A112=FALSE,"",IF(ID112&lt;&gt;$BO$7,0,INDEX(IA112:IZ112,1,MATCH(Structure!$C$13,$IA$14:$IZ$14,0))))</f>
        <v/>
      </c>
      <c r="BT112" s="237" t="str">
        <f>IF(A112=FALSE,"",IF(JD112&lt;&gt;$BO$7,0,INDEX(JA112:JZ112,1,MATCH(Structure!$C$13,$JA$14:$JZ$14,0))))</f>
        <v/>
      </c>
      <c r="BU112" s="237" t="str">
        <f>IF(A112=FALSE,"",IF(KD112&lt;&gt;$BO$7,0,INDEX(KA112:KZ112,1,MATCH(Structure!$C$13,$KA$14:$KZ$14,0))))</f>
        <v/>
      </c>
      <c r="BV112" s="237" t="str">
        <f>IF(A112=FALSE,"",IF(LD112&lt;&gt;$BO$7,0,INDEX(LA112:LZ112,1,MATCH(Structure!$C$13,$LA$14:$LZ$14,0))))</f>
        <v/>
      </c>
      <c r="BW112" s="237" t="str">
        <f>IF(A112=FALSE,"",IF(MD112&lt;&gt;$BO$7,0,INDEX(MA112:MZ112,1,MATCH(Structure!$C$13,$MA$14:$MZ$14,0))))</f>
        <v/>
      </c>
      <c r="BX112" s="326" t="str">
        <f>IF(A112=FALSE,"",IF(ND112&lt;&gt;$BO$7,0,INDEX(NA112:OC112,1,MATCH(Structure!$C$13,$NA$14:$OC$14,0))))</f>
        <v/>
      </c>
      <c r="BY112" s="412"/>
      <c r="BZ112" s="412"/>
      <c r="CA112" s="1255" t="str">
        <f>IF(A112=FALSE,"",IF(LISTES!$A$17=1,Cotations!AG112,Cotations!AH112))</f>
        <v/>
      </c>
      <c r="CB112" s="1266" t="str">
        <f t="shared" si="452"/>
        <v/>
      </c>
      <c r="CC112" s="1120" t="str">
        <f t="shared" si="453"/>
        <v/>
      </c>
      <c r="CD112" s="1120" t="str">
        <f t="shared" si="454"/>
        <v/>
      </c>
      <c r="CE112" s="1120" t="str">
        <f t="shared" si="455"/>
        <v/>
      </c>
      <c r="CF112" s="1120" t="str">
        <f t="shared" si="456"/>
        <v/>
      </c>
      <c r="CG112" s="1267"/>
      <c r="CH112" s="1267"/>
      <c r="CI112" s="1268" t="str">
        <f t="shared" si="457"/>
        <v/>
      </c>
      <c r="CJ112" s="286" t="str">
        <f t="shared" si="458"/>
        <v/>
      </c>
      <c r="CK112" s="286" t="str">
        <f t="shared" si="459"/>
        <v/>
      </c>
      <c r="CL112" s="1263"/>
      <c r="CM112" s="1263"/>
      <c r="CN112" s="1263"/>
      <c r="CO112" s="1263"/>
      <c r="CP112" s="319" t="str">
        <f t="shared" si="460"/>
        <v/>
      </c>
      <c r="CQ112" s="443" t="str">
        <f>IF(A112=FALSE,"",Cotations!AM112)</f>
        <v/>
      </c>
      <c r="CR112" s="443" t="str">
        <f>IF(A112=FALSE,"",IF(Cotations!AN112="","",Cotations!AN112))</f>
        <v/>
      </c>
      <c r="CS112" s="433" t="str">
        <f>IF(A112=FALSE,"",Cotations!AO112)</f>
        <v/>
      </c>
      <c r="CT112" s="443" t="str">
        <f>IF(A112=FALSE,"",IF(CQ112="N/A",0,IF(INDEX(LISTES!$F$105:$F$109,MATCH(CQ112,LISTES!$C$105:$C$109,0))="FIX",IF(INDEX(LISTES!$E$105:$E$109,MATCH(CQ112,LISTES!$C$105:$C$109,0))=12,CR112/12*L112,CR112/365*M112),CS112*EQ112)))</f>
        <v/>
      </c>
      <c r="CU112" s="434" t="str">
        <f>IF(A112=FALSE,"",(CJ112+CK112)*Cotations!AP112)</f>
        <v/>
      </c>
      <c r="CV112" s="434" t="str">
        <f>IF(A112=FALSE,"",(CJ112+CK112)*Cotations!AQ112)</f>
        <v/>
      </c>
      <c r="DA112" s="1253" t="str">
        <f>IF(A112=FALSE,"",IF(LISTES!$A$17=1,Cotations!AV112,Cotations!AW112))</f>
        <v/>
      </c>
      <c r="DB112" s="1271" t="str">
        <f t="shared" si="461"/>
        <v/>
      </c>
      <c r="DC112" s="1270" t="str">
        <f t="shared" si="462"/>
        <v/>
      </c>
      <c r="DD112" s="1270" t="str">
        <f t="shared" si="463"/>
        <v/>
      </c>
      <c r="DE112" s="1270" t="str">
        <f t="shared" si="464"/>
        <v/>
      </c>
      <c r="DF112" s="1270" t="str">
        <f t="shared" si="465"/>
        <v/>
      </c>
      <c r="DG112" s="1270" t="str">
        <f t="shared" si="466"/>
        <v/>
      </c>
      <c r="DH112" s="1270" t="str">
        <f t="shared" si="467"/>
        <v/>
      </c>
      <c r="DI112" s="1271" t="str">
        <f t="shared" si="468"/>
        <v/>
      </c>
      <c r="DJ112" s="286" t="str">
        <f t="shared" si="469"/>
        <v/>
      </c>
      <c r="DK112" s="286" t="str">
        <f t="shared" si="470"/>
        <v/>
      </c>
      <c r="DL112" s="1264" t="str">
        <f t="shared" si="471"/>
        <v/>
      </c>
      <c r="DM112" s="1264" t="str">
        <f t="shared" si="472"/>
        <v/>
      </c>
      <c r="DN112" s="1264" t="str">
        <f t="shared" si="473"/>
        <v/>
      </c>
      <c r="DO112" s="1264" t="str">
        <f t="shared" si="474"/>
        <v/>
      </c>
      <c r="DP112" s="323" t="str">
        <f t="shared" si="505"/>
        <v/>
      </c>
      <c r="DQ112" s="444" t="str">
        <f>IF(A112=FALSE,"",Cotations!BW112)</f>
        <v/>
      </c>
      <c r="DR112" s="444" t="str">
        <f>IF(A112=FALSE,"",Cotations!BX112)</f>
        <v/>
      </c>
      <c r="DS112" s="433" t="str">
        <f>IF(A112=FALSE,"",Cotations!BY112)</f>
        <v/>
      </c>
      <c r="DT112" s="830" t="str">
        <f>IF(A112=FALSE,"",IF(DQ112="N/A",0,IF(INDEX(LISTES!$F$105:$F$109,MATCH(DQ112,LISTES!$C$105:$C$109,0))="FIX",IF(INDEX(LISTES!$E$105:$E$109,MATCH(DQ112,LISTES!$C$105:$C$109,0))=12,DR112/12*L112,DR112/365*M112),DS112*(DN112+DO112))))</f>
        <v/>
      </c>
      <c r="DU112" s="434" t="str">
        <f>IF(A112=FALSE,"",DJ112*Cotations!BZ112)</f>
        <v/>
      </c>
      <c r="DV112" s="434" t="str">
        <f>IF(A112=FALSE,"",DJ112*Cotations!CA112)</f>
        <v/>
      </c>
      <c r="EA112" s="432" t="str">
        <f>IF(A112=FALSE,"",Cotations!AT112)</f>
        <v/>
      </c>
      <c r="EB112" s="1234" t="str">
        <f>IF(A112=FALSE,"",YEAR(Detail!F112)&amp;Detail!AG112&amp;Detail!AD112&amp;"-"&amp;Detail!$AD$13&amp;Detail!AE112)</f>
        <v/>
      </c>
      <c r="EC112" s="434" t="str">
        <f>IF(A112=FALSE,"",IF(LISTES!$A$17=1,EB112,INDEX(colMOD1,MATCH(Cotations!AH112,colchoice,0))))</f>
        <v/>
      </c>
      <c r="ED112" s="277" t="str">
        <f t="shared" si="506"/>
        <v/>
      </c>
      <c r="EE112" s="277" t="str">
        <f t="shared" si="507"/>
        <v/>
      </c>
      <c r="EF112" s="277"/>
      <c r="EG112" s="277"/>
      <c r="EH112" s="277" t="str">
        <f t="shared" si="508"/>
        <v/>
      </c>
      <c r="EI112" s="1104" t="str">
        <f t="shared" si="509"/>
        <v/>
      </c>
      <c r="EJ112" s="1104" t="str">
        <f t="shared" si="510"/>
        <v/>
      </c>
      <c r="EK112" s="443" t="str">
        <f>IF(A112=FALSE,"",IF(Cotations!AF112="monthly",EH112/12*L112,EH112/365*M112))</f>
        <v/>
      </c>
      <c r="EL112" s="1103" t="str">
        <f>IF(A112=FALSE,"",IF(Cotations!AF112="monthly",EJ112/12*L112,EJ112/365*M112))</f>
        <v/>
      </c>
      <c r="EM112" s="433" t="str">
        <f>IF(A112=FALSE,"",IF(Cotations!AI112="","",Cotations!AI112))</f>
        <v/>
      </c>
      <c r="EN112" s="277" t="str">
        <f t="shared" si="511"/>
        <v/>
      </c>
      <c r="EO112" s="277" t="str">
        <f t="shared" si="512"/>
        <v/>
      </c>
      <c r="EP112" s="1104" t="str">
        <f t="shared" si="513"/>
        <v/>
      </c>
      <c r="EQ112" s="277" t="str">
        <f t="shared" si="514"/>
        <v/>
      </c>
      <c r="ER112" s="759" t="str">
        <f>IF(A112=FALSE,"",((EH112*TAXE)-(EH112*TAXE*EM112)+EI112)+IF(CQ112="N/A",0,IF(INDEX(LISTES!$F$105:$F$109,MATCH(CQ112,LISTES!$C$105:$C$109,0))="FIX",CR112,CS112*EQ112)))</f>
        <v/>
      </c>
      <c r="ET112" s="422"/>
      <c r="EU112" s="422"/>
      <c r="EV112" s="422"/>
      <c r="EW112" s="422"/>
      <c r="EX112" s="422"/>
      <c r="EY112" s="422"/>
      <c r="EZ112" s="422"/>
      <c r="FA112" s="432" t="str">
        <f>IF(A112=FALSE,"",Cotations!AT112)</f>
        <v/>
      </c>
      <c r="FB112" s="1235" t="str">
        <f>IF(A112=FALSE,"",IF(Detail!AL112="","N/A",YEAR(Detail!F112)&amp;Detail!AO112&amp;Detail!AL112&amp;"-"&amp;Detail!$AL$13&amp;Detail!AM112))</f>
        <v/>
      </c>
      <c r="FC112" s="434" t="str">
        <f>IF(A112=FALSE,"",IF(LISTES!$A$17=1,FB112,INDEX(colMOD2,MATCH(Cotations!AH112,colchoice,0))))</f>
        <v/>
      </c>
      <c r="FD112" s="277" t="str">
        <f t="shared" si="515"/>
        <v/>
      </c>
      <c r="FE112" s="443" t="str">
        <f>IF(A112=FALSE,"",IF(Detail!AM112="","",Detail!AM112))</f>
        <v/>
      </c>
      <c r="FF112" s="277"/>
      <c r="FG112" s="277"/>
      <c r="FH112" s="277" t="str">
        <f t="shared" si="516"/>
        <v/>
      </c>
      <c r="FI112" s="1104"/>
      <c r="FJ112" s="1104"/>
      <c r="FK112" s="443" t="str">
        <f>IF(A112=FALSE,"",IF(Cotations!AF112="monthly",FH112/12*L112,FH112/365*M112))</f>
        <v/>
      </c>
      <c r="FL112" s="1103" t="str">
        <f>IF(A112=FALSE,"",IF(Cotations!AF112="monthly",FJ112/12*L112,FJ112/365*M112))</f>
        <v/>
      </c>
      <c r="FM112" s="433" t="str">
        <f>IF(A112=FALSE,"",IF(Cotations!AJ112="","",Cotations!AJ112))</f>
        <v/>
      </c>
      <c r="FN112" s="277" t="str">
        <f t="shared" si="475"/>
        <v/>
      </c>
      <c r="FO112" s="277" t="str">
        <f t="shared" si="476"/>
        <v/>
      </c>
      <c r="FP112" s="1104"/>
      <c r="FQ112" s="277" t="str">
        <f t="shared" si="477"/>
        <v/>
      </c>
      <c r="FR112" s="759" t="str">
        <f>IF(A112=FALSE,"",((FH112*TAXE)-(FH112*TAXE*FM112))+IF(#REF!="N/A",0,IF(INDEX(LISTES!$F$105:$F$109,MATCH(#REF!,LISTES!$C$105:$C$109,0))="FIX",#REF!,#REF!*FQ112)))</f>
        <v/>
      </c>
      <c r="FS112" s="422"/>
      <c r="FT112" s="422"/>
      <c r="FU112" s="422"/>
      <c r="FV112" s="422"/>
      <c r="FW112" s="422"/>
      <c r="FX112" s="422"/>
      <c r="FY112" s="422"/>
      <c r="FZ112" s="422"/>
      <c r="GA112" s="432" t="str">
        <f t="shared" si="517"/>
        <v/>
      </c>
      <c r="GB112" s="1234" t="str">
        <f>IF(A112=FALSE,"",IF(Detail!DF112="","N/A",YEAR(Detail!F112)&amp;Detail!DI112&amp;Detail!DF112&amp;"-"&amp;Detail!$DF$13))</f>
        <v/>
      </c>
      <c r="GC112" s="434" t="str">
        <f>IF(A112=FALSE,"",IF(LISTES!$A$17=1,GB112,INDEX(colMOD3,MATCH(Cotations!AH112,colchoice,0))))</f>
        <v/>
      </c>
      <c r="GD112" s="277" t="str">
        <f t="shared" si="518"/>
        <v/>
      </c>
      <c r="GE112" s="277" t="str">
        <f t="shared" si="519"/>
        <v/>
      </c>
      <c r="GF112" s="277"/>
      <c r="GG112" s="277"/>
      <c r="GH112" s="277" t="str">
        <f t="shared" si="478"/>
        <v/>
      </c>
      <c r="GI112" s="1104" t="str">
        <f t="shared" si="479"/>
        <v/>
      </c>
      <c r="GJ112" s="1104" t="str">
        <f t="shared" si="480"/>
        <v/>
      </c>
      <c r="GK112" s="443" t="str">
        <f>IF(A112=FALSE,"",IF(Cotations!AF112="monthly",GH112/12*L112,GH112/365*M112))</f>
        <v/>
      </c>
      <c r="GL112" s="1103" t="str">
        <f>IF(A112=FALSE,"",IF(Cotations!AF112="monthly",GJ112/12*L112,GJ112/365*M112))</f>
        <v/>
      </c>
      <c r="GM112" s="433" t="str">
        <f>IF(A112=FALSE,"",IF(Cotations!AK112="","",Cotations!AK112))</f>
        <v/>
      </c>
      <c r="GN112" s="277" t="str">
        <f t="shared" si="481"/>
        <v/>
      </c>
      <c r="GO112" s="277" t="str">
        <f t="shared" si="482"/>
        <v/>
      </c>
      <c r="GP112" s="1104" t="str">
        <f t="shared" si="483"/>
        <v/>
      </c>
      <c r="GQ112" s="277" t="str">
        <f t="shared" si="484"/>
        <v/>
      </c>
      <c r="GR112" s="759" t="str">
        <f>IF(A112=FALSE,"",((GH112*TAXE)-(GH112*TAXE*GM112)+GI112)+IF(CQ112="N/A",0,IF(INDEX(LISTES!$F$105:$F$109,MATCH(CQ112,LISTES!$C$105:$C$109,0))="FIX",CR112,CS112*GQ112)))</f>
        <v/>
      </c>
      <c r="GS112" s="412"/>
      <c r="GT112" s="412"/>
      <c r="GU112" s="412"/>
      <c r="GV112" s="412"/>
      <c r="GW112" s="412"/>
      <c r="GX112" s="412"/>
      <c r="GY112" s="412"/>
      <c r="GZ112" s="412"/>
      <c r="HA112" s="432" t="str">
        <f t="shared" si="520"/>
        <v/>
      </c>
      <c r="HB112" s="1234" t="str">
        <f>IF(A112=FALSE,"",IF(Detail!DF112="","N/A",YEAR(Detail!F112)&amp;Detail!DI112&amp;Detail!DF112&amp;"-"&amp;Detail!$DF$13))</f>
        <v/>
      </c>
      <c r="HC112" s="434" t="str">
        <f>IF(A112=FALSE,"",IF(LISTES!$A$17=1,HB112,INDEX(colMOD4,MATCH(Cotations!AH112,colchoice,0))))</f>
        <v/>
      </c>
      <c r="HD112" s="277" t="str">
        <f t="shared" si="485"/>
        <v/>
      </c>
      <c r="HE112" s="277" t="str">
        <f t="shared" si="486"/>
        <v/>
      </c>
      <c r="HF112" s="277"/>
      <c r="HG112" s="277"/>
      <c r="HH112" s="277" t="str">
        <f t="shared" si="487"/>
        <v/>
      </c>
      <c r="HI112" s="1104" t="str">
        <f t="shared" si="488"/>
        <v/>
      </c>
      <c r="HJ112" s="1104" t="str">
        <f t="shared" si="489"/>
        <v/>
      </c>
      <c r="HK112" s="443" t="str">
        <f>IF(A112=FALSE,"",IF(Cotations!AF112="monthly",HH112/12*L112,HH112/365*M112))</f>
        <v/>
      </c>
      <c r="HL112" s="1103" t="str">
        <f>IF(A112=FALSE,"",IF(Cotations!AF112="monthly",HJ112/12*L112,HJ112/365*M112))</f>
        <v/>
      </c>
      <c r="HM112" s="433" t="str">
        <f>IF(A112=FALSE,"",IF(Cotations!AL112="","",Cotations!AL112))</f>
        <v/>
      </c>
      <c r="HN112" s="277" t="str">
        <f t="shared" si="490"/>
        <v/>
      </c>
      <c r="HO112" s="277" t="str">
        <f t="shared" si="491"/>
        <v/>
      </c>
      <c r="HP112" s="1104" t="str">
        <f t="shared" si="492"/>
        <v/>
      </c>
      <c r="HQ112" s="277" t="str">
        <f t="shared" si="493"/>
        <v/>
      </c>
      <c r="HR112" s="759" t="str">
        <f>IF(A112=FALSE,"",((HH112*TAXE)-(HH112*TAXE*HM112)+HI112)+IF(CQ112="N/A",0,IF(INDEX(LISTES!$F$105:$F$109,MATCH(CQ112,LISTES!$C$105:$C$109,0))="FIX",CR112,CS112*HQ112)))</f>
        <v/>
      </c>
      <c r="HS112" s="412"/>
      <c r="HT112" s="412"/>
      <c r="HU112" s="412"/>
      <c r="HV112" s="412"/>
      <c r="HW112" s="412"/>
      <c r="HX112" s="412"/>
      <c r="HY112" s="412"/>
      <c r="HZ112" s="1262"/>
      <c r="IA112" s="432" t="str">
        <f>IF(A112=FALSE,"",Cotations!AT112)</f>
        <v/>
      </c>
      <c r="IB112" s="1253" t="str">
        <f>IF(A112=FALSE,"",IF(Detail!AT112="","N/A",YEAR(Detail!F112)&amp;Detail!AW112&amp;Detail!AT112&amp;"-"&amp;Detail!$AT$13&amp;Detail!AU112))</f>
        <v/>
      </c>
      <c r="IC112" s="431" t="str">
        <f>IF(A112=FALSE,"",IF(LISTES!$A$17=1,IB112,INDEX(colMOD1,MATCH(DA112,colchoice,0))))</f>
        <v/>
      </c>
      <c r="ID112" s="759" t="str">
        <f t="shared" si="358"/>
        <v/>
      </c>
      <c r="IE112" s="292" t="str">
        <f>IF(A112=FALSE,"",IF(LISTES!$A$17=1,Detail!AU112,INDEX(Rates!$M$1:$M$270,MATCH(IC112,colMOD1,0))))</f>
        <v/>
      </c>
      <c r="IF112" s="409" t="str">
        <f t="shared" si="359"/>
        <v/>
      </c>
      <c r="IG112" s="430" t="str">
        <f>IF(A112=FALSE,"",IF(IA112="POEA",Cotations!AY112,IF(IA112="FIXE",Cotations!AZ112,IF(Cotations!BA112*Y112&lt;50000,Z112,Cotations!BA112*Y112))))</f>
        <v/>
      </c>
      <c r="IH112" s="292" t="str">
        <f t="shared" si="360"/>
        <v/>
      </c>
      <c r="II112" s="446" t="str">
        <f>IF(A112=FALSE,"",IF(Cotations!AU112="monthly",IH112/12*L112,IH112/365*M112))</f>
        <v/>
      </c>
      <c r="IJ112" s="429" t="str">
        <f>IF(A112=FALSE,"",IF(Cotations!BB112="","",Cotations!BB112))</f>
        <v/>
      </c>
      <c r="IK112" s="292" t="str">
        <f t="shared" si="361"/>
        <v/>
      </c>
      <c r="IL112" s="292" t="str">
        <f t="shared" si="362"/>
        <v/>
      </c>
      <c r="IM112" s="759" t="str">
        <f t="shared" si="363"/>
        <v/>
      </c>
      <c r="IN112" s="759" t="str">
        <f>IF(A112=FALSE,"",((IH112*TAXE)-(IH112*TAXE*IJ112))+IF(DQ112="N/A",0,IF(INDEX(LISTES!$F$105:$F$109,MATCH(DQ112,LISTES!$C$105:$C$109,0))="FIX",DR112,DS112*IM112)))</f>
        <v/>
      </c>
      <c r="JA112" s="432" t="str">
        <f>IF(A112=FALSE,"",Cotations!AT112)</f>
        <v/>
      </c>
      <c r="JB112" s="1234" t="str">
        <f>IF(A112=FALSE,"",IF(Detail!BB112="","N/A",YEAR(Detail!F112)&amp;Detail!BE112&amp;Detail!BB112&amp;"-"&amp;Detail!$BB$13&amp;Detail!BC112))</f>
        <v/>
      </c>
      <c r="JC112" s="431" t="str">
        <f>IF(A112=FALSE,"",IF(LISTES!$A$17=1,JB112,INDEX(colMOD2,MATCH(DA112,colchoice,0))))</f>
        <v/>
      </c>
      <c r="JD112" s="759" t="str">
        <f t="shared" si="521"/>
        <v/>
      </c>
      <c r="JE112" s="292"/>
      <c r="JF112" s="409" t="str">
        <f t="shared" si="522"/>
        <v/>
      </c>
      <c r="JG112" s="430" t="str">
        <f>IF(A112=FALSE,"",IF(JA112="POEA",Cotations!BC112,IF(JA112="FIXE",Cotations!BD112,IF(Cotations!BE112*Y112&lt;50000,Z112,Cotations!BE112*Y112))))</f>
        <v/>
      </c>
      <c r="JH112" s="292" t="str">
        <f t="shared" si="523"/>
        <v/>
      </c>
      <c r="JI112" s="446" t="str">
        <f>IF(A112=FALSE,"",IF(Cotations!AU112="monthly",JH112/12*L112,JH112/365*M112))</f>
        <v/>
      </c>
      <c r="JJ112" s="429" t="str">
        <f>IF(A112=FALSE,"",IF(Cotations!BF112="","",Cotations!BF112))</f>
        <v/>
      </c>
      <c r="JK112" s="292" t="str">
        <f t="shared" si="524"/>
        <v/>
      </c>
      <c r="JL112" s="292" t="str">
        <f t="shared" si="525"/>
        <v/>
      </c>
      <c r="JM112" s="759" t="str">
        <f t="shared" si="526"/>
        <v/>
      </c>
      <c r="JN112" s="759" t="str">
        <f>IF(A112=FALSE,"",((JH112*TAXE)-(JH112*TAXE*JJ112))+IF(#REF!="N/A",0,IF(INDEX(LISTES!$F$105:$F$109,MATCH(#REF!,LISTES!$C$105:$C$109,0))="FIX",#REF!,#REF!*JM112)))</f>
        <v/>
      </c>
      <c r="KA112" s="432" t="str">
        <f>IF(A112=FALSE,"",Cotations!AT112)</f>
        <v/>
      </c>
      <c r="KB112" s="1234" t="str">
        <f>IF(A112=FALSE,"",IF(Detail!BJ112="","N/A",YEAR(Detail!F112)&amp;Detail!BM112&amp;Detail!BJ112&amp;"-"&amp;Detail!$BJ$13&amp;Detail!BK112))</f>
        <v/>
      </c>
      <c r="KC112" s="431" t="str">
        <f>IF(A112=FALSE,"",IF(LISTES!$A$17=1,KB112,INDEX(colMOD3,MATCH(DA112,colchoice,0))))</f>
        <v/>
      </c>
      <c r="KD112" s="759" t="str">
        <f t="shared" si="527"/>
        <v/>
      </c>
      <c r="KE112" s="292"/>
      <c r="KF112" s="409" t="str">
        <f t="shared" si="528"/>
        <v/>
      </c>
      <c r="KG112" s="430" t="str">
        <f>IF(A112=FALSE,"",IF(KA112="POEA",Cotations!BG112,IF(KA112="FIXE",Cotations!BH112,IF(Cotations!BI112*Y112&lt;50000,Z112,Cotations!BI112*Y112))))</f>
        <v/>
      </c>
      <c r="KH112" s="292" t="str">
        <f t="shared" si="529"/>
        <v/>
      </c>
      <c r="KI112" s="446" t="str">
        <f>IF(A112=FALSE,"",IF(Cotations!AU112="monthly",KH112/12*L112,KH112/365*M112))</f>
        <v/>
      </c>
      <c r="KJ112" s="429" t="str">
        <f>IF(A112=FALSE,"",IF(Cotations!BJ112="","",Cotations!BJ112))</f>
        <v/>
      </c>
      <c r="KK112" s="292" t="str">
        <f t="shared" si="530"/>
        <v/>
      </c>
      <c r="KL112" s="292" t="str">
        <f t="shared" si="531"/>
        <v/>
      </c>
      <c r="KM112" s="759" t="str">
        <f t="shared" si="532"/>
        <v/>
      </c>
      <c r="KN112" s="759" t="str">
        <f>IF(A112=FALSE,"",((KH112*TAXE)-(KH112*TAXE*KJ112))+IF(#REF!="N/A",0,IF(INDEX(LISTES!$F$105:$F$109,MATCH(#REF!,LISTES!$C$105:$C$109,0))="FIX",#REF!,#REF!*KM112)))</f>
        <v/>
      </c>
      <c r="LA112" s="432" t="str">
        <f>IF(A112=FALSE,"",Cotations!AT112)</f>
        <v/>
      </c>
      <c r="LB112" s="1234" t="str">
        <f>IF(A112=FALSE,"",IF(Detail!BR112="","N/A",YEAR(Detail!F112)&amp;Detail!BU112&amp;Detail!BR112&amp;"-"&amp;Detail!$BR$13&amp;Detail!BS112))</f>
        <v/>
      </c>
      <c r="LC112" s="431" t="str">
        <f>IF(A112=FALSE,"",IF(LISTES!$A$17=1,LB112,INDEX(colMOD4,MATCH(DA112,colchoice,0))))</f>
        <v/>
      </c>
      <c r="LD112" s="759" t="str">
        <f t="shared" si="533"/>
        <v/>
      </c>
      <c r="LE112" s="292"/>
      <c r="LF112" s="409" t="str">
        <f t="shared" si="534"/>
        <v/>
      </c>
      <c r="LG112" s="430" t="str">
        <f>IF(A112=FALSE,"",IF(LA112="POEA",Cotations!BK112,IF(LA112="FIXE",Cotations!BL112,IF(Cotations!BM112*Y112&lt;50000,Z112,Cotations!BM112*Y112))))</f>
        <v/>
      </c>
      <c r="LH112" s="292" t="str">
        <f t="shared" si="535"/>
        <v/>
      </c>
      <c r="LI112" s="446" t="str">
        <f>IF(A112=FALSE,"",IF(Cotations!AU112="monthly",LH112/12*L112,LH112/365*M112))</f>
        <v/>
      </c>
      <c r="LJ112" s="429" t="str">
        <f>IF(A112=FALSE,"",IF(Cotations!BN112="","",Cotations!BN112))</f>
        <v/>
      </c>
      <c r="LK112" s="292" t="str">
        <f t="shared" si="536"/>
        <v/>
      </c>
      <c r="LL112" s="292" t="str">
        <f t="shared" si="537"/>
        <v/>
      </c>
      <c r="LM112" s="759" t="str">
        <f t="shared" si="538"/>
        <v/>
      </c>
      <c r="LN112" s="759" t="str">
        <f>IF(A112=FALSE,"",((LH112*TAXE)-(LH112*TAXE*LJ112))+IF(#REF!="N/A",0,IF(INDEX(LISTES!$F$105:$F$109,MATCH(#REF!,LISTES!$C$105:$C$109,0))="FIX",#REF!,#REF!*LM112)))</f>
        <v/>
      </c>
      <c r="MA112" s="432" t="str">
        <f t="shared" si="539"/>
        <v/>
      </c>
      <c r="MB112" s="1234" t="str">
        <f>IF(A112=FALSE,"",IF(Detail!BZ112="","N/A",YEAR(Detail!F112)&amp;Detail!CC112&amp;Detail!BZ112&amp;"-"&amp;Detail!$BZ$13&amp;" (100%/"&amp;Detail!CD112&amp;"/"&amp;Detail!CE112&amp;")"))</f>
        <v/>
      </c>
      <c r="MC112" s="431" t="str">
        <f>IF(A112=FALSE,"",IF(LISTES!$A$17=1,MB112,INDEX(colMOD5,MATCH(DA112,colchoice,0))))</f>
        <v/>
      </c>
      <c r="MD112" s="759" t="str">
        <f t="shared" si="540"/>
        <v/>
      </c>
      <c r="ME112" s="292"/>
      <c r="MF112" s="409" t="str">
        <f t="shared" si="541"/>
        <v/>
      </c>
      <c r="MG112" s="430" t="str">
        <f>IF(A112=FALSE,"",Cotations!BQ112*AA112)</f>
        <v/>
      </c>
      <c r="MH112" s="292" t="str">
        <f t="shared" si="542"/>
        <v/>
      </c>
      <c r="MI112" s="446" t="str">
        <f>IF(A112=FALSE,"",IF(Cotations!AU112="monthly",MH112/12*L112,MH112/365*M112))</f>
        <v/>
      </c>
      <c r="MJ112" s="429" t="str">
        <f>IF(A112=FALSE,"",IF(Cotations!BR112="","",Cotations!BR112))</f>
        <v/>
      </c>
      <c r="MK112" s="292" t="str">
        <f t="shared" si="543"/>
        <v/>
      </c>
      <c r="ML112" s="292" t="str">
        <f t="shared" si="544"/>
        <v/>
      </c>
      <c r="MM112" s="759" t="str">
        <f t="shared" si="545"/>
        <v/>
      </c>
      <c r="MN112" s="759" t="str">
        <f>IF(A112=FALSE,"",((MH112*TAXE)-(MH112*TAXE*MJ112))+IF(#REF!="N/A",0,IF(INDEX(LISTES!$F$105:$F$109,MATCH(#REF!,LISTES!$C$105:$C$109,0))="FIX",#REF!,#REF!*MM112)))</f>
        <v/>
      </c>
      <c r="NA112" s="432" t="str">
        <f t="shared" si="546"/>
        <v/>
      </c>
      <c r="NB112" s="1234" t="str">
        <f>IF(A112=FALSE,"",IF(Detail!CH112="","N/A",YEAR(Detail!F112)&amp;Detail!CK112&amp;Detail!CH112&amp;"-"&amp;Detail!$CH$13&amp;" (100%/"&amp;Detail!CL112&amp;"/"&amp;Detail!CM112&amp;")"))</f>
        <v/>
      </c>
      <c r="NC112" s="431" t="str">
        <f>IF(A112=FALSE,"",IF(LISTES!$A$17=1,NB112,INDEX(colMOD6,MATCH(DA112,colchoice,0))))</f>
        <v/>
      </c>
      <c r="ND112" s="759" t="str">
        <f t="shared" si="547"/>
        <v/>
      </c>
      <c r="NE112" s="292"/>
      <c r="NF112" s="409" t="str">
        <f t="shared" si="548"/>
        <v/>
      </c>
      <c r="NG112" s="430" t="str">
        <f>IF(A112=FALSE,"",Cotations!BU112*AA112)</f>
        <v/>
      </c>
      <c r="NH112" s="292" t="str">
        <f t="shared" si="549"/>
        <v/>
      </c>
      <c r="NI112" s="446" t="str">
        <f>IF(A112=FALSE,"",IF(Cotations!AU112="monthly",NH112/12*L112,NH112/365*M112))</f>
        <v/>
      </c>
      <c r="NJ112" s="429" t="str">
        <f>IF(A112=FALSE,"",IF(Cotations!BV112="","",Cotations!BV112))</f>
        <v/>
      </c>
      <c r="NK112" s="292" t="str">
        <f t="shared" si="550"/>
        <v/>
      </c>
      <c r="NL112" s="292" t="str">
        <f t="shared" si="551"/>
        <v/>
      </c>
      <c r="NM112" s="759" t="str">
        <f t="shared" si="552"/>
        <v/>
      </c>
      <c r="NN112" s="759" t="str">
        <f>IF(A112=FALSE,"",((NH112*TAXE)-(NH112*TAXE*NJ112))+IF(#REF!="N/A",0,IF(INDEX(LISTES!$F$105:$F$109,MATCH(#REF!,LISTES!$C$105:$C$109,0))="FIX",#REF!,#REF!*NM112)))</f>
        <v/>
      </c>
      <c r="NZ112" s="1281" t="str">
        <f>IF(A112=FALSE,"",IF(Detail!CP112="","N/A",YEAR(Detail!F112)&amp;Detail!CS112&amp;Detail!CP112&amp;"-"&amp;Detail!CQ112))</f>
        <v/>
      </c>
      <c r="OA112" s="432" t="str">
        <f>IF(A112=FALSE,"",Cotations!CF112)</f>
        <v/>
      </c>
      <c r="OB112" s="1282" t="str">
        <f>IF(A112=FALSE,"",IF(Detail!CP112="","N/A",YEAR(Detail!F112)&amp;Detail!CS112&amp;Detail!CP112&amp;"-"&amp;Detail!$CP$13&amp;Detail!CQ112))</f>
        <v/>
      </c>
      <c r="OC112" s="1283" t="str">
        <f>IF(A112=FALSE,"",IF(LISTES!$A$17=1,OB112,INDEX(colMOD1,MATCH(Cotations!CE112,colchoice,0))))</f>
        <v/>
      </c>
      <c r="OD112" s="759" t="str">
        <f t="shared" si="553"/>
        <v/>
      </c>
      <c r="OE112" s="292" t="str">
        <f>IF(A112=FALSE,"",Detail!CQ112)</f>
        <v/>
      </c>
      <c r="OF112" s="409" t="str">
        <f t="shared" si="554"/>
        <v/>
      </c>
      <c r="OG112" s="430" t="str">
        <f>IF(A112=FALSE,"",IF(OA112="FIXE",Cotations!CM112,Cotations!CN112*AA112))</f>
        <v/>
      </c>
      <c r="OH112" s="292" t="str">
        <f t="shared" si="494"/>
        <v/>
      </c>
      <c r="OI112" s="446" t="str">
        <f>IF(A112=FALSE,"",IF(Cotations!CF112="monthly",OH112/12*L112,OH112/365*M112))</f>
        <v/>
      </c>
      <c r="OJ112" s="429" t="str">
        <f>IF(A112=FALSE,"",IF(Cotations!CO112="","",Cotations!CO112))</f>
        <v/>
      </c>
      <c r="OK112" s="292" t="str">
        <f t="shared" si="495"/>
        <v/>
      </c>
      <c r="OL112" s="292" t="str">
        <f t="shared" si="496"/>
        <v/>
      </c>
      <c r="OM112" s="759" t="str">
        <f t="shared" si="555"/>
        <v/>
      </c>
      <c r="ON112" s="759" t="str">
        <f>IF(A112=FALSE,"",((OH112*(1+TAXE)-(OH112*(1+TAXE)*OJ112))+IF(#REF!="N/A",0,IF(INDEX(LISTES!$F$105:$F$109,MATCH(#REF!,LISTES!$C$105:$C$109,0))="FIX",#REF!,#REF!*OM112))))</f>
        <v/>
      </c>
      <c r="PA112" s="432" t="str">
        <f>IF(A112=FALSE,"",Cotations!CF112)</f>
        <v/>
      </c>
      <c r="PB112" s="1282" t="str">
        <f>IF(A112=FALSE,"",IF(Detail!CX112="","N/A",YEAR(Detail!F112)&amp;Detail!DA112&amp;Detail!CX112&amp;"-"&amp;Detail!$CX$13&amp;Detail!CY112))</f>
        <v/>
      </c>
      <c r="PC112" s="1283" t="str">
        <f>IF(A112=FALSE,"",IF(LISTES!$A$17=1,PB112,INDEX(colMOD3,MATCH(Cotations!CE112,colchoice,0))))</f>
        <v/>
      </c>
      <c r="PD112" s="759" t="str">
        <f t="shared" si="556"/>
        <v/>
      </c>
      <c r="PE112" s="292" t="str">
        <f>IF(A112=FALSE,"",IF(Detail!CY112="","",Detail!CY112))</f>
        <v/>
      </c>
      <c r="PF112" s="409" t="str">
        <f t="shared" si="497"/>
        <v/>
      </c>
      <c r="PG112" s="430" t="str">
        <f>IF(A112=FALSE,"",IF(PA112="FIXE",Cotations!CP112,Cotations!CQ112*AA112))</f>
        <v/>
      </c>
      <c r="PH112" s="292" t="str">
        <f t="shared" si="498"/>
        <v/>
      </c>
      <c r="PI112" s="446" t="str">
        <f>IF(A112=FALSE,"",IF(Cotations!CG112="monthly",PH112/12*L112,PH112/365*M112))</f>
        <v/>
      </c>
      <c r="PJ112" s="429" t="str">
        <f>IF(A112=FALSE,"",IF(Cotations!DA112="",0,Cotations!DA112))</f>
        <v/>
      </c>
      <c r="PK112" s="292" t="str">
        <f t="shared" si="499"/>
        <v/>
      </c>
      <c r="PL112" s="292" t="str">
        <f t="shared" si="500"/>
        <v/>
      </c>
      <c r="PM112" s="759" t="str">
        <f t="shared" si="557"/>
        <v/>
      </c>
      <c r="PN112" s="759" t="str">
        <f>IF(A112=FALSE,"",((PH112*(1+TAXE)-(PH112*(1+TAXE)*PJ112))+IF(#REF!="N/A",0,IF(INDEX(LISTES!$F$105:$F$109,MATCH(#REF!,LISTES!$C$105:$C$109,0))="FIX",#REF!,#REF!*PM112))))</f>
        <v/>
      </c>
    </row>
    <row r="113" spans="1:430">
      <c r="A113" s="779" t="b">
        <f t="shared" si="501"/>
        <v>0</v>
      </c>
      <c r="B113" s="779" t="b">
        <f>IF(NAMES!$B$9=TRUE,TRUE,FALSE)</f>
        <v>1</v>
      </c>
      <c r="C113" s="779" t="b">
        <f t="shared" si="421"/>
        <v>0</v>
      </c>
      <c r="D113" s="779" t="b">
        <f t="shared" si="422"/>
        <v>0</v>
      </c>
      <c r="E113" s="267" t="b">
        <f>IF(Cotations!C113="","",Cotations!C113)</f>
        <v>0</v>
      </c>
      <c r="F113" s="267" t="str">
        <f>IF(Cotations!AT113="","",Cotations!AT113)</f>
        <v>PROP</v>
      </c>
      <c r="G113" s="267" t="str">
        <f>IF(Cotations!D113="","",Cotations!D113)</f>
        <v>2016-2017!</v>
      </c>
      <c r="H113" s="267" t="str">
        <f>IF(Cotations!E113="","",Cotations!E113)</f>
        <v/>
      </c>
      <c r="I113" s="267" t="str">
        <f>IF(Cotations!F113="","",Cotations!F113)</f>
        <v/>
      </c>
      <c r="J113" s="267" t="str">
        <f>IF(Cotations!G113="","",Cotations!G113)</f>
        <v/>
      </c>
      <c r="K113" s="267" t="str">
        <f>IF(Cotations!H113="","",Cotations!H113)</f>
        <v/>
      </c>
      <c r="L113" s="267" t="str">
        <f>IF(A113=FALSE,"",IF(Cotations!M113="","",Cotations!M113))</f>
        <v/>
      </c>
      <c r="M113" s="267" t="str">
        <f>IF(Cotations!O113="","",Cotations!O113)</f>
        <v/>
      </c>
      <c r="N113" s="588" t="str">
        <f>IF(NAMES!$B$10=TRUE,Cotations!I113,Cotations!K113)</f>
        <v/>
      </c>
      <c r="O113" s="588" t="str">
        <f>IF(NAMES!$B$10=TRUE,Cotations!J113,Cotations!L113)</f>
        <v/>
      </c>
      <c r="P113" s="780" t="str">
        <f t="shared" si="423"/>
        <v/>
      </c>
      <c r="Q113" s="588" t="str">
        <f>IF(A113=FALSE,"",IF(Crewlist!Y113="","",Crewlist!Y113))</f>
        <v/>
      </c>
      <c r="R113" s="78" t="str">
        <f>IF(Cotations!T113="","",Cotations!T113)</f>
        <v/>
      </c>
      <c r="S113" s="780" t="str">
        <f t="shared" si="424"/>
        <v/>
      </c>
      <c r="T113" s="759" t="str">
        <f>IF(A113=FALSE,"",VLOOKUP($U$15:$U$120,Currency!$A$2:$D$10,4,0)*Crewlist!N113)</f>
        <v/>
      </c>
      <c r="U113" s="1097" t="str">
        <f>IF(A113=FALSE,"",IF(DP113=0,Crewlist!M113&amp;"/"&amp;CP113,Crewlist!M113&amp;"/"&amp;DP113))</f>
        <v/>
      </c>
      <c r="V113" s="759" t="str">
        <f>IF(A113=FALSE,"",VLOOKUP($U$15:$U$120,Currency!$A$2:$D$10,4,0)*Detail!Q113)</f>
        <v/>
      </c>
      <c r="W113" s="1097" t="str">
        <f>IF(A113=FALSE,"",IF(DP113=0,Detail!R113&amp;"/"&amp;CP113,Detail!R113&amp;"/"&amp;DP113))</f>
        <v/>
      </c>
      <c r="X113" s="759" t="str">
        <f>IF(A113=FALSE,"",IF(LISTES!$C$17="Crewlist",Calcul!T113,Calcul!V113))</f>
        <v/>
      </c>
      <c r="Y113" s="618" t="str">
        <f t="shared" si="425"/>
        <v/>
      </c>
      <c r="Z113" s="618" t="str">
        <f>IF(A113=FALSE,"",IF(X113=0,0,IF((Cotations!BA113*12*X113)&lt;50000,50000,(12*X113))))</f>
        <v/>
      </c>
      <c r="AA113" s="618" t="str">
        <f t="shared" si="426"/>
        <v/>
      </c>
      <c r="AB113" s="618" t="str">
        <f>IF(A113=FALSE,"",IF(Crewlist!O113=0,"",Crewlist!O113))</f>
        <v/>
      </c>
      <c r="AC113" s="618" t="str">
        <f>IF(I113="","",VLOOKUP($AB$15:$AB$120,Currency!$A$15:$B$34,2,0))</f>
        <v/>
      </c>
      <c r="AD113" s="618" t="str">
        <f t="shared" si="427"/>
        <v/>
      </c>
      <c r="AE113" s="618" t="str">
        <f t="shared" si="428"/>
        <v/>
      </c>
      <c r="AF113" s="618" t="str">
        <f t="shared" si="429"/>
        <v/>
      </c>
      <c r="AG113" s="618" t="str">
        <f t="shared" si="430"/>
        <v/>
      </c>
      <c r="AH113" s="1097" t="str">
        <f t="shared" si="502"/>
        <v/>
      </c>
      <c r="AI113" s="759" t="str">
        <f t="shared" si="431"/>
        <v/>
      </c>
      <c r="AJ113" s="1120" t="str">
        <f t="shared" si="432"/>
        <v/>
      </c>
      <c r="AK113" s="1120" t="str">
        <f t="shared" si="433"/>
        <v/>
      </c>
      <c r="AL113" s="236" t="str">
        <f t="shared" si="434"/>
        <v/>
      </c>
      <c r="AM113" s="236" t="str">
        <f t="shared" si="435"/>
        <v/>
      </c>
      <c r="AN113" s="1112" t="str">
        <f t="shared" si="436"/>
        <v/>
      </c>
      <c r="AO113" s="236" t="str">
        <f t="shared" si="437"/>
        <v/>
      </c>
      <c r="AP113" s="327" t="str">
        <f>IF(A113=FALSE,"",INDEX(Rates!$Q$1:$Q$278,MATCH(CA113,colchoice,0)))</f>
        <v/>
      </c>
      <c r="AQ113" s="236" t="str">
        <f t="shared" si="438"/>
        <v/>
      </c>
      <c r="AR113" s="236" t="str">
        <f t="shared" si="439"/>
        <v/>
      </c>
      <c r="AS113" s="236" t="str">
        <f t="shared" si="503"/>
        <v/>
      </c>
      <c r="AT113" s="236" t="str">
        <f t="shared" si="504"/>
        <v/>
      </c>
      <c r="AU113" s="236" t="str">
        <f t="shared" si="440"/>
        <v/>
      </c>
      <c r="AV113" s="236" t="str">
        <f t="shared" si="441"/>
        <v/>
      </c>
      <c r="AW113" s="236" t="str">
        <f t="shared" si="442"/>
        <v/>
      </c>
      <c r="AX113" s="236" t="str">
        <f t="shared" si="443"/>
        <v/>
      </c>
      <c r="AY113" s="236" t="str">
        <f t="shared" si="444"/>
        <v/>
      </c>
      <c r="AZ113" s="236" t="str">
        <f t="shared" si="445"/>
        <v/>
      </c>
      <c r="BA113" s="236" t="str">
        <f t="shared" si="446"/>
        <v/>
      </c>
      <c r="BB113" s="467" t="str">
        <f t="shared" si="447"/>
        <v/>
      </c>
      <c r="BC113" s="329" t="str">
        <f t="shared" si="448"/>
        <v/>
      </c>
      <c r="BD113" s="237" t="str">
        <f t="shared" si="449"/>
        <v/>
      </c>
      <c r="BE113" s="237" t="str">
        <f>IF(A113=FALSE,"",IF(ED113&lt;&gt;$BC$7,0,INDEX(EA113:EZ113,1,MATCH(Structure!$J$16,$EA$14:$EZ$14,0))))</f>
        <v/>
      </c>
      <c r="BF113" s="237" t="str">
        <f>IF(A113=FALSE,"",IF(FD113&lt;&gt;$BC$7,0,INDEX(FA113:FZ113,1,MATCH(Structure!$J$16,$FA$14:$FZ$14,0))))</f>
        <v/>
      </c>
      <c r="BG113" s="237" t="str">
        <f>IF(A113=FALSE,"",IF(GD113&lt;&gt;$BC$7,0,INDEX(GA113:GZ113,1,MATCH(Structure!$J$16,$GA$14:$GZ$14,0))))</f>
        <v/>
      </c>
      <c r="BH113" s="237" t="str">
        <f>IF(A113=FALSE,"",IF(HD113&lt;&gt;$BC$7,0,INDEX(HA113:HZ113,1,MATCH(Structure!$J$16,$HA$14:$HZ$14,0))))</f>
        <v/>
      </c>
      <c r="BI113" s="621" t="str">
        <f>IF(A113=FALSE,"",IF(ID113&lt;&gt;$BC$7,0,INDEX(IA113:IZ113,1,MATCH(Structure!$C$12,$IA$14:$IZ$14,0)))+OL113)</f>
        <v/>
      </c>
      <c r="BJ113" s="237" t="str">
        <f>IF(A113=FALSE,"",IF(JD113&lt;&gt;$BC$7,0,INDEX(JA113:JZ113,1,MATCH(Structure!$C$12,$JA$14:$JZ$14,0))))</f>
        <v/>
      </c>
      <c r="BK113" s="621" t="str">
        <f>IF(A113=FALSE,"",IF(KD113&lt;&gt;$BC$7,0,INDEX(KA113:KZ113,1,MATCH(Structure!$C$12,$KA$14:$KZ$14,0)))+PL113)</f>
        <v/>
      </c>
      <c r="BL113" s="237" t="str">
        <f>IF(A113=FALSE,"",IF(LD113&lt;&gt;$BC$7,0,INDEX(LA113:LZ113,1,MATCH(Structure!$C$12,$LA$14:$LZ$14,0))))</f>
        <v/>
      </c>
      <c r="BM113" s="237" t="str">
        <f>IF(A113=FALSE,"",IF(MD113&lt;&gt;$BC$7,0,INDEX(MA113:MZ113,1,MATCH(Structure!$C$12,$MA$14:$MZ$14,0))))</f>
        <v/>
      </c>
      <c r="BN113" s="326" t="str">
        <f>IF(A113=FALSE,"",IF(ND113&lt;&gt;$BC$7,0,INDEX(NA113:OC113,1,MATCH(Structure!$C$12,$NA$14:$OC$14,0))))</f>
        <v/>
      </c>
      <c r="BO113" s="435" t="str">
        <f t="shared" si="450"/>
        <v/>
      </c>
      <c r="BP113" s="237" t="str">
        <f t="shared" si="451"/>
        <v/>
      </c>
      <c r="BQ113" s="237" t="str">
        <f>IF(A113=FALSE,"",IF(ED113&lt;&gt;$BO$7,0,INDEX(EA113:EZ113,1,MATCH(Structure!$C$12,$EA$14:$EZ$14,0))))</f>
        <v/>
      </c>
      <c r="BR113" s="237" t="str">
        <f>IF(A113=FALSE,"",IF(FD113&lt;&gt;$BO$7,0,INDEX(FA113:FZ113,1,MATCH(Structure!$C$12,$FA$14:$FZ$14,0))))</f>
        <v/>
      </c>
      <c r="BS113" s="237" t="str">
        <f>IF(A113=FALSE,"",IF(ID113&lt;&gt;$BO$7,0,INDEX(IA113:IZ113,1,MATCH(Structure!$C$13,$IA$14:$IZ$14,0))))</f>
        <v/>
      </c>
      <c r="BT113" s="237" t="str">
        <f>IF(A113=FALSE,"",IF(JD113&lt;&gt;$BO$7,0,INDEX(JA113:JZ113,1,MATCH(Structure!$C$13,$JA$14:$JZ$14,0))))</f>
        <v/>
      </c>
      <c r="BU113" s="237" t="str">
        <f>IF(A113=FALSE,"",IF(KD113&lt;&gt;$BO$7,0,INDEX(KA113:KZ113,1,MATCH(Structure!$C$13,$KA$14:$KZ$14,0))))</f>
        <v/>
      </c>
      <c r="BV113" s="237" t="str">
        <f>IF(A113=FALSE,"",IF(LD113&lt;&gt;$BO$7,0,INDEX(LA113:LZ113,1,MATCH(Structure!$C$13,$LA$14:$LZ$14,0))))</f>
        <v/>
      </c>
      <c r="BW113" s="237" t="str">
        <f>IF(A113=FALSE,"",IF(MD113&lt;&gt;$BO$7,0,INDEX(MA113:MZ113,1,MATCH(Structure!$C$13,$MA$14:$MZ$14,0))))</f>
        <v/>
      </c>
      <c r="BX113" s="326" t="str">
        <f>IF(A113=FALSE,"",IF(ND113&lt;&gt;$BO$7,0,INDEX(NA113:OC113,1,MATCH(Structure!$C$13,$NA$14:$OC$14,0))))</f>
        <v/>
      </c>
      <c r="BY113" s="412"/>
      <c r="BZ113" s="412"/>
      <c r="CA113" s="1255" t="str">
        <f>IF(A113=FALSE,"",IF(LISTES!$A$17=1,Cotations!AG113,Cotations!AH113))</f>
        <v/>
      </c>
      <c r="CB113" s="1266" t="str">
        <f t="shared" si="452"/>
        <v/>
      </c>
      <c r="CC113" s="1120" t="str">
        <f t="shared" si="453"/>
        <v/>
      </c>
      <c r="CD113" s="1120" t="str">
        <f t="shared" si="454"/>
        <v/>
      </c>
      <c r="CE113" s="1120" t="str">
        <f t="shared" si="455"/>
        <v/>
      </c>
      <c r="CF113" s="1120" t="str">
        <f t="shared" si="456"/>
        <v/>
      </c>
      <c r="CG113" s="1267"/>
      <c r="CH113" s="1267"/>
      <c r="CI113" s="1268" t="str">
        <f t="shared" si="457"/>
        <v/>
      </c>
      <c r="CJ113" s="286" t="str">
        <f t="shared" si="458"/>
        <v/>
      </c>
      <c r="CK113" s="286" t="str">
        <f t="shared" si="459"/>
        <v/>
      </c>
      <c r="CL113" s="1263"/>
      <c r="CM113" s="1263"/>
      <c r="CN113" s="1263"/>
      <c r="CO113" s="1263"/>
      <c r="CP113" s="319" t="str">
        <f t="shared" si="460"/>
        <v/>
      </c>
      <c r="CQ113" s="443" t="str">
        <f>IF(A113=FALSE,"",Cotations!AM113)</f>
        <v/>
      </c>
      <c r="CR113" s="443" t="str">
        <f>IF(A113=FALSE,"",IF(Cotations!AN113="","",Cotations!AN113))</f>
        <v/>
      </c>
      <c r="CS113" s="433" t="str">
        <f>IF(A113=FALSE,"",Cotations!AO113)</f>
        <v/>
      </c>
      <c r="CT113" s="443" t="str">
        <f>IF(A113=FALSE,"",IF(CQ113="N/A",0,IF(INDEX(LISTES!$F$105:$F$109,MATCH(CQ113,LISTES!$C$105:$C$109,0))="FIX",IF(INDEX(LISTES!$E$105:$E$109,MATCH(CQ113,LISTES!$C$105:$C$109,0))=12,CR113/12*L113,CR113/365*M113),CS113*EQ113)))</f>
        <v/>
      </c>
      <c r="CU113" s="434" t="str">
        <f>IF(A113=FALSE,"",(CJ113+CK113)*Cotations!AP113)</f>
        <v/>
      </c>
      <c r="CV113" s="434" t="str">
        <f>IF(A113=FALSE,"",(CJ113+CK113)*Cotations!AQ113)</f>
        <v/>
      </c>
      <c r="DA113" s="1253" t="str">
        <f>IF(A113=FALSE,"",IF(LISTES!$A$17=1,Cotations!AV113,Cotations!AW113))</f>
        <v/>
      </c>
      <c r="DB113" s="1271" t="str">
        <f t="shared" si="461"/>
        <v/>
      </c>
      <c r="DC113" s="1270" t="str">
        <f t="shared" si="462"/>
        <v/>
      </c>
      <c r="DD113" s="1270" t="str">
        <f t="shared" si="463"/>
        <v/>
      </c>
      <c r="DE113" s="1270" t="str">
        <f t="shared" si="464"/>
        <v/>
      </c>
      <c r="DF113" s="1270" t="str">
        <f t="shared" si="465"/>
        <v/>
      </c>
      <c r="DG113" s="1270" t="str">
        <f t="shared" si="466"/>
        <v/>
      </c>
      <c r="DH113" s="1270" t="str">
        <f t="shared" si="467"/>
        <v/>
      </c>
      <c r="DI113" s="1271" t="str">
        <f t="shared" si="468"/>
        <v/>
      </c>
      <c r="DJ113" s="286" t="str">
        <f t="shared" si="469"/>
        <v/>
      </c>
      <c r="DK113" s="286" t="str">
        <f t="shared" si="470"/>
        <v/>
      </c>
      <c r="DL113" s="1264" t="str">
        <f t="shared" si="471"/>
        <v/>
      </c>
      <c r="DM113" s="1264" t="str">
        <f t="shared" si="472"/>
        <v/>
      </c>
      <c r="DN113" s="1264" t="str">
        <f t="shared" si="473"/>
        <v/>
      </c>
      <c r="DO113" s="1264" t="str">
        <f t="shared" si="474"/>
        <v/>
      </c>
      <c r="DP113" s="323" t="str">
        <f t="shared" si="505"/>
        <v/>
      </c>
      <c r="DQ113" s="444" t="str">
        <f>IF(A113=FALSE,"",Cotations!BW113)</f>
        <v/>
      </c>
      <c r="DR113" s="444" t="str">
        <f>IF(A113=FALSE,"",Cotations!BX113)</f>
        <v/>
      </c>
      <c r="DS113" s="433" t="str">
        <f>IF(A113=FALSE,"",Cotations!BY113)</f>
        <v/>
      </c>
      <c r="DT113" s="830" t="str">
        <f>IF(A113=FALSE,"",IF(DQ113="N/A",0,IF(INDEX(LISTES!$F$105:$F$109,MATCH(DQ113,LISTES!$C$105:$C$109,0))="FIX",IF(INDEX(LISTES!$E$105:$E$109,MATCH(DQ113,LISTES!$C$105:$C$109,0))=12,DR113/12*L113,DR113/365*M113),DS113*(DN113+DO113))))</f>
        <v/>
      </c>
      <c r="DU113" s="434" t="str">
        <f>IF(A113=FALSE,"",DJ113*Cotations!BZ113)</f>
        <v/>
      </c>
      <c r="DV113" s="434" t="str">
        <f>IF(A113=FALSE,"",DJ113*Cotations!CA113)</f>
        <v/>
      </c>
      <c r="EA113" s="432" t="str">
        <f>IF(A113=FALSE,"",Cotations!AT113)</f>
        <v/>
      </c>
      <c r="EB113" s="1234" t="str">
        <f>IF(A113=FALSE,"",YEAR(Detail!F113)&amp;Detail!AG113&amp;Detail!AD113&amp;"-"&amp;Detail!$AD$13&amp;Detail!AE113)</f>
        <v/>
      </c>
      <c r="EC113" s="434" t="str">
        <f>IF(A113=FALSE,"",IF(LISTES!$A$17=1,EB113,INDEX(colMOD1,MATCH(Cotations!AH113,colchoice,0))))</f>
        <v/>
      </c>
      <c r="ED113" s="277" t="str">
        <f t="shared" si="506"/>
        <v/>
      </c>
      <c r="EE113" s="277" t="str">
        <f t="shared" si="507"/>
        <v/>
      </c>
      <c r="EF113" s="277"/>
      <c r="EG113" s="277"/>
      <c r="EH113" s="277" t="str">
        <f t="shared" si="508"/>
        <v/>
      </c>
      <c r="EI113" s="1104" t="str">
        <f t="shared" si="509"/>
        <v/>
      </c>
      <c r="EJ113" s="1104" t="str">
        <f t="shared" si="510"/>
        <v/>
      </c>
      <c r="EK113" s="443" t="str">
        <f>IF(A113=FALSE,"",IF(Cotations!AF113="monthly",EH113/12*L113,EH113/365*M113))</f>
        <v/>
      </c>
      <c r="EL113" s="1103" t="str">
        <f>IF(A113=FALSE,"",IF(Cotations!AF113="monthly",EJ113/12*L113,EJ113/365*M113))</f>
        <v/>
      </c>
      <c r="EM113" s="433" t="str">
        <f>IF(A113=FALSE,"",IF(Cotations!AI113="","",Cotations!AI113))</f>
        <v/>
      </c>
      <c r="EN113" s="277" t="str">
        <f t="shared" si="511"/>
        <v/>
      </c>
      <c r="EO113" s="277" t="str">
        <f t="shared" si="512"/>
        <v/>
      </c>
      <c r="EP113" s="1104" t="str">
        <f t="shared" si="513"/>
        <v/>
      </c>
      <c r="EQ113" s="277" t="str">
        <f t="shared" si="514"/>
        <v/>
      </c>
      <c r="ER113" s="759" t="str">
        <f>IF(A113=FALSE,"",((EH113*TAXE)-(EH113*TAXE*EM113)+EI113)+IF(CQ113="N/A",0,IF(INDEX(LISTES!$F$105:$F$109,MATCH(CQ113,LISTES!$C$105:$C$109,0))="FIX",CR113,CS113*EQ113)))</f>
        <v/>
      </c>
      <c r="ET113" s="422"/>
      <c r="EU113" s="422"/>
      <c r="EV113" s="422"/>
      <c r="EW113" s="422"/>
      <c r="EX113" s="422"/>
      <c r="EY113" s="422"/>
      <c r="EZ113" s="422"/>
      <c r="FA113" s="432" t="str">
        <f>IF(A113=FALSE,"",Cotations!AT113)</f>
        <v/>
      </c>
      <c r="FB113" s="1235" t="str">
        <f>IF(A113=FALSE,"",IF(Detail!AL113="","N/A",YEAR(Detail!F113)&amp;Detail!AO113&amp;Detail!AL113&amp;"-"&amp;Detail!$AL$13&amp;Detail!AM113))</f>
        <v/>
      </c>
      <c r="FC113" s="434" t="str">
        <f>IF(A113=FALSE,"",IF(LISTES!$A$17=1,Cotations!#REF!,Cotations!#REF!))</f>
        <v/>
      </c>
      <c r="FD113" s="277" t="str">
        <f t="shared" si="515"/>
        <v/>
      </c>
      <c r="FE113" s="443" t="str">
        <f>IF(A113=FALSE,"",IF(Detail!AM113="","",Detail!AM113))</f>
        <v/>
      </c>
      <c r="FF113" s="277"/>
      <c r="FG113" s="277"/>
      <c r="FH113" s="277" t="str">
        <f t="shared" si="516"/>
        <v/>
      </c>
      <c r="FI113" s="1104"/>
      <c r="FJ113" s="1104"/>
      <c r="FK113" s="443" t="str">
        <f>IF(A113=FALSE,"",IF(Cotations!AF113="monthly",FH113/12*L113,FH113/365*M113))</f>
        <v/>
      </c>
      <c r="FL113" s="1103" t="str">
        <f>IF(A113=FALSE,"",IF(Cotations!AF113="monthly",FJ113/12*L113,FJ113/365*M113))</f>
        <v/>
      </c>
      <c r="FM113" s="433" t="str">
        <f>IF(A113=FALSE,"",IF(Cotations!AJ113="","",Cotations!AJ113))</f>
        <v/>
      </c>
      <c r="FN113" s="277" t="str">
        <f t="shared" si="475"/>
        <v/>
      </c>
      <c r="FO113" s="277" t="str">
        <f t="shared" si="476"/>
        <v/>
      </c>
      <c r="FP113" s="1104"/>
      <c r="FQ113" s="277" t="str">
        <f t="shared" si="477"/>
        <v/>
      </c>
      <c r="FR113" s="759" t="str">
        <f>IF(A113=FALSE,"",((FH113*TAXE)-(FH113*TAXE*FM113))+IF(#REF!="N/A",0,IF(INDEX(LISTES!$F$105:$F$109,MATCH(#REF!,LISTES!$C$105:$C$109,0))="FIX",#REF!,#REF!*FQ113)))</f>
        <v/>
      </c>
      <c r="FS113" s="422"/>
      <c r="FT113" s="422"/>
      <c r="FU113" s="422"/>
      <c r="FV113" s="422"/>
      <c r="FW113" s="422"/>
      <c r="FX113" s="422"/>
      <c r="FY113" s="422"/>
      <c r="FZ113" s="422"/>
      <c r="GA113" s="432" t="str">
        <f t="shared" si="517"/>
        <v/>
      </c>
      <c r="GB113" s="1234" t="str">
        <f>IF(A113=FALSE,"",IF(Detail!DF113="","N/A",YEAR(Detail!F113)&amp;Detail!DI113&amp;Detail!DF113&amp;"-"&amp;Detail!$DF$13))</f>
        <v/>
      </c>
      <c r="GC113" s="434" t="str">
        <f>IF(A113=FALSE,"",IF(LISTES!$A$17=1,GB113,INDEX(colMOD3,MATCH(Cotations!AH113,colchoice,0))))</f>
        <v/>
      </c>
      <c r="GD113" s="277" t="str">
        <f t="shared" si="518"/>
        <v/>
      </c>
      <c r="GE113" s="277" t="str">
        <f t="shared" si="519"/>
        <v/>
      </c>
      <c r="GF113" s="277"/>
      <c r="GG113" s="277"/>
      <c r="GH113" s="277" t="str">
        <f t="shared" si="478"/>
        <v/>
      </c>
      <c r="GI113" s="1104" t="str">
        <f t="shared" si="479"/>
        <v/>
      </c>
      <c r="GJ113" s="1104" t="str">
        <f t="shared" si="480"/>
        <v/>
      </c>
      <c r="GK113" s="443" t="str">
        <f>IF(A113=FALSE,"",IF(Cotations!AF113="monthly",GH113/12*L113,GH113/365*M113))</f>
        <v/>
      </c>
      <c r="GL113" s="1103" t="str">
        <f>IF(A113=FALSE,"",IF(Cotations!AF113="monthly",GJ113/12*L113,GJ113/365*M113))</f>
        <v/>
      </c>
      <c r="GM113" s="433" t="str">
        <f>IF(A113=FALSE,"",IF(Cotations!AK113="","",Cotations!AK113))</f>
        <v/>
      </c>
      <c r="GN113" s="277" t="str">
        <f t="shared" si="481"/>
        <v/>
      </c>
      <c r="GO113" s="277" t="str">
        <f t="shared" si="482"/>
        <v/>
      </c>
      <c r="GP113" s="1104" t="str">
        <f t="shared" si="483"/>
        <v/>
      </c>
      <c r="GQ113" s="277" t="str">
        <f t="shared" si="484"/>
        <v/>
      </c>
      <c r="GR113" s="759" t="str">
        <f>IF(A113=FALSE,"",((GH113*TAXE)-(GH113*TAXE*GM113)+GI113)+IF(CQ113="N/A",0,IF(INDEX(LISTES!$F$105:$F$109,MATCH(CQ113,LISTES!$C$105:$C$109,0))="FIX",CR113,CS113*GQ113)))</f>
        <v/>
      </c>
      <c r="GS113" s="412"/>
      <c r="GT113" s="412"/>
      <c r="GU113" s="412"/>
      <c r="GV113" s="412"/>
      <c r="GW113" s="412"/>
      <c r="GX113" s="412"/>
      <c r="GY113" s="412"/>
      <c r="GZ113" s="412"/>
      <c r="HA113" s="432" t="str">
        <f t="shared" si="520"/>
        <v/>
      </c>
      <c r="HB113" s="1234" t="str">
        <f>IF(A113=FALSE,"",IF(Detail!DF113="","N/A",YEAR(Detail!F113)&amp;Detail!DI113&amp;Detail!DF113&amp;"-"&amp;Detail!$DF$13))</f>
        <v/>
      </c>
      <c r="HC113" s="434" t="str">
        <f>IF(A113=FALSE,"",IF(LISTES!$A$17=1,HB113,INDEX(colMOD4,MATCH(Cotations!AH113,colchoice,0))))</f>
        <v/>
      </c>
      <c r="HD113" s="277" t="str">
        <f t="shared" si="485"/>
        <v/>
      </c>
      <c r="HE113" s="277" t="str">
        <f t="shared" si="486"/>
        <v/>
      </c>
      <c r="HF113" s="277"/>
      <c r="HG113" s="277"/>
      <c r="HH113" s="277" t="str">
        <f t="shared" si="487"/>
        <v/>
      </c>
      <c r="HI113" s="1104" t="str">
        <f t="shared" si="488"/>
        <v/>
      </c>
      <c r="HJ113" s="1104" t="str">
        <f t="shared" si="489"/>
        <v/>
      </c>
      <c r="HK113" s="443" t="str">
        <f>IF(A113=FALSE,"",IF(Cotations!AF113="monthly",HH113/12*L113,HH113/365*M113))</f>
        <v/>
      </c>
      <c r="HL113" s="1103" t="str">
        <f>IF(A113=FALSE,"",IF(Cotations!AF113="monthly",HJ113/12*L113,HJ113/365*M113))</f>
        <v/>
      </c>
      <c r="HM113" s="433" t="str">
        <f>IF(A113=FALSE,"",IF(Cotations!AL113="","",Cotations!AL113))</f>
        <v/>
      </c>
      <c r="HN113" s="277" t="str">
        <f t="shared" si="490"/>
        <v/>
      </c>
      <c r="HO113" s="277" t="str">
        <f t="shared" si="491"/>
        <v/>
      </c>
      <c r="HP113" s="1104" t="str">
        <f t="shared" si="492"/>
        <v/>
      </c>
      <c r="HQ113" s="277" t="str">
        <f t="shared" si="493"/>
        <v/>
      </c>
      <c r="HR113" s="759" t="str">
        <f>IF(A113=FALSE,"",((HH113*TAXE)-(HH113*TAXE*HM113)+HI113)+IF(CQ113="N/A",0,IF(INDEX(LISTES!$F$105:$F$109,MATCH(CQ113,LISTES!$C$105:$C$109,0))="FIX",CR113,CS113*HQ113)))</f>
        <v/>
      </c>
      <c r="HS113" s="412"/>
      <c r="HT113" s="412"/>
      <c r="HU113" s="412"/>
      <c r="HV113" s="412"/>
      <c r="HW113" s="412"/>
      <c r="HX113" s="412"/>
      <c r="HY113" s="412"/>
      <c r="HZ113" s="1262"/>
      <c r="IA113" s="432" t="str">
        <f>IF(A113=FALSE,"",Cotations!AT113)</f>
        <v/>
      </c>
      <c r="IB113" s="1253" t="str">
        <f>IF(A113=FALSE,"",IF(Detail!AT113="","N/A",YEAR(Detail!F113)&amp;Detail!AW113&amp;Detail!AT113&amp;"-"&amp;Detail!$AT$13&amp;Detail!AU113))</f>
        <v/>
      </c>
      <c r="IC113" s="431" t="str">
        <f>IF(A113=FALSE,"",IF(LISTES!$A$17=1,IB113,INDEX(colMOD1,MATCH(DA113,colchoice,0))))</f>
        <v/>
      </c>
      <c r="ID113" s="759" t="str">
        <f t="shared" si="358"/>
        <v/>
      </c>
      <c r="IE113" s="292" t="str">
        <f>IF(A113=FALSE,"",IF(LISTES!$A$17=1,Detail!AU113,INDEX(Rates!$M$1:$M$270,MATCH(IC113,colMOD1,0))))</f>
        <v/>
      </c>
      <c r="IF113" s="409" t="str">
        <f t="shared" si="359"/>
        <v/>
      </c>
      <c r="IG113" s="430" t="str">
        <f>IF(A113=FALSE,"",IF(IA113="POEA",Cotations!AY113,IF(IA113="FIXE",Cotations!AZ113,IF(Cotations!BA113*Y113&lt;50000,Z113,Cotations!BA113*Y113))))</f>
        <v/>
      </c>
      <c r="IH113" s="292" t="str">
        <f t="shared" si="360"/>
        <v/>
      </c>
      <c r="II113" s="446" t="str">
        <f>IF(A113=FALSE,"",IF(Cotations!AU113="monthly",IH113/12*L113,IH113/365*M113))</f>
        <v/>
      </c>
      <c r="IJ113" s="429" t="str">
        <f>IF(A113=FALSE,"",IF(Cotations!BB113="","",Cotations!BB113))</f>
        <v/>
      </c>
      <c r="IK113" s="292" t="str">
        <f t="shared" si="361"/>
        <v/>
      </c>
      <c r="IL113" s="292" t="str">
        <f t="shared" si="362"/>
        <v/>
      </c>
      <c r="IM113" s="759" t="str">
        <f t="shared" si="363"/>
        <v/>
      </c>
      <c r="IN113" s="759" t="str">
        <f>IF(A113=FALSE,"",((IH113*TAXE)-(IH113*TAXE*IJ113))+IF(DQ113="N/A",0,IF(INDEX(LISTES!$F$105:$F$109,MATCH(DQ113,LISTES!$C$105:$C$109,0))="FIX",DR113,DS113*IM113)))</f>
        <v/>
      </c>
      <c r="JA113" s="432" t="str">
        <f>IF(A113=FALSE,"",Cotations!AT113)</f>
        <v/>
      </c>
      <c r="JB113" s="1234" t="str">
        <f>IF(A113=FALSE,"",IF(Detail!BB113="","N/A",YEAR(Detail!F113)&amp;Detail!BE113&amp;Detail!BB113&amp;"-"&amp;Detail!$BB$13&amp;Detail!BC113))</f>
        <v/>
      </c>
      <c r="JC113" s="431" t="str">
        <f>IF(A113=FALSE,"",IF(LISTES!$A$17=1,JB113,INDEX(colMOD2,MATCH(DA113,colchoice,0))))</f>
        <v/>
      </c>
      <c r="JD113" s="759" t="str">
        <f t="shared" si="521"/>
        <v/>
      </c>
      <c r="JE113" s="292"/>
      <c r="JF113" s="409" t="str">
        <f t="shared" si="522"/>
        <v/>
      </c>
      <c r="JG113" s="430" t="str">
        <f>IF(A113=FALSE,"",IF(JA113="POEA",Cotations!BC113,IF(JA113="FIXE",Cotations!BD113,IF(Cotations!BE113*Y113&lt;50000,Z113,Cotations!BE113*Y113))))</f>
        <v/>
      </c>
      <c r="JH113" s="292" t="str">
        <f t="shared" si="523"/>
        <v/>
      </c>
      <c r="JI113" s="446" t="str">
        <f>IF(A113=FALSE,"",IF(Cotations!AU113="monthly",JH113/12*L113,JH113/365*M113))</f>
        <v/>
      </c>
      <c r="JJ113" s="429" t="str">
        <f>IF(A113=FALSE,"",IF(Cotations!BF113="","",Cotations!BF113))</f>
        <v/>
      </c>
      <c r="JK113" s="292" t="str">
        <f t="shared" si="524"/>
        <v/>
      </c>
      <c r="JL113" s="292" t="str">
        <f t="shared" si="525"/>
        <v/>
      </c>
      <c r="JM113" s="759" t="str">
        <f t="shared" si="526"/>
        <v/>
      </c>
      <c r="JN113" s="759" t="str">
        <f>IF(A113=FALSE,"",((JH113*TAXE)-(JH113*TAXE*JJ113))+IF(#REF!="N/A",0,IF(INDEX(LISTES!$F$105:$F$109,MATCH(#REF!,LISTES!$C$105:$C$109,0))="FIX",#REF!,#REF!*JM113)))</f>
        <v/>
      </c>
      <c r="KA113" s="432" t="str">
        <f>IF(A113=FALSE,"",Cotations!AT113)</f>
        <v/>
      </c>
      <c r="KB113" s="1234" t="str">
        <f>IF(A113=FALSE,"",IF(Detail!BJ113="","N/A",YEAR(Detail!F113)&amp;Detail!BM113&amp;Detail!BJ113&amp;"-"&amp;Detail!$BJ$13&amp;Detail!BK113))</f>
        <v/>
      </c>
      <c r="KC113" s="431" t="str">
        <f>IF(A113=FALSE,"",IF(LISTES!$A$17=1,KB113,INDEX(colMOD3,MATCH(DA113,colchoice,0))))</f>
        <v/>
      </c>
      <c r="KD113" s="759" t="str">
        <f t="shared" si="527"/>
        <v/>
      </c>
      <c r="KE113" s="292"/>
      <c r="KF113" s="409" t="str">
        <f t="shared" si="528"/>
        <v/>
      </c>
      <c r="KG113" s="430" t="str">
        <f>IF(A113=FALSE,"",IF(KA113="POEA",Cotations!BG113,IF(KA113="FIXE",Cotations!BH113,IF(Cotations!BI113*Y113&lt;50000,Z113,Cotations!BI113*Y113))))</f>
        <v/>
      </c>
      <c r="KH113" s="292" t="str">
        <f t="shared" si="529"/>
        <v/>
      </c>
      <c r="KI113" s="446" t="str">
        <f>IF(A113=FALSE,"",IF(Cotations!AU113="monthly",KH113/12*L113,KH113/365*M113))</f>
        <v/>
      </c>
      <c r="KJ113" s="429" t="str">
        <f>IF(A113=FALSE,"",IF(Cotations!BJ113="","",Cotations!BJ113))</f>
        <v/>
      </c>
      <c r="KK113" s="292" t="str">
        <f t="shared" si="530"/>
        <v/>
      </c>
      <c r="KL113" s="292" t="str">
        <f t="shared" si="531"/>
        <v/>
      </c>
      <c r="KM113" s="759" t="str">
        <f t="shared" si="532"/>
        <v/>
      </c>
      <c r="KN113" s="759" t="str">
        <f>IF(A113=FALSE,"",((KH113*TAXE)-(KH113*TAXE*KJ113))+IF(#REF!="N/A",0,IF(INDEX(LISTES!$F$105:$F$109,MATCH(#REF!,LISTES!$C$105:$C$109,0))="FIX",#REF!,#REF!*KM113)))</f>
        <v/>
      </c>
      <c r="LA113" s="432" t="str">
        <f>IF(A113=FALSE,"",Cotations!AT113)</f>
        <v/>
      </c>
      <c r="LB113" s="1234" t="str">
        <f>IF(A113=FALSE,"",IF(Detail!BR113="","N/A",YEAR(Detail!F113)&amp;Detail!BU113&amp;Detail!BR113&amp;"-"&amp;Detail!$BR$13&amp;Detail!BS113))</f>
        <v/>
      </c>
      <c r="LC113" s="431" t="str">
        <f>IF(A113=FALSE,"",IF(LISTES!$A$17=1,LB113,INDEX(colMOD4,MATCH(DA113,colchoice,0))))</f>
        <v/>
      </c>
      <c r="LD113" s="759" t="str">
        <f t="shared" si="533"/>
        <v/>
      </c>
      <c r="LE113" s="292"/>
      <c r="LF113" s="409" t="str">
        <f t="shared" si="534"/>
        <v/>
      </c>
      <c r="LG113" s="430" t="str">
        <f>IF(A113=FALSE,"",IF(LA113="POEA",Cotations!BK113,IF(LA113="FIXE",Cotations!BL113,IF(Cotations!BM113*Y113&lt;50000,Z113,Cotations!BM113*Y113))))</f>
        <v/>
      </c>
      <c r="LH113" s="292" t="str">
        <f t="shared" si="535"/>
        <v/>
      </c>
      <c r="LI113" s="446" t="str">
        <f>IF(A113=FALSE,"",IF(Cotations!AU113="monthly",LH113/12*L113,LH113/365*M113))</f>
        <v/>
      </c>
      <c r="LJ113" s="429" t="str">
        <f>IF(A113=FALSE,"",IF(Cotations!BN113="","",Cotations!BN113))</f>
        <v/>
      </c>
      <c r="LK113" s="292" t="str">
        <f t="shared" si="536"/>
        <v/>
      </c>
      <c r="LL113" s="292" t="str">
        <f t="shared" si="537"/>
        <v/>
      </c>
      <c r="LM113" s="759" t="str">
        <f t="shared" si="538"/>
        <v/>
      </c>
      <c r="LN113" s="759" t="str">
        <f>IF(A113=FALSE,"",((LH113*TAXE)-(LH113*TAXE*LJ113))+IF(#REF!="N/A",0,IF(INDEX(LISTES!$F$105:$F$109,MATCH(#REF!,LISTES!$C$105:$C$109,0))="FIX",#REF!,#REF!*LM113)))</f>
        <v/>
      </c>
      <c r="MA113" s="432" t="str">
        <f t="shared" si="539"/>
        <v/>
      </c>
      <c r="MB113" s="1234" t="str">
        <f>IF(A113=FALSE,"",IF(Detail!BZ113="","N/A",YEAR(Detail!F113)&amp;Detail!CC113&amp;Detail!BZ113&amp;"-"&amp;Detail!$BZ$13&amp;" (100%/"&amp;Detail!CD113&amp;"/"&amp;Detail!CE113&amp;")"))</f>
        <v/>
      </c>
      <c r="MC113" s="431" t="str">
        <f>IF(A113=FALSE,"",IF(LISTES!$A$17=1,MB113,INDEX(colMOD5,MATCH(DA113,colchoice,0))))</f>
        <v/>
      </c>
      <c r="MD113" s="759" t="str">
        <f t="shared" si="540"/>
        <v/>
      </c>
      <c r="ME113" s="292"/>
      <c r="MF113" s="409" t="str">
        <f t="shared" si="541"/>
        <v/>
      </c>
      <c r="MG113" s="430" t="str">
        <f>IF(A113=FALSE,"",Cotations!BQ113*AA113)</f>
        <v/>
      </c>
      <c r="MH113" s="292" t="str">
        <f t="shared" si="542"/>
        <v/>
      </c>
      <c r="MI113" s="446" t="str">
        <f>IF(A113=FALSE,"",IF(Cotations!AU113="monthly",MH113/12*L113,MH113/365*M113))</f>
        <v/>
      </c>
      <c r="MJ113" s="429" t="str">
        <f>IF(A113=FALSE,"",IF(Cotations!BR113="","",Cotations!BR113))</f>
        <v/>
      </c>
      <c r="MK113" s="292" t="str">
        <f t="shared" si="543"/>
        <v/>
      </c>
      <c r="ML113" s="292" t="str">
        <f t="shared" si="544"/>
        <v/>
      </c>
      <c r="MM113" s="759" t="str">
        <f t="shared" si="545"/>
        <v/>
      </c>
      <c r="MN113" s="759" t="str">
        <f>IF(A113=FALSE,"",((MH113*TAXE)-(MH113*TAXE*MJ113))+IF(#REF!="N/A",0,IF(INDEX(LISTES!$F$105:$F$109,MATCH(#REF!,LISTES!$C$105:$C$109,0))="FIX",#REF!,#REF!*MM113)))</f>
        <v/>
      </c>
      <c r="NA113" s="432" t="str">
        <f t="shared" si="546"/>
        <v/>
      </c>
      <c r="NB113" s="1234" t="str">
        <f>IF(A113=FALSE,"",IF(Detail!CH113="","N/A",YEAR(Detail!F113)&amp;Detail!CK113&amp;Detail!CH113&amp;"-"&amp;Detail!$CH$13&amp;" (100%/"&amp;Detail!CL113&amp;"/"&amp;Detail!CM113&amp;")"))</f>
        <v/>
      </c>
      <c r="NC113" s="431" t="str">
        <f>IF(A113=FALSE,"",IF(LISTES!$A$17=1,NB113,INDEX(colMOD6,MATCH(DA113,colchoice,0))))</f>
        <v/>
      </c>
      <c r="ND113" s="759" t="str">
        <f t="shared" si="547"/>
        <v/>
      </c>
      <c r="NE113" s="292"/>
      <c r="NF113" s="409" t="str">
        <f t="shared" si="548"/>
        <v/>
      </c>
      <c r="NG113" s="430" t="str">
        <f>IF(A113=FALSE,"",Cotations!BU113*AA113)</f>
        <v/>
      </c>
      <c r="NH113" s="292" t="str">
        <f t="shared" si="549"/>
        <v/>
      </c>
      <c r="NI113" s="446" t="str">
        <f>IF(A113=FALSE,"",IF(Cotations!AU113="monthly",NH113/12*L113,NH113/365*M113))</f>
        <v/>
      </c>
      <c r="NJ113" s="429" t="str">
        <f>IF(A113=FALSE,"",IF(Cotations!BV113="","",Cotations!BV113))</f>
        <v/>
      </c>
      <c r="NK113" s="292" t="str">
        <f t="shared" si="550"/>
        <v/>
      </c>
      <c r="NL113" s="292" t="str">
        <f t="shared" si="551"/>
        <v/>
      </c>
      <c r="NM113" s="759" t="str">
        <f t="shared" si="552"/>
        <v/>
      </c>
      <c r="NN113" s="759" t="str">
        <f>IF(A113=FALSE,"",((NH113*TAXE)-(NH113*TAXE*NJ113))+IF(#REF!="N/A",0,IF(INDEX(LISTES!$F$105:$F$109,MATCH(#REF!,LISTES!$C$105:$C$109,0))="FIX",#REF!,#REF!*NM113)))</f>
        <v/>
      </c>
      <c r="NZ113" s="1281" t="str">
        <f>IF(A113=FALSE,"",IF(Detail!CP113="","N/A",YEAR(Detail!F113)&amp;Detail!CS113&amp;Detail!CP113&amp;"-"&amp;Detail!CQ113))</f>
        <v/>
      </c>
      <c r="OA113" s="432" t="str">
        <f>IF(A113=FALSE,"",Cotations!CF113)</f>
        <v/>
      </c>
      <c r="OB113" s="1282" t="str">
        <f>IF(A113=FALSE,"",IF(Detail!CP113="","N/A",YEAR(Detail!F113)&amp;Detail!CS113&amp;Detail!CP113&amp;"-"&amp;Detail!$CP$13&amp;Detail!CQ113))</f>
        <v/>
      </c>
      <c r="OC113" s="1283" t="str">
        <f>IF(A113=FALSE,"",IF(LISTES!$A$17=1,OB113,INDEX(colMOD1,MATCH(Cotations!CE113,colchoice,0))))</f>
        <v/>
      </c>
      <c r="OD113" s="759" t="str">
        <f t="shared" si="553"/>
        <v/>
      </c>
      <c r="OE113" s="292" t="str">
        <f>IF(A113=FALSE,"",Detail!CQ113)</f>
        <v/>
      </c>
      <c r="OF113" s="409" t="str">
        <f t="shared" si="554"/>
        <v/>
      </c>
      <c r="OG113" s="430" t="str">
        <f>IF(A113=FALSE,"",IF(OA113="FIXE",Cotations!CM113,Cotations!CN113*AA113))</f>
        <v/>
      </c>
      <c r="OH113" s="292" t="str">
        <f t="shared" si="494"/>
        <v/>
      </c>
      <c r="OI113" s="446" t="str">
        <f>IF(A113=FALSE,"",IF(Cotations!CF113="monthly",OH113/12*L113,OH113/365*M113))</f>
        <v/>
      </c>
      <c r="OJ113" s="429" t="str">
        <f>IF(A113=FALSE,"",IF(Cotations!CO113="","",Cotations!CO113))</f>
        <v/>
      </c>
      <c r="OK113" s="292" t="str">
        <f t="shared" si="495"/>
        <v/>
      </c>
      <c r="OL113" s="292" t="str">
        <f t="shared" si="496"/>
        <v/>
      </c>
      <c r="OM113" s="759" t="str">
        <f t="shared" si="555"/>
        <v/>
      </c>
      <c r="ON113" s="759" t="str">
        <f>IF(A113=FALSE,"",((OH113*(1+TAXE)-(OH113*(1+TAXE)*OJ113))+IF(#REF!="N/A",0,IF(INDEX(LISTES!$F$105:$F$109,MATCH(#REF!,LISTES!$C$105:$C$109,0))="FIX",#REF!,#REF!*OM113))))</f>
        <v/>
      </c>
      <c r="PA113" s="432" t="str">
        <f>IF(A113=FALSE,"",Cotations!CF113)</f>
        <v/>
      </c>
      <c r="PB113" s="1282" t="str">
        <f>IF(A113=FALSE,"",IF(Detail!CX113="","N/A",YEAR(Detail!F113)&amp;Detail!DA113&amp;Detail!CX113&amp;"-"&amp;Detail!$CX$13&amp;Detail!CY113))</f>
        <v/>
      </c>
      <c r="PC113" s="1283" t="str">
        <f>IF(A113=FALSE,"",IF(LISTES!$A$17=1,PB113,INDEX(colMOD3,MATCH(Cotations!CE113,colchoice,0))))</f>
        <v/>
      </c>
      <c r="PD113" s="759" t="str">
        <f t="shared" si="556"/>
        <v/>
      </c>
      <c r="PE113" s="292" t="str">
        <f>IF(A113=FALSE,"",IF(Detail!CY113="","",Detail!CY113))</f>
        <v/>
      </c>
      <c r="PF113" s="409" t="str">
        <f t="shared" si="497"/>
        <v/>
      </c>
      <c r="PG113" s="430" t="str">
        <f>IF(A113=FALSE,"",IF(PA113="FIXE",Cotations!CP113,Cotations!CQ113*AA113))</f>
        <v/>
      </c>
      <c r="PH113" s="292" t="str">
        <f t="shared" si="498"/>
        <v/>
      </c>
      <c r="PI113" s="446" t="str">
        <f>IF(A113=FALSE,"",IF(Cotations!CG113="monthly",PH113/12*L113,PH113/365*M113))</f>
        <v/>
      </c>
      <c r="PJ113" s="429" t="str">
        <f>IF(A113=FALSE,"",IF(Cotations!DA113="",0,Cotations!DA113))</f>
        <v/>
      </c>
      <c r="PK113" s="292" t="str">
        <f t="shared" si="499"/>
        <v/>
      </c>
      <c r="PL113" s="292" t="str">
        <f t="shared" si="500"/>
        <v/>
      </c>
      <c r="PM113" s="759" t="str">
        <f t="shared" si="557"/>
        <v/>
      </c>
      <c r="PN113" s="759" t="str">
        <f>IF(A113=FALSE,"",((PH113*(1+TAXE)-(PH113*(1+TAXE)*PJ113))+IF(#REF!="N/A",0,IF(INDEX(LISTES!$F$105:$F$109,MATCH(#REF!,LISTES!$C$105:$C$109,0))="FIX",#REF!,#REF!*PM113))))</f>
        <v/>
      </c>
    </row>
    <row r="114" spans="1:430">
      <c r="A114" s="779" t="b">
        <f t="shared" si="501"/>
        <v>0</v>
      </c>
      <c r="B114" s="779" t="b">
        <f>IF(NAMES!$B$9=TRUE,TRUE,FALSE)</f>
        <v>1</v>
      </c>
      <c r="C114" s="779" t="b">
        <f t="shared" si="421"/>
        <v>0</v>
      </c>
      <c r="D114" s="779" t="b">
        <f t="shared" si="422"/>
        <v>0</v>
      </c>
      <c r="E114" s="267" t="b">
        <f>IF(Cotations!C114="","",Cotations!C114)</f>
        <v>0</v>
      </c>
      <c r="F114" s="267" t="str">
        <f>IF(Cotations!AT114="","",Cotations!AT114)</f>
        <v>PROP</v>
      </c>
      <c r="G114" s="267" t="str">
        <f>IF(Cotations!D114="","",Cotations!D114)</f>
        <v>2016-2017!</v>
      </c>
      <c r="H114" s="267" t="str">
        <f>IF(Cotations!E114="","",Cotations!E114)</f>
        <v/>
      </c>
      <c r="I114" s="267" t="str">
        <f>IF(Cotations!F114="","",Cotations!F114)</f>
        <v/>
      </c>
      <c r="J114" s="267" t="str">
        <f>IF(Cotations!G114="","",Cotations!G114)</f>
        <v/>
      </c>
      <c r="K114" s="267" t="str">
        <f>IF(Cotations!H114="","",Cotations!H114)</f>
        <v/>
      </c>
      <c r="L114" s="267" t="str">
        <f>IF(A114=FALSE,"",IF(Cotations!M114="","",Cotations!M114))</f>
        <v/>
      </c>
      <c r="M114" s="267" t="str">
        <f>IF(Cotations!O114="","",Cotations!O114)</f>
        <v/>
      </c>
      <c r="N114" s="588" t="str">
        <f>IF(NAMES!$B$10=TRUE,Cotations!I114,Cotations!K114)</f>
        <v/>
      </c>
      <c r="O114" s="588" t="str">
        <f>IF(NAMES!$B$10=TRUE,Cotations!J114,Cotations!L114)</f>
        <v/>
      </c>
      <c r="P114" s="780" t="str">
        <f t="shared" si="423"/>
        <v/>
      </c>
      <c r="Q114" s="588" t="str">
        <f>IF(A114=FALSE,"",IF(Crewlist!Y114="","",Crewlist!Y114))</f>
        <v/>
      </c>
      <c r="R114" s="78" t="str">
        <f>IF(Cotations!T114="","",Cotations!T114)</f>
        <v/>
      </c>
      <c r="S114" s="780" t="str">
        <f t="shared" si="424"/>
        <v/>
      </c>
      <c r="T114" s="759" t="str">
        <f>IF(A114=FALSE,"",VLOOKUP($U$15:$U$120,Currency!$A$2:$D$10,4,0)*Crewlist!N114)</f>
        <v/>
      </c>
      <c r="U114" s="1097" t="str">
        <f>IF(A114=FALSE,"",IF(DP114=0,Crewlist!M114&amp;"/"&amp;CP114,Crewlist!M114&amp;"/"&amp;DP114))</f>
        <v/>
      </c>
      <c r="V114" s="759" t="str">
        <f>IF(A114=FALSE,"",VLOOKUP($U$15:$U$120,Currency!$A$2:$D$10,4,0)*Detail!Q114)</f>
        <v/>
      </c>
      <c r="W114" s="1097" t="str">
        <f>IF(A114=FALSE,"",IF(DP114=0,Detail!R114&amp;"/"&amp;CP114,Detail!R114&amp;"/"&amp;DP114))</f>
        <v/>
      </c>
      <c r="X114" s="759" t="str">
        <f>IF(A114=FALSE,"",IF(LISTES!$C$17="Crewlist",Calcul!T114,Calcul!V114))</f>
        <v/>
      </c>
      <c r="Y114" s="618" t="str">
        <f t="shared" si="425"/>
        <v/>
      </c>
      <c r="Z114" s="618" t="str">
        <f>IF(A114=FALSE,"",IF(X114=0,0,IF((Cotations!BA114*12*X114)&lt;50000,50000,(12*X114))))</f>
        <v/>
      </c>
      <c r="AA114" s="618" t="str">
        <f t="shared" si="426"/>
        <v/>
      </c>
      <c r="AB114" s="618" t="str">
        <f>IF(A114=FALSE,"",IF(Crewlist!O114=0,"",Crewlist!O114))</f>
        <v/>
      </c>
      <c r="AC114" s="618" t="str">
        <f>IF(I114="","",VLOOKUP($AB$15:$AB$120,Currency!$A$15:$B$34,2,0))</f>
        <v/>
      </c>
      <c r="AD114" s="618" t="str">
        <f t="shared" si="427"/>
        <v/>
      </c>
      <c r="AE114" s="618" t="str">
        <f t="shared" si="428"/>
        <v/>
      </c>
      <c r="AF114" s="618" t="str">
        <f t="shared" si="429"/>
        <v/>
      </c>
      <c r="AG114" s="618" t="str">
        <f t="shared" si="430"/>
        <v/>
      </c>
      <c r="AH114" s="1097" t="str">
        <f t="shared" si="502"/>
        <v/>
      </c>
      <c r="AI114" s="759" t="str">
        <f t="shared" si="431"/>
        <v/>
      </c>
      <c r="AJ114" s="1120" t="str">
        <f t="shared" si="432"/>
        <v/>
      </c>
      <c r="AK114" s="1120" t="str">
        <f t="shared" si="433"/>
        <v/>
      </c>
      <c r="AL114" s="236" t="str">
        <f t="shared" si="434"/>
        <v/>
      </c>
      <c r="AM114" s="236" t="str">
        <f t="shared" si="435"/>
        <v/>
      </c>
      <c r="AN114" s="1112" t="str">
        <f t="shared" si="436"/>
        <v/>
      </c>
      <c r="AO114" s="236" t="str">
        <f t="shared" si="437"/>
        <v/>
      </c>
      <c r="AP114" s="327" t="str">
        <f>IF(A114=FALSE,"",INDEX(Rates!$Q$1:$Q$278,MATCH(CA114,colchoice,0)))</f>
        <v/>
      </c>
      <c r="AQ114" s="236" t="str">
        <f t="shared" si="438"/>
        <v/>
      </c>
      <c r="AR114" s="236" t="str">
        <f t="shared" si="439"/>
        <v/>
      </c>
      <c r="AS114" s="236" t="str">
        <f t="shared" si="503"/>
        <v/>
      </c>
      <c r="AT114" s="236" t="str">
        <f t="shared" si="504"/>
        <v/>
      </c>
      <c r="AU114" s="236" t="str">
        <f t="shared" si="440"/>
        <v/>
      </c>
      <c r="AV114" s="236" t="str">
        <f t="shared" si="441"/>
        <v/>
      </c>
      <c r="AW114" s="236" t="str">
        <f t="shared" si="442"/>
        <v/>
      </c>
      <c r="AX114" s="236" t="str">
        <f t="shared" si="443"/>
        <v/>
      </c>
      <c r="AY114" s="236" t="str">
        <f t="shared" si="444"/>
        <v/>
      </c>
      <c r="AZ114" s="236" t="str">
        <f t="shared" si="445"/>
        <v/>
      </c>
      <c r="BA114" s="236" t="str">
        <f t="shared" si="446"/>
        <v/>
      </c>
      <c r="BB114" s="467" t="str">
        <f t="shared" si="447"/>
        <v/>
      </c>
      <c r="BC114" s="329" t="str">
        <f t="shared" si="448"/>
        <v/>
      </c>
      <c r="BD114" s="237" t="str">
        <f t="shared" si="449"/>
        <v/>
      </c>
      <c r="BE114" s="237" t="str">
        <f>IF(A114=FALSE,"",IF(ED114&lt;&gt;$BC$7,0,INDEX(EA114:EZ114,1,MATCH(Structure!$J$16,$EA$14:$EZ$14,0))))</f>
        <v/>
      </c>
      <c r="BF114" s="237" t="str">
        <f>IF(A114=FALSE,"",IF(FD114&lt;&gt;$BC$7,0,INDEX(FA114:FZ114,1,MATCH(Structure!$J$16,$FA$14:$FZ$14,0))))</f>
        <v/>
      </c>
      <c r="BG114" s="237" t="str">
        <f>IF(A114=FALSE,"",IF(GD114&lt;&gt;$BC$7,0,INDEX(GA114:GZ114,1,MATCH(Structure!$J$16,$GA$14:$GZ$14,0))))</f>
        <v/>
      </c>
      <c r="BH114" s="237" t="str">
        <f>IF(A114=FALSE,"",IF(HD114&lt;&gt;$BC$7,0,INDEX(HA114:HZ114,1,MATCH(Structure!$J$16,$HA$14:$HZ$14,0))))</f>
        <v/>
      </c>
      <c r="BI114" s="621" t="str">
        <f>IF(A114=FALSE,"",IF(ID114&lt;&gt;$BC$7,0,INDEX(IA114:IZ114,1,MATCH(Structure!$C$12,$IA$14:$IZ$14,0)))+OL114)</f>
        <v/>
      </c>
      <c r="BJ114" s="237" t="str">
        <f>IF(A114=FALSE,"",IF(JD114&lt;&gt;$BC$7,0,INDEX(JA114:JZ114,1,MATCH(Structure!$C$12,$JA$14:$JZ$14,0))))</f>
        <v/>
      </c>
      <c r="BK114" s="621" t="str">
        <f>IF(A114=FALSE,"",IF(KD114&lt;&gt;$BC$7,0,INDEX(KA114:KZ114,1,MATCH(Structure!$C$12,$KA$14:$KZ$14,0)))+PL114)</f>
        <v/>
      </c>
      <c r="BL114" s="237" t="str">
        <f>IF(A114=FALSE,"",IF(LD114&lt;&gt;$BC$7,0,INDEX(LA114:LZ114,1,MATCH(Structure!$C$12,$LA$14:$LZ$14,0))))</f>
        <v/>
      </c>
      <c r="BM114" s="237" t="str">
        <f>IF(A114=FALSE,"",IF(MD114&lt;&gt;$BC$7,0,INDEX(MA114:MZ114,1,MATCH(Structure!$C$12,$MA$14:$MZ$14,0))))</f>
        <v/>
      </c>
      <c r="BN114" s="326" t="str">
        <f>IF(A114=FALSE,"",IF(ND114&lt;&gt;$BC$7,0,INDEX(NA114:OC114,1,MATCH(Structure!$C$12,$NA$14:$OC$14,0))))</f>
        <v/>
      </c>
      <c r="BO114" s="435" t="str">
        <f t="shared" si="450"/>
        <v/>
      </c>
      <c r="BP114" s="237" t="str">
        <f t="shared" si="451"/>
        <v/>
      </c>
      <c r="BQ114" s="237" t="str">
        <f>IF(A114=FALSE,"",IF(ED114&lt;&gt;$BO$7,0,INDEX(EA114:EZ114,1,MATCH(Structure!$C$12,$EA$14:$EZ$14,0))))</f>
        <v/>
      </c>
      <c r="BR114" s="237" t="str">
        <f>IF(A114=FALSE,"",IF(FD114&lt;&gt;$BO$7,0,INDEX(FA114:FZ114,1,MATCH(Structure!$C$12,$FA$14:$FZ$14,0))))</f>
        <v/>
      </c>
      <c r="BS114" s="237" t="str">
        <f>IF(A114=FALSE,"",IF(ID114&lt;&gt;$BO$7,0,INDEX(IA114:IZ114,1,MATCH(Structure!$C$13,$IA$14:$IZ$14,0))))</f>
        <v/>
      </c>
      <c r="BT114" s="237" t="str">
        <f>IF(A114=FALSE,"",IF(JD114&lt;&gt;$BO$7,0,INDEX(JA114:JZ114,1,MATCH(Structure!$C$13,$JA$14:$JZ$14,0))))</f>
        <v/>
      </c>
      <c r="BU114" s="237" t="str">
        <f>IF(A114=FALSE,"",IF(KD114&lt;&gt;$BO$7,0,INDEX(KA114:KZ114,1,MATCH(Structure!$C$13,$KA$14:$KZ$14,0))))</f>
        <v/>
      </c>
      <c r="BV114" s="237" t="str">
        <f>IF(A114=FALSE,"",IF(LD114&lt;&gt;$BO$7,0,INDEX(LA114:LZ114,1,MATCH(Structure!$C$13,$LA$14:$LZ$14,0))))</f>
        <v/>
      </c>
      <c r="BW114" s="237" t="str">
        <f>IF(A114=FALSE,"",IF(MD114&lt;&gt;$BO$7,0,INDEX(MA114:MZ114,1,MATCH(Structure!$C$13,$MA$14:$MZ$14,0))))</f>
        <v/>
      </c>
      <c r="BX114" s="326" t="str">
        <f>IF(A114=FALSE,"",IF(ND114&lt;&gt;$BO$7,0,INDEX(NA114:OC114,1,MATCH(Structure!$C$13,$NA$14:$OC$14,0))))</f>
        <v/>
      </c>
      <c r="BY114" s="412"/>
      <c r="BZ114" s="412"/>
      <c r="CA114" s="1255" t="str">
        <f>IF(A114=FALSE,"",IF(LISTES!$A$17=1,Cotations!AG114,Cotations!AH114))</f>
        <v/>
      </c>
      <c r="CB114" s="1266" t="str">
        <f t="shared" si="452"/>
        <v/>
      </c>
      <c r="CC114" s="1120" t="str">
        <f t="shared" si="453"/>
        <v/>
      </c>
      <c r="CD114" s="1120" t="str">
        <f t="shared" si="454"/>
        <v/>
      </c>
      <c r="CE114" s="1120" t="str">
        <f t="shared" si="455"/>
        <v/>
      </c>
      <c r="CF114" s="1120" t="str">
        <f t="shared" si="456"/>
        <v/>
      </c>
      <c r="CG114" s="1267"/>
      <c r="CH114" s="1267"/>
      <c r="CI114" s="1268" t="str">
        <f t="shared" si="457"/>
        <v/>
      </c>
      <c r="CJ114" s="286" t="str">
        <f t="shared" si="458"/>
        <v/>
      </c>
      <c r="CK114" s="286" t="str">
        <f t="shared" si="459"/>
        <v/>
      </c>
      <c r="CL114" s="1263"/>
      <c r="CM114" s="1263"/>
      <c r="CN114" s="1263"/>
      <c r="CO114" s="1263"/>
      <c r="CP114" s="319" t="str">
        <f t="shared" si="460"/>
        <v/>
      </c>
      <c r="CQ114" s="443" t="str">
        <f>IF(A114=FALSE,"",Cotations!AM114)</f>
        <v/>
      </c>
      <c r="CR114" s="443" t="str">
        <f>IF(A114=FALSE,"",IF(Cotations!AN114="","",Cotations!AN114))</f>
        <v/>
      </c>
      <c r="CS114" s="433" t="str">
        <f>IF(A114=FALSE,"",Cotations!AO114)</f>
        <v/>
      </c>
      <c r="CT114" s="443" t="str">
        <f>IF(A114=FALSE,"",IF(CQ114="N/A",0,IF(INDEX(LISTES!$F$105:$F$109,MATCH(CQ114,LISTES!$C$105:$C$109,0))="FIX",IF(INDEX(LISTES!$E$105:$E$109,MATCH(CQ114,LISTES!$C$105:$C$109,0))=12,CR114/12*L114,CR114/365*M114),CS114*EQ114)))</f>
        <v/>
      </c>
      <c r="CU114" s="434" t="str">
        <f>IF(A114=FALSE,"",(CJ114+CK114)*Cotations!AP114)</f>
        <v/>
      </c>
      <c r="CV114" s="434" t="str">
        <f>IF(A114=FALSE,"",(CJ114+CK114)*Cotations!AQ114)</f>
        <v/>
      </c>
      <c r="DA114" s="1253" t="str">
        <f>IF(A114=FALSE,"",IF(LISTES!$A$17=1,Cotations!AV114,Cotations!AW114))</f>
        <v/>
      </c>
      <c r="DB114" s="1271" t="str">
        <f t="shared" si="461"/>
        <v/>
      </c>
      <c r="DC114" s="1270" t="str">
        <f t="shared" si="462"/>
        <v/>
      </c>
      <c r="DD114" s="1270" t="str">
        <f t="shared" si="463"/>
        <v/>
      </c>
      <c r="DE114" s="1270" t="str">
        <f t="shared" si="464"/>
        <v/>
      </c>
      <c r="DF114" s="1270" t="str">
        <f t="shared" si="465"/>
        <v/>
      </c>
      <c r="DG114" s="1270" t="str">
        <f t="shared" si="466"/>
        <v/>
      </c>
      <c r="DH114" s="1270" t="str">
        <f t="shared" si="467"/>
        <v/>
      </c>
      <c r="DI114" s="1271" t="str">
        <f t="shared" si="468"/>
        <v/>
      </c>
      <c r="DJ114" s="286" t="str">
        <f t="shared" si="469"/>
        <v/>
      </c>
      <c r="DK114" s="286" t="str">
        <f t="shared" si="470"/>
        <v/>
      </c>
      <c r="DL114" s="1264" t="str">
        <f t="shared" si="471"/>
        <v/>
      </c>
      <c r="DM114" s="1264" t="str">
        <f t="shared" si="472"/>
        <v/>
      </c>
      <c r="DN114" s="1264" t="str">
        <f t="shared" si="473"/>
        <v/>
      </c>
      <c r="DO114" s="1264" t="str">
        <f t="shared" si="474"/>
        <v/>
      </c>
      <c r="DP114" s="323" t="str">
        <f t="shared" si="505"/>
        <v/>
      </c>
      <c r="DQ114" s="444" t="str">
        <f>IF(A114=FALSE,"",Cotations!BW114)</f>
        <v/>
      </c>
      <c r="DR114" s="444" t="str">
        <f>IF(A114=FALSE,"",Cotations!BX114)</f>
        <v/>
      </c>
      <c r="DS114" s="433" t="str">
        <f>IF(A114=FALSE,"",Cotations!BY114)</f>
        <v/>
      </c>
      <c r="DT114" s="830" t="str">
        <f>IF(A114=FALSE,"",IF(DQ114="N/A",0,IF(INDEX(LISTES!$F$105:$F$109,MATCH(DQ114,LISTES!$C$105:$C$109,0))="FIX",IF(INDEX(LISTES!$E$105:$E$109,MATCH(DQ114,LISTES!$C$105:$C$109,0))=12,DR114/12*L114,DR114/365*M114),DS114*(DN114+DO114))))</f>
        <v/>
      </c>
      <c r="DU114" s="434" t="str">
        <f>IF(A114=FALSE,"",DJ114*Cotations!BZ114)</f>
        <v/>
      </c>
      <c r="DV114" s="434" t="str">
        <f>IF(A114=FALSE,"",DJ114*Cotations!CA114)</f>
        <v/>
      </c>
      <c r="EA114" s="432" t="str">
        <f>IF(A114=FALSE,"",Cotations!AT114)</f>
        <v/>
      </c>
      <c r="EB114" s="1234" t="str">
        <f>IF(A114=FALSE,"",YEAR(Detail!F114)&amp;Detail!AG114&amp;Detail!AD114&amp;"-"&amp;Detail!$AD$13&amp;Detail!AE114)</f>
        <v/>
      </c>
      <c r="EC114" s="434" t="str">
        <f>IF(A114=FALSE,"",IF(LISTES!$A$17=1,EB114,INDEX(colMOD1,MATCH(Cotations!AH114,colchoice,0))))</f>
        <v/>
      </c>
      <c r="ED114" s="277" t="str">
        <f t="shared" si="506"/>
        <v/>
      </c>
      <c r="EE114" s="277" t="str">
        <f t="shared" si="507"/>
        <v/>
      </c>
      <c r="EF114" s="277"/>
      <c r="EG114" s="277"/>
      <c r="EH114" s="277" t="str">
        <f t="shared" si="508"/>
        <v/>
      </c>
      <c r="EI114" s="1104" t="str">
        <f t="shared" si="509"/>
        <v/>
      </c>
      <c r="EJ114" s="1104" t="str">
        <f t="shared" si="510"/>
        <v/>
      </c>
      <c r="EK114" s="443" t="str">
        <f>IF(A114=FALSE,"",IF(Cotations!AF114="monthly",EH114/12*L114,EH114/365*M114))</f>
        <v/>
      </c>
      <c r="EL114" s="1103" t="str">
        <f>IF(A114=FALSE,"",IF(Cotations!AF114="monthly",EJ114/12*L114,EJ114/365*M114))</f>
        <v/>
      </c>
      <c r="EM114" s="433" t="str">
        <f>IF(A114=FALSE,"",IF(Cotations!AI114="","",Cotations!AI114))</f>
        <v/>
      </c>
      <c r="EN114" s="277" t="str">
        <f t="shared" si="511"/>
        <v/>
      </c>
      <c r="EO114" s="277" t="str">
        <f t="shared" si="512"/>
        <v/>
      </c>
      <c r="EP114" s="1104" t="str">
        <f t="shared" si="513"/>
        <v/>
      </c>
      <c r="EQ114" s="277" t="str">
        <f t="shared" si="514"/>
        <v/>
      </c>
      <c r="ER114" s="759" t="str">
        <f>IF(A114=FALSE,"",((EH114*TAXE)-(EH114*TAXE*EM114)+EI114)+IF(CQ114="N/A",0,IF(INDEX(LISTES!$F$105:$F$109,MATCH(CQ114,LISTES!$C$105:$C$109,0))="FIX",CR114,CS114*EQ114)))</f>
        <v/>
      </c>
      <c r="ET114" s="422"/>
      <c r="EU114" s="422"/>
      <c r="EV114" s="422"/>
      <c r="EW114" s="422"/>
      <c r="EX114" s="422"/>
      <c r="EY114" s="422"/>
      <c r="EZ114" s="422"/>
      <c r="FA114" s="432" t="str">
        <f>IF(A114=FALSE,"",Cotations!AT114)</f>
        <v/>
      </c>
      <c r="FB114" s="1235" t="str">
        <f>IF(A114=FALSE,"",IF(Detail!AL114="","N/A",YEAR(Detail!F114)&amp;Detail!AO114&amp;Detail!AL114&amp;"-"&amp;Detail!$AL$13&amp;Detail!AM114))</f>
        <v/>
      </c>
      <c r="FC114" s="434" t="str">
        <f>IF(A114=FALSE,"",IF(LISTES!$A$17=1,Cotations!#REF!,Cotations!#REF!))</f>
        <v/>
      </c>
      <c r="FD114" s="277" t="str">
        <f t="shared" si="515"/>
        <v/>
      </c>
      <c r="FE114" s="443" t="str">
        <f>IF(A114=FALSE,"",IF(Detail!AM114="","",Detail!AM114))</f>
        <v/>
      </c>
      <c r="FF114" s="277"/>
      <c r="FG114" s="277"/>
      <c r="FH114" s="277" t="str">
        <f t="shared" si="516"/>
        <v/>
      </c>
      <c r="FI114" s="1104"/>
      <c r="FJ114" s="1104"/>
      <c r="FK114" s="443" t="str">
        <f>IF(A114=FALSE,"",IF(Cotations!AF114="monthly",FH114/12*L114,FH114/365*M114))</f>
        <v/>
      </c>
      <c r="FL114" s="1103" t="str">
        <f>IF(A114=FALSE,"",IF(Cotations!AF114="monthly",FJ114/12*L114,FJ114/365*M114))</f>
        <v/>
      </c>
      <c r="FM114" s="433" t="str">
        <f>IF(A114=FALSE,"",IF(Cotations!AJ114="","",Cotations!AJ114))</f>
        <v/>
      </c>
      <c r="FN114" s="277" t="str">
        <f t="shared" si="475"/>
        <v/>
      </c>
      <c r="FO114" s="277" t="str">
        <f t="shared" si="476"/>
        <v/>
      </c>
      <c r="FP114" s="1104"/>
      <c r="FQ114" s="277" t="str">
        <f t="shared" si="477"/>
        <v/>
      </c>
      <c r="FR114" s="759" t="str">
        <f>IF(A114=FALSE,"",((FH114*TAXE)-(FH114*TAXE*FM114))+IF(#REF!="N/A",0,IF(INDEX(LISTES!$F$105:$F$109,MATCH(#REF!,LISTES!$C$105:$C$109,0))="FIX",#REF!,#REF!*FQ114)))</f>
        <v/>
      </c>
      <c r="FS114" s="422"/>
      <c r="FT114" s="422"/>
      <c r="FU114" s="422"/>
      <c r="FV114" s="422"/>
      <c r="FW114" s="422"/>
      <c r="FX114" s="422"/>
      <c r="FY114" s="422"/>
      <c r="FZ114" s="422"/>
      <c r="GA114" s="432" t="str">
        <f t="shared" si="517"/>
        <v/>
      </c>
      <c r="GB114" s="1234" t="str">
        <f>IF(A114=FALSE,"",IF(Detail!DF114="","N/A",YEAR(Detail!F114)&amp;Detail!DI114&amp;Detail!DF114&amp;"-"&amp;Detail!$DF$13))</f>
        <v/>
      </c>
      <c r="GC114" s="434" t="str">
        <f>IF(A114=FALSE,"",IF(LISTES!$A$17=1,GB114,INDEX(colMOD3,MATCH(Cotations!AH114,colchoice,0))))</f>
        <v/>
      </c>
      <c r="GD114" s="277" t="str">
        <f t="shared" si="518"/>
        <v/>
      </c>
      <c r="GE114" s="277" t="str">
        <f t="shared" si="519"/>
        <v/>
      </c>
      <c r="GF114" s="277"/>
      <c r="GG114" s="277"/>
      <c r="GH114" s="277" t="str">
        <f t="shared" si="478"/>
        <v/>
      </c>
      <c r="GI114" s="1104" t="str">
        <f t="shared" si="479"/>
        <v/>
      </c>
      <c r="GJ114" s="1104" t="str">
        <f t="shared" si="480"/>
        <v/>
      </c>
      <c r="GK114" s="443" t="str">
        <f>IF(A114=FALSE,"",IF(Cotations!AF114="monthly",GH114/12*L114,GH114/365*M114))</f>
        <v/>
      </c>
      <c r="GL114" s="1103" t="str">
        <f>IF(A114=FALSE,"",IF(Cotations!AF114="monthly",GJ114/12*L114,GJ114/365*M114))</f>
        <v/>
      </c>
      <c r="GM114" s="433" t="str">
        <f>IF(A114=FALSE,"",IF(Cotations!AK114="","",Cotations!AK114))</f>
        <v/>
      </c>
      <c r="GN114" s="277" t="str">
        <f t="shared" si="481"/>
        <v/>
      </c>
      <c r="GO114" s="277" t="str">
        <f t="shared" si="482"/>
        <v/>
      </c>
      <c r="GP114" s="1104" t="str">
        <f t="shared" si="483"/>
        <v/>
      </c>
      <c r="GQ114" s="277" t="str">
        <f t="shared" si="484"/>
        <v/>
      </c>
      <c r="GR114" s="759" t="str">
        <f>IF(A114=FALSE,"",((GH114*TAXE)-(GH114*TAXE*GM114)+GI114)+IF(CQ114="N/A",0,IF(INDEX(LISTES!$F$105:$F$109,MATCH(CQ114,LISTES!$C$105:$C$109,0))="FIX",CR114,CS114*GQ114)))</f>
        <v/>
      </c>
      <c r="GS114" s="412"/>
      <c r="GT114" s="412"/>
      <c r="GU114" s="412"/>
      <c r="GV114" s="412"/>
      <c r="GW114" s="412"/>
      <c r="GX114" s="412"/>
      <c r="GY114" s="412"/>
      <c r="GZ114" s="412"/>
      <c r="HA114" s="432" t="str">
        <f t="shared" si="520"/>
        <v/>
      </c>
      <c r="HB114" s="1234" t="str">
        <f>IF(A114=FALSE,"",IF(Detail!DF114="","N/A",YEAR(Detail!F114)&amp;Detail!DI114&amp;Detail!DF114&amp;"-"&amp;Detail!$DF$13))</f>
        <v/>
      </c>
      <c r="HC114" s="434" t="str">
        <f>IF(A114=FALSE,"",IF(LISTES!$A$17=1,HB114,INDEX(colMOD4,MATCH(Cotations!AH114,colchoice,0))))</f>
        <v/>
      </c>
      <c r="HD114" s="277" t="str">
        <f t="shared" si="485"/>
        <v/>
      </c>
      <c r="HE114" s="277" t="str">
        <f t="shared" si="486"/>
        <v/>
      </c>
      <c r="HF114" s="277"/>
      <c r="HG114" s="277"/>
      <c r="HH114" s="277" t="str">
        <f t="shared" si="487"/>
        <v/>
      </c>
      <c r="HI114" s="1104" t="str">
        <f t="shared" si="488"/>
        <v/>
      </c>
      <c r="HJ114" s="1104" t="str">
        <f t="shared" si="489"/>
        <v/>
      </c>
      <c r="HK114" s="443" t="str">
        <f>IF(A114=FALSE,"",IF(Cotations!AF114="monthly",HH114/12*L114,HH114/365*M114))</f>
        <v/>
      </c>
      <c r="HL114" s="1103" t="str">
        <f>IF(A114=FALSE,"",IF(Cotations!AF114="monthly",HJ114/12*L114,HJ114/365*M114))</f>
        <v/>
      </c>
      <c r="HM114" s="433" t="str">
        <f>IF(A114=FALSE,"",IF(Cotations!AL114="","",Cotations!AL114))</f>
        <v/>
      </c>
      <c r="HN114" s="277" t="str">
        <f t="shared" si="490"/>
        <v/>
      </c>
      <c r="HO114" s="277" t="str">
        <f t="shared" si="491"/>
        <v/>
      </c>
      <c r="HP114" s="1104" t="str">
        <f t="shared" si="492"/>
        <v/>
      </c>
      <c r="HQ114" s="277" t="str">
        <f t="shared" si="493"/>
        <v/>
      </c>
      <c r="HR114" s="759" t="str">
        <f>IF(A114=FALSE,"",((HH114*TAXE)-(HH114*TAXE*HM114)+HI114)+IF(CQ114="N/A",0,IF(INDEX(LISTES!$F$105:$F$109,MATCH(CQ114,LISTES!$C$105:$C$109,0))="FIX",CR114,CS114*HQ114)))</f>
        <v/>
      </c>
      <c r="HS114" s="412"/>
      <c r="HT114" s="412"/>
      <c r="HU114" s="412"/>
      <c r="HV114" s="412"/>
      <c r="HW114" s="412"/>
      <c r="HX114" s="412"/>
      <c r="HY114" s="412"/>
      <c r="HZ114" s="1262"/>
      <c r="IA114" s="432" t="str">
        <f>IF(A114=FALSE,"",Cotations!AT114)</f>
        <v/>
      </c>
      <c r="IB114" s="1253" t="str">
        <f>IF(A114=FALSE,"",IF(Detail!AT114="","N/A",YEAR(Detail!F114)&amp;Detail!AW114&amp;Detail!AT114&amp;"-"&amp;Detail!$AT$13&amp;Detail!AU114))</f>
        <v/>
      </c>
      <c r="IC114" s="431" t="str">
        <f>IF(A114=FALSE,"",IF(LISTES!$A$17=1,IB114,INDEX(colMOD1,MATCH(DA114,colchoice,0))))</f>
        <v/>
      </c>
      <c r="ID114" s="759" t="str">
        <f t="shared" si="358"/>
        <v/>
      </c>
      <c r="IE114" s="292" t="str">
        <f>IF(A114=FALSE,"",IF(LISTES!$A$17=1,Detail!AU114,INDEX(Rates!$M$1:$M$270,MATCH(IC114,colMOD1,0))))</f>
        <v/>
      </c>
      <c r="IF114" s="409" t="str">
        <f t="shared" si="359"/>
        <v/>
      </c>
      <c r="IG114" s="430" t="str">
        <f>IF(A114=FALSE,"",IF(IA114="POEA",Cotations!AY114,IF(IA114="FIXE",Cotations!AZ114,IF(Cotations!BA114*Y114&lt;50000,Z114,Cotations!BA114*Y114))))</f>
        <v/>
      </c>
      <c r="IH114" s="292" t="str">
        <f t="shared" si="360"/>
        <v/>
      </c>
      <c r="II114" s="446" t="str">
        <f>IF(A114=FALSE,"",IF(Cotations!AU114="monthly",IH114/12*L114,IH114/365*M114))</f>
        <v/>
      </c>
      <c r="IJ114" s="429" t="str">
        <f>IF(A114=FALSE,"",IF(Cotations!BB114="","",Cotations!BB114))</f>
        <v/>
      </c>
      <c r="IK114" s="292" t="str">
        <f t="shared" si="361"/>
        <v/>
      </c>
      <c r="IL114" s="292" t="str">
        <f t="shared" si="362"/>
        <v/>
      </c>
      <c r="IM114" s="759" t="str">
        <f t="shared" si="363"/>
        <v/>
      </c>
      <c r="IN114" s="759" t="str">
        <f>IF(A114=FALSE,"",((IH114*TAXE)-(IH114*TAXE*IJ114))+IF(DQ114="N/A",0,IF(INDEX(LISTES!$F$105:$F$109,MATCH(DQ114,LISTES!$C$105:$C$109,0))="FIX",DR114,DS114*IM114)))</f>
        <v/>
      </c>
      <c r="JA114" s="432" t="str">
        <f>IF(A114=FALSE,"",Cotations!AT114)</f>
        <v/>
      </c>
      <c r="JB114" s="1234" t="str">
        <f>IF(A114=FALSE,"",IF(Detail!BB114="","N/A",YEAR(Detail!F114)&amp;Detail!BE114&amp;Detail!BB114&amp;"-"&amp;Detail!$BB$13&amp;Detail!BC114))</f>
        <v/>
      </c>
      <c r="JC114" s="431" t="str">
        <f>IF(A114=FALSE,"",IF(LISTES!$A$17=1,JB114,INDEX(colMOD2,MATCH(DA114,colchoice,0))))</f>
        <v/>
      </c>
      <c r="JD114" s="759" t="str">
        <f t="shared" si="521"/>
        <v/>
      </c>
      <c r="JE114" s="292"/>
      <c r="JF114" s="409" t="str">
        <f t="shared" si="522"/>
        <v/>
      </c>
      <c r="JG114" s="430" t="str">
        <f>IF(A114=FALSE,"",IF(JA114="POEA",Cotations!BC114,IF(JA114="FIXE",Cotations!BD114,IF(Cotations!BE114*Y114&lt;50000,Z114,Cotations!BE114*Y114))))</f>
        <v/>
      </c>
      <c r="JH114" s="292" t="str">
        <f t="shared" si="523"/>
        <v/>
      </c>
      <c r="JI114" s="446" t="str">
        <f>IF(A114=FALSE,"",IF(Cotations!AU114="monthly",JH114/12*L114,JH114/365*M114))</f>
        <v/>
      </c>
      <c r="JJ114" s="429" t="str">
        <f>IF(A114=FALSE,"",IF(Cotations!BF114="","",Cotations!BF114))</f>
        <v/>
      </c>
      <c r="JK114" s="292" t="str">
        <f t="shared" si="524"/>
        <v/>
      </c>
      <c r="JL114" s="292" t="str">
        <f t="shared" si="525"/>
        <v/>
      </c>
      <c r="JM114" s="759" t="str">
        <f t="shared" si="526"/>
        <v/>
      </c>
      <c r="JN114" s="759" t="str">
        <f>IF(A114=FALSE,"",((JH114*TAXE)-(JH114*TAXE*JJ114))+IF(#REF!="N/A",0,IF(INDEX(LISTES!$F$105:$F$109,MATCH(#REF!,LISTES!$C$105:$C$109,0))="FIX",#REF!,#REF!*JM114)))</f>
        <v/>
      </c>
      <c r="KA114" s="432" t="str">
        <f>IF(A114=FALSE,"",Cotations!AT114)</f>
        <v/>
      </c>
      <c r="KB114" s="1234" t="str">
        <f>IF(A114=FALSE,"",IF(Detail!BJ114="","N/A",YEAR(Detail!F114)&amp;Detail!BM114&amp;Detail!BJ114&amp;"-"&amp;Detail!$BJ$13&amp;Detail!BK114))</f>
        <v/>
      </c>
      <c r="KC114" s="431" t="str">
        <f>IF(A114=FALSE,"",IF(LISTES!$A$17=1,KB114,INDEX(colMOD3,MATCH(DA114,colchoice,0))))</f>
        <v/>
      </c>
      <c r="KD114" s="759" t="str">
        <f t="shared" si="527"/>
        <v/>
      </c>
      <c r="KE114" s="292"/>
      <c r="KF114" s="409" t="str">
        <f t="shared" si="528"/>
        <v/>
      </c>
      <c r="KG114" s="430" t="str">
        <f>IF(A114=FALSE,"",IF(KA114="POEA",Cotations!BG114,IF(KA114="FIXE",Cotations!BH114,IF(Cotations!BI114*Y114&lt;50000,Z114,Cotations!BI114*Y114))))</f>
        <v/>
      </c>
      <c r="KH114" s="292" t="str">
        <f t="shared" si="529"/>
        <v/>
      </c>
      <c r="KI114" s="446" t="str">
        <f>IF(A114=FALSE,"",IF(Cotations!AU114="monthly",KH114/12*L114,KH114/365*M114))</f>
        <v/>
      </c>
      <c r="KJ114" s="429" t="str">
        <f>IF(A114=FALSE,"",IF(Cotations!BJ114="","",Cotations!BJ114))</f>
        <v/>
      </c>
      <c r="KK114" s="292" t="str">
        <f t="shared" si="530"/>
        <v/>
      </c>
      <c r="KL114" s="292" t="str">
        <f t="shared" si="531"/>
        <v/>
      </c>
      <c r="KM114" s="759" t="str">
        <f t="shared" si="532"/>
        <v/>
      </c>
      <c r="KN114" s="759" t="str">
        <f>IF(A114=FALSE,"",((KH114*TAXE)-(KH114*TAXE*KJ114))+IF(#REF!="N/A",0,IF(INDEX(LISTES!$F$105:$F$109,MATCH(#REF!,LISTES!$C$105:$C$109,0))="FIX",#REF!,#REF!*KM114)))</f>
        <v/>
      </c>
      <c r="LA114" s="432" t="str">
        <f>IF(A114=FALSE,"",Cotations!AT114)</f>
        <v/>
      </c>
      <c r="LB114" s="1234" t="str">
        <f>IF(A114=FALSE,"",IF(Detail!BR114="","N/A",YEAR(Detail!F114)&amp;Detail!BU114&amp;Detail!BR114&amp;"-"&amp;Detail!$BR$13&amp;Detail!BS114))</f>
        <v/>
      </c>
      <c r="LC114" s="431" t="str">
        <f>IF(A114=FALSE,"",IF(LISTES!$A$17=1,LB114,INDEX(colMOD4,MATCH(DA114,colchoice,0))))</f>
        <v/>
      </c>
      <c r="LD114" s="759" t="str">
        <f t="shared" si="533"/>
        <v/>
      </c>
      <c r="LE114" s="292"/>
      <c r="LF114" s="409" t="str">
        <f t="shared" si="534"/>
        <v/>
      </c>
      <c r="LG114" s="430" t="str">
        <f>IF(A114=FALSE,"",IF(LA114="POEA",Cotations!BK114,IF(LA114="FIXE",Cotations!BL114,IF(Cotations!BM114*Y114&lt;50000,Z114,Cotations!BM114*Y114))))</f>
        <v/>
      </c>
      <c r="LH114" s="292" t="str">
        <f t="shared" si="535"/>
        <v/>
      </c>
      <c r="LI114" s="446" t="str">
        <f>IF(A114=FALSE,"",IF(Cotations!AU114="monthly",LH114/12*L114,LH114/365*M114))</f>
        <v/>
      </c>
      <c r="LJ114" s="429" t="str">
        <f>IF(A114=FALSE,"",IF(Cotations!BN114="","",Cotations!BN114))</f>
        <v/>
      </c>
      <c r="LK114" s="292" t="str">
        <f t="shared" si="536"/>
        <v/>
      </c>
      <c r="LL114" s="292" t="str">
        <f t="shared" si="537"/>
        <v/>
      </c>
      <c r="LM114" s="759" t="str">
        <f t="shared" si="538"/>
        <v/>
      </c>
      <c r="LN114" s="759" t="str">
        <f>IF(A114=FALSE,"",((LH114*TAXE)-(LH114*TAXE*LJ114))+IF(#REF!="N/A",0,IF(INDEX(LISTES!$F$105:$F$109,MATCH(#REF!,LISTES!$C$105:$C$109,0))="FIX",#REF!,#REF!*LM114)))</f>
        <v/>
      </c>
      <c r="MA114" s="432" t="str">
        <f t="shared" si="539"/>
        <v/>
      </c>
      <c r="MB114" s="1234" t="str">
        <f>IF(A114=FALSE,"",IF(Detail!BZ114="","N/A",YEAR(Detail!F114)&amp;Detail!CC114&amp;Detail!BZ114&amp;"-"&amp;Detail!$BZ$13&amp;" (100%/"&amp;Detail!CD114&amp;"/"&amp;Detail!CE114&amp;")"))</f>
        <v/>
      </c>
      <c r="MC114" s="431" t="str">
        <f>IF(A114=FALSE,"",IF(LISTES!$A$17=1,MB114,INDEX(colMOD5,MATCH(DA114,colchoice,0))))</f>
        <v/>
      </c>
      <c r="MD114" s="759" t="str">
        <f t="shared" si="540"/>
        <v/>
      </c>
      <c r="ME114" s="292"/>
      <c r="MF114" s="409" t="str">
        <f t="shared" si="541"/>
        <v/>
      </c>
      <c r="MG114" s="430" t="str">
        <f>IF(A114=FALSE,"",Cotations!BQ114*AA114)</f>
        <v/>
      </c>
      <c r="MH114" s="292" t="str">
        <f t="shared" si="542"/>
        <v/>
      </c>
      <c r="MI114" s="446" t="str">
        <f>IF(A114=FALSE,"",IF(Cotations!AU114="monthly",MH114/12*L114,MH114/365*M114))</f>
        <v/>
      </c>
      <c r="MJ114" s="429" t="str">
        <f>IF(A114=FALSE,"",IF(Cotations!BR114="","",Cotations!BR114))</f>
        <v/>
      </c>
      <c r="MK114" s="292" t="str">
        <f t="shared" si="543"/>
        <v/>
      </c>
      <c r="ML114" s="292" t="str">
        <f t="shared" si="544"/>
        <v/>
      </c>
      <c r="MM114" s="759" t="str">
        <f t="shared" si="545"/>
        <v/>
      </c>
      <c r="MN114" s="759" t="str">
        <f>IF(A114=FALSE,"",((MH114*TAXE)-(MH114*TAXE*MJ114))+IF(#REF!="N/A",0,IF(INDEX(LISTES!$F$105:$F$109,MATCH(#REF!,LISTES!$C$105:$C$109,0))="FIX",#REF!,#REF!*MM114)))</f>
        <v/>
      </c>
      <c r="NA114" s="432" t="str">
        <f t="shared" si="546"/>
        <v/>
      </c>
      <c r="NB114" s="1234" t="str">
        <f>IF(A114=FALSE,"",IF(Detail!CH114="","N/A",YEAR(Detail!F114)&amp;Detail!CK114&amp;Detail!CH114&amp;"-"&amp;Detail!$CH$13&amp;" (100%/"&amp;Detail!CL114&amp;"/"&amp;Detail!CM114&amp;")"))</f>
        <v/>
      </c>
      <c r="NC114" s="431" t="str">
        <f>IF(A114=FALSE,"",IF(LISTES!$A$17=1,NB114,INDEX(colMOD6,MATCH(DA114,colchoice,0))))</f>
        <v/>
      </c>
      <c r="ND114" s="759" t="str">
        <f t="shared" si="547"/>
        <v/>
      </c>
      <c r="NE114" s="292"/>
      <c r="NF114" s="409" t="str">
        <f t="shared" si="548"/>
        <v/>
      </c>
      <c r="NG114" s="430" t="str">
        <f>IF(A114=FALSE,"",Cotations!BU114*AA114)</f>
        <v/>
      </c>
      <c r="NH114" s="292" t="str">
        <f t="shared" si="549"/>
        <v/>
      </c>
      <c r="NI114" s="446" t="str">
        <f>IF(A114=FALSE,"",IF(Cotations!AU114="monthly",NH114/12*L114,NH114/365*M114))</f>
        <v/>
      </c>
      <c r="NJ114" s="429" t="str">
        <f>IF(A114=FALSE,"",IF(Cotations!BV114="","",Cotations!BV114))</f>
        <v/>
      </c>
      <c r="NK114" s="292" t="str">
        <f t="shared" si="550"/>
        <v/>
      </c>
      <c r="NL114" s="292" t="str">
        <f t="shared" si="551"/>
        <v/>
      </c>
      <c r="NM114" s="759" t="str">
        <f t="shared" si="552"/>
        <v/>
      </c>
      <c r="NN114" s="759" t="str">
        <f>IF(A114=FALSE,"",((NH114*TAXE)-(NH114*TAXE*NJ114))+IF(#REF!="N/A",0,IF(INDEX(LISTES!$F$105:$F$109,MATCH(#REF!,LISTES!$C$105:$C$109,0))="FIX",#REF!,#REF!*NM114)))</f>
        <v/>
      </c>
      <c r="NZ114" s="1281" t="str">
        <f>IF(A114=FALSE,"",IF(Detail!CP114="","N/A",YEAR(Detail!F114)&amp;Detail!CS114&amp;Detail!CP114&amp;"-"&amp;Detail!CQ114))</f>
        <v/>
      </c>
      <c r="OA114" s="432" t="str">
        <f>IF(A114=FALSE,"",Cotations!CF114)</f>
        <v/>
      </c>
      <c r="OB114" s="1282" t="str">
        <f>IF(A114=FALSE,"",IF(Detail!CP114="","N/A",YEAR(Detail!F114)&amp;Detail!CS114&amp;Detail!CP114&amp;"-"&amp;Detail!$CP$13&amp;Detail!CQ114))</f>
        <v/>
      </c>
      <c r="OC114" s="1283" t="str">
        <f>IF(A114=FALSE,"",IF(LISTES!$A$17=1,OB114,INDEX(colMOD1,MATCH(Cotations!CE114,colchoice,0))))</f>
        <v/>
      </c>
      <c r="OD114" s="759" t="str">
        <f t="shared" si="553"/>
        <v/>
      </c>
      <c r="OE114" s="292" t="str">
        <f>IF(A114=FALSE,"",Detail!CQ114)</f>
        <v/>
      </c>
      <c r="OF114" s="409" t="str">
        <f t="shared" si="554"/>
        <v/>
      </c>
      <c r="OG114" s="430" t="str">
        <f>IF(A114=FALSE,"",IF(OA114="FIXE",Cotations!CM114,Cotations!CN114*AA114))</f>
        <v/>
      </c>
      <c r="OH114" s="292" t="str">
        <f t="shared" si="494"/>
        <v/>
      </c>
      <c r="OI114" s="446" t="str">
        <f>IF(A114=FALSE,"",IF(Cotations!CF114="monthly",OH114/12*L114,OH114/365*M114))</f>
        <v/>
      </c>
      <c r="OJ114" s="429" t="str">
        <f>IF(A114=FALSE,"",IF(Cotations!CO114="","",Cotations!CO114))</f>
        <v/>
      </c>
      <c r="OK114" s="292" t="str">
        <f t="shared" si="495"/>
        <v/>
      </c>
      <c r="OL114" s="292" t="str">
        <f t="shared" si="496"/>
        <v/>
      </c>
      <c r="OM114" s="759" t="str">
        <f t="shared" si="555"/>
        <v/>
      </c>
      <c r="ON114" s="759" t="str">
        <f>IF(A114=FALSE,"",((OH114*(1+TAXE)-(OH114*(1+TAXE)*OJ114))+IF(#REF!="N/A",0,IF(INDEX(LISTES!$F$105:$F$109,MATCH(#REF!,LISTES!$C$105:$C$109,0))="FIX",#REF!,#REF!*OM114))))</f>
        <v/>
      </c>
      <c r="PA114" s="432" t="str">
        <f>IF(A114=FALSE,"",Cotations!CF114)</f>
        <v/>
      </c>
      <c r="PB114" s="1282" t="str">
        <f>IF(A114=FALSE,"",IF(Detail!CX114="","N/A",YEAR(Detail!F114)&amp;Detail!DA114&amp;Detail!CX114&amp;"-"&amp;Detail!$CX$13&amp;Detail!CY114))</f>
        <v/>
      </c>
      <c r="PC114" s="1283" t="str">
        <f>IF(A114=FALSE,"",IF(LISTES!$A$17=1,PB114,INDEX(colMOD3,MATCH(Cotations!CE114,colchoice,0))))</f>
        <v/>
      </c>
      <c r="PD114" s="759" t="str">
        <f t="shared" si="556"/>
        <v/>
      </c>
      <c r="PE114" s="292" t="str">
        <f>IF(A114=FALSE,"",IF(Detail!CY114="","",Detail!CY114))</f>
        <v/>
      </c>
      <c r="PF114" s="409" t="str">
        <f t="shared" si="497"/>
        <v/>
      </c>
      <c r="PG114" s="430" t="str">
        <f>IF(A114=FALSE,"",IF(PA114="FIXE",Cotations!CP114,Cotations!CQ114*AA114))</f>
        <v/>
      </c>
      <c r="PH114" s="292" t="str">
        <f t="shared" si="498"/>
        <v/>
      </c>
      <c r="PI114" s="446" t="str">
        <f>IF(A114=FALSE,"",IF(Cotations!CG114="monthly",PH114/12*L114,PH114/365*M114))</f>
        <v/>
      </c>
      <c r="PJ114" s="429" t="str">
        <f>IF(A114=FALSE,"",IF(Cotations!DA114="",0,Cotations!DA114))</f>
        <v/>
      </c>
      <c r="PK114" s="292" t="str">
        <f t="shared" si="499"/>
        <v/>
      </c>
      <c r="PL114" s="292" t="str">
        <f t="shared" si="500"/>
        <v/>
      </c>
      <c r="PM114" s="759" t="str">
        <f t="shared" si="557"/>
        <v/>
      </c>
      <c r="PN114" s="759" t="str">
        <f>IF(A114=FALSE,"",((PH114*(1+TAXE)-(PH114*(1+TAXE)*PJ114))+IF(#REF!="N/A",0,IF(INDEX(LISTES!$F$105:$F$109,MATCH(#REF!,LISTES!$C$105:$C$109,0))="FIX",#REF!,#REF!*PM114))))</f>
        <v/>
      </c>
    </row>
    <row r="115" spans="1:430">
      <c r="A115" s="779" t="b">
        <f t="shared" si="501"/>
        <v>0</v>
      </c>
      <c r="B115" s="779" t="b">
        <f>IF(NAMES!$B$9=TRUE,TRUE,FALSE)</f>
        <v>1</v>
      </c>
      <c r="C115" s="779" t="b">
        <f t="shared" si="421"/>
        <v>0</v>
      </c>
      <c r="D115" s="779" t="b">
        <f t="shared" si="422"/>
        <v>0</v>
      </c>
      <c r="E115" s="267" t="b">
        <f>IF(Cotations!C115="","",Cotations!C115)</f>
        <v>0</v>
      </c>
      <c r="F115" s="267" t="str">
        <f>IF(Cotations!AT115="","",Cotations!AT115)</f>
        <v>PROP</v>
      </c>
      <c r="G115" s="267" t="str">
        <f>IF(Cotations!D115="","",Cotations!D115)</f>
        <v>2016-2017!</v>
      </c>
      <c r="H115" s="267" t="str">
        <f>IF(Cotations!E115="","",Cotations!E115)</f>
        <v/>
      </c>
      <c r="I115" s="267" t="str">
        <f>IF(Cotations!F115="","",Cotations!F115)</f>
        <v/>
      </c>
      <c r="J115" s="267" t="str">
        <f>IF(Cotations!G115="","",Cotations!G115)</f>
        <v/>
      </c>
      <c r="K115" s="267" t="str">
        <f>IF(Cotations!H115="","",Cotations!H115)</f>
        <v/>
      </c>
      <c r="L115" s="267" t="str">
        <f>IF(A115=FALSE,"",IF(Cotations!M115="","",Cotations!M115))</f>
        <v/>
      </c>
      <c r="M115" s="267" t="str">
        <f>IF(Cotations!O115="","",Cotations!O115)</f>
        <v/>
      </c>
      <c r="N115" s="588" t="str">
        <f>IF(NAMES!$B$10=TRUE,Cotations!I115,Cotations!K115)</f>
        <v/>
      </c>
      <c r="O115" s="588" t="str">
        <f>IF(NAMES!$B$10=TRUE,Cotations!J115,Cotations!L115)</f>
        <v/>
      </c>
      <c r="P115" s="780" t="str">
        <f t="shared" si="423"/>
        <v/>
      </c>
      <c r="Q115" s="588" t="str">
        <f>IF(A115=FALSE,"",IF(Crewlist!Y115="","",Crewlist!Y115))</f>
        <v/>
      </c>
      <c r="R115" s="78" t="str">
        <f>IF(Cotations!T115="","",Cotations!T115)</f>
        <v/>
      </c>
      <c r="S115" s="780" t="str">
        <f t="shared" si="424"/>
        <v/>
      </c>
      <c r="T115" s="759" t="str">
        <f>IF(A115=FALSE,"",VLOOKUP($U$15:$U$120,Currency!$A$2:$D$10,4,0)*Crewlist!N115)</f>
        <v/>
      </c>
      <c r="U115" s="1097" t="str">
        <f>IF(A115=FALSE,"",IF(DP115=0,Crewlist!M115&amp;"/"&amp;CP115,Crewlist!M115&amp;"/"&amp;DP115))</f>
        <v/>
      </c>
      <c r="V115" s="759" t="str">
        <f>IF(A115=FALSE,"",VLOOKUP($U$15:$U$120,Currency!$A$2:$D$10,4,0)*Detail!Q115)</f>
        <v/>
      </c>
      <c r="W115" s="1097" t="str">
        <f>IF(A115=FALSE,"",IF(DP115=0,Detail!R115&amp;"/"&amp;CP115,Detail!R115&amp;"/"&amp;DP115))</f>
        <v/>
      </c>
      <c r="X115" s="759" t="str">
        <f>IF(A115=FALSE,"",IF(LISTES!$C$17="Crewlist",Calcul!T115,Calcul!V115))</f>
        <v/>
      </c>
      <c r="Y115" s="618" t="str">
        <f t="shared" si="425"/>
        <v/>
      </c>
      <c r="Z115" s="618" t="str">
        <f>IF(A115=FALSE,"",IF(X115=0,0,IF((Cotations!BA115*12*X115)&lt;50000,50000,(12*X115))))</f>
        <v/>
      </c>
      <c r="AA115" s="618" t="str">
        <f t="shared" si="426"/>
        <v/>
      </c>
      <c r="AB115" s="618" t="str">
        <f>IF(A115=FALSE,"",IF(Crewlist!O115=0,"",Crewlist!O115))</f>
        <v/>
      </c>
      <c r="AC115" s="618" t="str">
        <f>IF(I115="","",VLOOKUP($AB$15:$AB$120,Currency!$A$15:$B$34,2,0))</f>
        <v/>
      </c>
      <c r="AD115" s="618" t="str">
        <f t="shared" si="427"/>
        <v/>
      </c>
      <c r="AE115" s="618" t="str">
        <f t="shared" si="428"/>
        <v/>
      </c>
      <c r="AF115" s="618" t="str">
        <f t="shared" si="429"/>
        <v/>
      </c>
      <c r="AG115" s="618" t="str">
        <f t="shared" si="430"/>
        <v/>
      </c>
      <c r="AH115" s="1097" t="str">
        <f t="shared" si="502"/>
        <v/>
      </c>
      <c r="AI115" s="759" t="str">
        <f t="shared" si="431"/>
        <v/>
      </c>
      <c r="AJ115" s="1120" t="str">
        <f t="shared" si="432"/>
        <v/>
      </c>
      <c r="AK115" s="1120" t="str">
        <f t="shared" si="433"/>
        <v/>
      </c>
      <c r="AL115" s="236" t="str">
        <f t="shared" si="434"/>
        <v/>
      </c>
      <c r="AM115" s="236" t="str">
        <f t="shared" si="435"/>
        <v/>
      </c>
      <c r="AN115" s="1112" t="str">
        <f t="shared" si="436"/>
        <v/>
      </c>
      <c r="AO115" s="236" t="str">
        <f t="shared" si="437"/>
        <v/>
      </c>
      <c r="AP115" s="327" t="str">
        <f>IF(A115=FALSE,"",INDEX(Rates!$Q$1:$Q$278,MATCH(CA115,colchoice,0)))</f>
        <v/>
      </c>
      <c r="AQ115" s="236" t="str">
        <f t="shared" si="438"/>
        <v/>
      </c>
      <c r="AR115" s="236" t="str">
        <f t="shared" si="439"/>
        <v/>
      </c>
      <c r="AS115" s="236" t="str">
        <f t="shared" si="503"/>
        <v/>
      </c>
      <c r="AT115" s="236" t="str">
        <f t="shared" si="504"/>
        <v/>
      </c>
      <c r="AU115" s="236" t="str">
        <f t="shared" si="440"/>
        <v/>
      </c>
      <c r="AV115" s="236" t="str">
        <f t="shared" si="441"/>
        <v/>
      </c>
      <c r="AW115" s="236" t="str">
        <f t="shared" si="442"/>
        <v/>
      </c>
      <c r="AX115" s="236" t="str">
        <f t="shared" si="443"/>
        <v/>
      </c>
      <c r="AY115" s="236" t="str">
        <f t="shared" si="444"/>
        <v/>
      </c>
      <c r="AZ115" s="236" t="str">
        <f t="shared" si="445"/>
        <v/>
      </c>
      <c r="BA115" s="236" t="str">
        <f t="shared" si="446"/>
        <v/>
      </c>
      <c r="BB115" s="467" t="str">
        <f t="shared" si="447"/>
        <v/>
      </c>
      <c r="BC115" s="329" t="str">
        <f t="shared" si="448"/>
        <v/>
      </c>
      <c r="BD115" s="237" t="str">
        <f t="shared" si="449"/>
        <v/>
      </c>
      <c r="BE115" s="237" t="str">
        <f>IF(A115=FALSE,"",IF(ED115&lt;&gt;$BC$7,0,INDEX(EA115:EZ115,1,MATCH(Structure!$J$16,$EA$14:$EZ$14,0))))</f>
        <v/>
      </c>
      <c r="BF115" s="237" t="str">
        <f>IF(A115=FALSE,"",IF(FD115&lt;&gt;$BC$7,0,INDEX(FA115:FZ115,1,MATCH(Structure!$J$16,$FA$14:$FZ$14,0))))</f>
        <v/>
      </c>
      <c r="BG115" s="237" t="str">
        <f>IF(A115=FALSE,"",IF(GD115&lt;&gt;$BC$7,0,INDEX(GA115:GZ115,1,MATCH(Structure!$J$16,$GA$14:$GZ$14,0))))</f>
        <v/>
      </c>
      <c r="BH115" s="237" t="str">
        <f>IF(A115=FALSE,"",IF(HD115&lt;&gt;$BC$7,0,INDEX(HA115:HZ115,1,MATCH(Structure!$J$16,$HA$14:$HZ$14,0))))</f>
        <v/>
      </c>
      <c r="BI115" s="621" t="str">
        <f>IF(A115=FALSE,"",IF(ID115&lt;&gt;$BC$7,0,INDEX(IA115:IZ115,1,MATCH(Structure!$C$12,$IA$14:$IZ$14,0)))+OL115)</f>
        <v/>
      </c>
      <c r="BJ115" s="237" t="str">
        <f>IF(A115=FALSE,"",IF(JD115&lt;&gt;$BC$7,0,INDEX(JA115:JZ115,1,MATCH(Structure!$C$12,$JA$14:$JZ$14,0))))</f>
        <v/>
      </c>
      <c r="BK115" s="621" t="str">
        <f>IF(A115=FALSE,"",IF(KD115&lt;&gt;$BC$7,0,INDEX(KA115:KZ115,1,MATCH(Structure!$C$12,$KA$14:$KZ$14,0)))+PL115)</f>
        <v/>
      </c>
      <c r="BL115" s="237" t="str">
        <f>IF(A115=FALSE,"",IF(LD115&lt;&gt;$BC$7,0,INDEX(LA115:LZ115,1,MATCH(Structure!$C$12,$LA$14:$LZ$14,0))))</f>
        <v/>
      </c>
      <c r="BM115" s="237" t="str">
        <f>IF(A115=FALSE,"",IF(MD115&lt;&gt;$BC$7,0,INDEX(MA115:MZ115,1,MATCH(Structure!$C$12,$MA$14:$MZ$14,0))))</f>
        <v/>
      </c>
      <c r="BN115" s="326" t="str">
        <f>IF(A115=FALSE,"",IF(ND115&lt;&gt;$BC$7,0,INDEX(NA115:OC115,1,MATCH(Structure!$C$12,$NA$14:$OC$14,0))))</f>
        <v/>
      </c>
      <c r="BO115" s="435" t="str">
        <f t="shared" si="450"/>
        <v/>
      </c>
      <c r="BP115" s="237" t="str">
        <f t="shared" si="451"/>
        <v/>
      </c>
      <c r="BQ115" s="237" t="str">
        <f>IF(A115=FALSE,"",IF(ED115&lt;&gt;$BO$7,0,INDEX(EA115:EZ115,1,MATCH(Structure!$C$12,$EA$14:$EZ$14,0))))</f>
        <v/>
      </c>
      <c r="BR115" s="237" t="str">
        <f>IF(A115=FALSE,"",IF(FD115&lt;&gt;$BO$7,0,INDEX(FA115:FZ115,1,MATCH(Structure!$C$12,$FA$14:$FZ$14,0))))</f>
        <v/>
      </c>
      <c r="BS115" s="237" t="str">
        <f>IF(A115=FALSE,"",IF(ID115&lt;&gt;$BO$7,0,INDEX(IA115:IZ115,1,MATCH(Structure!$C$13,$IA$14:$IZ$14,0))))</f>
        <v/>
      </c>
      <c r="BT115" s="237" t="str">
        <f>IF(A115=FALSE,"",IF(JD115&lt;&gt;$BO$7,0,INDEX(JA115:JZ115,1,MATCH(Structure!$C$13,$JA$14:$JZ$14,0))))</f>
        <v/>
      </c>
      <c r="BU115" s="237" t="str">
        <f>IF(A115=FALSE,"",IF(KD115&lt;&gt;$BO$7,0,INDEX(KA115:KZ115,1,MATCH(Structure!$C$13,$KA$14:$KZ$14,0))))</f>
        <v/>
      </c>
      <c r="BV115" s="237" t="str">
        <f>IF(A115=FALSE,"",IF(LD115&lt;&gt;$BO$7,0,INDEX(LA115:LZ115,1,MATCH(Structure!$C$13,$LA$14:$LZ$14,0))))</f>
        <v/>
      </c>
      <c r="BW115" s="237" t="str">
        <f>IF(A115=FALSE,"",IF(MD115&lt;&gt;$BO$7,0,INDEX(MA115:MZ115,1,MATCH(Structure!$C$13,$MA$14:$MZ$14,0))))</f>
        <v/>
      </c>
      <c r="BX115" s="326" t="str">
        <f>IF(A115=FALSE,"",IF(ND115&lt;&gt;$BO$7,0,INDEX(NA115:OC115,1,MATCH(Structure!$C$13,$NA$14:$OC$14,0))))</f>
        <v/>
      </c>
      <c r="BY115" s="412"/>
      <c r="BZ115" s="412"/>
      <c r="CA115" s="1255" t="str">
        <f>IF(A115=FALSE,"",IF(LISTES!$A$17=1,Cotations!AG115,Cotations!AH115))</f>
        <v/>
      </c>
      <c r="CB115" s="1266" t="str">
        <f t="shared" si="452"/>
        <v/>
      </c>
      <c r="CC115" s="1120" t="str">
        <f t="shared" si="453"/>
        <v/>
      </c>
      <c r="CD115" s="1120" t="str">
        <f t="shared" si="454"/>
        <v/>
      </c>
      <c r="CE115" s="1120" t="str">
        <f t="shared" si="455"/>
        <v/>
      </c>
      <c r="CF115" s="1120" t="str">
        <f t="shared" si="456"/>
        <v/>
      </c>
      <c r="CG115" s="1267"/>
      <c r="CH115" s="1267"/>
      <c r="CI115" s="1268" t="str">
        <f t="shared" si="457"/>
        <v/>
      </c>
      <c r="CJ115" s="286" t="str">
        <f t="shared" si="458"/>
        <v/>
      </c>
      <c r="CK115" s="286" t="str">
        <f t="shared" si="459"/>
        <v/>
      </c>
      <c r="CL115" s="1263"/>
      <c r="CM115" s="1263"/>
      <c r="CN115" s="1263"/>
      <c r="CO115" s="1263"/>
      <c r="CP115" s="319" t="str">
        <f t="shared" si="460"/>
        <v/>
      </c>
      <c r="CQ115" s="443" t="str">
        <f>IF(A115=FALSE,"",Cotations!AM115)</f>
        <v/>
      </c>
      <c r="CR115" s="443" t="str">
        <f>IF(A115=FALSE,"",IF(Cotations!AN115="","",Cotations!AN115))</f>
        <v/>
      </c>
      <c r="CS115" s="433" t="str">
        <f>IF(A115=FALSE,"",Cotations!AO115)</f>
        <v/>
      </c>
      <c r="CT115" s="443" t="str">
        <f>IF(A115=FALSE,"",IF(CQ115="N/A",0,IF(INDEX(LISTES!$F$105:$F$109,MATCH(CQ115,LISTES!$C$105:$C$109,0))="FIX",IF(INDEX(LISTES!$E$105:$E$109,MATCH(CQ115,LISTES!$C$105:$C$109,0))=12,CR115/12*L115,CR115/365*M115),CS115*EQ115)))</f>
        <v/>
      </c>
      <c r="CU115" s="434" t="str">
        <f>IF(A115=FALSE,"",(CJ115+CK115)*Cotations!AP115)</f>
        <v/>
      </c>
      <c r="CV115" s="434" t="str">
        <f>IF(A115=FALSE,"",(CJ115+CK115)*Cotations!AQ115)</f>
        <v/>
      </c>
      <c r="DA115" s="1253" t="str">
        <f>IF(A115=FALSE,"",IF(LISTES!$A$17=1,Cotations!AV115,Cotations!AW115))</f>
        <v/>
      </c>
      <c r="DB115" s="1271" t="str">
        <f t="shared" si="461"/>
        <v/>
      </c>
      <c r="DC115" s="1270" t="str">
        <f t="shared" si="462"/>
        <v/>
      </c>
      <c r="DD115" s="1270" t="str">
        <f t="shared" si="463"/>
        <v/>
      </c>
      <c r="DE115" s="1270" t="str">
        <f t="shared" si="464"/>
        <v/>
      </c>
      <c r="DF115" s="1270" t="str">
        <f t="shared" si="465"/>
        <v/>
      </c>
      <c r="DG115" s="1270" t="str">
        <f t="shared" si="466"/>
        <v/>
      </c>
      <c r="DH115" s="1270" t="str">
        <f t="shared" si="467"/>
        <v/>
      </c>
      <c r="DI115" s="1271" t="str">
        <f t="shared" si="468"/>
        <v/>
      </c>
      <c r="DJ115" s="286" t="str">
        <f t="shared" si="469"/>
        <v/>
      </c>
      <c r="DK115" s="286" t="str">
        <f t="shared" si="470"/>
        <v/>
      </c>
      <c r="DL115" s="1264" t="str">
        <f t="shared" si="471"/>
        <v/>
      </c>
      <c r="DM115" s="1264" t="str">
        <f t="shared" si="472"/>
        <v/>
      </c>
      <c r="DN115" s="1264" t="str">
        <f t="shared" si="473"/>
        <v/>
      </c>
      <c r="DO115" s="1264" t="str">
        <f t="shared" si="474"/>
        <v/>
      </c>
      <c r="DP115" s="323" t="str">
        <f t="shared" si="505"/>
        <v/>
      </c>
      <c r="DQ115" s="444" t="str">
        <f>IF(A115=FALSE,"",Cotations!BW115)</f>
        <v/>
      </c>
      <c r="DR115" s="444" t="str">
        <f>IF(A115=FALSE,"",Cotations!BX115)</f>
        <v/>
      </c>
      <c r="DS115" s="433" t="str">
        <f>IF(A115=FALSE,"",Cotations!BY115)</f>
        <v/>
      </c>
      <c r="DT115" s="830" t="str">
        <f>IF(A115=FALSE,"",IF(DQ115="N/A",0,IF(INDEX(LISTES!$F$105:$F$109,MATCH(DQ115,LISTES!$C$105:$C$109,0))="FIX",IF(INDEX(LISTES!$E$105:$E$109,MATCH(DQ115,LISTES!$C$105:$C$109,0))=12,DR115/12*L115,DR115/365*M115),DS115*(DN115+DO115))))</f>
        <v/>
      </c>
      <c r="DU115" s="434" t="str">
        <f>IF(A115=FALSE,"",DJ115*Cotations!BZ115)</f>
        <v/>
      </c>
      <c r="DV115" s="434" t="str">
        <f>IF(A115=FALSE,"",DJ115*Cotations!CA115)</f>
        <v/>
      </c>
      <c r="EA115" s="432" t="str">
        <f>IF(A115=FALSE,"",Cotations!AT115)</f>
        <v/>
      </c>
      <c r="EB115" s="1234" t="str">
        <f>IF(A115=FALSE,"",YEAR(Detail!F115)&amp;Detail!AG115&amp;Detail!AD115&amp;"-"&amp;Detail!$AD$13&amp;Detail!AE115)</f>
        <v/>
      </c>
      <c r="EC115" s="434" t="str">
        <f>IF(A115=FALSE,"",IF(LISTES!$A$17=1,EB115,INDEX(colMOD1,MATCH(Cotations!AH115,colchoice,0))))</f>
        <v/>
      </c>
      <c r="ED115" s="277" t="str">
        <f t="shared" si="506"/>
        <v/>
      </c>
      <c r="EE115" s="277" t="str">
        <f t="shared" si="507"/>
        <v/>
      </c>
      <c r="EF115" s="277"/>
      <c r="EG115" s="277"/>
      <c r="EH115" s="277" t="str">
        <f t="shared" si="508"/>
        <v/>
      </c>
      <c r="EI115" s="1104" t="str">
        <f t="shared" si="509"/>
        <v/>
      </c>
      <c r="EJ115" s="1104" t="str">
        <f t="shared" si="510"/>
        <v/>
      </c>
      <c r="EK115" s="443" t="str">
        <f>IF(A115=FALSE,"",IF(Cotations!AF115="monthly",EH115/12*L115,EH115/365*M115))</f>
        <v/>
      </c>
      <c r="EL115" s="1103" t="str">
        <f>IF(A115=FALSE,"",IF(Cotations!AF115="monthly",EJ115/12*L115,EJ115/365*M115))</f>
        <v/>
      </c>
      <c r="EM115" s="433" t="str">
        <f>IF(A115=FALSE,"",IF(Cotations!AI115="","",Cotations!AI115))</f>
        <v/>
      </c>
      <c r="EN115" s="277" t="str">
        <f t="shared" si="511"/>
        <v/>
      </c>
      <c r="EO115" s="277" t="str">
        <f t="shared" si="512"/>
        <v/>
      </c>
      <c r="EP115" s="1104" t="str">
        <f t="shared" si="513"/>
        <v/>
      </c>
      <c r="EQ115" s="277" t="str">
        <f t="shared" si="514"/>
        <v/>
      </c>
      <c r="ER115" s="759" t="str">
        <f>IF(A115=FALSE,"",((EH115*TAXE)-(EH115*TAXE*EM115)+EI115)+IF(CQ115="N/A",0,IF(INDEX(LISTES!$F$105:$F$109,MATCH(CQ115,LISTES!$C$105:$C$109,0))="FIX",CR115,CS115*EQ115)))</f>
        <v/>
      </c>
      <c r="ET115" s="422"/>
      <c r="EU115" s="422"/>
      <c r="EV115" s="422"/>
      <c r="EW115" s="422"/>
      <c r="EX115" s="422"/>
      <c r="EY115" s="422"/>
      <c r="EZ115" s="422"/>
      <c r="FA115" s="432" t="str">
        <f>IF(A115=FALSE,"",Cotations!AT115)</f>
        <v/>
      </c>
      <c r="FB115" s="1235" t="str">
        <f>IF(A115=FALSE,"",IF(Detail!AL115="","N/A",YEAR(Detail!F115)&amp;Detail!AO115&amp;Detail!AL115&amp;"-"&amp;Detail!$AL$13&amp;Detail!AM115))</f>
        <v/>
      </c>
      <c r="FC115" s="434" t="str">
        <f>IF(A115=FALSE,"",IF(LISTES!$A$17=1,Cotations!#REF!,Cotations!#REF!))</f>
        <v/>
      </c>
      <c r="FD115" s="277" t="str">
        <f t="shared" si="515"/>
        <v/>
      </c>
      <c r="FE115" s="443" t="str">
        <f>IF(A115=FALSE,"",IF(Detail!AM115="","",Detail!AM115))</f>
        <v/>
      </c>
      <c r="FF115" s="277"/>
      <c r="FG115" s="277"/>
      <c r="FH115" s="277" t="str">
        <f t="shared" si="516"/>
        <v/>
      </c>
      <c r="FI115" s="1104"/>
      <c r="FJ115" s="1104"/>
      <c r="FK115" s="443" t="str">
        <f>IF(A115=FALSE,"",IF(Cotations!AF115="monthly",FH115/12*L115,FH115/365*M115))</f>
        <v/>
      </c>
      <c r="FL115" s="1103" t="str">
        <f>IF(A115=FALSE,"",IF(Cotations!AF115="monthly",FJ115/12*L115,FJ115/365*M115))</f>
        <v/>
      </c>
      <c r="FM115" s="433" t="str">
        <f>IF(A115=FALSE,"",IF(Cotations!AJ115="","",Cotations!AJ115))</f>
        <v/>
      </c>
      <c r="FN115" s="277" t="str">
        <f t="shared" si="475"/>
        <v/>
      </c>
      <c r="FO115" s="277" t="str">
        <f t="shared" si="476"/>
        <v/>
      </c>
      <c r="FP115" s="1104"/>
      <c r="FQ115" s="277" t="str">
        <f t="shared" si="477"/>
        <v/>
      </c>
      <c r="FR115" s="759" t="str">
        <f>IF(A115=FALSE,"",((FH115*TAXE)-(FH115*TAXE*FM115))+IF(#REF!="N/A",0,IF(INDEX(LISTES!$F$105:$F$109,MATCH(#REF!,LISTES!$C$105:$C$109,0))="FIX",#REF!,#REF!*FQ115)))</f>
        <v/>
      </c>
      <c r="FS115" s="422"/>
      <c r="FT115" s="422"/>
      <c r="FU115" s="422"/>
      <c r="FV115" s="422"/>
      <c r="FW115" s="422"/>
      <c r="FX115" s="422"/>
      <c r="FY115" s="422"/>
      <c r="FZ115" s="422"/>
      <c r="GA115" s="432" t="str">
        <f t="shared" si="517"/>
        <v/>
      </c>
      <c r="GB115" s="1234" t="str">
        <f>IF(A115=FALSE,"",IF(Detail!DF115="","N/A",YEAR(Detail!F115)&amp;Detail!DI115&amp;Detail!DF115&amp;"-"&amp;Detail!$DF$13))</f>
        <v/>
      </c>
      <c r="GC115" s="434" t="str">
        <f>IF(A115=FALSE,"",IF(LISTES!$A$17=1,GB115,INDEX(colMOD3,MATCH(Cotations!AH115,colchoice,0))))</f>
        <v/>
      </c>
      <c r="GD115" s="277" t="str">
        <f t="shared" si="518"/>
        <v/>
      </c>
      <c r="GE115" s="277" t="str">
        <f t="shared" si="519"/>
        <v/>
      </c>
      <c r="GF115" s="277"/>
      <c r="GG115" s="277"/>
      <c r="GH115" s="277" t="str">
        <f t="shared" si="478"/>
        <v/>
      </c>
      <c r="GI115" s="1104" t="str">
        <f t="shared" si="479"/>
        <v/>
      </c>
      <c r="GJ115" s="1104" t="str">
        <f t="shared" si="480"/>
        <v/>
      </c>
      <c r="GK115" s="443" t="str">
        <f>IF(A115=FALSE,"",IF(Cotations!AF115="monthly",GH115/12*L115,GH115/365*M115))</f>
        <v/>
      </c>
      <c r="GL115" s="1103" t="str">
        <f>IF(A115=FALSE,"",IF(Cotations!AF115="monthly",GJ115/12*L115,GJ115/365*M115))</f>
        <v/>
      </c>
      <c r="GM115" s="433" t="str">
        <f>IF(A115=FALSE,"",IF(Cotations!AK115="","",Cotations!AK115))</f>
        <v/>
      </c>
      <c r="GN115" s="277" t="str">
        <f t="shared" si="481"/>
        <v/>
      </c>
      <c r="GO115" s="277" t="str">
        <f t="shared" si="482"/>
        <v/>
      </c>
      <c r="GP115" s="1104" t="str">
        <f t="shared" si="483"/>
        <v/>
      </c>
      <c r="GQ115" s="277" t="str">
        <f t="shared" si="484"/>
        <v/>
      </c>
      <c r="GR115" s="759" t="str">
        <f>IF(A115=FALSE,"",((GH115*TAXE)-(GH115*TAXE*GM115)+GI115)+IF(CQ115="N/A",0,IF(INDEX(LISTES!$F$105:$F$109,MATCH(CQ115,LISTES!$C$105:$C$109,0))="FIX",CR115,CS115*GQ115)))</f>
        <v/>
      </c>
      <c r="GS115" s="412"/>
      <c r="GT115" s="412"/>
      <c r="GU115" s="412"/>
      <c r="GV115" s="412"/>
      <c r="GW115" s="412"/>
      <c r="GX115" s="412"/>
      <c r="GY115" s="412"/>
      <c r="GZ115" s="412"/>
      <c r="HA115" s="432" t="str">
        <f t="shared" si="520"/>
        <v/>
      </c>
      <c r="HB115" s="1234" t="str">
        <f>IF(A115=FALSE,"",IF(Detail!DF115="","N/A",YEAR(Detail!F115)&amp;Detail!DI115&amp;Detail!DF115&amp;"-"&amp;Detail!$DF$13))</f>
        <v/>
      </c>
      <c r="HC115" s="434" t="str">
        <f>IF(A115=FALSE,"",IF(LISTES!$A$17=1,HB115,INDEX(colMOD4,MATCH(Cotations!AH115,colchoice,0))))</f>
        <v/>
      </c>
      <c r="HD115" s="277" t="str">
        <f t="shared" si="485"/>
        <v/>
      </c>
      <c r="HE115" s="277" t="str">
        <f t="shared" si="486"/>
        <v/>
      </c>
      <c r="HF115" s="277"/>
      <c r="HG115" s="277"/>
      <c r="HH115" s="277" t="str">
        <f t="shared" si="487"/>
        <v/>
      </c>
      <c r="HI115" s="1104" t="str">
        <f t="shared" si="488"/>
        <v/>
      </c>
      <c r="HJ115" s="1104" t="str">
        <f t="shared" si="489"/>
        <v/>
      </c>
      <c r="HK115" s="443" t="str">
        <f>IF(A115=FALSE,"",IF(Cotations!AF115="monthly",HH115/12*L115,HH115/365*M115))</f>
        <v/>
      </c>
      <c r="HL115" s="1103" t="str">
        <f>IF(A115=FALSE,"",IF(Cotations!AF115="monthly",HJ115/12*L115,HJ115/365*M115))</f>
        <v/>
      </c>
      <c r="HM115" s="433" t="str">
        <f>IF(A115=FALSE,"",IF(Cotations!AL115="","",Cotations!AL115))</f>
        <v/>
      </c>
      <c r="HN115" s="277" t="str">
        <f t="shared" si="490"/>
        <v/>
      </c>
      <c r="HO115" s="277" t="str">
        <f t="shared" si="491"/>
        <v/>
      </c>
      <c r="HP115" s="1104" t="str">
        <f t="shared" si="492"/>
        <v/>
      </c>
      <c r="HQ115" s="277" t="str">
        <f t="shared" si="493"/>
        <v/>
      </c>
      <c r="HR115" s="759" t="str">
        <f>IF(A115=FALSE,"",((HH115*TAXE)-(HH115*TAXE*HM115)+HI115)+IF(CQ115="N/A",0,IF(INDEX(LISTES!$F$105:$F$109,MATCH(CQ115,LISTES!$C$105:$C$109,0))="FIX",CR115,CS115*HQ115)))</f>
        <v/>
      </c>
      <c r="HS115" s="412"/>
      <c r="HT115" s="412"/>
      <c r="HU115" s="412"/>
      <c r="HV115" s="412"/>
      <c r="HW115" s="412"/>
      <c r="HX115" s="412"/>
      <c r="HY115" s="412"/>
      <c r="HZ115" s="1262"/>
      <c r="IA115" s="432" t="str">
        <f>IF(A115=FALSE,"",Cotations!AT115)</f>
        <v/>
      </c>
      <c r="IB115" s="1253" t="str">
        <f>IF(A115=FALSE,"",IF(Detail!AT115="","N/A",YEAR(Detail!F115)&amp;Detail!AW115&amp;Detail!AT115&amp;"-"&amp;Detail!$AT$13&amp;Detail!AU115))</f>
        <v/>
      </c>
      <c r="IC115" s="431" t="str">
        <f>IF(A115=FALSE,"",IF(LISTES!$A$17=1,IB115,INDEX(colMOD1,MATCH(DA115,colchoice,0))))</f>
        <v/>
      </c>
      <c r="ID115" s="759" t="str">
        <f t="shared" ref="ID115:ID120" si="558">IF(A115=FALSE,"",INDEX(colAssureur,MATCH(IC115,colMOD1,0)))</f>
        <v/>
      </c>
      <c r="IE115" s="292" t="str">
        <f>IF(A115=FALSE,"",IF(LISTES!$A$17=1,Detail!AU115,INDEX(Rates!$M$1:$M$270,MATCH(IC115,colMOD1,0))))</f>
        <v/>
      </c>
      <c r="IF115" s="409" t="str">
        <f t="shared" ref="IF115:IF120" si="559">IF(A115=FALSE,"",IF(IA115="POEA",$IA$2,INDEX(colMOD1HT,MATCH(IC115,colMOD1,0))))</f>
        <v/>
      </c>
      <c r="IG115" s="430" t="str">
        <f>IF(A115=FALSE,"",IF(IA115="POEA",Cotations!AY115,IF(IA115="FIXE",Cotations!AZ115,IF(Cotations!BA115*Y115&lt;50000,Z115,Cotations!BA115*Y115))))</f>
        <v/>
      </c>
      <c r="IH115" s="292" t="str">
        <f t="shared" ref="IH115:IH120" si="560">IF(A115=FALSE,"",IF(IC115="N/A",0,IG115*IF115))</f>
        <v/>
      </c>
      <c r="II115" s="446" t="str">
        <f>IF(A115=FALSE,"",IF(Cotations!AU115="monthly",IH115/12*L115,IH115/365*M115))</f>
        <v/>
      </c>
      <c r="IJ115" s="429" t="str">
        <f>IF(A115=FALSE,"",IF(Cotations!BB115="","",Cotations!BB115))</f>
        <v/>
      </c>
      <c r="IK115" s="292" t="str">
        <f t="shared" ref="IK115:IK120" si="561">IF(A115=FALSE,"",II115*IJ115)</f>
        <v/>
      </c>
      <c r="IL115" s="292" t="str">
        <f t="shared" ref="IL115:IL120" si="562">IF(A115=FALSE,"",II115-IK115)</f>
        <v/>
      </c>
      <c r="IM115" s="759" t="str">
        <f t="shared" ref="IM115:IM120" si="563">IF(A115=FALSE,"",IL115*TAXE)</f>
        <v/>
      </c>
      <c r="IN115" s="759" t="str">
        <f>IF(A115=FALSE,"",((IH115*TAXE)-(IH115*TAXE*IJ115))+IF(DQ115="N/A",0,IF(INDEX(LISTES!$F$105:$F$109,MATCH(DQ115,LISTES!$C$105:$C$109,0))="FIX",DR115,DS115*IM115)))</f>
        <v/>
      </c>
      <c r="JA115" s="432" t="str">
        <f>IF(A115=FALSE,"",Cotations!AT115)</f>
        <v/>
      </c>
      <c r="JB115" s="1234" t="str">
        <f>IF(A115=FALSE,"",IF(Detail!BB115="","N/A",YEAR(Detail!F115)&amp;Detail!BE115&amp;Detail!BB115&amp;"-"&amp;Detail!$BB$13&amp;Detail!BC115))</f>
        <v/>
      </c>
      <c r="JC115" s="431" t="str">
        <f>IF(A115=FALSE,"",IF(LISTES!$A$17=1,JB115,INDEX(colMOD2,MATCH(DA115,colchoice,0))))</f>
        <v/>
      </c>
      <c r="JD115" s="759" t="str">
        <f t="shared" si="521"/>
        <v/>
      </c>
      <c r="JE115" s="292"/>
      <c r="JF115" s="409" t="str">
        <f t="shared" si="522"/>
        <v/>
      </c>
      <c r="JG115" s="430" t="str">
        <f>IF(A115=FALSE,"",IF(JA115="POEA",Cotations!BC115,IF(JA115="FIXE",Cotations!BD115,IF(Cotations!BE115*Y115&lt;50000,Z115,Cotations!BE115*Y115))))</f>
        <v/>
      </c>
      <c r="JH115" s="292" t="str">
        <f t="shared" si="523"/>
        <v/>
      </c>
      <c r="JI115" s="446" t="str">
        <f>IF(A115=FALSE,"",IF(Cotations!AU115="monthly",JH115/12*L115,JH115/365*M115))</f>
        <v/>
      </c>
      <c r="JJ115" s="429" t="str">
        <f>IF(A115=FALSE,"",IF(Cotations!BF115="","",Cotations!BF115))</f>
        <v/>
      </c>
      <c r="JK115" s="292" t="str">
        <f t="shared" si="524"/>
        <v/>
      </c>
      <c r="JL115" s="292" t="str">
        <f t="shared" si="525"/>
        <v/>
      </c>
      <c r="JM115" s="759" t="str">
        <f t="shared" si="526"/>
        <v/>
      </c>
      <c r="JN115" s="759" t="str">
        <f>IF(A115=FALSE,"",((JH115*TAXE)-(JH115*TAXE*JJ115))+IF(#REF!="N/A",0,IF(INDEX(LISTES!$F$105:$F$109,MATCH(#REF!,LISTES!$C$105:$C$109,0))="FIX",#REF!,#REF!*JM115)))</f>
        <v/>
      </c>
      <c r="KA115" s="432" t="str">
        <f>IF(A115=FALSE,"",Cotations!AT115)</f>
        <v/>
      </c>
      <c r="KB115" s="1234" t="str">
        <f>IF(A115=FALSE,"",IF(Detail!BJ115="","N/A",YEAR(Detail!F115)&amp;Detail!BM115&amp;Detail!BJ115&amp;"-"&amp;Detail!$BJ$13&amp;Detail!BK115))</f>
        <v/>
      </c>
      <c r="KC115" s="431" t="str">
        <f>IF(A115=FALSE,"",IF(LISTES!$A$17=1,KB115,INDEX(colMOD3,MATCH(DA115,colchoice,0))))</f>
        <v/>
      </c>
      <c r="KD115" s="759" t="str">
        <f t="shared" si="527"/>
        <v/>
      </c>
      <c r="KE115" s="292"/>
      <c r="KF115" s="409" t="str">
        <f t="shared" si="528"/>
        <v/>
      </c>
      <c r="KG115" s="430" t="str">
        <f>IF(A115=FALSE,"",IF(KA115="POEA",Cotations!BG115,IF(KA115="FIXE",Cotations!BH115,IF(Cotations!BI115*Y115&lt;50000,Z115,Cotations!BI115*Y115))))</f>
        <v/>
      </c>
      <c r="KH115" s="292" t="str">
        <f t="shared" si="529"/>
        <v/>
      </c>
      <c r="KI115" s="446" t="str">
        <f>IF(A115=FALSE,"",IF(Cotations!AU115="monthly",KH115/12*L115,KH115/365*M115))</f>
        <v/>
      </c>
      <c r="KJ115" s="429" t="str">
        <f>IF(A115=FALSE,"",IF(Cotations!BJ115="","",Cotations!BJ115))</f>
        <v/>
      </c>
      <c r="KK115" s="292" t="str">
        <f t="shared" si="530"/>
        <v/>
      </c>
      <c r="KL115" s="292" t="str">
        <f t="shared" si="531"/>
        <v/>
      </c>
      <c r="KM115" s="759" t="str">
        <f t="shared" si="532"/>
        <v/>
      </c>
      <c r="KN115" s="759" t="str">
        <f>IF(A115=FALSE,"",((KH115*TAXE)-(KH115*TAXE*KJ115))+IF(#REF!="N/A",0,IF(INDEX(LISTES!$F$105:$F$109,MATCH(#REF!,LISTES!$C$105:$C$109,0))="FIX",#REF!,#REF!*KM115)))</f>
        <v/>
      </c>
      <c r="LA115" s="432" t="str">
        <f>IF(A115=FALSE,"",Cotations!AT115)</f>
        <v/>
      </c>
      <c r="LB115" s="1234" t="str">
        <f>IF(A115=FALSE,"",IF(Detail!BR115="","N/A",YEAR(Detail!F115)&amp;Detail!BU115&amp;Detail!BR115&amp;"-"&amp;Detail!$BR$13&amp;Detail!BS115))</f>
        <v/>
      </c>
      <c r="LC115" s="431" t="str">
        <f>IF(A115=FALSE,"",IF(LISTES!$A$17=1,LB115,INDEX(colMOD4,MATCH(DA115,colchoice,0))))</f>
        <v/>
      </c>
      <c r="LD115" s="759" t="str">
        <f t="shared" si="533"/>
        <v/>
      </c>
      <c r="LE115" s="292"/>
      <c r="LF115" s="409" t="str">
        <f t="shared" si="534"/>
        <v/>
      </c>
      <c r="LG115" s="430" t="str">
        <f>IF(A115=FALSE,"",IF(LA115="POEA",Cotations!BK115,IF(LA115="FIXE",Cotations!BL115,IF(Cotations!BM115*Y115&lt;50000,Z115,Cotations!BM115*Y115))))</f>
        <v/>
      </c>
      <c r="LH115" s="292" t="str">
        <f t="shared" si="535"/>
        <v/>
      </c>
      <c r="LI115" s="446" t="str">
        <f>IF(A115=FALSE,"",IF(Cotations!AU115="monthly",LH115/12*L115,LH115/365*M115))</f>
        <v/>
      </c>
      <c r="LJ115" s="429" t="str">
        <f>IF(A115=FALSE,"",IF(Cotations!BN115="","",Cotations!BN115))</f>
        <v/>
      </c>
      <c r="LK115" s="292" t="str">
        <f t="shared" si="536"/>
        <v/>
      </c>
      <c r="LL115" s="292" t="str">
        <f t="shared" si="537"/>
        <v/>
      </c>
      <c r="LM115" s="759" t="str">
        <f t="shared" si="538"/>
        <v/>
      </c>
      <c r="LN115" s="759" t="str">
        <f>IF(A115=FALSE,"",((LH115*TAXE)-(LH115*TAXE*LJ115))+IF(#REF!="N/A",0,IF(INDEX(LISTES!$F$105:$F$109,MATCH(#REF!,LISTES!$C$105:$C$109,0))="FIX",#REF!,#REF!*LM115)))</f>
        <v/>
      </c>
      <c r="MA115" s="432" t="str">
        <f t="shared" si="539"/>
        <v/>
      </c>
      <c r="MB115" s="1234" t="str">
        <f>IF(A115=FALSE,"",IF(Detail!BZ115="","N/A",YEAR(Detail!F115)&amp;Detail!CC115&amp;Detail!BZ115&amp;"-"&amp;Detail!$BZ$13&amp;" (100%/"&amp;Detail!CD115&amp;"/"&amp;Detail!CE115&amp;")"))</f>
        <v/>
      </c>
      <c r="MC115" s="431" t="str">
        <f>IF(A115=FALSE,"",IF(LISTES!$A$17=1,MB115,INDEX(colMOD5,MATCH(DA115,colchoice,0))))</f>
        <v/>
      </c>
      <c r="MD115" s="759" t="str">
        <f t="shared" si="540"/>
        <v/>
      </c>
      <c r="ME115" s="292"/>
      <c r="MF115" s="409" t="str">
        <f t="shared" si="541"/>
        <v/>
      </c>
      <c r="MG115" s="430" t="str">
        <f>IF(A115=FALSE,"",Cotations!BQ115*AA115)</f>
        <v/>
      </c>
      <c r="MH115" s="292" t="str">
        <f t="shared" si="542"/>
        <v/>
      </c>
      <c r="MI115" s="446" t="str">
        <f>IF(A115=FALSE,"",IF(Cotations!AU115="monthly",MH115/12*L115,MH115/365*M115))</f>
        <v/>
      </c>
      <c r="MJ115" s="429" t="str">
        <f>IF(A115=FALSE,"",IF(Cotations!BR115="","",Cotations!BR115))</f>
        <v/>
      </c>
      <c r="MK115" s="292" t="str">
        <f t="shared" si="543"/>
        <v/>
      </c>
      <c r="ML115" s="292" t="str">
        <f t="shared" si="544"/>
        <v/>
      </c>
      <c r="MM115" s="759" t="str">
        <f t="shared" si="545"/>
        <v/>
      </c>
      <c r="MN115" s="759" t="str">
        <f>IF(A115=FALSE,"",((MH115*TAXE)-(MH115*TAXE*MJ115))+IF(#REF!="N/A",0,IF(INDEX(LISTES!$F$105:$F$109,MATCH(#REF!,LISTES!$C$105:$C$109,0))="FIX",#REF!,#REF!*MM115)))</f>
        <v/>
      </c>
      <c r="NA115" s="432" t="str">
        <f t="shared" si="546"/>
        <v/>
      </c>
      <c r="NB115" s="1234" t="str">
        <f>IF(A115=FALSE,"",IF(Detail!CH115="","N/A",YEAR(Detail!F115)&amp;Detail!CK115&amp;Detail!CH115&amp;"-"&amp;Detail!$CH$13&amp;" (100%/"&amp;Detail!CL115&amp;"/"&amp;Detail!CM115&amp;")"))</f>
        <v/>
      </c>
      <c r="NC115" s="431" t="str">
        <f>IF(A115=FALSE,"",IF(LISTES!$A$17=1,NB115,INDEX(colMOD6,MATCH(DA115,colchoice,0))))</f>
        <v/>
      </c>
      <c r="ND115" s="759" t="str">
        <f t="shared" si="547"/>
        <v/>
      </c>
      <c r="NE115" s="292"/>
      <c r="NF115" s="409" t="str">
        <f t="shared" si="548"/>
        <v/>
      </c>
      <c r="NG115" s="430" t="str">
        <f>IF(A115=FALSE,"",Cotations!BU115*AA115)</f>
        <v/>
      </c>
      <c r="NH115" s="292" t="str">
        <f t="shared" si="549"/>
        <v/>
      </c>
      <c r="NI115" s="446" t="str">
        <f>IF(A115=FALSE,"",IF(Cotations!AU115="monthly",NH115/12*L115,NH115/365*M115))</f>
        <v/>
      </c>
      <c r="NJ115" s="429" t="str">
        <f>IF(A115=FALSE,"",IF(Cotations!BV115="","",Cotations!BV115))</f>
        <v/>
      </c>
      <c r="NK115" s="292" t="str">
        <f t="shared" si="550"/>
        <v/>
      </c>
      <c r="NL115" s="292" t="str">
        <f t="shared" si="551"/>
        <v/>
      </c>
      <c r="NM115" s="759" t="str">
        <f t="shared" si="552"/>
        <v/>
      </c>
      <c r="NN115" s="759" t="str">
        <f>IF(A115=FALSE,"",((NH115*TAXE)-(NH115*TAXE*NJ115))+IF(#REF!="N/A",0,IF(INDEX(LISTES!$F$105:$F$109,MATCH(#REF!,LISTES!$C$105:$C$109,0))="FIX",#REF!,#REF!*NM115)))</f>
        <v/>
      </c>
      <c r="NZ115" s="1281" t="str">
        <f>IF(A115=FALSE,"",IF(Detail!CP115="","N/A",YEAR(Detail!F115)&amp;Detail!CS115&amp;Detail!CP115&amp;"-"&amp;Detail!CQ115))</f>
        <v/>
      </c>
      <c r="OA115" s="432" t="str">
        <f>IF(A115=FALSE,"",Cotations!CF115)</f>
        <v/>
      </c>
      <c r="OB115" s="1282" t="str">
        <f>IF(A115=FALSE,"",IF(Detail!CP115="","N/A",YEAR(Detail!F115)&amp;Detail!CS115&amp;Detail!CP115&amp;"-"&amp;Detail!$CP$13&amp;Detail!CQ115))</f>
        <v/>
      </c>
      <c r="OC115" s="1283" t="str">
        <f>IF(A115=FALSE,"",IF(LISTES!$A$17=1,OB115,INDEX(colMOD1,MATCH(Cotations!CE115,colchoice,0))))</f>
        <v/>
      </c>
      <c r="OD115" s="759" t="str">
        <f t="shared" si="553"/>
        <v/>
      </c>
      <c r="OE115" s="292" t="str">
        <f>IF(A115=FALSE,"",Detail!CQ115)</f>
        <v/>
      </c>
      <c r="OF115" s="409" t="str">
        <f t="shared" si="554"/>
        <v/>
      </c>
      <c r="OG115" s="430" t="str">
        <f>IF(A115=FALSE,"",IF(OA115="FIXE",Cotations!CM115,Cotations!CN115*AA115))</f>
        <v/>
      </c>
      <c r="OH115" s="292" t="str">
        <f t="shared" si="494"/>
        <v/>
      </c>
      <c r="OI115" s="446" t="str">
        <f>IF(A115=FALSE,"",IF(Cotations!CF115="monthly",OH115/12*L115,OH115/365*M115))</f>
        <v/>
      </c>
      <c r="OJ115" s="429" t="str">
        <f>IF(A115=FALSE,"",IF(Cotations!CO115="","",Cotations!CO115))</f>
        <v/>
      </c>
      <c r="OK115" s="292" t="str">
        <f t="shared" si="495"/>
        <v/>
      </c>
      <c r="OL115" s="292" t="str">
        <f t="shared" si="496"/>
        <v/>
      </c>
      <c r="OM115" s="759" t="str">
        <f t="shared" si="555"/>
        <v/>
      </c>
      <c r="ON115" s="759" t="str">
        <f>IF(A115=FALSE,"",((OH115*(1+TAXE)-(OH115*(1+TAXE)*OJ115))+IF(#REF!="N/A",0,IF(INDEX(LISTES!$F$105:$F$109,MATCH(#REF!,LISTES!$C$105:$C$109,0))="FIX",#REF!,#REF!*OM115))))</f>
        <v/>
      </c>
      <c r="PA115" s="432" t="str">
        <f>IF(A115=FALSE,"",Cotations!CF115)</f>
        <v/>
      </c>
      <c r="PB115" s="1282" t="str">
        <f>IF(A115=FALSE,"",IF(Detail!CX115="","N/A",YEAR(Detail!F115)&amp;Detail!DA115&amp;Detail!CX115&amp;"-"&amp;Detail!$CX$13&amp;Detail!CY115))</f>
        <v/>
      </c>
      <c r="PC115" s="1283" t="str">
        <f>IF(A115=FALSE,"",IF(LISTES!$A$17=1,PB115,INDEX(colMOD3,MATCH(Cotations!CE115,colchoice,0))))</f>
        <v/>
      </c>
      <c r="PD115" s="759" t="str">
        <f t="shared" si="556"/>
        <v/>
      </c>
      <c r="PE115" s="292" t="str">
        <f>IF(A115=FALSE,"",IF(Detail!CY115="","",Detail!CY115))</f>
        <v/>
      </c>
      <c r="PF115" s="409" t="str">
        <f t="shared" si="497"/>
        <v/>
      </c>
      <c r="PG115" s="430" t="str">
        <f>IF(A115=FALSE,"",IF(PA115="FIXE",Cotations!CP115,Cotations!CQ115*AA115))</f>
        <v/>
      </c>
      <c r="PH115" s="292" t="str">
        <f t="shared" si="498"/>
        <v/>
      </c>
      <c r="PI115" s="446" t="str">
        <f>IF(A115=FALSE,"",IF(Cotations!CG115="monthly",PH115/12*L115,PH115/365*M115))</f>
        <v/>
      </c>
      <c r="PJ115" s="429" t="str">
        <f>IF(A115=FALSE,"",IF(Cotations!DA115="",0,Cotations!DA115))</f>
        <v/>
      </c>
      <c r="PK115" s="292" t="str">
        <f t="shared" si="499"/>
        <v/>
      </c>
      <c r="PL115" s="292" t="str">
        <f t="shared" si="500"/>
        <v/>
      </c>
      <c r="PM115" s="759" t="str">
        <f t="shared" si="557"/>
        <v/>
      </c>
      <c r="PN115" s="759" t="str">
        <f>IF(A115=FALSE,"",((PH115*(1+TAXE)-(PH115*(1+TAXE)*PJ115))+IF(#REF!="N/A",0,IF(INDEX(LISTES!$F$105:$F$109,MATCH(#REF!,LISTES!$C$105:$C$109,0))="FIX",#REF!,#REF!*PM115))))</f>
        <v/>
      </c>
    </row>
    <row r="116" spans="1:430">
      <c r="A116" s="779" t="b">
        <f t="shared" si="501"/>
        <v>0</v>
      </c>
      <c r="B116" s="779" t="b">
        <f>IF(NAMES!$B$9=TRUE,TRUE,FALSE)</f>
        <v>1</v>
      </c>
      <c r="C116" s="779" t="b">
        <f t="shared" si="421"/>
        <v>0</v>
      </c>
      <c r="D116" s="779" t="b">
        <f t="shared" si="422"/>
        <v>0</v>
      </c>
      <c r="E116" s="267" t="b">
        <f>IF(Cotations!C116="","",Cotations!C116)</f>
        <v>0</v>
      </c>
      <c r="F116" s="267" t="str">
        <f>IF(Cotations!AT116="","",Cotations!AT116)</f>
        <v>PROP</v>
      </c>
      <c r="G116" s="267" t="str">
        <f>IF(Cotations!D116="","",Cotations!D116)</f>
        <v>2016-2017!</v>
      </c>
      <c r="H116" s="267" t="str">
        <f>IF(Cotations!E116="","",Cotations!E116)</f>
        <v/>
      </c>
      <c r="I116" s="267" t="str">
        <f>IF(Cotations!F116="","",Cotations!F116)</f>
        <v/>
      </c>
      <c r="J116" s="267" t="str">
        <f>IF(Cotations!G116="","",Cotations!G116)</f>
        <v/>
      </c>
      <c r="K116" s="267" t="str">
        <f>IF(Cotations!H116="","",Cotations!H116)</f>
        <v/>
      </c>
      <c r="L116" s="267" t="str">
        <f>IF(A116=FALSE,"",IF(Cotations!M116="","",Cotations!M116))</f>
        <v/>
      </c>
      <c r="M116" s="267" t="str">
        <f>IF(Cotations!O116="","",Cotations!O116)</f>
        <v/>
      </c>
      <c r="N116" s="588" t="str">
        <f>IF(NAMES!$B$10=TRUE,Cotations!I116,Cotations!K116)</f>
        <v/>
      </c>
      <c r="O116" s="588" t="str">
        <f>IF(NAMES!$B$10=TRUE,Cotations!J116,Cotations!L116)</f>
        <v/>
      </c>
      <c r="P116" s="780" t="str">
        <f t="shared" si="423"/>
        <v/>
      </c>
      <c r="Q116" s="588" t="str">
        <f>IF(A116=FALSE,"",IF(Crewlist!Y116="","",Crewlist!Y116))</f>
        <v/>
      </c>
      <c r="R116" s="78" t="str">
        <f>IF(Cotations!T116="","",Cotations!T116)</f>
        <v/>
      </c>
      <c r="S116" s="780" t="str">
        <f t="shared" si="424"/>
        <v/>
      </c>
      <c r="T116" s="759" t="str">
        <f>IF(A116=FALSE,"",VLOOKUP($U$15:$U$120,Currency!$A$2:$D$10,4,0)*Crewlist!N116)</f>
        <v/>
      </c>
      <c r="U116" s="1097" t="str">
        <f>IF(A116=FALSE,"",IF(DP116=0,Crewlist!M116&amp;"/"&amp;CP116,Crewlist!M116&amp;"/"&amp;DP116))</f>
        <v/>
      </c>
      <c r="V116" s="759" t="str">
        <f>IF(A116=FALSE,"",VLOOKUP($U$15:$U$120,Currency!$A$2:$D$10,4,0)*Detail!Q116)</f>
        <v/>
      </c>
      <c r="W116" s="1097" t="str">
        <f>IF(A116=FALSE,"",IF(DP116=0,Detail!R116&amp;"/"&amp;CP116,Detail!R116&amp;"/"&amp;DP116))</f>
        <v/>
      </c>
      <c r="X116" s="759" t="str">
        <f>IF(A116=FALSE,"",IF(LISTES!$C$17="Crewlist",Calcul!T116,Calcul!V116))</f>
        <v/>
      </c>
      <c r="Y116" s="618" t="str">
        <f t="shared" si="425"/>
        <v/>
      </c>
      <c r="Z116" s="618" t="str">
        <f>IF(A116=FALSE,"",IF(X116=0,0,IF((Cotations!BA116*12*X116)&lt;50000,50000,(12*X116))))</f>
        <v/>
      </c>
      <c r="AA116" s="618" t="str">
        <f t="shared" si="426"/>
        <v/>
      </c>
      <c r="AB116" s="618" t="str">
        <f>IF(A116=FALSE,"",IF(Crewlist!O116=0,"",Crewlist!O116))</f>
        <v/>
      </c>
      <c r="AC116" s="618" t="str">
        <f>IF(I116="","",VLOOKUP($AB$15:$AB$120,Currency!$A$15:$B$34,2,0))</f>
        <v/>
      </c>
      <c r="AD116" s="618" t="str">
        <f t="shared" si="427"/>
        <v/>
      </c>
      <c r="AE116" s="618" t="str">
        <f t="shared" si="428"/>
        <v/>
      </c>
      <c r="AF116" s="618" t="str">
        <f t="shared" si="429"/>
        <v/>
      </c>
      <c r="AG116" s="618" t="str">
        <f t="shared" si="430"/>
        <v/>
      </c>
      <c r="AH116" s="1097" t="str">
        <f t="shared" si="502"/>
        <v/>
      </c>
      <c r="AI116" s="759" t="str">
        <f t="shared" si="431"/>
        <v/>
      </c>
      <c r="AJ116" s="1120" t="str">
        <f t="shared" si="432"/>
        <v/>
      </c>
      <c r="AK116" s="1120" t="str">
        <f t="shared" si="433"/>
        <v/>
      </c>
      <c r="AL116" s="236" t="str">
        <f t="shared" si="434"/>
        <v/>
      </c>
      <c r="AM116" s="236" t="str">
        <f t="shared" si="435"/>
        <v/>
      </c>
      <c r="AN116" s="1112" t="str">
        <f t="shared" si="436"/>
        <v/>
      </c>
      <c r="AO116" s="236" t="str">
        <f t="shared" si="437"/>
        <v/>
      </c>
      <c r="AP116" s="327" t="str">
        <f>IF(A116=FALSE,"",INDEX(Rates!$Q$1:$Q$278,MATCH(CA116,colchoice,0)))</f>
        <v/>
      </c>
      <c r="AQ116" s="236" t="str">
        <f t="shared" si="438"/>
        <v/>
      </c>
      <c r="AR116" s="236" t="str">
        <f t="shared" si="439"/>
        <v/>
      </c>
      <c r="AS116" s="236" t="str">
        <f t="shared" si="503"/>
        <v/>
      </c>
      <c r="AT116" s="236" t="str">
        <f t="shared" si="504"/>
        <v/>
      </c>
      <c r="AU116" s="236" t="str">
        <f t="shared" si="440"/>
        <v/>
      </c>
      <c r="AV116" s="236" t="str">
        <f t="shared" si="441"/>
        <v/>
      </c>
      <c r="AW116" s="236" t="str">
        <f t="shared" si="442"/>
        <v/>
      </c>
      <c r="AX116" s="236" t="str">
        <f t="shared" si="443"/>
        <v/>
      </c>
      <c r="AY116" s="236" t="str">
        <f t="shared" si="444"/>
        <v/>
      </c>
      <c r="AZ116" s="236" t="str">
        <f t="shared" si="445"/>
        <v/>
      </c>
      <c r="BA116" s="236" t="str">
        <f t="shared" si="446"/>
        <v/>
      </c>
      <c r="BB116" s="467" t="str">
        <f t="shared" si="447"/>
        <v/>
      </c>
      <c r="BC116" s="329" t="str">
        <f t="shared" si="448"/>
        <v/>
      </c>
      <c r="BD116" s="237" t="str">
        <f t="shared" si="449"/>
        <v/>
      </c>
      <c r="BE116" s="237" t="str">
        <f>IF(A116=FALSE,"",IF(ED116&lt;&gt;$BC$7,0,INDEX(EA116:EZ116,1,MATCH(Structure!$J$16,$EA$14:$EZ$14,0))))</f>
        <v/>
      </c>
      <c r="BF116" s="237" t="str">
        <f>IF(A116=FALSE,"",IF(FD116&lt;&gt;$BC$7,0,INDEX(FA116:FZ116,1,MATCH(Structure!$J$16,$FA$14:$FZ$14,0))))</f>
        <v/>
      </c>
      <c r="BG116" s="237" t="str">
        <f>IF(A116=FALSE,"",IF(GD116&lt;&gt;$BC$7,0,INDEX(GA116:GZ116,1,MATCH(Structure!$J$16,$GA$14:$GZ$14,0))))</f>
        <v/>
      </c>
      <c r="BH116" s="237" t="str">
        <f>IF(A116=FALSE,"",IF(HD116&lt;&gt;$BC$7,0,INDEX(HA116:HZ116,1,MATCH(Structure!$J$16,$HA$14:$HZ$14,0))))</f>
        <v/>
      </c>
      <c r="BI116" s="621" t="str">
        <f>IF(A116=FALSE,"",IF(ID116&lt;&gt;$BC$7,0,INDEX(IA116:IZ116,1,MATCH(Structure!$C$12,$IA$14:$IZ$14,0)))+OL116)</f>
        <v/>
      </c>
      <c r="BJ116" s="237" t="str">
        <f>IF(A116=FALSE,"",IF(JD116&lt;&gt;$BC$7,0,INDEX(JA116:JZ116,1,MATCH(Structure!$C$12,$JA$14:$JZ$14,0))))</f>
        <v/>
      </c>
      <c r="BK116" s="621" t="str">
        <f>IF(A116=FALSE,"",IF(KD116&lt;&gt;$BC$7,0,INDEX(KA116:KZ116,1,MATCH(Structure!$C$12,$KA$14:$KZ$14,0)))+PL116)</f>
        <v/>
      </c>
      <c r="BL116" s="237" t="str">
        <f>IF(A116=FALSE,"",IF(LD116&lt;&gt;$BC$7,0,INDEX(LA116:LZ116,1,MATCH(Structure!$C$12,$LA$14:$LZ$14,0))))</f>
        <v/>
      </c>
      <c r="BM116" s="237" t="str">
        <f>IF(A116=FALSE,"",IF(MD116&lt;&gt;$BC$7,0,INDEX(MA116:MZ116,1,MATCH(Structure!$C$12,$MA$14:$MZ$14,0))))</f>
        <v/>
      </c>
      <c r="BN116" s="326" t="str">
        <f>IF(A116=FALSE,"",IF(ND116&lt;&gt;$BC$7,0,INDEX(NA116:OC116,1,MATCH(Structure!$C$12,$NA$14:$OC$14,0))))</f>
        <v/>
      </c>
      <c r="BO116" s="435" t="str">
        <f t="shared" si="450"/>
        <v/>
      </c>
      <c r="BP116" s="237" t="str">
        <f t="shared" si="451"/>
        <v/>
      </c>
      <c r="BQ116" s="237" t="str">
        <f>IF(A116=FALSE,"",IF(ED116&lt;&gt;$BO$7,0,INDEX(EA116:EZ116,1,MATCH(Structure!$C$12,$EA$14:$EZ$14,0))))</f>
        <v/>
      </c>
      <c r="BR116" s="237" t="str">
        <f>IF(A116=FALSE,"",IF(FD116&lt;&gt;$BO$7,0,INDEX(FA116:FZ116,1,MATCH(Structure!$C$12,$FA$14:$FZ$14,0))))</f>
        <v/>
      </c>
      <c r="BS116" s="237" t="str">
        <f>IF(A116=FALSE,"",IF(ID116&lt;&gt;$BO$7,0,INDEX(IA116:IZ116,1,MATCH(Structure!$C$13,$IA$14:$IZ$14,0))))</f>
        <v/>
      </c>
      <c r="BT116" s="237" t="str">
        <f>IF(A116=FALSE,"",IF(JD116&lt;&gt;$BO$7,0,INDEX(JA116:JZ116,1,MATCH(Structure!$C$13,$JA$14:$JZ$14,0))))</f>
        <v/>
      </c>
      <c r="BU116" s="237" t="str">
        <f>IF(A116=FALSE,"",IF(KD116&lt;&gt;$BO$7,0,INDEX(KA116:KZ116,1,MATCH(Structure!$C$13,$KA$14:$KZ$14,0))))</f>
        <v/>
      </c>
      <c r="BV116" s="237" t="str">
        <f>IF(A116=FALSE,"",IF(LD116&lt;&gt;$BO$7,0,INDEX(LA116:LZ116,1,MATCH(Structure!$C$13,$LA$14:$LZ$14,0))))</f>
        <v/>
      </c>
      <c r="BW116" s="237" t="str">
        <f>IF(A116=FALSE,"",IF(MD116&lt;&gt;$BO$7,0,INDEX(MA116:MZ116,1,MATCH(Structure!$C$13,$MA$14:$MZ$14,0))))</f>
        <v/>
      </c>
      <c r="BX116" s="326" t="str">
        <f>IF(A116=FALSE,"",IF(ND116&lt;&gt;$BO$7,0,INDEX(NA116:OC116,1,MATCH(Structure!$C$13,$NA$14:$OC$14,0))))</f>
        <v/>
      </c>
      <c r="BY116" s="412"/>
      <c r="BZ116" s="412"/>
      <c r="CA116" s="1255" t="str">
        <f>IF(A116=FALSE,"",IF(LISTES!$A$17=1,Cotations!AG116,Cotations!AH116))</f>
        <v/>
      </c>
      <c r="CB116" s="1266" t="str">
        <f t="shared" si="452"/>
        <v/>
      </c>
      <c r="CC116" s="1120" t="str">
        <f t="shared" si="453"/>
        <v/>
      </c>
      <c r="CD116" s="1120" t="str">
        <f t="shared" si="454"/>
        <v/>
      </c>
      <c r="CE116" s="1120" t="str">
        <f t="shared" si="455"/>
        <v/>
      </c>
      <c r="CF116" s="1120" t="str">
        <f t="shared" si="456"/>
        <v/>
      </c>
      <c r="CG116" s="1267"/>
      <c r="CH116" s="1267"/>
      <c r="CI116" s="1268" t="str">
        <f t="shared" si="457"/>
        <v/>
      </c>
      <c r="CJ116" s="286" t="str">
        <f t="shared" si="458"/>
        <v/>
      </c>
      <c r="CK116" s="286" t="str">
        <f t="shared" si="459"/>
        <v/>
      </c>
      <c r="CL116" s="1263"/>
      <c r="CM116" s="1263"/>
      <c r="CN116" s="1263"/>
      <c r="CO116" s="1263"/>
      <c r="CP116" s="319" t="str">
        <f t="shared" si="460"/>
        <v/>
      </c>
      <c r="CQ116" s="443" t="str">
        <f>IF(A116=FALSE,"",Cotations!AM116)</f>
        <v/>
      </c>
      <c r="CR116" s="443" t="str">
        <f>IF(A116=FALSE,"",IF(Cotations!AN116="","",Cotations!AN116))</f>
        <v/>
      </c>
      <c r="CS116" s="433" t="str">
        <f>IF(A116=FALSE,"",Cotations!AO116)</f>
        <v/>
      </c>
      <c r="CT116" s="443" t="str">
        <f>IF(A116=FALSE,"",IF(CQ116="N/A",0,IF(INDEX(LISTES!$F$105:$F$109,MATCH(CQ116,LISTES!$C$105:$C$109,0))="FIX",IF(INDEX(LISTES!$E$105:$E$109,MATCH(CQ116,LISTES!$C$105:$C$109,0))=12,CR116/12*L116,CR116/365*M116),CS116*EQ116)))</f>
        <v/>
      </c>
      <c r="CU116" s="434" t="str">
        <f>IF(A116=FALSE,"",(CJ116+CK116)*Cotations!AP116)</f>
        <v/>
      </c>
      <c r="CV116" s="434" t="str">
        <f>IF(A116=FALSE,"",(CJ116+CK116)*Cotations!AQ116)</f>
        <v/>
      </c>
      <c r="DA116" s="1253" t="str">
        <f>IF(A116=FALSE,"",IF(LISTES!$A$17=1,Cotations!AV116,Cotations!AW116))</f>
        <v/>
      </c>
      <c r="DB116" s="1271" t="str">
        <f t="shared" si="461"/>
        <v/>
      </c>
      <c r="DC116" s="1270" t="str">
        <f t="shared" si="462"/>
        <v/>
      </c>
      <c r="DD116" s="1270" t="str">
        <f t="shared" si="463"/>
        <v/>
      </c>
      <c r="DE116" s="1270" t="str">
        <f t="shared" si="464"/>
        <v/>
      </c>
      <c r="DF116" s="1270" t="str">
        <f t="shared" si="465"/>
        <v/>
      </c>
      <c r="DG116" s="1270" t="str">
        <f t="shared" si="466"/>
        <v/>
      </c>
      <c r="DH116" s="1270" t="str">
        <f t="shared" si="467"/>
        <v/>
      </c>
      <c r="DI116" s="1271" t="str">
        <f t="shared" si="468"/>
        <v/>
      </c>
      <c r="DJ116" s="286" t="str">
        <f t="shared" si="469"/>
        <v/>
      </c>
      <c r="DK116" s="286" t="str">
        <f t="shared" si="470"/>
        <v/>
      </c>
      <c r="DL116" s="1264" t="str">
        <f t="shared" si="471"/>
        <v/>
      </c>
      <c r="DM116" s="1264" t="str">
        <f t="shared" si="472"/>
        <v/>
      </c>
      <c r="DN116" s="1264" t="str">
        <f t="shared" si="473"/>
        <v/>
      </c>
      <c r="DO116" s="1264" t="str">
        <f t="shared" si="474"/>
        <v/>
      </c>
      <c r="DP116" s="323" t="str">
        <f t="shared" si="505"/>
        <v/>
      </c>
      <c r="DQ116" s="444" t="str">
        <f>IF(A116=FALSE,"",Cotations!BW116)</f>
        <v/>
      </c>
      <c r="DR116" s="444" t="str">
        <f>IF(A116=FALSE,"",Cotations!BX116)</f>
        <v/>
      </c>
      <c r="DS116" s="433" t="str">
        <f>IF(A116=FALSE,"",Cotations!BY116)</f>
        <v/>
      </c>
      <c r="DT116" s="830" t="str">
        <f>IF(A116=FALSE,"",IF(DQ116="N/A",0,IF(INDEX(LISTES!$F$105:$F$109,MATCH(DQ116,LISTES!$C$105:$C$109,0))="FIX",IF(INDEX(LISTES!$E$105:$E$109,MATCH(DQ116,LISTES!$C$105:$C$109,0))=12,DR116/12*L116,DR116/365*M116),DS116*(DN116+DO116))))</f>
        <v/>
      </c>
      <c r="DU116" s="434" t="str">
        <f>IF(A116=FALSE,"",DJ116*Cotations!BZ116)</f>
        <v/>
      </c>
      <c r="DV116" s="434" t="str">
        <f>IF(A116=FALSE,"",DJ116*Cotations!CA116)</f>
        <v/>
      </c>
      <c r="EA116" s="432" t="str">
        <f>IF(A116=FALSE,"",Cotations!AT116)</f>
        <v/>
      </c>
      <c r="EB116" s="1234" t="str">
        <f>IF(A116=FALSE,"",YEAR(Detail!F116)&amp;Detail!AG116&amp;Detail!AD116&amp;"-"&amp;Detail!$AD$13&amp;Detail!AE116)</f>
        <v/>
      </c>
      <c r="EC116" s="434" t="str">
        <f>IF(A116=FALSE,"",IF(LISTES!$A$17=1,EB116,INDEX(colMOD1,MATCH(Cotations!AH116,colchoice,0))))</f>
        <v/>
      </c>
      <c r="ED116" s="277" t="str">
        <f t="shared" si="506"/>
        <v/>
      </c>
      <c r="EE116" s="277" t="str">
        <f t="shared" si="507"/>
        <v/>
      </c>
      <c r="EF116" s="277"/>
      <c r="EG116" s="277"/>
      <c r="EH116" s="277" t="str">
        <f t="shared" si="508"/>
        <v/>
      </c>
      <c r="EI116" s="1104" t="str">
        <f t="shared" si="509"/>
        <v/>
      </c>
      <c r="EJ116" s="1104" t="str">
        <f t="shared" si="510"/>
        <v/>
      </c>
      <c r="EK116" s="443" t="str">
        <f>IF(A116=FALSE,"",IF(Cotations!AF116="monthly",EH116/12*L116,EH116/365*M116))</f>
        <v/>
      </c>
      <c r="EL116" s="1103" t="str">
        <f>IF(A116=FALSE,"",IF(Cotations!AF116="monthly",EJ116/12*L116,EJ116/365*M116))</f>
        <v/>
      </c>
      <c r="EM116" s="433" t="str">
        <f>IF(A116=FALSE,"",IF(Cotations!AI116="","",Cotations!AI116))</f>
        <v/>
      </c>
      <c r="EN116" s="277" t="str">
        <f t="shared" si="511"/>
        <v/>
      </c>
      <c r="EO116" s="277" t="str">
        <f t="shared" si="512"/>
        <v/>
      </c>
      <c r="EP116" s="1104" t="str">
        <f t="shared" si="513"/>
        <v/>
      </c>
      <c r="EQ116" s="277" t="str">
        <f t="shared" si="514"/>
        <v/>
      </c>
      <c r="ER116" s="759" t="str">
        <f>IF(A116=FALSE,"",((EH116*TAXE)-(EH116*TAXE*EM116)+EI116)+IF(CQ116="N/A",0,IF(INDEX(LISTES!$F$105:$F$109,MATCH(CQ116,LISTES!$C$105:$C$109,0))="FIX",CR116,CS116*EQ116)))</f>
        <v/>
      </c>
      <c r="ET116" s="422"/>
      <c r="EU116" s="422"/>
      <c r="EV116" s="422"/>
      <c r="EW116" s="422"/>
      <c r="EX116" s="422"/>
      <c r="EY116" s="422"/>
      <c r="EZ116" s="422"/>
      <c r="FA116" s="432" t="str">
        <f>IF(A116=FALSE,"",Cotations!AT116)</f>
        <v/>
      </c>
      <c r="FB116" s="1235" t="str">
        <f>IF(A116=FALSE,"",IF(Detail!AL116="","N/A",YEAR(Detail!F116)&amp;Detail!AO116&amp;Detail!AL116&amp;"-"&amp;Detail!$AL$13&amp;Detail!AM116))</f>
        <v/>
      </c>
      <c r="FC116" s="434" t="str">
        <f>IF(A116=FALSE,"",IF(LISTES!$A$17=1,Cotations!#REF!,Cotations!#REF!))</f>
        <v/>
      </c>
      <c r="FD116" s="277" t="str">
        <f t="shared" si="515"/>
        <v/>
      </c>
      <c r="FE116" s="443" t="str">
        <f>IF(A116=FALSE,"",IF(Detail!AM116="","",Detail!AM116))</f>
        <v/>
      </c>
      <c r="FF116" s="277"/>
      <c r="FG116" s="277"/>
      <c r="FH116" s="277" t="str">
        <f t="shared" si="516"/>
        <v/>
      </c>
      <c r="FI116" s="1104"/>
      <c r="FJ116" s="1104"/>
      <c r="FK116" s="443" t="str">
        <f>IF(A116=FALSE,"",IF(Cotations!AF116="monthly",FH116/12*L116,FH116/365*M116))</f>
        <v/>
      </c>
      <c r="FL116" s="1103" t="str">
        <f>IF(A116=FALSE,"",IF(Cotations!AF116="monthly",FJ116/12*L116,FJ116/365*M116))</f>
        <v/>
      </c>
      <c r="FM116" s="433" t="str">
        <f>IF(A116=FALSE,"",IF(Cotations!AJ116="","",Cotations!AJ116))</f>
        <v/>
      </c>
      <c r="FN116" s="277" t="str">
        <f t="shared" si="475"/>
        <v/>
      </c>
      <c r="FO116" s="277" t="str">
        <f t="shared" si="476"/>
        <v/>
      </c>
      <c r="FP116" s="1104"/>
      <c r="FQ116" s="277" t="str">
        <f t="shared" si="477"/>
        <v/>
      </c>
      <c r="FR116" s="759" t="str">
        <f>IF(A116=FALSE,"",((FH116*TAXE)-(FH116*TAXE*FM116))+IF(#REF!="N/A",0,IF(INDEX(LISTES!$F$105:$F$109,MATCH(#REF!,LISTES!$C$105:$C$109,0))="FIX",#REF!,#REF!*FQ116)))</f>
        <v/>
      </c>
      <c r="FS116" s="422"/>
      <c r="FT116" s="422"/>
      <c r="FU116" s="422"/>
      <c r="FV116" s="422"/>
      <c r="FW116" s="422"/>
      <c r="FX116" s="422"/>
      <c r="FY116" s="422"/>
      <c r="FZ116" s="422"/>
      <c r="GA116" s="432" t="str">
        <f t="shared" si="517"/>
        <v/>
      </c>
      <c r="GB116" s="1234" t="str">
        <f>IF(A116=FALSE,"",IF(Detail!DF116="","N/A",YEAR(Detail!F116)&amp;Detail!DI116&amp;Detail!DF116&amp;"-"&amp;Detail!$DF$13))</f>
        <v/>
      </c>
      <c r="GC116" s="434" t="str">
        <f>IF(A116=FALSE,"",IF(LISTES!$A$17=1,GB116,INDEX(colMOD3,MATCH(Cotations!AH116,colchoice,0))))</f>
        <v/>
      </c>
      <c r="GD116" s="277" t="str">
        <f t="shared" si="518"/>
        <v/>
      </c>
      <c r="GE116" s="277" t="str">
        <f t="shared" si="519"/>
        <v/>
      </c>
      <c r="GF116" s="277"/>
      <c r="GG116" s="277"/>
      <c r="GH116" s="277" t="str">
        <f t="shared" si="478"/>
        <v/>
      </c>
      <c r="GI116" s="1104" t="str">
        <f t="shared" si="479"/>
        <v/>
      </c>
      <c r="GJ116" s="1104" t="str">
        <f t="shared" si="480"/>
        <v/>
      </c>
      <c r="GK116" s="443" t="str">
        <f>IF(A116=FALSE,"",IF(Cotations!AF116="monthly",GH116/12*L116,GH116/365*M116))</f>
        <v/>
      </c>
      <c r="GL116" s="1103" t="str">
        <f>IF(A116=FALSE,"",IF(Cotations!AF116="monthly",GJ116/12*L116,GJ116/365*M116))</f>
        <v/>
      </c>
      <c r="GM116" s="433" t="str">
        <f>IF(A116=FALSE,"",IF(Cotations!AK116="","",Cotations!AK116))</f>
        <v/>
      </c>
      <c r="GN116" s="277" t="str">
        <f t="shared" si="481"/>
        <v/>
      </c>
      <c r="GO116" s="277" t="str">
        <f t="shared" si="482"/>
        <v/>
      </c>
      <c r="GP116" s="1104" t="str">
        <f t="shared" si="483"/>
        <v/>
      </c>
      <c r="GQ116" s="277" t="str">
        <f t="shared" si="484"/>
        <v/>
      </c>
      <c r="GR116" s="759" t="str">
        <f>IF(A116=FALSE,"",((GH116*TAXE)-(GH116*TAXE*GM116)+GI116)+IF(CQ116="N/A",0,IF(INDEX(LISTES!$F$105:$F$109,MATCH(CQ116,LISTES!$C$105:$C$109,0))="FIX",CR116,CS116*GQ116)))</f>
        <v/>
      </c>
      <c r="GS116" s="412"/>
      <c r="GT116" s="412"/>
      <c r="GU116" s="412"/>
      <c r="GV116" s="412"/>
      <c r="GW116" s="412"/>
      <c r="GX116" s="412"/>
      <c r="GY116" s="412"/>
      <c r="GZ116" s="412"/>
      <c r="HA116" s="432" t="str">
        <f t="shared" si="520"/>
        <v/>
      </c>
      <c r="HB116" s="1234" t="str">
        <f>IF(A116=FALSE,"",IF(Detail!DF116="","N/A",YEAR(Detail!F116)&amp;Detail!DI116&amp;Detail!DF116&amp;"-"&amp;Detail!$DF$13))</f>
        <v/>
      </c>
      <c r="HC116" s="434" t="str">
        <f>IF(A116=FALSE,"",IF(LISTES!$A$17=1,HB116,INDEX(colMOD4,MATCH(Cotations!AH116,colchoice,0))))</f>
        <v/>
      </c>
      <c r="HD116" s="277" t="str">
        <f t="shared" si="485"/>
        <v/>
      </c>
      <c r="HE116" s="277" t="str">
        <f t="shared" si="486"/>
        <v/>
      </c>
      <c r="HF116" s="277"/>
      <c r="HG116" s="277"/>
      <c r="HH116" s="277" t="str">
        <f t="shared" si="487"/>
        <v/>
      </c>
      <c r="HI116" s="1104" t="str">
        <f t="shared" si="488"/>
        <v/>
      </c>
      <c r="HJ116" s="1104" t="str">
        <f t="shared" si="489"/>
        <v/>
      </c>
      <c r="HK116" s="443" t="str">
        <f>IF(A116=FALSE,"",IF(Cotations!AF116="monthly",HH116/12*L116,HH116/365*M116))</f>
        <v/>
      </c>
      <c r="HL116" s="1103" t="str">
        <f>IF(A116=FALSE,"",IF(Cotations!AF116="monthly",HJ116/12*L116,HJ116/365*M116))</f>
        <v/>
      </c>
      <c r="HM116" s="433" t="str">
        <f>IF(A116=FALSE,"",IF(Cotations!AL116="","",Cotations!AL116))</f>
        <v/>
      </c>
      <c r="HN116" s="277" t="str">
        <f t="shared" si="490"/>
        <v/>
      </c>
      <c r="HO116" s="277" t="str">
        <f t="shared" si="491"/>
        <v/>
      </c>
      <c r="HP116" s="1104" t="str">
        <f t="shared" si="492"/>
        <v/>
      </c>
      <c r="HQ116" s="277" t="str">
        <f t="shared" si="493"/>
        <v/>
      </c>
      <c r="HR116" s="759" t="str">
        <f>IF(A116=FALSE,"",((HH116*TAXE)-(HH116*TAXE*HM116)+HI116)+IF(CQ116="N/A",0,IF(INDEX(LISTES!$F$105:$F$109,MATCH(CQ116,LISTES!$C$105:$C$109,0))="FIX",CR116,CS116*HQ116)))</f>
        <v/>
      </c>
      <c r="HS116" s="412"/>
      <c r="HT116" s="412"/>
      <c r="HU116" s="412"/>
      <c r="HV116" s="412"/>
      <c r="HW116" s="412"/>
      <c r="HX116" s="412"/>
      <c r="HY116" s="412"/>
      <c r="HZ116" s="1262"/>
      <c r="IA116" s="432" t="str">
        <f>IF(A116=FALSE,"",Cotations!AT116)</f>
        <v/>
      </c>
      <c r="IB116" s="1253" t="str">
        <f>IF(A116=FALSE,"",IF(Detail!AT116="","N/A",YEAR(Detail!F116)&amp;Detail!AW116&amp;Detail!AT116&amp;"-"&amp;Detail!$AT$13&amp;Detail!AU116))</f>
        <v/>
      </c>
      <c r="IC116" s="431" t="str">
        <f>IF(A116=FALSE,"",IF(LISTES!$A$17=1,IB116,INDEX(colMOD1,MATCH(DA116,colchoice,0))))</f>
        <v/>
      </c>
      <c r="ID116" s="759" t="str">
        <f t="shared" si="558"/>
        <v/>
      </c>
      <c r="IE116" s="292" t="str">
        <f>IF(A116=FALSE,"",IF(LISTES!$A$17=1,Detail!AU116,INDEX(Rates!$M$1:$M$270,MATCH(IC116,colMOD1,0))))</f>
        <v/>
      </c>
      <c r="IF116" s="409" t="str">
        <f t="shared" si="559"/>
        <v/>
      </c>
      <c r="IG116" s="430" t="str">
        <f>IF(A116=FALSE,"",IF(IA116="POEA",Cotations!AY116,IF(IA116="FIXE",Cotations!AZ116,IF(Cotations!BA116*Y116&lt;50000,Z116,Cotations!BA116*Y116))))</f>
        <v/>
      </c>
      <c r="IH116" s="292" t="str">
        <f t="shared" si="560"/>
        <v/>
      </c>
      <c r="II116" s="446" t="str">
        <f>IF(A116=FALSE,"",IF(Cotations!AU116="monthly",IH116/12*L116,IH116/365*M116))</f>
        <v/>
      </c>
      <c r="IJ116" s="429" t="str">
        <f>IF(A116=FALSE,"",IF(Cotations!BB116="","",Cotations!BB116))</f>
        <v/>
      </c>
      <c r="IK116" s="292" t="str">
        <f t="shared" si="561"/>
        <v/>
      </c>
      <c r="IL116" s="292" t="str">
        <f t="shared" si="562"/>
        <v/>
      </c>
      <c r="IM116" s="759" t="str">
        <f t="shared" si="563"/>
        <v/>
      </c>
      <c r="IN116" s="759" t="str">
        <f>IF(A116=FALSE,"",((IH116*TAXE)-(IH116*TAXE*IJ116))+IF(DQ116="N/A",0,IF(INDEX(LISTES!$F$105:$F$109,MATCH(DQ116,LISTES!$C$105:$C$109,0))="FIX",DR116,DS116*IM116)))</f>
        <v/>
      </c>
      <c r="JA116" s="432" t="str">
        <f>IF(A116=FALSE,"",Cotations!AT116)</f>
        <v/>
      </c>
      <c r="JB116" s="1234" t="str">
        <f>IF(A116=FALSE,"",IF(Detail!BB116="","N/A",YEAR(Detail!F116)&amp;Detail!BE116&amp;Detail!BB116&amp;"-"&amp;Detail!$BB$13&amp;Detail!BC116))</f>
        <v/>
      </c>
      <c r="JC116" s="431" t="str">
        <f>IF(A116=FALSE,"",IF(LISTES!$A$17=1,JB116,INDEX(colMOD2,MATCH(DA116,colchoice,0))))</f>
        <v/>
      </c>
      <c r="JD116" s="759" t="str">
        <f t="shared" si="521"/>
        <v/>
      </c>
      <c r="JE116" s="292"/>
      <c r="JF116" s="409" t="str">
        <f t="shared" si="522"/>
        <v/>
      </c>
      <c r="JG116" s="430" t="str">
        <f>IF(A116=FALSE,"",IF(JA116="POEA",Cotations!BC116,IF(JA116="FIXE",Cotations!BD116,IF(Cotations!BE116*Y116&lt;50000,Z116,Cotations!BE116*Y116))))</f>
        <v/>
      </c>
      <c r="JH116" s="292" t="str">
        <f t="shared" si="523"/>
        <v/>
      </c>
      <c r="JI116" s="446" t="str">
        <f>IF(A116=FALSE,"",IF(Cotations!AU116="monthly",JH116/12*L116,JH116/365*M116))</f>
        <v/>
      </c>
      <c r="JJ116" s="429" t="str">
        <f>IF(A116=FALSE,"",IF(Cotations!BF116="","",Cotations!BF116))</f>
        <v/>
      </c>
      <c r="JK116" s="292" t="str">
        <f t="shared" si="524"/>
        <v/>
      </c>
      <c r="JL116" s="292" t="str">
        <f t="shared" si="525"/>
        <v/>
      </c>
      <c r="JM116" s="759" t="str">
        <f t="shared" si="526"/>
        <v/>
      </c>
      <c r="JN116" s="759" t="str">
        <f>IF(A116=FALSE,"",((JH116*TAXE)-(JH116*TAXE*JJ116))+IF(#REF!="N/A",0,IF(INDEX(LISTES!$F$105:$F$109,MATCH(#REF!,LISTES!$C$105:$C$109,0))="FIX",#REF!,#REF!*JM116)))</f>
        <v/>
      </c>
      <c r="KA116" s="432" t="str">
        <f>IF(A116=FALSE,"",Cotations!AT116)</f>
        <v/>
      </c>
      <c r="KB116" s="1234" t="str">
        <f>IF(A116=FALSE,"",IF(Detail!BJ116="","N/A",YEAR(Detail!F116)&amp;Detail!BM116&amp;Detail!BJ116&amp;"-"&amp;Detail!$BJ$13&amp;Detail!BK116))</f>
        <v/>
      </c>
      <c r="KC116" s="431" t="str">
        <f>IF(A116=FALSE,"",IF(LISTES!$A$17=1,KB116,INDEX(colMOD3,MATCH(DA116,colchoice,0))))</f>
        <v/>
      </c>
      <c r="KD116" s="759" t="str">
        <f t="shared" si="527"/>
        <v/>
      </c>
      <c r="KE116" s="292"/>
      <c r="KF116" s="409" t="str">
        <f t="shared" si="528"/>
        <v/>
      </c>
      <c r="KG116" s="430" t="str">
        <f>IF(A116=FALSE,"",IF(KA116="POEA",Cotations!BG116,IF(KA116="FIXE",Cotations!BH116,IF(Cotations!BI116*Y116&lt;50000,Z116,Cotations!BI116*Y116))))</f>
        <v/>
      </c>
      <c r="KH116" s="292" t="str">
        <f t="shared" si="529"/>
        <v/>
      </c>
      <c r="KI116" s="446" t="str">
        <f>IF(A116=FALSE,"",IF(Cotations!AU116="monthly",KH116/12*L116,KH116/365*M116))</f>
        <v/>
      </c>
      <c r="KJ116" s="429" t="str">
        <f>IF(A116=FALSE,"",IF(Cotations!BJ116="","",Cotations!BJ116))</f>
        <v/>
      </c>
      <c r="KK116" s="292" t="str">
        <f t="shared" si="530"/>
        <v/>
      </c>
      <c r="KL116" s="292" t="str">
        <f t="shared" si="531"/>
        <v/>
      </c>
      <c r="KM116" s="759" t="str">
        <f t="shared" si="532"/>
        <v/>
      </c>
      <c r="KN116" s="759" t="str">
        <f>IF(A116=FALSE,"",((KH116*TAXE)-(KH116*TAXE*KJ116))+IF(#REF!="N/A",0,IF(INDEX(LISTES!$F$105:$F$109,MATCH(#REF!,LISTES!$C$105:$C$109,0))="FIX",#REF!,#REF!*KM116)))</f>
        <v/>
      </c>
      <c r="LA116" s="432" t="str">
        <f>IF(A116=FALSE,"",Cotations!AT116)</f>
        <v/>
      </c>
      <c r="LB116" s="1234" t="str">
        <f>IF(A116=FALSE,"",IF(Detail!BR116="","N/A",YEAR(Detail!F116)&amp;Detail!BU116&amp;Detail!BR116&amp;"-"&amp;Detail!$BR$13&amp;Detail!BS116))</f>
        <v/>
      </c>
      <c r="LC116" s="431" t="str">
        <f>IF(A116=FALSE,"",IF(LISTES!$A$17=1,LB116,INDEX(colMOD4,MATCH(DA116,colchoice,0))))</f>
        <v/>
      </c>
      <c r="LD116" s="759" t="str">
        <f t="shared" si="533"/>
        <v/>
      </c>
      <c r="LE116" s="292"/>
      <c r="LF116" s="409" t="str">
        <f t="shared" si="534"/>
        <v/>
      </c>
      <c r="LG116" s="430" t="str">
        <f>IF(A116=FALSE,"",IF(LA116="POEA",Cotations!BK116,IF(LA116="FIXE",Cotations!BL116,IF(Cotations!BM116*Y116&lt;50000,Z116,Cotations!BM116*Y116))))</f>
        <v/>
      </c>
      <c r="LH116" s="292" t="str">
        <f t="shared" si="535"/>
        <v/>
      </c>
      <c r="LI116" s="446" t="str">
        <f>IF(A116=FALSE,"",IF(Cotations!AU116="monthly",LH116/12*L116,LH116/365*M116))</f>
        <v/>
      </c>
      <c r="LJ116" s="429" t="str">
        <f>IF(A116=FALSE,"",IF(Cotations!BN116="","",Cotations!BN116))</f>
        <v/>
      </c>
      <c r="LK116" s="292" t="str">
        <f t="shared" si="536"/>
        <v/>
      </c>
      <c r="LL116" s="292" t="str">
        <f t="shared" si="537"/>
        <v/>
      </c>
      <c r="LM116" s="759" t="str">
        <f t="shared" si="538"/>
        <v/>
      </c>
      <c r="LN116" s="759" t="str">
        <f>IF(A116=FALSE,"",((LH116*TAXE)-(LH116*TAXE*LJ116))+IF(#REF!="N/A",0,IF(INDEX(LISTES!$F$105:$F$109,MATCH(#REF!,LISTES!$C$105:$C$109,0))="FIX",#REF!,#REF!*LM116)))</f>
        <v/>
      </c>
      <c r="MA116" s="432" t="str">
        <f t="shared" si="539"/>
        <v/>
      </c>
      <c r="MB116" s="1234" t="str">
        <f>IF(A116=FALSE,"",IF(Detail!BZ116="","N/A",YEAR(Detail!F116)&amp;Detail!CC116&amp;Detail!BZ116&amp;"-"&amp;Detail!$BZ$13&amp;" (100%/"&amp;Detail!CD116&amp;"/"&amp;Detail!CE116&amp;")"))</f>
        <v/>
      </c>
      <c r="MC116" s="431" t="str">
        <f>IF(A116=FALSE,"",IF(LISTES!$A$17=1,MB116,INDEX(colMOD5,MATCH(DA116,colchoice,0))))</f>
        <v/>
      </c>
      <c r="MD116" s="759" t="str">
        <f t="shared" si="540"/>
        <v/>
      </c>
      <c r="ME116" s="292"/>
      <c r="MF116" s="409" t="str">
        <f t="shared" si="541"/>
        <v/>
      </c>
      <c r="MG116" s="430" t="str">
        <f>IF(A116=FALSE,"",Cotations!BQ116*AA116)</f>
        <v/>
      </c>
      <c r="MH116" s="292" t="str">
        <f t="shared" si="542"/>
        <v/>
      </c>
      <c r="MI116" s="446" t="str">
        <f>IF(A116=FALSE,"",IF(Cotations!AU116="monthly",MH116/12*L116,MH116/365*M116))</f>
        <v/>
      </c>
      <c r="MJ116" s="429" t="str">
        <f>IF(A116=FALSE,"",IF(Cotations!BR116="","",Cotations!BR116))</f>
        <v/>
      </c>
      <c r="MK116" s="292" t="str">
        <f t="shared" si="543"/>
        <v/>
      </c>
      <c r="ML116" s="292" t="str">
        <f t="shared" si="544"/>
        <v/>
      </c>
      <c r="MM116" s="759" t="str">
        <f t="shared" si="545"/>
        <v/>
      </c>
      <c r="MN116" s="759" t="str">
        <f>IF(A116=FALSE,"",((MH116*TAXE)-(MH116*TAXE*MJ116))+IF(#REF!="N/A",0,IF(INDEX(LISTES!$F$105:$F$109,MATCH(#REF!,LISTES!$C$105:$C$109,0))="FIX",#REF!,#REF!*MM116)))</f>
        <v/>
      </c>
      <c r="NA116" s="432" t="str">
        <f t="shared" si="546"/>
        <v/>
      </c>
      <c r="NB116" s="1234" t="str">
        <f>IF(A116=FALSE,"",IF(Detail!CH116="","N/A",YEAR(Detail!F116)&amp;Detail!CK116&amp;Detail!CH116&amp;"-"&amp;Detail!$CH$13&amp;" (100%/"&amp;Detail!CL116&amp;"/"&amp;Detail!CM116&amp;")"))</f>
        <v/>
      </c>
      <c r="NC116" s="431" t="str">
        <f>IF(A116=FALSE,"",IF(LISTES!$A$17=1,NB116,INDEX(colMOD6,MATCH(DA116,colchoice,0))))</f>
        <v/>
      </c>
      <c r="ND116" s="759" t="str">
        <f t="shared" si="547"/>
        <v/>
      </c>
      <c r="NE116" s="292"/>
      <c r="NF116" s="409" t="str">
        <f t="shared" si="548"/>
        <v/>
      </c>
      <c r="NG116" s="430" t="str">
        <f>IF(A116=FALSE,"",Cotations!BU116*AA116)</f>
        <v/>
      </c>
      <c r="NH116" s="292" t="str">
        <f t="shared" si="549"/>
        <v/>
      </c>
      <c r="NI116" s="446" t="str">
        <f>IF(A116=FALSE,"",IF(Cotations!AU116="monthly",NH116/12*L116,NH116/365*M116))</f>
        <v/>
      </c>
      <c r="NJ116" s="429" t="str">
        <f>IF(A116=FALSE,"",IF(Cotations!BV116="","",Cotations!BV116))</f>
        <v/>
      </c>
      <c r="NK116" s="292" t="str">
        <f t="shared" si="550"/>
        <v/>
      </c>
      <c r="NL116" s="292" t="str">
        <f t="shared" si="551"/>
        <v/>
      </c>
      <c r="NM116" s="759" t="str">
        <f t="shared" si="552"/>
        <v/>
      </c>
      <c r="NN116" s="759" t="str">
        <f>IF(A116=FALSE,"",((NH116*TAXE)-(NH116*TAXE*NJ116))+IF(#REF!="N/A",0,IF(INDEX(LISTES!$F$105:$F$109,MATCH(#REF!,LISTES!$C$105:$C$109,0))="FIX",#REF!,#REF!*NM116)))</f>
        <v/>
      </c>
      <c r="NZ116" s="1281" t="str">
        <f>IF(A116=FALSE,"",IF(Detail!CP116="","N/A",YEAR(Detail!F116)&amp;Detail!CS116&amp;Detail!CP116&amp;"-"&amp;Detail!CQ116))</f>
        <v/>
      </c>
      <c r="OA116" s="432" t="str">
        <f>IF(A116=FALSE,"",Cotations!CF116)</f>
        <v/>
      </c>
      <c r="OB116" s="1282" t="str">
        <f>IF(A116=FALSE,"",IF(Detail!CP116="","N/A",YEAR(Detail!F116)&amp;Detail!CS116&amp;Detail!CP116&amp;"-"&amp;Detail!$CP$13&amp;Detail!CQ116))</f>
        <v/>
      </c>
      <c r="OC116" s="1283" t="str">
        <f>IF(A116=FALSE,"",IF(LISTES!$A$17=1,OB116,INDEX(colMOD1,MATCH(Cotations!CE116,colchoice,0))))</f>
        <v/>
      </c>
      <c r="OD116" s="759" t="str">
        <f t="shared" si="553"/>
        <v/>
      </c>
      <c r="OE116" s="292" t="str">
        <f>IF(A116=FALSE,"",Detail!CQ116)</f>
        <v/>
      </c>
      <c r="OF116" s="409" t="str">
        <f t="shared" si="554"/>
        <v/>
      </c>
      <c r="OG116" s="430" t="str">
        <f>IF(A116=FALSE,"",IF(OA116="FIXE",Cotations!CM116,Cotations!CN116*AA116))</f>
        <v/>
      </c>
      <c r="OH116" s="292" t="str">
        <f t="shared" si="494"/>
        <v/>
      </c>
      <c r="OI116" s="446" t="str">
        <f>IF(A116=FALSE,"",IF(Cotations!CF116="monthly",OH116/12*L116,OH116/365*M116))</f>
        <v/>
      </c>
      <c r="OJ116" s="429" t="str">
        <f>IF(A116=FALSE,"",IF(Cotations!CO116="","",Cotations!CO116))</f>
        <v/>
      </c>
      <c r="OK116" s="292" t="str">
        <f t="shared" si="495"/>
        <v/>
      </c>
      <c r="OL116" s="292" t="str">
        <f t="shared" si="496"/>
        <v/>
      </c>
      <c r="OM116" s="759" t="str">
        <f t="shared" si="555"/>
        <v/>
      </c>
      <c r="ON116" s="759" t="str">
        <f>IF(A116=FALSE,"",((OH116*(1+TAXE)-(OH116*(1+TAXE)*OJ116))+IF(#REF!="N/A",0,IF(INDEX(LISTES!$F$105:$F$109,MATCH(#REF!,LISTES!$C$105:$C$109,0))="FIX",#REF!,#REF!*OM116))))</f>
        <v/>
      </c>
      <c r="PA116" s="432" t="str">
        <f>IF(A116=FALSE,"",Cotations!CF116)</f>
        <v/>
      </c>
      <c r="PB116" s="1282" t="str">
        <f>IF(A116=FALSE,"",IF(Detail!CX116="","N/A",YEAR(Detail!F116)&amp;Detail!DA116&amp;Detail!CX116&amp;"-"&amp;Detail!$CX$13&amp;Detail!CY116))</f>
        <v/>
      </c>
      <c r="PC116" s="1283" t="str">
        <f>IF(A116=FALSE,"",IF(LISTES!$A$17=1,PB116,INDEX(colMOD3,MATCH(Cotations!CE116,colchoice,0))))</f>
        <v/>
      </c>
      <c r="PD116" s="759" t="str">
        <f t="shared" si="556"/>
        <v/>
      </c>
      <c r="PE116" s="292" t="str">
        <f>IF(A116=FALSE,"",IF(Detail!CY116="","",Detail!CY116))</f>
        <v/>
      </c>
      <c r="PF116" s="409" t="str">
        <f t="shared" si="497"/>
        <v/>
      </c>
      <c r="PG116" s="430" t="str">
        <f>IF(A116=FALSE,"",IF(PA116="FIXE",Cotations!CP116,Cotations!CQ116*AA116))</f>
        <v/>
      </c>
      <c r="PH116" s="292" t="str">
        <f t="shared" si="498"/>
        <v/>
      </c>
      <c r="PI116" s="446" t="str">
        <f>IF(A116=FALSE,"",IF(Cotations!CG116="monthly",PH116/12*L116,PH116/365*M116))</f>
        <v/>
      </c>
      <c r="PJ116" s="429" t="str">
        <f>IF(A116=FALSE,"",IF(Cotations!DA116="",0,Cotations!DA116))</f>
        <v/>
      </c>
      <c r="PK116" s="292" t="str">
        <f t="shared" si="499"/>
        <v/>
      </c>
      <c r="PL116" s="292" t="str">
        <f t="shared" si="500"/>
        <v/>
      </c>
      <c r="PM116" s="759" t="str">
        <f t="shared" si="557"/>
        <v/>
      </c>
      <c r="PN116" s="759" t="str">
        <f>IF(A116=FALSE,"",((PH116*(1+TAXE)-(PH116*(1+TAXE)*PJ116))+IF(#REF!="N/A",0,IF(INDEX(LISTES!$F$105:$F$109,MATCH(#REF!,LISTES!$C$105:$C$109,0))="FIX",#REF!,#REF!*PM116))))</f>
        <v/>
      </c>
    </row>
    <row r="117" spans="1:430">
      <c r="A117" s="779" t="b">
        <f t="shared" si="501"/>
        <v>0</v>
      </c>
      <c r="B117" s="779" t="b">
        <f>IF(NAMES!$B$9=TRUE,TRUE,FALSE)</f>
        <v>1</v>
      </c>
      <c r="C117" s="779" t="b">
        <f t="shared" si="421"/>
        <v>0</v>
      </c>
      <c r="D117" s="779" t="b">
        <f t="shared" si="422"/>
        <v>0</v>
      </c>
      <c r="E117" s="267" t="b">
        <f>IF(Cotations!C117="","",Cotations!C117)</f>
        <v>0</v>
      </c>
      <c r="F117" s="267" t="str">
        <f>IF(Cotations!AT117="","",Cotations!AT117)</f>
        <v>PROP</v>
      </c>
      <c r="G117" s="267" t="str">
        <f>IF(Cotations!D117="","",Cotations!D117)</f>
        <v>2016-2017!</v>
      </c>
      <c r="H117" s="267" t="str">
        <f>IF(Cotations!E117="","",Cotations!E117)</f>
        <v/>
      </c>
      <c r="I117" s="267" t="str">
        <f>IF(Cotations!F117="","",Cotations!F117)</f>
        <v/>
      </c>
      <c r="J117" s="267" t="str">
        <f>IF(Cotations!G117="","",Cotations!G117)</f>
        <v/>
      </c>
      <c r="K117" s="267" t="str">
        <f>IF(Cotations!H117="","",Cotations!H117)</f>
        <v/>
      </c>
      <c r="L117" s="267" t="str">
        <f>IF(A117=FALSE,"",IF(Cotations!M117="","",Cotations!M117))</f>
        <v/>
      </c>
      <c r="M117" s="267" t="str">
        <f>IF(Cotations!O117="","",Cotations!O117)</f>
        <v/>
      </c>
      <c r="N117" s="588" t="str">
        <f>IF(NAMES!$B$10=TRUE,Cotations!I117,Cotations!K117)</f>
        <v/>
      </c>
      <c r="O117" s="588" t="str">
        <f>IF(NAMES!$B$10=TRUE,Cotations!J117,Cotations!L117)</f>
        <v/>
      </c>
      <c r="P117" s="780" t="str">
        <f t="shared" si="423"/>
        <v/>
      </c>
      <c r="Q117" s="588" t="str">
        <f>IF(A117=FALSE,"",IF(Crewlist!Y117="","",Crewlist!Y117))</f>
        <v/>
      </c>
      <c r="R117" s="78" t="str">
        <f>IF(Cotations!T117="","",Cotations!T117)</f>
        <v/>
      </c>
      <c r="S117" s="780" t="str">
        <f t="shared" si="424"/>
        <v/>
      </c>
      <c r="T117" s="759" t="str">
        <f>IF(A117=FALSE,"",VLOOKUP($U$15:$U$120,Currency!$A$2:$D$10,4,0)*Crewlist!N117)</f>
        <v/>
      </c>
      <c r="U117" s="1097" t="str">
        <f>IF(A117=FALSE,"",IF(DP117=0,Crewlist!M117&amp;"/"&amp;CP117,Crewlist!M117&amp;"/"&amp;DP117))</f>
        <v/>
      </c>
      <c r="V117" s="759" t="str">
        <f>IF(A117=FALSE,"",VLOOKUP($U$15:$U$120,Currency!$A$2:$D$10,4,0)*Detail!Q117)</f>
        <v/>
      </c>
      <c r="W117" s="1097" t="str">
        <f>IF(A117=FALSE,"",IF(DP117=0,Detail!R117&amp;"/"&amp;CP117,Detail!R117&amp;"/"&amp;DP117))</f>
        <v/>
      </c>
      <c r="X117" s="759" t="str">
        <f>IF(A117=FALSE,"",IF(LISTES!$C$17="Crewlist",Calcul!T117,Calcul!V117))</f>
        <v/>
      </c>
      <c r="Y117" s="618" t="str">
        <f t="shared" si="425"/>
        <v/>
      </c>
      <c r="Z117" s="618" t="str">
        <f>IF(A117=FALSE,"",IF(X117=0,0,IF((Cotations!BA117*12*X117)&lt;50000,50000,(12*X117))))</f>
        <v/>
      </c>
      <c r="AA117" s="618" t="str">
        <f t="shared" si="426"/>
        <v/>
      </c>
      <c r="AB117" s="618" t="str">
        <f>IF(A117=FALSE,"",IF(Crewlist!O117=0,"",Crewlist!O117))</f>
        <v/>
      </c>
      <c r="AC117" s="618" t="str">
        <f>IF(I117="","",VLOOKUP($AB$15:$AB$120,Currency!$A$15:$B$34,2,0))</f>
        <v/>
      </c>
      <c r="AD117" s="618" t="str">
        <f t="shared" si="427"/>
        <v/>
      </c>
      <c r="AE117" s="618" t="str">
        <f t="shared" si="428"/>
        <v/>
      </c>
      <c r="AF117" s="618" t="str">
        <f t="shared" si="429"/>
        <v/>
      </c>
      <c r="AG117" s="618" t="str">
        <f t="shared" si="430"/>
        <v/>
      </c>
      <c r="AH117" s="1097" t="str">
        <f t="shared" si="502"/>
        <v/>
      </c>
      <c r="AI117" s="759" t="str">
        <f t="shared" si="431"/>
        <v/>
      </c>
      <c r="AJ117" s="1120" t="str">
        <f t="shared" si="432"/>
        <v/>
      </c>
      <c r="AK117" s="1120" t="str">
        <f t="shared" si="433"/>
        <v/>
      </c>
      <c r="AL117" s="236" t="str">
        <f t="shared" si="434"/>
        <v/>
      </c>
      <c r="AM117" s="236" t="str">
        <f t="shared" si="435"/>
        <v/>
      </c>
      <c r="AN117" s="1112" t="str">
        <f t="shared" si="436"/>
        <v/>
      </c>
      <c r="AO117" s="236" t="str">
        <f t="shared" si="437"/>
        <v/>
      </c>
      <c r="AP117" s="327" t="str">
        <f>IF(A117=FALSE,"",INDEX(Rates!$Q$1:$Q$278,MATCH(CA117,colchoice,0)))</f>
        <v/>
      </c>
      <c r="AQ117" s="236" t="str">
        <f t="shared" si="438"/>
        <v/>
      </c>
      <c r="AR117" s="236" t="str">
        <f t="shared" si="439"/>
        <v/>
      </c>
      <c r="AS117" s="236" t="str">
        <f t="shared" si="503"/>
        <v/>
      </c>
      <c r="AT117" s="236" t="str">
        <f t="shared" si="504"/>
        <v/>
      </c>
      <c r="AU117" s="236" t="str">
        <f t="shared" si="440"/>
        <v/>
      </c>
      <c r="AV117" s="236" t="str">
        <f t="shared" si="441"/>
        <v/>
      </c>
      <c r="AW117" s="236" t="str">
        <f t="shared" si="442"/>
        <v/>
      </c>
      <c r="AX117" s="236" t="str">
        <f t="shared" si="443"/>
        <v/>
      </c>
      <c r="AY117" s="236" t="str">
        <f t="shared" si="444"/>
        <v/>
      </c>
      <c r="AZ117" s="236" t="str">
        <f t="shared" si="445"/>
        <v/>
      </c>
      <c r="BA117" s="236" t="str">
        <f t="shared" si="446"/>
        <v/>
      </c>
      <c r="BB117" s="467" t="str">
        <f t="shared" si="447"/>
        <v/>
      </c>
      <c r="BC117" s="329" t="str">
        <f t="shared" si="448"/>
        <v/>
      </c>
      <c r="BD117" s="237" t="str">
        <f t="shared" si="449"/>
        <v/>
      </c>
      <c r="BE117" s="237" t="str">
        <f>IF(A117=FALSE,"",IF(ED117&lt;&gt;$BC$7,0,INDEX(EA117:EZ117,1,MATCH(Structure!$J$16,$EA$14:$EZ$14,0))))</f>
        <v/>
      </c>
      <c r="BF117" s="237" t="str">
        <f>IF(A117=FALSE,"",IF(FD117&lt;&gt;$BC$7,0,INDEX(FA117:FZ117,1,MATCH(Structure!$J$16,$FA$14:$FZ$14,0))))</f>
        <v/>
      </c>
      <c r="BG117" s="237" t="str">
        <f>IF(A117=FALSE,"",IF(GD117&lt;&gt;$BC$7,0,INDEX(GA117:GZ117,1,MATCH(Structure!$J$16,$GA$14:$GZ$14,0))))</f>
        <v/>
      </c>
      <c r="BH117" s="237" t="str">
        <f>IF(A117=FALSE,"",IF(HD117&lt;&gt;$BC$7,0,INDEX(HA117:HZ117,1,MATCH(Structure!$J$16,$HA$14:$HZ$14,0))))</f>
        <v/>
      </c>
      <c r="BI117" s="621" t="str">
        <f>IF(A117=FALSE,"",IF(ID117&lt;&gt;$BC$7,0,INDEX(IA117:IZ117,1,MATCH(Structure!$C$12,$IA$14:$IZ$14,0)))+OL117)</f>
        <v/>
      </c>
      <c r="BJ117" s="237" t="str">
        <f>IF(A117=FALSE,"",IF(JD117&lt;&gt;$BC$7,0,INDEX(JA117:JZ117,1,MATCH(Structure!$C$12,$JA$14:$JZ$14,0))))</f>
        <v/>
      </c>
      <c r="BK117" s="621" t="str">
        <f>IF(A117=FALSE,"",IF(KD117&lt;&gt;$BC$7,0,INDEX(KA117:KZ117,1,MATCH(Structure!$C$12,$KA$14:$KZ$14,0)))+PL117)</f>
        <v/>
      </c>
      <c r="BL117" s="237" t="str">
        <f>IF(A117=FALSE,"",IF(LD117&lt;&gt;$BC$7,0,INDEX(LA117:LZ117,1,MATCH(Structure!$C$12,$LA$14:$LZ$14,0))))</f>
        <v/>
      </c>
      <c r="BM117" s="237" t="str">
        <f>IF(A117=FALSE,"",IF(MD117&lt;&gt;$BC$7,0,INDEX(MA117:MZ117,1,MATCH(Structure!$C$12,$MA$14:$MZ$14,0))))</f>
        <v/>
      </c>
      <c r="BN117" s="326" t="str">
        <f>IF(A117=FALSE,"",IF(ND117&lt;&gt;$BC$7,0,INDEX(NA117:OC117,1,MATCH(Structure!$C$12,$NA$14:$OC$14,0))))</f>
        <v/>
      </c>
      <c r="BO117" s="435" t="str">
        <f t="shared" si="450"/>
        <v/>
      </c>
      <c r="BP117" s="237" t="str">
        <f t="shared" si="451"/>
        <v/>
      </c>
      <c r="BQ117" s="237" t="str">
        <f>IF(A117=FALSE,"",IF(ED117&lt;&gt;$BO$7,0,INDEX(EA117:EZ117,1,MATCH(Structure!$C$12,$EA$14:$EZ$14,0))))</f>
        <v/>
      </c>
      <c r="BR117" s="237" t="str">
        <f>IF(A117=FALSE,"",IF(FD117&lt;&gt;$BO$7,0,INDEX(FA117:FZ117,1,MATCH(Structure!$C$12,$FA$14:$FZ$14,0))))</f>
        <v/>
      </c>
      <c r="BS117" s="237" t="str">
        <f>IF(A117=FALSE,"",IF(ID117&lt;&gt;$BO$7,0,INDEX(IA117:IZ117,1,MATCH(Structure!$C$13,$IA$14:$IZ$14,0))))</f>
        <v/>
      </c>
      <c r="BT117" s="237" t="str">
        <f>IF(A117=FALSE,"",IF(JD117&lt;&gt;$BO$7,0,INDEX(JA117:JZ117,1,MATCH(Structure!$C$13,$JA$14:$JZ$14,0))))</f>
        <v/>
      </c>
      <c r="BU117" s="237" t="str">
        <f>IF(A117=FALSE,"",IF(KD117&lt;&gt;$BO$7,0,INDEX(KA117:KZ117,1,MATCH(Structure!$C$13,$KA$14:$KZ$14,0))))</f>
        <v/>
      </c>
      <c r="BV117" s="237" t="str">
        <f>IF(A117=FALSE,"",IF(LD117&lt;&gt;$BO$7,0,INDEX(LA117:LZ117,1,MATCH(Structure!$C$13,$LA$14:$LZ$14,0))))</f>
        <v/>
      </c>
      <c r="BW117" s="237" t="str">
        <f>IF(A117=FALSE,"",IF(MD117&lt;&gt;$BO$7,0,INDEX(MA117:MZ117,1,MATCH(Structure!$C$13,$MA$14:$MZ$14,0))))</f>
        <v/>
      </c>
      <c r="BX117" s="326" t="str">
        <f>IF(A117=FALSE,"",IF(ND117&lt;&gt;$BO$7,0,INDEX(NA117:OC117,1,MATCH(Structure!$C$13,$NA$14:$OC$14,0))))</f>
        <v/>
      </c>
      <c r="BY117" s="412"/>
      <c r="BZ117" s="412"/>
      <c r="CA117" s="1255" t="str">
        <f>IF(A117=FALSE,"",IF(LISTES!$A$17=1,Cotations!AG117,Cotations!AH117))</f>
        <v/>
      </c>
      <c r="CB117" s="1266" t="str">
        <f t="shared" si="452"/>
        <v/>
      </c>
      <c r="CC117" s="1120" t="str">
        <f t="shared" si="453"/>
        <v/>
      </c>
      <c r="CD117" s="1120" t="str">
        <f t="shared" si="454"/>
        <v/>
      </c>
      <c r="CE117" s="1120" t="str">
        <f t="shared" si="455"/>
        <v/>
      </c>
      <c r="CF117" s="1120" t="str">
        <f t="shared" si="456"/>
        <v/>
      </c>
      <c r="CG117" s="1267"/>
      <c r="CH117" s="1267"/>
      <c r="CI117" s="1268" t="str">
        <f t="shared" si="457"/>
        <v/>
      </c>
      <c r="CJ117" s="286" t="str">
        <f t="shared" si="458"/>
        <v/>
      </c>
      <c r="CK117" s="286" t="str">
        <f t="shared" si="459"/>
        <v/>
      </c>
      <c r="CL117" s="1263"/>
      <c r="CM117" s="1263"/>
      <c r="CN117" s="1263"/>
      <c r="CO117" s="1263"/>
      <c r="CP117" s="319" t="str">
        <f t="shared" si="460"/>
        <v/>
      </c>
      <c r="CQ117" s="443" t="str">
        <f>IF(A117=FALSE,"",Cotations!AM117)</f>
        <v/>
      </c>
      <c r="CR117" s="443" t="str">
        <f>IF(A117=FALSE,"",IF(Cotations!AN117="","",Cotations!AN117))</f>
        <v/>
      </c>
      <c r="CS117" s="433" t="str">
        <f>IF(A117=FALSE,"",Cotations!AO117)</f>
        <v/>
      </c>
      <c r="CT117" s="443" t="str">
        <f>IF(A117=FALSE,"",IF(CQ117="N/A",0,IF(INDEX(LISTES!$F$105:$F$109,MATCH(CQ117,LISTES!$C$105:$C$109,0))="FIX",IF(INDEX(LISTES!$E$105:$E$109,MATCH(CQ117,LISTES!$C$105:$C$109,0))=12,CR117/12*L117,CR117/365*M117),CS117*EQ117)))</f>
        <v/>
      </c>
      <c r="CU117" s="434" t="str">
        <f>IF(A117=FALSE,"",(CJ117+CK117)*Cotations!AP117)</f>
        <v/>
      </c>
      <c r="CV117" s="434" t="str">
        <f>IF(A117=FALSE,"",(CJ117+CK117)*Cotations!AQ117)</f>
        <v/>
      </c>
      <c r="DA117" s="1253" t="str">
        <f>IF(A117=FALSE,"",IF(LISTES!$A$17=1,Cotations!AV117,Cotations!AW117))</f>
        <v/>
      </c>
      <c r="DB117" s="1271" t="str">
        <f t="shared" si="461"/>
        <v/>
      </c>
      <c r="DC117" s="1270" t="str">
        <f t="shared" si="462"/>
        <v/>
      </c>
      <c r="DD117" s="1270" t="str">
        <f t="shared" si="463"/>
        <v/>
      </c>
      <c r="DE117" s="1270" t="str">
        <f t="shared" si="464"/>
        <v/>
      </c>
      <c r="DF117" s="1270" t="str">
        <f t="shared" si="465"/>
        <v/>
      </c>
      <c r="DG117" s="1270" t="str">
        <f t="shared" si="466"/>
        <v/>
      </c>
      <c r="DH117" s="1270" t="str">
        <f t="shared" si="467"/>
        <v/>
      </c>
      <c r="DI117" s="1271" t="str">
        <f t="shared" si="468"/>
        <v/>
      </c>
      <c r="DJ117" s="286" t="str">
        <f t="shared" si="469"/>
        <v/>
      </c>
      <c r="DK117" s="286" t="str">
        <f t="shared" si="470"/>
        <v/>
      </c>
      <c r="DL117" s="1264" t="str">
        <f t="shared" si="471"/>
        <v/>
      </c>
      <c r="DM117" s="1264" t="str">
        <f t="shared" si="472"/>
        <v/>
      </c>
      <c r="DN117" s="1264" t="str">
        <f t="shared" si="473"/>
        <v/>
      </c>
      <c r="DO117" s="1264" t="str">
        <f t="shared" si="474"/>
        <v/>
      </c>
      <c r="DP117" s="323" t="str">
        <f t="shared" si="505"/>
        <v/>
      </c>
      <c r="DQ117" s="444" t="str">
        <f>IF(A117=FALSE,"",Cotations!BW117)</f>
        <v/>
      </c>
      <c r="DR117" s="444" t="str">
        <f>IF(A117=FALSE,"",Cotations!BX117)</f>
        <v/>
      </c>
      <c r="DS117" s="433" t="str">
        <f>IF(A117=FALSE,"",Cotations!BY117)</f>
        <v/>
      </c>
      <c r="DT117" s="830" t="str">
        <f>IF(A117=FALSE,"",IF(DQ117="N/A",0,IF(INDEX(LISTES!$F$105:$F$109,MATCH(DQ117,LISTES!$C$105:$C$109,0))="FIX",IF(INDEX(LISTES!$E$105:$E$109,MATCH(DQ117,LISTES!$C$105:$C$109,0))=12,DR117/12*L117,DR117/365*M117),DS117*(DN117+DO117))))</f>
        <v/>
      </c>
      <c r="DU117" s="434" t="str">
        <f>IF(A117=FALSE,"",DJ117*Cotations!BZ117)</f>
        <v/>
      </c>
      <c r="DV117" s="434" t="str">
        <f>IF(A117=FALSE,"",DJ117*Cotations!CA117)</f>
        <v/>
      </c>
      <c r="EA117" s="432" t="str">
        <f>IF(A117=FALSE,"",Cotations!AT117)</f>
        <v/>
      </c>
      <c r="EB117" s="1234" t="str">
        <f>IF(A117=FALSE,"",YEAR(Detail!F117)&amp;Detail!AG117&amp;Detail!AD117&amp;"-"&amp;Detail!$AD$13&amp;Detail!AE117)</f>
        <v/>
      </c>
      <c r="EC117" s="434" t="str">
        <f>IF(A117=FALSE,"",IF(LISTES!$A$17=1,EB117,INDEX(colMOD1,MATCH(Cotations!AH117,colchoice,0))))</f>
        <v/>
      </c>
      <c r="ED117" s="277" t="str">
        <f t="shared" si="506"/>
        <v/>
      </c>
      <c r="EE117" s="277" t="str">
        <f t="shared" si="507"/>
        <v/>
      </c>
      <c r="EF117" s="277"/>
      <c r="EG117" s="277"/>
      <c r="EH117" s="277" t="str">
        <f t="shared" si="508"/>
        <v/>
      </c>
      <c r="EI117" s="1104" t="str">
        <f t="shared" si="509"/>
        <v/>
      </c>
      <c r="EJ117" s="1104" t="str">
        <f t="shared" si="510"/>
        <v/>
      </c>
      <c r="EK117" s="443" t="str">
        <f>IF(A117=FALSE,"",IF(Cotations!AF117="monthly",EH117/12*L117,EH117/365*M117))</f>
        <v/>
      </c>
      <c r="EL117" s="1103" t="str">
        <f>IF(A117=FALSE,"",IF(Cotations!AF117="monthly",EJ117/12*L117,EJ117/365*M117))</f>
        <v/>
      </c>
      <c r="EM117" s="433" t="str">
        <f>IF(A117=FALSE,"",IF(Cotations!AI117="","",Cotations!AI117))</f>
        <v/>
      </c>
      <c r="EN117" s="277" t="str">
        <f t="shared" si="511"/>
        <v/>
      </c>
      <c r="EO117" s="277" t="str">
        <f t="shared" si="512"/>
        <v/>
      </c>
      <c r="EP117" s="1104" t="str">
        <f t="shared" si="513"/>
        <v/>
      </c>
      <c r="EQ117" s="277" t="str">
        <f t="shared" si="514"/>
        <v/>
      </c>
      <c r="ER117" s="759" t="str">
        <f>IF(A117=FALSE,"",((EH117*TAXE)-(EH117*TAXE*EM117)+EI117)+IF(CQ117="N/A",0,IF(INDEX(LISTES!$F$105:$F$109,MATCH(CQ117,LISTES!$C$105:$C$109,0))="FIX",CR117,CS117*EQ117)))</f>
        <v/>
      </c>
      <c r="ET117" s="422"/>
      <c r="EU117" s="422"/>
      <c r="EV117" s="422"/>
      <c r="EW117" s="422"/>
      <c r="EX117" s="422"/>
      <c r="EY117" s="422"/>
      <c r="EZ117" s="422"/>
      <c r="FA117" s="432" t="str">
        <f>IF(A117=FALSE,"",Cotations!AT117)</f>
        <v/>
      </c>
      <c r="FB117" s="1235" t="str">
        <f>IF(A117=FALSE,"",IF(Detail!AL117="","N/A",YEAR(Detail!F117)&amp;Detail!AO117&amp;Detail!AL117&amp;"-"&amp;Detail!$AL$13&amp;Detail!AM117))</f>
        <v/>
      </c>
      <c r="FC117" s="434" t="str">
        <f>IF(A117=FALSE,"",IF(LISTES!$A$17=1,Cotations!#REF!,Cotations!#REF!))</f>
        <v/>
      </c>
      <c r="FD117" s="277" t="str">
        <f t="shared" si="515"/>
        <v/>
      </c>
      <c r="FE117" s="443" t="str">
        <f>IF(A117=FALSE,"",IF(Detail!AM117="","",Detail!AM117))</f>
        <v/>
      </c>
      <c r="FF117" s="277"/>
      <c r="FG117" s="277"/>
      <c r="FH117" s="277" t="str">
        <f t="shared" si="516"/>
        <v/>
      </c>
      <c r="FI117" s="1104"/>
      <c r="FJ117" s="1104"/>
      <c r="FK117" s="443" t="str">
        <f>IF(A117=FALSE,"",IF(Cotations!AF117="monthly",FH117/12*L117,FH117/365*M117))</f>
        <v/>
      </c>
      <c r="FL117" s="1103" t="str">
        <f>IF(A117=FALSE,"",IF(Cotations!AF117="monthly",FJ117/12*L117,FJ117/365*M117))</f>
        <v/>
      </c>
      <c r="FM117" s="433" t="str">
        <f>IF(A117=FALSE,"",IF(Cotations!AJ117="","",Cotations!AJ117))</f>
        <v/>
      </c>
      <c r="FN117" s="277" t="str">
        <f t="shared" si="475"/>
        <v/>
      </c>
      <c r="FO117" s="277" t="str">
        <f t="shared" si="476"/>
        <v/>
      </c>
      <c r="FP117" s="1104"/>
      <c r="FQ117" s="277" t="str">
        <f t="shared" si="477"/>
        <v/>
      </c>
      <c r="FR117" s="759" t="str">
        <f>IF(A117=FALSE,"",((FH117*TAXE)-(FH117*TAXE*FM117))+IF(#REF!="N/A",0,IF(INDEX(LISTES!$F$105:$F$109,MATCH(#REF!,LISTES!$C$105:$C$109,0))="FIX",#REF!,#REF!*FQ117)))</f>
        <v/>
      </c>
      <c r="FS117" s="422"/>
      <c r="FT117" s="422"/>
      <c r="FU117" s="422"/>
      <c r="FV117" s="422"/>
      <c r="FW117" s="422"/>
      <c r="FX117" s="422"/>
      <c r="FY117" s="422"/>
      <c r="FZ117" s="422"/>
      <c r="GA117" s="432" t="str">
        <f t="shared" si="517"/>
        <v/>
      </c>
      <c r="GB117" s="1234" t="str">
        <f>IF(A117=FALSE,"",IF(Detail!DF117="","N/A",YEAR(Detail!F117)&amp;Detail!DI117&amp;Detail!DF117&amp;"-"&amp;Detail!$DF$13))</f>
        <v/>
      </c>
      <c r="GC117" s="434" t="str">
        <f>IF(A117=FALSE,"",IF(LISTES!$A$17=1,GB117,INDEX(colMOD3,MATCH(Cotations!AH117,colchoice,0))))</f>
        <v/>
      </c>
      <c r="GD117" s="277" t="str">
        <f t="shared" si="518"/>
        <v/>
      </c>
      <c r="GE117" s="277" t="str">
        <f t="shared" si="519"/>
        <v/>
      </c>
      <c r="GF117" s="277"/>
      <c r="GG117" s="277"/>
      <c r="GH117" s="277" t="str">
        <f t="shared" si="478"/>
        <v/>
      </c>
      <c r="GI117" s="1104" t="str">
        <f t="shared" si="479"/>
        <v/>
      </c>
      <c r="GJ117" s="1104" t="str">
        <f t="shared" si="480"/>
        <v/>
      </c>
      <c r="GK117" s="443" t="str">
        <f>IF(A117=FALSE,"",IF(Cotations!AF117="monthly",GH117/12*L117,GH117/365*M117))</f>
        <v/>
      </c>
      <c r="GL117" s="1103" t="str">
        <f>IF(A117=FALSE,"",IF(Cotations!AF117="monthly",GJ117/12*L117,GJ117/365*M117))</f>
        <v/>
      </c>
      <c r="GM117" s="433" t="str">
        <f>IF(A117=FALSE,"",IF(Cotations!AK117="","",Cotations!AK117))</f>
        <v/>
      </c>
      <c r="GN117" s="277" t="str">
        <f t="shared" si="481"/>
        <v/>
      </c>
      <c r="GO117" s="277" t="str">
        <f t="shared" si="482"/>
        <v/>
      </c>
      <c r="GP117" s="1104" t="str">
        <f t="shared" si="483"/>
        <v/>
      </c>
      <c r="GQ117" s="277" t="str">
        <f t="shared" si="484"/>
        <v/>
      </c>
      <c r="GR117" s="759" t="str">
        <f>IF(A117=FALSE,"",((GH117*TAXE)-(GH117*TAXE*GM117)+GI117)+IF(CQ117="N/A",0,IF(INDEX(LISTES!$F$105:$F$109,MATCH(CQ117,LISTES!$C$105:$C$109,0))="FIX",CR117,CS117*GQ117)))</f>
        <v/>
      </c>
      <c r="GS117" s="412"/>
      <c r="GT117" s="412"/>
      <c r="GU117" s="412"/>
      <c r="GV117" s="412"/>
      <c r="GW117" s="412"/>
      <c r="GX117" s="412"/>
      <c r="GY117" s="412"/>
      <c r="GZ117" s="412"/>
      <c r="HA117" s="432" t="str">
        <f t="shared" si="520"/>
        <v/>
      </c>
      <c r="HB117" s="1234" t="str">
        <f>IF(A117=FALSE,"",IF(Detail!DF117="","N/A",YEAR(Detail!F117)&amp;Detail!DI117&amp;Detail!DF117&amp;"-"&amp;Detail!$DF$13))</f>
        <v/>
      </c>
      <c r="HC117" s="434" t="str">
        <f>IF(A117=FALSE,"",IF(LISTES!$A$17=1,HB117,INDEX(colMOD4,MATCH(Cotations!AH117,colchoice,0))))</f>
        <v/>
      </c>
      <c r="HD117" s="277" t="str">
        <f t="shared" si="485"/>
        <v/>
      </c>
      <c r="HE117" s="277" t="str">
        <f t="shared" si="486"/>
        <v/>
      </c>
      <c r="HF117" s="277"/>
      <c r="HG117" s="277"/>
      <c r="HH117" s="277" t="str">
        <f t="shared" si="487"/>
        <v/>
      </c>
      <c r="HI117" s="1104" t="str">
        <f t="shared" si="488"/>
        <v/>
      </c>
      <c r="HJ117" s="1104" t="str">
        <f t="shared" si="489"/>
        <v/>
      </c>
      <c r="HK117" s="443" t="str">
        <f>IF(A117=FALSE,"",IF(Cotations!AF117="monthly",HH117/12*L117,HH117/365*M117))</f>
        <v/>
      </c>
      <c r="HL117" s="1103" t="str">
        <f>IF(A117=FALSE,"",IF(Cotations!AF117="monthly",HJ117/12*L117,HJ117/365*M117))</f>
        <v/>
      </c>
      <c r="HM117" s="433" t="str">
        <f>IF(A117=FALSE,"",IF(Cotations!AL117="","",Cotations!AL117))</f>
        <v/>
      </c>
      <c r="HN117" s="277" t="str">
        <f t="shared" si="490"/>
        <v/>
      </c>
      <c r="HO117" s="277" t="str">
        <f t="shared" si="491"/>
        <v/>
      </c>
      <c r="HP117" s="1104" t="str">
        <f t="shared" si="492"/>
        <v/>
      </c>
      <c r="HQ117" s="277" t="str">
        <f t="shared" si="493"/>
        <v/>
      </c>
      <c r="HR117" s="759" t="str">
        <f>IF(A117=FALSE,"",((HH117*TAXE)-(HH117*TAXE*HM117)+HI117)+IF(CQ117="N/A",0,IF(INDEX(LISTES!$F$105:$F$109,MATCH(CQ117,LISTES!$C$105:$C$109,0))="FIX",CR117,CS117*HQ117)))</f>
        <v/>
      </c>
      <c r="HS117" s="412"/>
      <c r="HT117" s="412"/>
      <c r="HU117" s="412"/>
      <c r="HV117" s="412"/>
      <c r="HW117" s="412"/>
      <c r="HX117" s="412"/>
      <c r="HY117" s="412"/>
      <c r="HZ117" s="1262"/>
      <c r="IA117" s="432" t="str">
        <f>IF(A117=FALSE,"",Cotations!AT117)</f>
        <v/>
      </c>
      <c r="IB117" s="1253" t="str">
        <f>IF(A117=FALSE,"",IF(Detail!AT117="","N/A",YEAR(Detail!F117)&amp;Detail!AW117&amp;Detail!AT117&amp;"-"&amp;Detail!$AT$13&amp;Detail!AU117))</f>
        <v/>
      </c>
      <c r="IC117" s="431" t="str">
        <f>IF(A117=FALSE,"",IF(LISTES!$A$17=1,IB117,INDEX(colMOD1,MATCH(DA117,colchoice,0))))</f>
        <v/>
      </c>
      <c r="ID117" s="759" t="str">
        <f t="shared" si="558"/>
        <v/>
      </c>
      <c r="IE117" s="292" t="str">
        <f>IF(A117=FALSE,"",IF(LISTES!$A$17=1,Detail!AU117,INDEX(Rates!$M$1:$M$270,MATCH(IC117,colMOD1,0))))</f>
        <v/>
      </c>
      <c r="IF117" s="409" t="str">
        <f t="shared" si="559"/>
        <v/>
      </c>
      <c r="IG117" s="430" t="str">
        <f>IF(A117=FALSE,"",IF(IA117="POEA",Cotations!AY117,IF(IA117="FIXE",Cotations!AZ117,IF(Cotations!BA117*Y117&lt;50000,Z117,Cotations!BA117*Y117))))</f>
        <v/>
      </c>
      <c r="IH117" s="292" t="str">
        <f t="shared" si="560"/>
        <v/>
      </c>
      <c r="II117" s="446" t="str">
        <f>IF(A117=FALSE,"",IF(Cotations!AU117="monthly",IH117/12*L117,IH117/365*M117))</f>
        <v/>
      </c>
      <c r="IJ117" s="429" t="str">
        <f>IF(A117=FALSE,"",IF(Cotations!BB117="","",Cotations!BB117))</f>
        <v/>
      </c>
      <c r="IK117" s="292" t="str">
        <f t="shared" si="561"/>
        <v/>
      </c>
      <c r="IL117" s="292" t="str">
        <f t="shared" si="562"/>
        <v/>
      </c>
      <c r="IM117" s="759" t="str">
        <f t="shared" si="563"/>
        <v/>
      </c>
      <c r="IN117" s="759" t="str">
        <f>IF(A117=FALSE,"",((IH117*TAXE)-(IH117*TAXE*IJ117))+IF(DQ117="N/A",0,IF(INDEX(LISTES!$F$105:$F$109,MATCH(DQ117,LISTES!$C$105:$C$109,0))="FIX",DR117,DS117*IM117)))</f>
        <v/>
      </c>
      <c r="JA117" s="432" t="str">
        <f>IF(A117=FALSE,"",Cotations!AT117)</f>
        <v/>
      </c>
      <c r="JB117" s="1234" t="str">
        <f>IF(A117=FALSE,"",IF(Detail!BB117="","N/A",YEAR(Detail!F117)&amp;Detail!BE117&amp;Detail!BB117&amp;"-"&amp;Detail!$BB$13&amp;Detail!BC117))</f>
        <v/>
      </c>
      <c r="JC117" s="431" t="str">
        <f>IF(A117=FALSE,"",IF(LISTES!$A$17=1,JB117,INDEX(colMOD2,MATCH(DA117,colchoice,0))))</f>
        <v/>
      </c>
      <c r="JD117" s="759" t="str">
        <f t="shared" si="521"/>
        <v/>
      </c>
      <c r="JE117" s="292"/>
      <c r="JF117" s="409" t="str">
        <f t="shared" si="522"/>
        <v/>
      </c>
      <c r="JG117" s="430" t="str">
        <f>IF(A117=FALSE,"",IF(JA117="POEA",Cotations!BC117,IF(JA117="FIXE",Cotations!BD117,IF(Cotations!BE117*Y117&lt;50000,Z117,Cotations!BE117*Y117))))</f>
        <v/>
      </c>
      <c r="JH117" s="292" t="str">
        <f t="shared" si="523"/>
        <v/>
      </c>
      <c r="JI117" s="446" t="str">
        <f>IF(A117=FALSE,"",IF(Cotations!AU117="monthly",JH117/12*L117,JH117/365*M117))</f>
        <v/>
      </c>
      <c r="JJ117" s="429" t="str">
        <f>IF(A117=FALSE,"",IF(Cotations!BF117="","",Cotations!BF117))</f>
        <v/>
      </c>
      <c r="JK117" s="292" t="str">
        <f t="shared" si="524"/>
        <v/>
      </c>
      <c r="JL117" s="292" t="str">
        <f t="shared" si="525"/>
        <v/>
      </c>
      <c r="JM117" s="759" t="str">
        <f t="shared" si="526"/>
        <v/>
      </c>
      <c r="JN117" s="759" t="str">
        <f>IF(A117=FALSE,"",((JH117*TAXE)-(JH117*TAXE*JJ117))+IF(#REF!="N/A",0,IF(INDEX(LISTES!$F$105:$F$109,MATCH(#REF!,LISTES!$C$105:$C$109,0))="FIX",#REF!,#REF!*JM117)))</f>
        <v/>
      </c>
      <c r="KA117" s="432" t="str">
        <f>IF(A117=FALSE,"",Cotations!AT117)</f>
        <v/>
      </c>
      <c r="KB117" s="1234" t="str">
        <f>IF(A117=FALSE,"",IF(Detail!BJ117="","N/A",YEAR(Detail!F117)&amp;Detail!BM117&amp;Detail!BJ117&amp;"-"&amp;Detail!$BJ$13&amp;Detail!BK117))</f>
        <v/>
      </c>
      <c r="KC117" s="431" t="str">
        <f>IF(A117=FALSE,"",IF(LISTES!$A$17=1,KB117,INDEX(colMOD3,MATCH(DA117,colchoice,0))))</f>
        <v/>
      </c>
      <c r="KD117" s="759" t="str">
        <f t="shared" si="527"/>
        <v/>
      </c>
      <c r="KE117" s="292"/>
      <c r="KF117" s="409" t="str">
        <f t="shared" si="528"/>
        <v/>
      </c>
      <c r="KG117" s="430" t="str">
        <f>IF(A117=FALSE,"",IF(KA117="POEA",Cotations!BG117,IF(KA117="FIXE",Cotations!BH117,IF(Cotations!BI117*Y117&lt;50000,Z117,Cotations!BI117*Y117))))</f>
        <v/>
      </c>
      <c r="KH117" s="292" t="str">
        <f t="shared" si="529"/>
        <v/>
      </c>
      <c r="KI117" s="446" t="str">
        <f>IF(A117=FALSE,"",IF(Cotations!AU117="monthly",KH117/12*L117,KH117/365*M117))</f>
        <v/>
      </c>
      <c r="KJ117" s="429" t="str">
        <f>IF(A117=FALSE,"",IF(Cotations!BJ117="","",Cotations!BJ117))</f>
        <v/>
      </c>
      <c r="KK117" s="292" t="str">
        <f t="shared" si="530"/>
        <v/>
      </c>
      <c r="KL117" s="292" t="str">
        <f t="shared" si="531"/>
        <v/>
      </c>
      <c r="KM117" s="759" t="str">
        <f t="shared" si="532"/>
        <v/>
      </c>
      <c r="KN117" s="759" t="str">
        <f>IF(A117=FALSE,"",((KH117*TAXE)-(KH117*TAXE*KJ117))+IF(#REF!="N/A",0,IF(INDEX(LISTES!$F$105:$F$109,MATCH(#REF!,LISTES!$C$105:$C$109,0))="FIX",#REF!,#REF!*KM117)))</f>
        <v/>
      </c>
      <c r="LA117" s="432" t="str">
        <f>IF(A117=FALSE,"",Cotations!AT117)</f>
        <v/>
      </c>
      <c r="LB117" s="1234" t="str">
        <f>IF(A117=FALSE,"",IF(Detail!BR117="","N/A",YEAR(Detail!F117)&amp;Detail!BU117&amp;Detail!BR117&amp;"-"&amp;Detail!$BR$13&amp;Detail!BS117))</f>
        <v/>
      </c>
      <c r="LC117" s="431" t="str">
        <f>IF(A117=FALSE,"",IF(LISTES!$A$17=1,LB117,INDEX(colMOD4,MATCH(DA117,colchoice,0))))</f>
        <v/>
      </c>
      <c r="LD117" s="759" t="str">
        <f t="shared" si="533"/>
        <v/>
      </c>
      <c r="LE117" s="292"/>
      <c r="LF117" s="409" t="str">
        <f t="shared" si="534"/>
        <v/>
      </c>
      <c r="LG117" s="430" t="str">
        <f>IF(A117=FALSE,"",IF(LA117="POEA",Cotations!BK117,IF(LA117="FIXE",Cotations!BL117,IF(Cotations!BM117*Y117&lt;50000,Z117,Cotations!BM117*Y117))))</f>
        <v/>
      </c>
      <c r="LH117" s="292" t="str">
        <f t="shared" si="535"/>
        <v/>
      </c>
      <c r="LI117" s="446" t="str">
        <f>IF(A117=FALSE,"",IF(Cotations!AU117="monthly",LH117/12*L117,LH117/365*M117))</f>
        <v/>
      </c>
      <c r="LJ117" s="429" t="str">
        <f>IF(A117=FALSE,"",IF(Cotations!BN117="","",Cotations!BN117))</f>
        <v/>
      </c>
      <c r="LK117" s="292" t="str">
        <f t="shared" si="536"/>
        <v/>
      </c>
      <c r="LL117" s="292" t="str">
        <f t="shared" si="537"/>
        <v/>
      </c>
      <c r="LM117" s="759" t="str">
        <f t="shared" si="538"/>
        <v/>
      </c>
      <c r="LN117" s="759" t="str">
        <f>IF(A117=FALSE,"",((LH117*TAXE)-(LH117*TAXE*LJ117))+IF(#REF!="N/A",0,IF(INDEX(LISTES!$F$105:$F$109,MATCH(#REF!,LISTES!$C$105:$C$109,0))="FIX",#REF!,#REF!*LM117)))</f>
        <v/>
      </c>
      <c r="MA117" s="432" t="str">
        <f t="shared" si="539"/>
        <v/>
      </c>
      <c r="MB117" s="1234" t="str">
        <f>IF(A117=FALSE,"",IF(Detail!BZ117="","N/A",YEAR(Detail!F117)&amp;Detail!CC117&amp;Detail!BZ117&amp;"-"&amp;Detail!$BZ$13&amp;" (100%/"&amp;Detail!CD117&amp;"/"&amp;Detail!CE117&amp;")"))</f>
        <v/>
      </c>
      <c r="MC117" s="431" t="str">
        <f>IF(A117=FALSE,"",IF(LISTES!$A$17=1,MB117,INDEX(colMOD5,MATCH(DA117,colchoice,0))))</f>
        <v/>
      </c>
      <c r="MD117" s="759" t="str">
        <f t="shared" si="540"/>
        <v/>
      </c>
      <c r="ME117" s="292"/>
      <c r="MF117" s="409" t="str">
        <f t="shared" si="541"/>
        <v/>
      </c>
      <c r="MG117" s="430" t="str">
        <f>IF(A117=FALSE,"",Cotations!BQ117*AA117)</f>
        <v/>
      </c>
      <c r="MH117" s="292" t="str">
        <f t="shared" si="542"/>
        <v/>
      </c>
      <c r="MI117" s="446" t="str">
        <f>IF(A117=FALSE,"",IF(Cotations!AU117="monthly",MH117/12*L117,MH117/365*M117))</f>
        <v/>
      </c>
      <c r="MJ117" s="429" t="str">
        <f>IF(A117=FALSE,"",IF(Cotations!BR117="","",Cotations!BR117))</f>
        <v/>
      </c>
      <c r="MK117" s="292" t="str">
        <f t="shared" si="543"/>
        <v/>
      </c>
      <c r="ML117" s="292" t="str">
        <f t="shared" si="544"/>
        <v/>
      </c>
      <c r="MM117" s="759" t="str">
        <f t="shared" si="545"/>
        <v/>
      </c>
      <c r="MN117" s="759" t="str">
        <f>IF(A117=FALSE,"",((MH117*TAXE)-(MH117*TAXE*MJ117))+IF(#REF!="N/A",0,IF(INDEX(LISTES!$F$105:$F$109,MATCH(#REF!,LISTES!$C$105:$C$109,0))="FIX",#REF!,#REF!*MM117)))</f>
        <v/>
      </c>
      <c r="NA117" s="432" t="str">
        <f t="shared" si="546"/>
        <v/>
      </c>
      <c r="NB117" s="1234" t="str">
        <f>IF(A117=FALSE,"",IF(Detail!CH117="","N/A",YEAR(Detail!F117)&amp;Detail!CK117&amp;Detail!CH117&amp;"-"&amp;Detail!$CH$13&amp;" (100%/"&amp;Detail!CL117&amp;"/"&amp;Detail!CM117&amp;")"))</f>
        <v/>
      </c>
      <c r="NC117" s="431" t="str">
        <f>IF(A117=FALSE,"",IF(LISTES!$A$17=1,NB117,INDEX(colMOD6,MATCH(DA117,colchoice,0))))</f>
        <v/>
      </c>
      <c r="ND117" s="759" t="str">
        <f t="shared" si="547"/>
        <v/>
      </c>
      <c r="NE117" s="292"/>
      <c r="NF117" s="409" t="str">
        <f t="shared" si="548"/>
        <v/>
      </c>
      <c r="NG117" s="430" t="str">
        <f>IF(A117=FALSE,"",Cotations!BU117*AA117)</f>
        <v/>
      </c>
      <c r="NH117" s="292" t="str">
        <f t="shared" si="549"/>
        <v/>
      </c>
      <c r="NI117" s="446" t="str">
        <f>IF(A117=FALSE,"",IF(Cotations!AU117="monthly",NH117/12*L117,NH117/365*M117))</f>
        <v/>
      </c>
      <c r="NJ117" s="429" t="str">
        <f>IF(A117=FALSE,"",IF(Cotations!BV117="","",Cotations!BV117))</f>
        <v/>
      </c>
      <c r="NK117" s="292" t="str">
        <f t="shared" si="550"/>
        <v/>
      </c>
      <c r="NL117" s="292" t="str">
        <f t="shared" si="551"/>
        <v/>
      </c>
      <c r="NM117" s="759" t="str">
        <f t="shared" si="552"/>
        <v/>
      </c>
      <c r="NN117" s="759" t="str">
        <f>IF(A117=FALSE,"",((NH117*TAXE)-(NH117*TAXE*NJ117))+IF(#REF!="N/A",0,IF(INDEX(LISTES!$F$105:$F$109,MATCH(#REF!,LISTES!$C$105:$C$109,0))="FIX",#REF!,#REF!*NM117)))</f>
        <v/>
      </c>
      <c r="NZ117" s="1281" t="str">
        <f>IF(A117=FALSE,"",IF(Detail!CP117="","N/A",YEAR(Detail!F117)&amp;Detail!CS117&amp;Detail!CP117&amp;"-"&amp;Detail!CQ117))</f>
        <v/>
      </c>
      <c r="OA117" s="432" t="str">
        <f>IF(A117=FALSE,"",Cotations!CF117)</f>
        <v/>
      </c>
      <c r="OB117" s="1282" t="str">
        <f>IF(A117=FALSE,"",IF(Detail!CP117="","N/A",YEAR(Detail!F117)&amp;Detail!CS117&amp;Detail!CP117&amp;"-"&amp;Detail!$CP$13&amp;Detail!CQ117))</f>
        <v/>
      </c>
      <c r="OC117" s="1283" t="str">
        <f>IF(A117=FALSE,"",IF(LISTES!$A$17=1,OB117,INDEX(colMOD1,MATCH(Cotations!CE117,colchoice,0))))</f>
        <v/>
      </c>
      <c r="OD117" s="759" t="str">
        <f t="shared" si="553"/>
        <v/>
      </c>
      <c r="OE117" s="292" t="str">
        <f>IF(A117=FALSE,"",Detail!CQ117)</f>
        <v/>
      </c>
      <c r="OF117" s="409" t="str">
        <f t="shared" si="554"/>
        <v/>
      </c>
      <c r="OG117" s="430" t="str">
        <f>IF(A117=FALSE,"",IF(OA117="FIXE",Cotations!CM117,Cotations!CN117*AA117))</f>
        <v/>
      </c>
      <c r="OH117" s="292" t="str">
        <f t="shared" si="494"/>
        <v/>
      </c>
      <c r="OI117" s="446" t="str">
        <f>IF(A117=FALSE,"",IF(Cotations!CF117="monthly",OH117/12*L117,OH117/365*M117))</f>
        <v/>
      </c>
      <c r="OJ117" s="429" t="str">
        <f>IF(A117=FALSE,"",IF(Cotations!CO117="","",Cotations!CO117))</f>
        <v/>
      </c>
      <c r="OK117" s="292" t="str">
        <f t="shared" si="495"/>
        <v/>
      </c>
      <c r="OL117" s="292" t="str">
        <f t="shared" si="496"/>
        <v/>
      </c>
      <c r="OM117" s="759" t="str">
        <f t="shared" si="555"/>
        <v/>
      </c>
      <c r="ON117" s="759" t="str">
        <f>IF(A117=FALSE,"",((OH117*(1+TAXE)-(OH117*(1+TAXE)*OJ117))+IF(#REF!="N/A",0,IF(INDEX(LISTES!$F$105:$F$109,MATCH(#REF!,LISTES!$C$105:$C$109,0))="FIX",#REF!,#REF!*OM117))))</f>
        <v/>
      </c>
      <c r="PA117" s="432" t="str">
        <f>IF(A117=FALSE,"",Cotations!CF117)</f>
        <v/>
      </c>
      <c r="PB117" s="1282" t="str">
        <f>IF(A117=FALSE,"",IF(Detail!CX117="","N/A",YEAR(Detail!F117)&amp;Detail!DA117&amp;Detail!CX117&amp;"-"&amp;Detail!$CX$13&amp;Detail!CY117))</f>
        <v/>
      </c>
      <c r="PC117" s="1283" t="str">
        <f>IF(A117=FALSE,"",IF(LISTES!$A$17=1,PB117,INDEX(colMOD3,MATCH(Cotations!CE117,colchoice,0))))</f>
        <v/>
      </c>
      <c r="PD117" s="759" t="str">
        <f t="shared" si="556"/>
        <v/>
      </c>
      <c r="PE117" s="292" t="str">
        <f>IF(A117=FALSE,"",IF(Detail!CY117="","",Detail!CY117))</f>
        <v/>
      </c>
      <c r="PF117" s="409" t="str">
        <f t="shared" si="497"/>
        <v/>
      </c>
      <c r="PG117" s="430" t="str">
        <f>IF(A117=FALSE,"",IF(PA117="FIXE",Cotations!CP117,Cotations!CQ117*AA117))</f>
        <v/>
      </c>
      <c r="PH117" s="292" t="str">
        <f t="shared" si="498"/>
        <v/>
      </c>
      <c r="PI117" s="446" t="str">
        <f>IF(A117=FALSE,"",IF(Cotations!CG117="monthly",PH117/12*L117,PH117/365*M117))</f>
        <v/>
      </c>
      <c r="PJ117" s="429" t="str">
        <f>IF(A117=FALSE,"",IF(Cotations!DA117="",0,Cotations!DA117))</f>
        <v/>
      </c>
      <c r="PK117" s="292" t="str">
        <f t="shared" si="499"/>
        <v/>
      </c>
      <c r="PL117" s="292" t="str">
        <f t="shared" si="500"/>
        <v/>
      </c>
      <c r="PM117" s="759" t="str">
        <f t="shared" si="557"/>
        <v/>
      </c>
      <c r="PN117" s="759" t="str">
        <f>IF(A117=FALSE,"",((PH117*(1+TAXE)-(PH117*(1+TAXE)*PJ117))+IF(#REF!="N/A",0,IF(INDEX(LISTES!$F$105:$F$109,MATCH(#REF!,LISTES!$C$105:$C$109,0))="FIX",#REF!,#REF!*PM117))))</f>
        <v/>
      </c>
    </row>
    <row r="118" spans="1:430">
      <c r="A118" s="779" t="b">
        <f t="shared" si="501"/>
        <v>0</v>
      </c>
      <c r="B118" s="779" t="b">
        <f>IF(NAMES!$B$9=TRUE,TRUE,FALSE)</f>
        <v>1</v>
      </c>
      <c r="C118" s="779" t="b">
        <f t="shared" si="421"/>
        <v>0</v>
      </c>
      <c r="D118" s="779" t="b">
        <f t="shared" si="422"/>
        <v>0</v>
      </c>
      <c r="E118" s="267" t="b">
        <f>IF(Cotations!C118="","",Cotations!C118)</f>
        <v>0</v>
      </c>
      <c r="F118" s="267" t="str">
        <f>IF(Cotations!AT118="","",Cotations!AT118)</f>
        <v>PROP</v>
      </c>
      <c r="G118" s="267" t="str">
        <f>IF(Cotations!D118="","",Cotations!D118)</f>
        <v>2016-2017!</v>
      </c>
      <c r="H118" s="267" t="str">
        <f>IF(Cotations!E118="","",Cotations!E118)</f>
        <v/>
      </c>
      <c r="I118" s="267" t="str">
        <f>IF(Cotations!F118="","",Cotations!F118)</f>
        <v/>
      </c>
      <c r="J118" s="267" t="str">
        <f>IF(Cotations!G118="","",Cotations!G118)</f>
        <v/>
      </c>
      <c r="K118" s="267" t="str">
        <f>IF(Cotations!H118="","",Cotations!H118)</f>
        <v/>
      </c>
      <c r="L118" s="267" t="str">
        <f>IF(A118=FALSE,"",IF(Cotations!M118="","",Cotations!M118))</f>
        <v/>
      </c>
      <c r="M118" s="267" t="str">
        <f>IF(Cotations!O118="","",Cotations!O118)</f>
        <v/>
      </c>
      <c r="N118" s="588" t="str">
        <f>IF(NAMES!$B$10=TRUE,Cotations!I118,Cotations!K118)</f>
        <v/>
      </c>
      <c r="O118" s="588" t="str">
        <f>IF(NAMES!$B$10=TRUE,Cotations!J118,Cotations!L118)</f>
        <v/>
      </c>
      <c r="P118" s="780" t="str">
        <f t="shared" si="423"/>
        <v/>
      </c>
      <c r="Q118" s="588" t="str">
        <f>IF(A118=FALSE,"",IF(Crewlist!Y118="","",Crewlist!Y118))</f>
        <v/>
      </c>
      <c r="R118" s="78" t="str">
        <f>IF(Cotations!T118="","",Cotations!T118)</f>
        <v/>
      </c>
      <c r="S118" s="780" t="str">
        <f t="shared" si="424"/>
        <v/>
      </c>
      <c r="T118" s="759" t="str">
        <f>IF(A118=FALSE,"",VLOOKUP($U$15:$U$120,Currency!$A$2:$D$10,4,0)*Crewlist!N118)</f>
        <v/>
      </c>
      <c r="U118" s="1097" t="str">
        <f>IF(A118=FALSE,"",IF(DP118=0,Crewlist!M118&amp;"/"&amp;CP118,Crewlist!M118&amp;"/"&amp;DP118))</f>
        <v/>
      </c>
      <c r="V118" s="759" t="str">
        <f>IF(A118=FALSE,"",VLOOKUP($U$15:$U$120,Currency!$A$2:$D$10,4,0)*Detail!Q118)</f>
        <v/>
      </c>
      <c r="W118" s="1097" t="str">
        <f>IF(A118=FALSE,"",IF(DP118=0,Detail!R118&amp;"/"&amp;CP118,Detail!R118&amp;"/"&amp;DP118))</f>
        <v/>
      </c>
      <c r="X118" s="759" t="str">
        <f>IF(A118=FALSE,"",IF(LISTES!$C$17="Crewlist",Calcul!T118,Calcul!V118))</f>
        <v/>
      </c>
      <c r="Y118" s="618" t="str">
        <f t="shared" si="425"/>
        <v/>
      </c>
      <c r="Z118" s="618" t="str">
        <f>IF(A118=FALSE,"",IF(X118=0,0,IF((Cotations!BA118*12*X118)&lt;50000,50000,(12*X118))))</f>
        <v/>
      </c>
      <c r="AA118" s="618" t="str">
        <f t="shared" si="426"/>
        <v/>
      </c>
      <c r="AB118" s="618" t="str">
        <f>IF(A118=FALSE,"",IF(Crewlist!O118=0,"",Crewlist!O118))</f>
        <v/>
      </c>
      <c r="AC118" s="618" t="str">
        <f>IF(I118="","",VLOOKUP($AB$15:$AB$120,Currency!$A$15:$B$34,2,0))</f>
        <v/>
      </c>
      <c r="AD118" s="618" t="str">
        <f t="shared" si="427"/>
        <v/>
      </c>
      <c r="AE118" s="618" t="str">
        <f t="shared" si="428"/>
        <v/>
      </c>
      <c r="AF118" s="618" t="str">
        <f t="shared" si="429"/>
        <v/>
      </c>
      <c r="AG118" s="618" t="str">
        <f t="shared" si="430"/>
        <v/>
      </c>
      <c r="AH118" s="1097" t="str">
        <f t="shared" si="502"/>
        <v/>
      </c>
      <c r="AI118" s="759" t="str">
        <f t="shared" si="431"/>
        <v/>
      </c>
      <c r="AJ118" s="1120" t="str">
        <f t="shared" si="432"/>
        <v/>
      </c>
      <c r="AK118" s="1120" t="str">
        <f t="shared" si="433"/>
        <v/>
      </c>
      <c r="AL118" s="236" t="str">
        <f t="shared" si="434"/>
        <v/>
      </c>
      <c r="AM118" s="236" t="str">
        <f t="shared" si="435"/>
        <v/>
      </c>
      <c r="AN118" s="1112" t="str">
        <f t="shared" si="436"/>
        <v/>
      </c>
      <c r="AO118" s="236" t="str">
        <f t="shared" si="437"/>
        <v/>
      </c>
      <c r="AP118" s="327" t="str">
        <f>IF(A118=FALSE,"",INDEX(Rates!$Q$1:$Q$278,MATCH(CA118,colchoice,0)))</f>
        <v/>
      </c>
      <c r="AQ118" s="236" t="str">
        <f t="shared" si="438"/>
        <v/>
      </c>
      <c r="AR118" s="236" t="str">
        <f t="shared" si="439"/>
        <v/>
      </c>
      <c r="AS118" s="236" t="str">
        <f t="shared" si="503"/>
        <v/>
      </c>
      <c r="AT118" s="236" t="str">
        <f t="shared" si="504"/>
        <v/>
      </c>
      <c r="AU118" s="236" t="str">
        <f t="shared" si="440"/>
        <v/>
      </c>
      <c r="AV118" s="236" t="str">
        <f t="shared" si="441"/>
        <v/>
      </c>
      <c r="AW118" s="236" t="str">
        <f t="shared" si="442"/>
        <v/>
      </c>
      <c r="AX118" s="236" t="str">
        <f t="shared" si="443"/>
        <v/>
      </c>
      <c r="AY118" s="236" t="str">
        <f t="shared" si="444"/>
        <v/>
      </c>
      <c r="AZ118" s="236" t="str">
        <f t="shared" si="445"/>
        <v/>
      </c>
      <c r="BA118" s="236" t="str">
        <f t="shared" si="446"/>
        <v/>
      </c>
      <c r="BB118" s="467" t="str">
        <f t="shared" si="447"/>
        <v/>
      </c>
      <c r="BC118" s="329" t="str">
        <f t="shared" si="448"/>
        <v/>
      </c>
      <c r="BD118" s="237" t="str">
        <f t="shared" si="449"/>
        <v/>
      </c>
      <c r="BE118" s="237" t="str">
        <f>IF(A118=FALSE,"",IF(ED118&lt;&gt;$BC$7,0,INDEX(EA118:EZ118,1,MATCH(Structure!$J$16,$EA$14:$EZ$14,0))))</f>
        <v/>
      </c>
      <c r="BF118" s="237" t="str">
        <f>IF(A118=FALSE,"",IF(FD118&lt;&gt;$BC$7,0,INDEX(FA118:FZ118,1,MATCH(Structure!$J$16,$FA$14:$FZ$14,0))))</f>
        <v/>
      </c>
      <c r="BG118" s="237" t="str">
        <f>IF(A118=FALSE,"",IF(GD118&lt;&gt;$BC$7,0,INDEX(GA118:GZ118,1,MATCH(Structure!$J$16,$GA$14:$GZ$14,0))))</f>
        <v/>
      </c>
      <c r="BH118" s="237" t="str">
        <f>IF(A118=FALSE,"",IF(HD118&lt;&gt;$BC$7,0,INDEX(HA118:HZ118,1,MATCH(Structure!$J$16,$HA$14:$HZ$14,0))))</f>
        <v/>
      </c>
      <c r="BI118" s="621" t="str">
        <f>IF(A118=FALSE,"",IF(ID118&lt;&gt;$BC$7,0,INDEX(IA118:IZ118,1,MATCH(Structure!$C$12,$IA$14:$IZ$14,0)))+OL118)</f>
        <v/>
      </c>
      <c r="BJ118" s="237" t="str">
        <f>IF(A118=FALSE,"",IF(JD118&lt;&gt;$BC$7,0,INDEX(JA118:JZ118,1,MATCH(Structure!$C$12,$JA$14:$JZ$14,0))))</f>
        <v/>
      </c>
      <c r="BK118" s="621" t="str">
        <f>IF(A118=FALSE,"",IF(KD118&lt;&gt;$BC$7,0,INDEX(KA118:KZ118,1,MATCH(Structure!$C$12,$KA$14:$KZ$14,0)))+PL118)</f>
        <v/>
      </c>
      <c r="BL118" s="237" t="str">
        <f>IF(A118=FALSE,"",IF(LD118&lt;&gt;$BC$7,0,INDEX(LA118:LZ118,1,MATCH(Structure!$C$12,$LA$14:$LZ$14,0))))</f>
        <v/>
      </c>
      <c r="BM118" s="237" t="str">
        <f>IF(A118=FALSE,"",IF(MD118&lt;&gt;$BC$7,0,INDEX(MA118:MZ118,1,MATCH(Structure!$C$12,$MA$14:$MZ$14,0))))</f>
        <v/>
      </c>
      <c r="BN118" s="326" t="str">
        <f>IF(A118=FALSE,"",IF(ND118&lt;&gt;$BC$7,0,INDEX(NA118:OC118,1,MATCH(Structure!$C$12,$NA$14:$OC$14,0))))</f>
        <v/>
      </c>
      <c r="BO118" s="435" t="str">
        <f t="shared" si="450"/>
        <v/>
      </c>
      <c r="BP118" s="237" t="str">
        <f t="shared" si="451"/>
        <v/>
      </c>
      <c r="BQ118" s="237" t="str">
        <f>IF(A118=FALSE,"",IF(ED118&lt;&gt;$BO$7,0,INDEX(EA118:EZ118,1,MATCH(Structure!$C$12,$EA$14:$EZ$14,0))))</f>
        <v/>
      </c>
      <c r="BR118" s="237" t="str">
        <f>IF(A118=FALSE,"",IF(FD118&lt;&gt;$BO$7,0,INDEX(FA118:FZ118,1,MATCH(Structure!$C$12,$FA$14:$FZ$14,0))))</f>
        <v/>
      </c>
      <c r="BS118" s="237" t="str">
        <f>IF(A118=FALSE,"",IF(ID118&lt;&gt;$BO$7,0,INDEX(IA118:IZ118,1,MATCH(Structure!$C$13,$IA$14:$IZ$14,0))))</f>
        <v/>
      </c>
      <c r="BT118" s="237" t="str">
        <f>IF(A118=FALSE,"",IF(JD118&lt;&gt;$BO$7,0,INDEX(JA118:JZ118,1,MATCH(Structure!$C$13,$JA$14:$JZ$14,0))))</f>
        <v/>
      </c>
      <c r="BU118" s="237" t="str">
        <f>IF(A118=FALSE,"",IF(KD118&lt;&gt;$BO$7,0,INDEX(KA118:KZ118,1,MATCH(Structure!$C$13,$KA$14:$KZ$14,0))))</f>
        <v/>
      </c>
      <c r="BV118" s="237" t="str">
        <f>IF(A118=FALSE,"",IF(LD118&lt;&gt;$BO$7,0,INDEX(LA118:LZ118,1,MATCH(Structure!$C$13,$LA$14:$LZ$14,0))))</f>
        <v/>
      </c>
      <c r="BW118" s="237" t="str">
        <f>IF(A118=FALSE,"",IF(MD118&lt;&gt;$BO$7,0,INDEX(MA118:MZ118,1,MATCH(Structure!$C$13,$MA$14:$MZ$14,0))))</f>
        <v/>
      </c>
      <c r="BX118" s="326" t="str">
        <f>IF(A118=FALSE,"",IF(ND118&lt;&gt;$BO$7,0,INDEX(NA118:OC118,1,MATCH(Structure!$C$13,$NA$14:$OC$14,0))))</f>
        <v/>
      </c>
      <c r="BY118" s="412"/>
      <c r="BZ118" s="412"/>
      <c r="CA118" s="1255" t="str">
        <f>IF(A118=FALSE,"",IF(LISTES!$A$17=1,Cotations!AG118,Cotations!AH118))</f>
        <v/>
      </c>
      <c r="CB118" s="1266" t="str">
        <f t="shared" si="452"/>
        <v/>
      </c>
      <c r="CC118" s="1120" t="str">
        <f t="shared" si="453"/>
        <v/>
      </c>
      <c r="CD118" s="1120" t="str">
        <f t="shared" si="454"/>
        <v/>
      </c>
      <c r="CE118" s="1120" t="str">
        <f t="shared" si="455"/>
        <v/>
      </c>
      <c r="CF118" s="1120" t="str">
        <f t="shared" si="456"/>
        <v/>
      </c>
      <c r="CG118" s="1267"/>
      <c r="CH118" s="1267"/>
      <c r="CI118" s="1268" t="str">
        <f t="shared" si="457"/>
        <v/>
      </c>
      <c r="CJ118" s="286" t="str">
        <f t="shared" si="458"/>
        <v/>
      </c>
      <c r="CK118" s="286" t="str">
        <f t="shared" si="459"/>
        <v/>
      </c>
      <c r="CL118" s="1263"/>
      <c r="CM118" s="1263"/>
      <c r="CN118" s="1263"/>
      <c r="CO118" s="1263"/>
      <c r="CP118" s="319" t="str">
        <f t="shared" si="460"/>
        <v/>
      </c>
      <c r="CQ118" s="443" t="str">
        <f>IF(A118=FALSE,"",Cotations!AM118)</f>
        <v/>
      </c>
      <c r="CR118" s="443" t="str">
        <f>IF(A118=FALSE,"",IF(Cotations!AN118="","",Cotations!AN118))</f>
        <v/>
      </c>
      <c r="CS118" s="433" t="str">
        <f>IF(A118=FALSE,"",Cotations!AO118)</f>
        <v/>
      </c>
      <c r="CT118" s="443" t="str">
        <f>IF(A118=FALSE,"",IF(CQ118="N/A",0,IF(INDEX(LISTES!$F$105:$F$109,MATCH(CQ118,LISTES!$C$105:$C$109,0))="FIX",IF(INDEX(LISTES!$E$105:$E$109,MATCH(CQ118,LISTES!$C$105:$C$109,0))=12,CR118/12*L118,CR118/365*M118),CS118*EQ118)))</f>
        <v/>
      </c>
      <c r="CU118" s="434" t="str">
        <f>IF(A118=FALSE,"",(CJ118+CK118)*Cotations!AP118)</f>
        <v/>
      </c>
      <c r="CV118" s="434" t="str">
        <f>IF(A118=FALSE,"",(CJ118+CK118)*Cotations!AQ118)</f>
        <v/>
      </c>
      <c r="DA118" s="1253" t="str">
        <f>IF(A118=FALSE,"",IF(LISTES!$A$17=1,Cotations!AV118,Cotations!AW118))</f>
        <v/>
      </c>
      <c r="DB118" s="1271" t="str">
        <f t="shared" si="461"/>
        <v/>
      </c>
      <c r="DC118" s="1270" t="str">
        <f t="shared" si="462"/>
        <v/>
      </c>
      <c r="DD118" s="1270" t="str">
        <f t="shared" si="463"/>
        <v/>
      </c>
      <c r="DE118" s="1270" t="str">
        <f t="shared" si="464"/>
        <v/>
      </c>
      <c r="DF118" s="1270" t="str">
        <f t="shared" si="465"/>
        <v/>
      </c>
      <c r="DG118" s="1270" t="str">
        <f t="shared" si="466"/>
        <v/>
      </c>
      <c r="DH118" s="1270" t="str">
        <f t="shared" si="467"/>
        <v/>
      </c>
      <c r="DI118" s="1271" t="str">
        <f t="shared" si="468"/>
        <v/>
      </c>
      <c r="DJ118" s="286" t="str">
        <f t="shared" si="469"/>
        <v/>
      </c>
      <c r="DK118" s="286" t="str">
        <f t="shared" si="470"/>
        <v/>
      </c>
      <c r="DL118" s="1264" t="str">
        <f t="shared" si="471"/>
        <v/>
      </c>
      <c r="DM118" s="1264" t="str">
        <f t="shared" si="472"/>
        <v/>
      </c>
      <c r="DN118" s="1264" t="str">
        <f t="shared" si="473"/>
        <v/>
      </c>
      <c r="DO118" s="1264" t="str">
        <f t="shared" si="474"/>
        <v/>
      </c>
      <c r="DP118" s="323" t="str">
        <f t="shared" si="505"/>
        <v/>
      </c>
      <c r="DQ118" s="444" t="str">
        <f>IF(A118=FALSE,"",Cotations!BW118)</f>
        <v/>
      </c>
      <c r="DR118" s="444" t="str">
        <f>IF(A118=FALSE,"",Cotations!BX118)</f>
        <v/>
      </c>
      <c r="DS118" s="433" t="str">
        <f>IF(A118=FALSE,"",Cotations!BY118)</f>
        <v/>
      </c>
      <c r="DT118" s="830" t="str">
        <f>IF(A118=FALSE,"",IF(DQ118="N/A",0,IF(INDEX(LISTES!$F$105:$F$109,MATCH(DQ118,LISTES!$C$105:$C$109,0))="FIX",IF(INDEX(LISTES!$E$105:$E$109,MATCH(DQ118,LISTES!$C$105:$C$109,0))=12,DR118/12*L118,DR118/365*M118),DS118*(DN118+DO118))))</f>
        <v/>
      </c>
      <c r="DU118" s="434" t="str">
        <f>IF(A118=FALSE,"",DJ118*Cotations!BZ118)</f>
        <v/>
      </c>
      <c r="DV118" s="434" t="str">
        <f>IF(A118=FALSE,"",DJ118*Cotations!CA118)</f>
        <v/>
      </c>
      <c r="EA118" s="432" t="str">
        <f>IF(A118=FALSE,"",Cotations!AT118)</f>
        <v/>
      </c>
      <c r="EB118" s="1234" t="str">
        <f>IF(A118=FALSE,"",YEAR(Detail!F118)&amp;Detail!AG118&amp;Detail!AD118&amp;"-"&amp;Detail!$AD$13&amp;Detail!AE118)</f>
        <v/>
      </c>
      <c r="EC118" s="434" t="str">
        <f>IF(A118=FALSE,"",IF(LISTES!$A$17=1,EB118,INDEX(colMOD1,MATCH(Cotations!AH118,colchoice,0))))</f>
        <v/>
      </c>
      <c r="ED118" s="277" t="str">
        <f t="shared" si="506"/>
        <v/>
      </c>
      <c r="EE118" s="277" t="str">
        <f t="shared" si="507"/>
        <v/>
      </c>
      <c r="EF118" s="277"/>
      <c r="EG118" s="277"/>
      <c r="EH118" s="277" t="str">
        <f t="shared" si="508"/>
        <v/>
      </c>
      <c r="EI118" s="1104" t="str">
        <f t="shared" si="509"/>
        <v/>
      </c>
      <c r="EJ118" s="1104" t="str">
        <f t="shared" si="510"/>
        <v/>
      </c>
      <c r="EK118" s="443" t="str">
        <f>IF(A118=FALSE,"",IF(Cotations!AF118="monthly",EH118/12*L118,EH118/365*M118))</f>
        <v/>
      </c>
      <c r="EL118" s="1103" t="str">
        <f>IF(A118=FALSE,"",IF(Cotations!AF118="monthly",EJ118/12*L118,EJ118/365*M118))</f>
        <v/>
      </c>
      <c r="EM118" s="433" t="str">
        <f>IF(A118=FALSE,"",IF(Cotations!AI118="","",Cotations!AI118))</f>
        <v/>
      </c>
      <c r="EN118" s="277" t="str">
        <f t="shared" si="511"/>
        <v/>
      </c>
      <c r="EO118" s="277" t="str">
        <f t="shared" si="512"/>
        <v/>
      </c>
      <c r="EP118" s="1104" t="str">
        <f t="shared" si="513"/>
        <v/>
      </c>
      <c r="EQ118" s="277" t="str">
        <f t="shared" si="514"/>
        <v/>
      </c>
      <c r="ER118" s="759" t="str">
        <f>IF(A118=FALSE,"",((EH118*TAXE)-(EH118*TAXE*EM118)+EI118)+IF(CQ118="N/A",0,IF(INDEX(LISTES!$F$105:$F$109,MATCH(CQ118,LISTES!$C$105:$C$109,0))="FIX",CR118,CS118*EQ118)))</f>
        <v/>
      </c>
      <c r="ET118" s="422"/>
      <c r="EU118" s="422"/>
      <c r="EV118" s="422"/>
      <c r="EW118" s="422"/>
      <c r="EX118" s="422"/>
      <c r="EY118" s="422"/>
      <c r="EZ118" s="422"/>
      <c r="FA118" s="432" t="str">
        <f>IF(A118=FALSE,"",Cotations!AT118)</f>
        <v/>
      </c>
      <c r="FB118" s="1235" t="str">
        <f>IF(A118=FALSE,"",IF(Detail!AL118="","N/A",YEAR(Detail!F118)&amp;Detail!AO118&amp;Detail!AL118&amp;"-"&amp;Detail!$AL$13&amp;Detail!AM118))</f>
        <v/>
      </c>
      <c r="FC118" s="434" t="str">
        <f>IF(A118=FALSE,"",IF(LISTES!$A$17=1,Cotations!#REF!,Cotations!#REF!))</f>
        <v/>
      </c>
      <c r="FD118" s="277" t="str">
        <f t="shared" si="515"/>
        <v/>
      </c>
      <c r="FE118" s="443" t="str">
        <f>IF(A118=FALSE,"",IF(Detail!AM118="","",Detail!AM118))</f>
        <v/>
      </c>
      <c r="FF118" s="277"/>
      <c r="FG118" s="277"/>
      <c r="FH118" s="277" t="str">
        <f t="shared" si="516"/>
        <v/>
      </c>
      <c r="FI118" s="1104"/>
      <c r="FJ118" s="1104"/>
      <c r="FK118" s="443" t="str">
        <f>IF(A118=FALSE,"",IF(Cotations!AF118="monthly",FH118/12*L118,FH118/365*M118))</f>
        <v/>
      </c>
      <c r="FL118" s="1103" t="str">
        <f>IF(A118=FALSE,"",IF(Cotations!AF118="monthly",FJ118/12*L118,FJ118/365*M118))</f>
        <v/>
      </c>
      <c r="FM118" s="433" t="str">
        <f>IF(A118=FALSE,"",IF(Cotations!AJ118="","",Cotations!AJ118))</f>
        <v/>
      </c>
      <c r="FN118" s="277" t="str">
        <f t="shared" si="475"/>
        <v/>
      </c>
      <c r="FO118" s="277" t="str">
        <f t="shared" si="476"/>
        <v/>
      </c>
      <c r="FP118" s="1104"/>
      <c r="FQ118" s="277" t="str">
        <f t="shared" si="477"/>
        <v/>
      </c>
      <c r="FR118" s="759" t="str">
        <f>IF(A118=FALSE,"",((FH118*TAXE)-(FH118*TAXE*FM118))+IF(#REF!="N/A",0,IF(INDEX(LISTES!$F$105:$F$109,MATCH(#REF!,LISTES!$C$105:$C$109,0))="FIX",#REF!,#REF!*FQ118)))</f>
        <v/>
      </c>
      <c r="FS118" s="422"/>
      <c r="FT118" s="422"/>
      <c r="FU118" s="422"/>
      <c r="FV118" s="422"/>
      <c r="FW118" s="422"/>
      <c r="FX118" s="422"/>
      <c r="FY118" s="422"/>
      <c r="FZ118" s="422"/>
      <c r="GA118" s="432" t="str">
        <f t="shared" si="517"/>
        <v/>
      </c>
      <c r="GB118" s="1234" t="str">
        <f>IF(A118=FALSE,"",IF(Detail!DF118="","N/A",YEAR(Detail!F118)&amp;Detail!DI118&amp;Detail!DF118&amp;"-"&amp;Detail!$DF$13))</f>
        <v/>
      </c>
      <c r="GC118" s="434" t="str">
        <f>IF(A118=FALSE,"",IF(LISTES!$A$17=1,GB118,INDEX(colMOD3,MATCH(Cotations!AH118,colchoice,0))))</f>
        <v/>
      </c>
      <c r="GD118" s="277" t="str">
        <f t="shared" si="518"/>
        <v/>
      </c>
      <c r="GE118" s="277" t="str">
        <f t="shared" si="519"/>
        <v/>
      </c>
      <c r="GF118" s="277"/>
      <c r="GG118" s="277"/>
      <c r="GH118" s="277" t="str">
        <f t="shared" si="478"/>
        <v/>
      </c>
      <c r="GI118" s="1104" t="str">
        <f t="shared" si="479"/>
        <v/>
      </c>
      <c r="GJ118" s="1104" t="str">
        <f t="shared" si="480"/>
        <v/>
      </c>
      <c r="GK118" s="443" t="str">
        <f>IF(A118=FALSE,"",IF(Cotations!AF118="monthly",GH118/12*L118,GH118/365*M118))</f>
        <v/>
      </c>
      <c r="GL118" s="1103" t="str">
        <f>IF(A118=FALSE,"",IF(Cotations!AF118="monthly",GJ118/12*L118,GJ118/365*M118))</f>
        <v/>
      </c>
      <c r="GM118" s="433" t="str">
        <f>IF(A118=FALSE,"",IF(Cotations!AK118="","",Cotations!AK118))</f>
        <v/>
      </c>
      <c r="GN118" s="277" t="str">
        <f t="shared" si="481"/>
        <v/>
      </c>
      <c r="GO118" s="277" t="str">
        <f t="shared" si="482"/>
        <v/>
      </c>
      <c r="GP118" s="1104" t="str">
        <f t="shared" si="483"/>
        <v/>
      </c>
      <c r="GQ118" s="277" t="str">
        <f t="shared" si="484"/>
        <v/>
      </c>
      <c r="GR118" s="759" t="str">
        <f>IF(A118=FALSE,"",((GH118*TAXE)-(GH118*TAXE*GM118)+GI118)+IF(CQ118="N/A",0,IF(INDEX(LISTES!$F$105:$F$109,MATCH(CQ118,LISTES!$C$105:$C$109,0))="FIX",CR118,CS118*GQ118)))</f>
        <v/>
      </c>
      <c r="GS118" s="412"/>
      <c r="GT118" s="412"/>
      <c r="GU118" s="412"/>
      <c r="GV118" s="412"/>
      <c r="GW118" s="412"/>
      <c r="GX118" s="412"/>
      <c r="GY118" s="412"/>
      <c r="GZ118" s="412"/>
      <c r="HA118" s="432" t="str">
        <f t="shared" si="520"/>
        <v/>
      </c>
      <c r="HB118" s="1234" t="str">
        <f>IF(A118=FALSE,"",IF(Detail!DF118="","N/A",YEAR(Detail!F118)&amp;Detail!DI118&amp;Detail!DF118&amp;"-"&amp;Detail!$DF$13))</f>
        <v/>
      </c>
      <c r="HC118" s="434" t="str">
        <f>IF(A118=FALSE,"",IF(LISTES!$A$17=1,HB118,INDEX(colMOD4,MATCH(Cotations!AH118,colchoice,0))))</f>
        <v/>
      </c>
      <c r="HD118" s="277" t="str">
        <f t="shared" si="485"/>
        <v/>
      </c>
      <c r="HE118" s="277" t="str">
        <f t="shared" si="486"/>
        <v/>
      </c>
      <c r="HF118" s="277"/>
      <c r="HG118" s="277"/>
      <c r="HH118" s="277" t="str">
        <f t="shared" si="487"/>
        <v/>
      </c>
      <c r="HI118" s="1104" t="str">
        <f t="shared" si="488"/>
        <v/>
      </c>
      <c r="HJ118" s="1104" t="str">
        <f t="shared" si="489"/>
        <v/>
      </c>
      <c r="HK118" s="443" t="str">
        <f>IF(A118=FALSE,"",IF(Cotations!AF118="monthly",HH118/12*L118,HH118/365*M118))</f>
        <v/>
      </c>
      <c r="HL118" s="1103" t="str">
        <f>IF(A118=FALSE,"",IF(Cotations!AF118="monthly",HJ118/12*L118,HJ118/365*M118))</f>
        <v/>
      </c>
      <c r="HM118" s="433" t="str">
        <f>IF(A118=FALSE,"",IF(Cotations!AL118="","",Cotations!AL118))</f>
        <v/>
      </c>
      <c r="HN118" s="277" t="str">
        <f t="shared" si="490"/>
        <v/>
      </c>
      <c r="HO118" s="277" t="str">
        <f t="shared" si="491"/>
        <v/>
      </c>
      <c r="HP118" s="1104" t="str">
        <f t="shared" si="492"/>
        <v/>
      </c>
      <c r="HQ118" s="277" t="str">
        <f t="shared" si="493"/>
        <v/>
      </c>
      <c r="HR118" s="759" t="str">
        <f>IF(A118=FALSE,"",((HH118*TAXE)-(HH118*TAXE*HM118)+HI118)+IF(CQ118="N/A",0,IF(INDEX(LISTES!$F$105:$F$109,MATCH(CQ118,LISTES!$C$105:$C$109,0))="FIX",CR118,CS118*HQ118)))</f>
        <v/>
      </c>
      <c r="HS118" s="412"/>
      <c r="HT118" s="412"/>
      <c r="HU118" s="412"/>
      <c r="HV118" s="412"/>
      <c r="HW118" s="412"/>
      <c r="HX118" s="412"/>
      <c r="HY118" s="412"/>
      <c r="HZ118" s="1262"/>
      <c r="IA118" s="432" t="str">
        <f>IF(A118=FALSE,"",Cotations!AT118)</f>
        <v/>
      </c>
      <c r="IB118" s="1253" t="str">
        <f>IF(A118=FALSE,"",IF(Detail!AT118="","N/A",YEAR(Detail!F118)&amp;Detail!AW118&amp;Detail!AT118&amp;"-"&amp;Detail!$AT$13&amp;Detail!AU118))</f>
        <v/>
      </c>
      <c r="IC118" s="431" t="str">
        <f>IF(A118=FALSE,"",IF(LISTES!$A$17=1,IB118,INDEX(colMOD1,MATCH(DA118,colchoice,0))))</f>
        <v/>
      </c>
      <c r="ID118" s="759" t="str">
        <f t="shared" si="558"/>
        <v/>
      </c>
      <c r="IE118" s="292" t="str">
        <f>IF(A118=FALSE,"",IF(LISTES!$A$17=1,Detail!AU118,INDEX(Rates!$M$1:$M$270,MATCH(IC118,colMOD1,0))))</f>
        <v/>
      </c>
      <c r="IF118" s="409" t="str">
        <f t="shared" si="559"/>
        <v/>
      </c>
      <c r="IG118" s="430" t="str">
        <f>IF(A118=FALSE,"",IF(IA118="POEA",Cotations!AY118,IF(IA118="FIXE",Cotations!AZ118,IF(Cotations!BA118*Y118&lt;50000,Z118,Cotations!BA118*Y118))))</f>
        <v/>
      </c>
      <c r="IH118" s="292" t="str">
        <f t="shared" si="560"/>
        <v/>
      </c>
      <c r="II118" s="446" t="str">
        <f>IF(A118=FALSE,"",IF(Cotations!AU118="monthly",IH118/12*L118,IH118/365*M118))</f>
        <v/>
      </c>
      <c r="IJ118" s="429" t="str">
        <f>IF(A118=FALSE,"",IF(Cotations!BB118="","",Cotations!BB118))</f>
        <v/>
      </c>
      <c r="IK118" s="292" t="str">
        <f t="shared" si="561"/>
        <v/>
      </c>
      <c r="IL118" s="292" t="str">
        <f t="shared" si="562"/>
        <v/>
      </c>
      <c r="IM118" s="759" t="str">
        <f t="shared" si="563"/>
        <v/>
      </c>
      <c r="IN118" s="759" t="str">
        <f>IF(A118=FALSE,"",((IH118*TAXE)-(IH118*TAXE*IJ118))+IF(DQ118="N/A",0,IF(INDEX(LISTES!$F$105:$F$109,MATCH(DQ118,LISTES!$C$105:$C$109,0))="FIX",DR118,DS118*IM118)))</f>
        <v/>
      </c>
      <c r="JA118" s="432" t="str">
        <f>IF(A118=FALSE,"",Cotations!AT118)</f>
        <v/>
      </c>
      <c r="JB118" s="1234" t="str">
        <f>IF(A118=FALSE,"",IF(Detail!BB118="","N/A",YEAR(Detail!F118)&amp;Detail!BE118&amp;Detail!BB118&amp;"-"&amp;Detail!$BB$13&amp;Detail!BC118))</f>
        <v/>
      </c>
      <c r="JC118" s="431" t="str">
        <f>IF(A118=FALSE,"",IF(LISTES!$A$17=1,JB118,INDEX(colMOD2,MATCH(DA118,colchoice,0))))</f>
        <v/>
      </c>
      <c r="JD118" s="759" t="str">
        <f t="shared" si="521"/>
        <v/>
      </c>
      <c r="JE118" s="292"/>
      <c r="JF118" s="409" t="str">
        <f t="shared" si="522"/>
        <v/>
      </c>
      <c r="JG118" s="430" t="str">
        <f>IF(A118=FALSE,"",IF(JA118="POEA",Cotations!BC118,IF(JA118="FIXE",Cotations!BD118,IF(Cotations!BE118*Y118&lt;50000,Z118,Cotations!BE118*Y118))))</f>
        <v/>
      </c>
      <c r="JH118" s="292" t="str">
        <f t="shared" si="523"/>
        <v/>
      </c>
      <c r="JI118" s="446" t="str">
        <f>IF(A118=FALSE,"",IF(Cotations!AU118="monthly",JH118/12*L118,JH118/365*M118))</f>
        <v/>
      </c>
      <c r="JJ118" s="429" t="str">
        <f>IF(A118=FALSE,"",IF(Cotations!BF118="","",Cotations!BF118))</f>
        <v/>
      </c>
      <c r="JK118" s="292" t="str">
        <f t="shared" si="524"/>
        <v/>
      </c>
      <c r="JL118" s="292" t="str">
        <f t="shared" si="525"/>
        <v/>
      </c>
      <c r="JM118" s="759" t="str">
        <f t="shared" si="526"/>
        <v/>
      </c>
      <c r="JN118" s="759" t="str">
        <f>IF(A118=FALSE,"",((JH118*TAXE)-(JH118*TAXE*JJ118))+IF(#REF!="N/A",0,IF(INDEX(LISTES!$F$105:$F$109,MATCH(#REF!,LISTES!$C$105:$C$109,0))="FIX",#REF!,#REF!*JM118)))</f>
        <v/>
      </c>
      <c r="KA118" s="432" t="str">
        <f>IF(A118=FALSE,"",Cotations!AT118)</f>
        <v/>
      </c>
      <c r="KB118" s="1234" t="str">
        <f>IF(A118=FALSE,"",IF(Detail!BJ118="","N/A",YEAR(Detail!F118)&amp;Detail!BM118&amp;Detail!BJ118&amp;"-"&amp;Detail!$BJ$13&amp;Detail!BK118))</f>
        <v/>
      </c>
      <c r="KC118" s="431" t="str">
        <f>IF(A118=FALSE,"",IF(LISTES!$A$17=1,KB118,INDEX(colMOD3,MATCH(DA118,colchoice,0))))</f>
        <v/>
      </c>
      <c r="KD118" s="759" t="str">
        <f t="shared" si="527"/>
        <v/>
      </c>
      <c r="KE118" s="292"/>
      <c r="KF118" s="409" t="str">
        <f t="shared" si="528"/>
        <v/>
      </c>
      <c r="KG118" s="430" t="str">
        <f>IF(A118=FALSE,"",IF(KA118="POEA",Cotations!BG118,IF(KA118="FIXE",Cotations!BH118,IF(Cotations!BI118*Y118&lt;50000,Z118,Cotations!BI118*Y118))))</f>
        <v/>
      </c>
      <c r="KH118" s="292" t="str">
        <f t="shared" si="529"/>
        <v/>
      </c>
      <c r="KI118" s="446" t="str">
        <f>IF(A118=FALSE,"",IF(Cotations!AU118="monthly",KH118/12*L118,KH118/365*M118))</f>
        <v/>
      </c>
      <c r="KJ118" s="429" t="str">
        <f>IF(A118=FALSE,"",IF(Cotations!BJ118="","",Cotations!BJ118))</f>
        <v/>
      </c>
      <c r="KK118" s="292" t="str">
        <f t="shared" si="530"/>
        <v/>
      </c>
      <c r="KL118" s="292" t="str">
        <f t="shared" si="531"/>
        <v/>
      </c>
      <c r="KM118" s="759" t="str">
        <f t="shared" si="532"/>
        <v/>
      </c>
      <c r="KN118" s="759" t="str">
        <f>IF(A118=FALSE,"",((KH118*TAXE)-(KH118*TAXE*KJ118))+IF(#REF!="N/A",0,IF(INDEX(LISTES!$F$105:$F$109,MATCH(#REF!,LISTES!$C$105:$C$109,0))="FIX",#REF!,#REF!*KM118)))</f>
        <v/>
      </c>
      <c r="LA118" s="432" t="str">
        <f>IF(A118=FALSE,"",Cotations!AT118)</f>
        <v/>
      </c>
      <c r="LB118" s="1234" t="str">
        <f>IF(A118=FALSE,"",IF(Detail!BR118="","N/A",YEAR(Detail!F118)&amp;Detail!BU118&amp;Detail!BR118&amp;"-"&amp;Detail!$BR$13&amp;Detail!BS118))</f>
        <v/>
      </c>
      <c r="LC118" s="431" t="str">
        <f>IF(A118=FALSE,"",IF(LISTES!$A$17=1,LB118,INDEX(colMOD4,MATCH(DA118,colchoice,0))))</f>
        <v/>
      </c>
      <c r="LD118" s="759" t="str">
        <f t="shared" si="533"/>
        <v/>
      </c>
      <c r="LE118" s="292"/>
      <c r="LF118" s="409" t="str">
        <f t="shared" si="534"/>
        <v/>
      </c>
      <c r="LG118" s="430" t="str">
        <f>IF(A118=FALSE,"",IF(LA118="POEA",Cotations!BK118,IF(LA118="FIXE",Cotations!BL118,IF(Cotations!BM118*Y118&lt;50000,Z118,Cotations!BM118*Y118))))</f>
        <v/>
      </c>
      <c r="LH118" s="292" t="str">
        <f t="shared" si="535"/>
        <v/>
      </c>
      <c r="LI118" s="446" t="str">
        <f>IF(A118=FALSE,"",IF(Cotations!AU118="monthly",LH118/12*L118,LH118/365*M118))</f>
        <v/>
      </c>
      <c r="LJ118" s="429" t="str">
        <f>IF(A118=FALSE,"",IF(Cotations!BN118="","",Cotations!BN118))</f>
        <v/>
      </c>
      <c r="LK118" s="292" t="str">
        <f t="shared" si="536"/>
        <v/>
      </c>
      <c r="LL118" s="292" t="str">
        <f t="shared" si="537"/>
        <v/>
      </c>
      <c r="LM118" s="759" t="str">
        <f t="shared" si="538"/>
        <v/>
      </c>
      <c r="LN118" s="759" t="str">
        <f>IF(A118=FALSE,"",((LH118*TAXE)-(LH118*TAXE*LJ118))+IF(#REF!="N/A",0,IF(INDEX(LISTES!$F$105:$F$109,MATCH(#REF!,LISTES!$C$105:$C$109,0))="FIX",#REF!,#REF!*LM118)))</f>
        <v/>
      </c>
      <c r="MA118" s="432" t="str">
        <f t="shared" si="539"/>
        <v/>
      </c>
      <c r="MB118" s="1234" t="str">
        <f>IF(A118=FALSE,"",IF(Detail!BZ118="","N/A",YEAR(Detail!F118)&amp;Detail!CC118&amp;Detail!BZ118&amp;"-"&amp;Detail!$BZ$13&amp;" (100%/"&amp;Detail!CD118&amp;"/"&amp;Detail!CE118&amp;")"))</f>
        <v/>
      </c>
      <c r="MC118" s="431" t="str">
        <f>IF(A118=FALSE,"",IF(LISTES!$A$17=1,MB118,INDEX(colMOD5,MATCH(DA118,colchoice,0))))</f>
        <v/>
      </c>
      <c r="MD118" s="759" t="str">
        <f t="shared" si="540"/>
        <v/>
      </c>
      <c r="ME118" s="292"/>
      <c r="MF118" s="409" t="str">
        <f t="shared" si="541"/>
        <v/>
      </c>
      <c r="MG118" s="430" t="str">
        <f>IF(A118=FALSE,"",Cotations!BQ118*AA118)</f>
        <v/>
      </c>
      <c r="MH118" s="292" t="str">
        <f t="shared" si="542"/>
        <v/>
      </c>
      <c r="MI118" s="446" t="str">
        <f>IF(A118=FALSE,"",IF(Cotations!AU118="monthly",MH118/12*L118,MH118/365*M118))</f>
        <v/>
      </c>
      <c r="MJ118" s="429" t="str">
        <f>IF(A118=FALSE,"",IF(Cotations!BR118="","",Cotations!BR118))</f>
        <v/>
      </c>
      <c r="MK118" s="292" t="str">
        <f t="shared" si="543"/>
        <v/>
      </c>
      <c r="ML118" s="292" t="str">
        <f t="shared" si="544"/>
        <v/>
      </c>
      <c r="MM118" s="759" t="str">
        <f t="shared" si="545"/>
        <v/>
      </c>
      <c r="MN118" s="759" t="str">
        <f>IF(A118=FALSE,"",((MH118*TAXE)-(MH118*TAXE*MJ118))+IF(#REF!="N/A",0,IF(INDEX(LISTES!$F$105:$F$109,MATCH(#REF!,LISTES!$C$105:$C$109,0))="FIX",#REF!,#REF!*MM118)))</f>
        <v/>
      </c>
      <c r="NA118" s="432" t="str">
        <f t="shared" si="546"/>
        <v/>
      </c>
      <c r="NB118" s="1234" t="str">
        <f>IF(A118=FALSE,"",IF(Detail!CH118="","N/A",YEAR(Detail!F118)&amp;Detail!CK118&amp;Detail!CH118&amp;"-"&amp;Detail!$CH$13&amp;" (100%/"&amp;Detail!CL118&amp;"/"&amp;Detail!CM118&amp;")"))</f>
        <v/>
      </c>
      <c r="NC118" s="431" t="str">
        <f>IF(A118=FALSE,"",IF(LISTES!$A$17=1,NB118,INDEX(colMOD6,MATCH(DA118,colchoice,0))))</f>
        <v/>
      </c>
      <c r="ND118" s="759" t="str">
        <f t="shared" si="547"/>
        <v/>
      </c>
      <c r="NE118" s="292"/>
      <c r="NF118" s="409" t="str">
        <f t="shared" si="548"/>
        <v/>
      </c>
      <c r="NG118" s="430" t="str">
        <f>IF(A118=FALSE,"",Cotations!BU118*AA118)</f>
        <v/>
      </c>
      <c r="NH118" s="292" t="str">
        <f t="shared" si="549"/>
        <v/>
      </c>
      <c r="NI118" s="446" t="str">
        <f>IF(A118=FALSE,"",IF(Cotations!AU118="monthly",NH118/12*L118,NH118/365*M118))</f>
        <v/>
      </c>
      <c r="NJ118" s="429" t="str">
        <f>IF(A118=FALSE,"",IF(Cotations!BV118="","",Cotations!BV118))</f>
        <v/>
      </c>
      <c r="NK118" s="292" t="str">
        <f t="shared" si="550"/>
        <v/>
      </c>
      <c r="NL118" s="292" t="str">
        <f t="shared" si="551"/>
        <v/>
      </c>
      <c r="NM118" s="759" t="str">
        <f t="shared" si="552"/>
        <v/>
      </c>
      <c r="NN118" s="759" t="str">
        <f>IF(A118=FALSE,"",((NH118*TAXE)-(NH118*TAXE*NJ118))+IF(#REF!="N/A",0,IF(INDEX(LISTES!$F$105:$F$109,MATCH(#REF!,LISTES!$C$105:$C$109,0))="FIX",#REF!,#REF!*NM118)))</f>
        <v/>
      </c>
      <c r="NZ118" s="1281" t="str">
        <f>IF(A118=FALSE,"",IF(Detail!CP118="","N/A",YEAR(Detail!F118)&amp;Detail!CS118&amp;Detail!CP118&amp;"-"&amp;Detail!CQ118))</f>
        <v/>
      </c>
      <c r="OA118" s="432" t="str">
        <f>IF(A118=FALSE,"",Cotations!CF118)</f>
        <v/>
      </c>
      <c r="OB118" s="1282" t="str">
        <f>IF(A118=FALSE,"",IF(Detail!CP118="","N/A",YEAR(Detail!F118)&amp;Detail!CS118&amp;Detail!CP118&amp;"-"&amp;Detail!$CP$13&amp;Detail!CQ118))</f>
        <v/>
      </c>
      <c r="OC118" s="1283" t="str">
        <f>IF(A118=FALSE,"",IF(LISTES!$A$17=1,OB118,INDEX(colMOD1,MATCH(Cotations!CE118,colchoice,0))))</f>
        <v/>
      </c>
      <c r="OD118" s="759" t="str">
        <f t="shared" si="553"/>
        <v/>
      </c>
      <c r="OE118" s="292" t="str">
        <f>IF(A118=FALSE,"",Detail!CQ118)</f>
        <v/>
      </c>
      <c r="OF118" s="409" t="str">
        <f t="shared" si="554"/>
        <v/>
      </c>
      <c r="OG118" s="430" t="str">
        <f>IF(A118=FALSE,"",IF(OA118="FIXE",Cotations!CM118,Cotations!CN118*AA118))</f>
        <v/>
      </c>
      <c r="OH118" s="292" t="str">
        <f t="shared" si="494"/>
        <v/>
      </c>
      <c r="OI118" s="446" t="str">
        <f>IF(A118=FALSE,"",IF(Cotations!CF118="monthly",OH118/12*L118,OH118/365*M118))</f>
        <v/>
      </c>
      <c r="OJ118" s="429" t="str">
        <f>IF(A118=FALSE,"",IF(Cotations!CO118="","",Cotations!CO118))</f>
        <v/>
      </c>
      <c r="OK118" s="292" t="str">
        <f t="shared" si="495"/>
        <v/>
      </c>
      <c r="OL118" s="292" t="str">
        <f t="shared" si="496"/>
        <v/>
      </c>
      <c r="OM118" s="759" t="str">
        <f t="shared" si="555"/>
        <v/>
      </c>
      <c r="ON118" s="759" t="str">
        <f>IF(A118=FALSE,"",((OH118*(1+TAXE)-(OH118*(1+TAXE)*OJ118))+IF(#REF!="N/A",0,IF(INDEX(LISTES!$F$105:$F$109,MATCH(#REF!,LISTES!$C$105:$C$109,0))="FIX",#REF!,#REF!*OM118))))</f>
        <v/>
      </c>
      <c r="PA118" s="432" t="str">
        <f>IF(A118=FALSE,"",Cotations!CF118)</f>
        <v/>
      </c>
      <c r="PB118" s="1282" t="str">
        <f>IF(A118=FALSE,"",IF(Detail!CX118="","N/A",YEAR(Detail!F118)&amp;Detail!DA118&amp;Detail!CX118&amp;"-"&amp;Detail!$CX$13&amp;Detail!CY118))</f>
        <v/>
      </c>
      <c r="PC118" s="1283" t="str">
        <f>IF(A118=FALSE,"",IF(LISTES!$A$17=1,PB118,INDEX(colMOD3,MATCH(Cotations!CE118,colchoice,0))))</f>
        <v/>
      </c>
      <c r="PD118" s="759" t="str">
        <f t="shared" si="556"/>
        <v/>
      </c>
      <c r="PE118" s="292" t="str">
        <f>IF(A118=FALSE,"",IF(Detail!CY118="","",Detail!CY118))</f>
        <v/>
      </c>
      <c r="PF118" s="409" t="str">
        <f t="shared" si="497"/>
        <v/>
      </c>
      <c r="PG118" s="430" t="str">
        <f>IF(A118=FALSE,"",IF(PA118="FIXE",Cotations!CP118,Cotations!CQ118*AA118))</f>
        <v/>
      </c>
      <c r="PH118" s="292" t="str">
        <f t="shared" si="498"/>
        <v/>
      </c>
      <c r="PI118" s="446" t="str">
        <f>IF(A118=FALSE,"",IF(Cotations!CG118="monthly",PH118/12*L118,PH118/365*M118))</f>
        <v/>
      </c>
      <c r="PJ118" s="429" t="str">
        <f>IF(A118=FALSE,"",IF(Cotations!DA118="",0,Cotations!DA118))</f>
        <v/>
      </c>
      <c r="PK118" s="292" t="str">
        <f t="shared" si="499"/>
        <v/>
      </c>
      <c r="PL118" s="292" t="str">
        <f t="shared" si="500"/>
        <v/>
      </c>
      <c r="PM118" s="759" t="str">
        <f t="shared" si="557"/>
        <v/>
      </c>
      <c r="PN118" s="759" t="str">
        <f>IF(A118=FALSE,"",((PH118*(1+TAXE)-(PH118*(1+TAXE)*PJ118))+IF(#REF!="N/A",0,IF(INDEX(LISTES!$F$105:$F$109,MATCH(#REF!,LISTES!$C$105:$C$109,0))="FIX",#REF!,#REF!*PM118))))</f>
        <v/>
      </c>
    </row>
    <row r="119" spans="1:430">
      <c r="A119" s="779" t="b">
        <f t="shared" si="501"/>
        <v>0</v>
      </c>
      <c r="B119" s="779" t="b">
        <f>IF(NAMES!$B$9=TRUE,TRUE,FALSE)</f>
        <v>1</v>
      </c>
      <c r="C119" s="779" t="b">
        <f t="shared" si="421"/>
        <v>0</v>
      </c>
      <c r="D119" s="779" t="b">
        <f t="shared" si="422"/>
        <v>0</v>
      </c>
      <c r="E119" s="267" t="b">
        <f>IF(Cotations!C119="","",Cotations!C119)</f>
        <v>0</v>
      </c>
      <c r="F119" s="267" t="str">
        <f>IF(Cotations!AT119="","",Cotations!AT119)</f>
        <v>PROP</v>
      </c>
      <c r="G119" s="267" t="str">
        <f>IF(Cotations!D119="","",Cotations!D119)</f>
        <v>2016-2017!</v>
      </c>
      <c r="H119" s="267" t="str">
        <f>IF(Cotations!E119="","",Cotations!E119)</f>
        <v/>
      </c>
      <c r="I119" s="267" t="str">
        <f>IF(Cotations!F119="","",Cotations!F119)</f>
        <v/>
      </c>
      <c r="J119" s="267" t="str">
        <f>IF(Cotations!G119="","",Cotations!G119)</f>
        <v/>
      </c>
      <c r="K119" s="267" t="str">
        <f>IF(Cotations!H119="","",Cotations!H119)</f>
        <v/>
      </c>
      <c r="L119" s="267" t="str">
        <f>IF(A119=FALSE,"",IF(Cotations!M119="","",Cotations!M119))</f>
        <v/>
      </c>
      <c r="M119" s="267" t="str">
        <f>IF(Cotations!O119="","",Cotations!O119)</f>
        <v/>
      </c>
      <c r="N119" s="588" t="str">
        <f>IF(NAMES!$B$10=TRUE,Cotations!I119,Cotations!K119)</f>
        <v/>
      </c>
      <c r="O119" s="588" t="str">
        <f>IF(NAMES!$B$10=TRUE,Cotations!J119,Cotations!L119)</f>
        <v/>
      </c>
      <c r="P119" s="780" t="str">
        <f t="shared" si="423"/>
        <v/>
      </c>
      <c r="Q119" s="588" t="str">
        <f>IF(A119=FALSE,"",IF(Crewlist!Y119="","",Crewlist!Y119))</f>
        <v/>
      </c>
      <c r="R119" s="78" t="str">
        <f>IF(Cotations!T119="","",Cotations!T119)</f>
        <v/>
      </c>
      <c r="S119" s="780" t="str">
        <f t="shared" si="424"/>
        <v/>
      </c>
      <c r="T119" s="759" t="str">
        <f>IF(A119=FALSE,"",VLOOKUP($U$15:$U$120,Currency!$A$2:$D$10,4,0)*Crewlist!N119)</f>
        <v/>
      </c>
      <c r="U119" s="1097" t="str">
        <f>IF(A119=FALSE,"",IF(DP119=0,Crewlist!M119&amp;"/"&amp;CP119,Crewlist!M119&amp;"/"&amp;DP119))</f>
        <v/>
      </c>
      <c r="V119" s="759" t="str">
        <f>IF(A119=FALSE,"",VLOOKUP($U$15:$U$120,Currency!$A$2:$D$10,4,0)*Detail!Q119)</f>
        <v/>
      </c>
      <c r="W119" s="1097" t="str">
        <f>IF(A119=FALSE,"",IF(DP119=0,Detail!R119&amp;"/"&amp;CP119,Detail!R119&amp;"/"&amp;DP119))</f>
        <v/>
      </c>
      <c r="X119" s="759" t="str">
        <f>IF(A119=FALSE,"",IF(LISTES!$C$17="Crewlist",Calcul!T119,Calcul!V119))</f>
        <v/>
      </c>
      <c r="Y119" s="618" t="str">
        <f t="shared" si="425"/>
        <v/>
      </c>
      <c r="Z119" s="618" t="str">
        <f>IF(A119=FALSE,"",IF(X119=0,0,IF((Cotations!BA119*12*X119)&lt;50000,50000,(12*X119))))</f>
        <v/>
      </c>
      <c r="AA119" s="618" t="str">
        <f t="shared" si="426"/>
        <v/>
      </c>
      <c r="AB119" s="618" t="str">
        <f>IF(A119=FALSE,"",IF(Crewlist!O119=0,"",Crewlist!O119))</f>
        <v/>
      </c>
      <c r="AC119" s="618" t="str">
        <f>IF(I119="","",VLOOKUP($AB$15:$AB$120,Currency!$A$15:$B$34,2,0))</f>
        <v/>
      </c>
      <c r="AD119" s="618" t="str">
        <f t="shared" si="427"/>
        <v/>
      </c>
      <c r="AE119" s="618" t="str">
        <f t="shared" si="428"/>
        <v/>
      </c>
      <c r="AF119" s="618" t="str">
        <f t="shared" si="429"/>
        <v/>
      </c>
      <c r="AG119" s="618" t="str">
        <f t="shared" si="430"/>
        <v/>
      </c>
      <c r="AH119" s="1097" t="str">
        <f t="shared" si="502"/>
        <v/>
      </c>
      <c r="AI119" s="759" t="str">
        <f t="shared" si="431"/>
        <v/>
      </c>
      <c r="AJ119" s="1120" t="str">
        <f t="shared" si="432"/>
        <v/>
      </c>
      <c r="AK119" s="1120" t="str">
        <f t="shared" si="433"/>
        <v/>
      </c>
      <c r="AL119" s="236" t="str">
        <f t="shared" si="434"/>
        <v/>
      </c>
      <c r="AM119" s="236" t="str">
        <f t="shared" si="435"/>
        <v/>
      </c>
      <c r="AN119" s="1112" t="str">
        <f t="shared" si="436"/>
        <v/>
      </c>
      <c r="AO119" s="236" t="str">
        <f t="shared" si="437"/>
        <v/>
      </c>
      <c r="AP119" s="327" t="str">
        <f>IF(A119=FALSE,"",INDEX(Rates!$Q$1:$Q$278,MATCH(CA119,colchoice,0)))</f>
        <v/>
      </c>
      <c r="AQ119" s="236" t="str">
        <f t="shared" si="438"/>
        <v/>
      </c>
      <c r="AR119" s="236" t="str">
        <f t="shared" si="439"/>
        <v/>
      </c>
      <c r="AS119" s="236" t="str">
        <f t="shared" si="503"/>
        <v/>
      </c>
      <c r="AT119" s="236" t="str">
        <f t="shared" si="504"/>
        <v/>
      </c>
      <c r="AU119" s="236" t="str">
        <f t="shared" si="440"/>
        <v/>
      </c>
      <c r="AV119" s="236" t="str">
        <f t="shared" si="441"/>
        <v/>
      </c>
      <c r="AW119" s="236" t="str">
        <f t="shared" si="442"/>
        <v/>
      </c>
      <c r="AX119" s="236" t="str">
        <f t="shared" si="443"/>
        <v/>
      </c>
      <c r="AY119" s="236" t="str">
        <f t="shared" si="444"/>
        <v/>
      </c>
      <c r="AZ119" s="236" t="str">
        <f t="shared" si="445"/>
        <v/>
      </c>
      <c r="BA119" s="236" t="str">
        <f t="shared" si="446"/>
        <v/>
      </c>
      <c r="BB119" s="467" t="str">
        <f t="shared" si="447"/>
        <v/>
      </c>
      <c r="BC119" s="329" t="str">
        <f t="shared" si="448"/>
        <v/>
      </c>
      <c r="BD119" s="237" t="str">
        <f t="shared" si="449"/>
        <v/>
      </c>
      <c r="BE119" s="237" t="str">
        <f>IF(A119=FALSE,"",IF(ED119&lt;&gt;$BC$7,0,INDEX(EA119:EZ119,1,MATCH(Structure!$J$16,$EA$14:$EZ$14,0))))</f>
        <v/>
      </c>
      <c r="BF119" s="237" t="str">
        <f>IF(A119=FALSE,"",IF(FD119&lt;&gt;$BC$7,0,INDEX(FA119:FZ119,1,MATCH(Structure!$J$16,$FA$14:$FZ$14,0))))</f>
        <v/>
      </c>
      <c r="BG119" s="237" t="str">
        <f>IF(A119=FALSE,"",IF(GD119&lt;&gt;$BC$7,0,INDEX(GA119:GZ119,1,MATCH(Structure!$J$16,$GA$14:$GZ$14,0))))</f>
        <v/>
      </c>
      <c r="BH119" s="237" t="str">
        <f>IF(A119=FALSE,"",IF(HD119&lt;&gt;$BC$7,0,INDEX(HA119:HZ119,1,MATCH(Structure!$J$16,$HA$14:$HZ$14,0))))</f>
        <v/>
      </c>
      <c r="BI119" s="621" t="str">
        <f>IF(A119=FALSE,"",IF(ID119&lt;&gt;$BC$7,0,INDEX(IA119:IZ119,1,MATCH(Structure!$C$12,$IA$14:$IZ$14,0)))+OL119)</f>
        <v/>
      </c>
      <c r="BJ119" s="237" t="str">
        <f>IF(A119=FALSE,"",IF(JD119&lt;&gt;$BC$7,0,INDEX(JA119:JZ119,1,MATCH(Structure!$C$12,$JA$14:$JZ$14,0))))</f>
        <v/>
      </c>
      <c r="BK119" s="621" t="str">
        <f>IF(A119=FALSE,"",IF(KD119&lt;&gt;$BC$7,0,INDEX(KA119:KZ119,1,MATCH(Structure!$C$12,$KA$14:$KZ$14,0)))+PL119)</f>
        <v/>
      </c>
      <c r="BL119" s="237" t="str">
        <f>IF(A119=FALSE,"",IF(LD119&lt;&gt;$BC$7,0,INDEX(LA119:LZ119,1,MATCH(Structure!$C$12,$LA$14:$LZ$14,0))))</f>
        <v/>
      </c>
      <c r="BM119" s="237" t="str">
        <f>IF(A119=FALSE,"",IF(MD119&lt;&gt;$BC$7,0,INDEX(MA119:MZ119,1,MATCH(Structure!$C$12,$MA$14:$MZ$14,0))))</f>
        <v/>
      </c>
      <c r="BN119" s="326" t="str">
        <f>IF(A119=FALSE,"",IF(ND119&lt;&gt;$BC$7,0,INDEX(NA119:OC119,1,MATCH(Structure!$C$12,$NA$14:$OC$14,0))))</f>
        <v/>
      </c>
      <c r="BO119" s="435" t="str">
        <f t="shared" si="450"/>
        <v/>
      </c>
      <c r="BP119" s="237" t="str">
        <f t="shared" si="451"/>
        <v/>
      </c>
      <c r="BQ119" s="237" t="str">
        <f>IF(A119=FALSE,"",IF(ED119&lt;&gt;$BO$7,0,INDEX(EA119:EZ119,1,MATCH(Structure!$C$12,$EA$14:$EZ$14,0))))</f>
        <v/>
      </c>
      <c r="BR119" s="237" t="str">
        <f>IF(A119=FALSE,"",IF(FD119&lt;&gt;$BO$7,0,INDEX(FA119:FZ119,1,MATCH(Structure!$C$12,$FA$14:$FZ$14,0))))</f>
        <v/>
      </c>
      <c r="BS119" s="237" t="str">
        <f>IF(A119=FALSE,"",IF(ID119&lt;&gt;$BO$7,0,INDEX(IA119:IZ119,1,MATCH(Structure!$C$13,$IA$14:$IZ$14,0))))</f>
        <v/>
      </c>
      <c r="BT119" s="237" t="str">
        <f>IF(A119=FALSE,"",IF(JD119&lt;&gt;$BO$7,0,INDEX(JA119:JZ119,1,MATCH(Structure!$C$13,$JA$14:$JZ$14,0))))</f>
        <v/>
      </c>
      <c r="BU119" s="237" t="str">
        <f>IF(A119=FALSE,"",IF(KD119&lt;&gt;$BO$7,0,INDEX(KA119:KZ119,1,MATCH(Structure!$C$13,$KA$14:$KZ$14,0))))</f>
        <v/>
      </c>
      <c r="BV119" s="237" t="str">
        <f>IF(A119=FALSE,"",IF(LD119&lt;&gt;$BO$7,0,INDEX(LA119:LZ119,1,MATCH(Structure!$C$13,$LA$14:$LZ$14,0))))</f>
        <v/>
      </c>
      <c r="BW119" s="237" t="str">
        <f>IF(A119=FALSE,"",IF(MD119&lt;&gt;$BO$7,0,INDEX(MA119:MZ119,1,MATCH(Structure!$C$13,$MA$14:$MZ$14,0))))</f>
        <v/>
      </c>
      <c r="BX119" s="326" t="str">
        <f>IF(A119=FALSE,"",IF(ND119&lt;&gt;$BO$7,0,INDEX(NA119:OC119,1,MATCH(Structure!$C$13,$NA$14:$OC$14,0))))</f>
        <v/>
      </c>
      <c r="BY119" s="412"/>
      <c r="BZ119" s="412"/>
      <c r="CA119" s="1255" t="str">
        <f>IF(A119=FALSE,"",IF(LISTES!$A$17=1,Cotations!AG119,Cotations!AH119))</f>
        <v/>
      </c>
      <c r="CB119" s="1266" t="str">
        <f t="shared" si="452"/>
        <v/>
      </c>
      <c r="CC119" s="1120" t="str">
        <f t="shared" si="453"/>
        <v/>
      </c>
      <c r="CD119" s="1120" t="str">
        <f t="shared" si="454"/>
        <v/>
      </c>
      <c r="CE119" s="1120" t="str">
        <f t="shared" si="455"/>
        <v/>
      </c>
      <c r="CF119" s="1120" t="str">
        <f t="shared" si="456"/>
        <v/>
      </c>
      <c r="CG119" s="1267"/>
      <c r="CH119" s="1267"/>
      <c r="CI119" s="1268" t="str">
        <f t="shared" si="457"/>
        <v/>
      </c>
      <c r="CJ119" s="286" t="str">
        <f t="shared" si="458"/>
        <v/>
      </c>
      <c r="CK119" s="286" t="str">
        <f t="shared" si="459"/>
        <v/>
      </c>
      <c r="CL119" s="1263"/>
      <c r="CM119" s="1263"/>
      <c r="CN119" s="1263"/>
      <c r="CO119" s="1263"/>
      <c r="CP119" s="319" t="str">
        <f t="shared" si="460"/>
        <v/>
      </c>
      <c r="CQ119" s="443" t="str">
        <f>IF(A119=FALSE,"",Cotations!AM119)</f>
        <v/>
      </c>
      <c r="CR119" s="443" t="str">
        <f>IF(A119=FALSE,"",IF(Cotations!AN119="","",Cotations!AN119))</f>
        <v/>
      </c>
      <c r="CS119" s="433" t="str">
        <f>IF(A119=FALSE,"",Cotations!AO119)</f>
        <v/>
      </c>
      <c r="CT119" s="443" t="str">
        <f>IF(A119=FALSE,"",IF(CQ119="N/A",0,IF(INDEX(LISTES!$F$105:$F$109,MATCH(CQ119,LISTES!$C$105:$C$109,0))="FIX",IF(INDEX(LISTES!$E$105:$E$109,MATCH(CQ119,LISTES!$C$105:$C$109,0))=12,CR119/12*L119,CR119/365*M119),CS119*EQ119)))</f>
        <v/>
      </c>
      <c r="CU119" s="434" t="str">
        <f>IF(A119=FALSE,"",(CJ119+CK119)*Cotations!AP119)</f>
        <v/>
      </c>
      <c r="CV119" s="434" t="str">
        <f>IF(A119=FALSE,"",(CJ119+CK119)*Cotations!AQ119)</f>
        <v/>
      </c>
      <c r="DA119" s="1253" t="str">
        <f>IF(A119=FALSE,"",IF(LISTES!$A$17=1,Cotations!AV119,Cotations!AW119))</f>
        <v/>
      </c>
      <c r="DB119" s="1271" t="str">
        <f t="shared" si="461"/>
        <v/>
      </c>
      <c r="DC119" s="1270" t="str">
        <f t="shared" si="462"/>
        <v/>
      </c>
      <c r="DD119" s="1270" t="str">
        <f t="shared" si="463"/>
        <v/>
      </c>
      <c r="DE119" s="1270" t="str">
        <f t="shared" si="464"/>
        <v/>
      </c>
      <c r="DF119" s="1270" t="str">
        <f t="shared" si="465"/>
        <v/>
      </c>
      <c r="DG119" s="1270" t="str">
        <f t="shared" si="466"/>
        <v/>
      </c>
      <c r="DH119" s="1270" t="str">
        <f t="shared" si="467"/>
        <v/>
      </c>
      <c r="DI119" s="1271" t="str">
        <f t="shared" si="468"/>
        <v/>
      </c>
      <c r="DJ119" s="286" t="str">
        <f t="shared" si="469"/>
        <v/>
      </c>
      <c r="DK119" s="286" t="str">
        <f t="shared" si="470"/>
        <v/>
      </c>
      <c r="DL119" s="1264" t="str">
        <f t="shared" si="471"/>
        <v/>
      </c>
      <c r="DM119" s="1264" t="str">
        <f t="shared" si="472"/>
        <v/>
      </c>
      <c r="DN119" s="1264" t="str">
        <f t="shared" si="473"/>
        <v/>
      </c>
      <c r="DO119" s="1264" t="str">
        <f t="shared" si="474"/>
        <v/>
      </c>
      <c r="DP119" s="323" t="str">
        <f t="shared" si="505"/>
        <v/>
      </c>
      <c r="DQ119" s="444" t="str">
        <f>IF(A119=FALSE,"",Cotations!BW119)</f>
        <v/>
      </c>
      <c r="DR119" s="444" t="str">
        <f>IF(A119=FALSE,"",Cotations!BX119)</f>
        <v/>
      </c>
      <c r="DS119" s="433" t="str">
        <f>IF(A119=FALSE,"",Cotations!BY119)</f>
        <v/>
      </c>
      <c r="DT119" s="830" t="str">
        <f>IF(A119=FALSE,"",IF(DQ119="N/A",0,IF(INDEX(LISTES!$F$105:$F$109,MATCH(DQ119,LISTES!$C$105:$C$109,0))="FIX",IF(INDEX(LISTES!$E$105:$E$109,MATCH(DQ119,LISTES!$C$105:$C$109,0))=12,DR119/12*L119,DR119/365*M119),DS119*(DN119+DO119))))</f>
        <v/>
      </c>
      <c r="DU119" s="434" t="str">
        <f>IF(A119=FALSE,"",DJ119*Cotations!BZ119)</f>
        <v/>
      </c>
      <c r="DV119" s="434" t="str">
        <f>IF(A119=FALSE,"",DJ119*Cotations!CA119)</f>
        <v/>
      </c>
      <c r="EA119" s="432" t="str">
        <f>IF(A119=FALSE,"",Cotations!AT119)</f>
        <v/>
      </c>
      <c r="EB119" s="1234" t="str">
        <f>IF(A119=FALSE,"",YEAR(Detail!F119)&amp;Detail!AG119&amp;Detail!AD119&amp;"-"&amp;Detail!$AD$13&amp;Detail!AE119)</f>
        <v/>
      </c>
      <c r="EC119" s="434" t="str">
        <f>IF(A119=FALSE,"",IF(LISTES!$A$17=1,EB119,INDEX(colMOD1,MATCH(Cotations!AH119,colchoice,0))))</f>
        <v/>
      </c>
      <c r="ED119" s="277" t="str">
        <f t="shared" si="506"/>
        <v/>
      </c>
      <c r="EE119" s="277" t="str">
        <f t="shared" si="507"/>
        <v/>
      </c>
      <c r="EF119" s="277"/>
      <c r="EG119" s="277"/>
      <c r="EH119" s="277" t="str">
        <f t="shared" si="508"/>
        <v/>
      </c>
      <c r="EI119" s="1104" t="str">
        <f t="shared" si="509"/>
        <v/>
      </c>
      <c r="EJ119" s="1104" t="str">
        <f t="shared" si="510"/>
        <v/>
      </c>
      <c r="EK119" s="443" t="str">
        <f>IF(A119=FALSE,"",IF(Cotations!AF119="monthly",EH119/12*L119,EH119/365*M119))</f>
        <v/>
      </c>
      <c r="EL119" s="1103" t="str">
        <f>IF(A119=FALSE,"",IF(Cotations!AF119="monthly",EJ119/12*L119,EJ119/365*M119))</f>
        <v/>
      </c>
      <c r="EM119" s="433" t="str">
        <f>IF(A119=FALSE,"",IF(Cotations!AI119="","",Cotations!AI119))</f>
        <v/>
      </c>
      <c r="EN119" s="277" t="str">
        <f t="shared" si="511"/>
        <v/>
      </c>
      <c r="EO119" s="277" t="str">
        <f t="shared" si="512"/>
        <v/>
      </c>
      <c r="EP119" s="1104" t="str">
        <f t="shared" si="513"/>
        <v/>
      </c>
      <c r="EQ119" s="277" t="str">
        <f t="shared" si="514"/>
        <v/>
      </c>
      <c r="ER119" s="759" t="str">
        <f>IF(A119=FALSE,"",((EH119*TAXE)-(EH119*TAXE*EM119)+EI119)+IF(CQ119="N/A",0,IF(INDEX(LISTES!$F$105:$F$109,MATCH(CQ119,LISTES!$C$105:$C$109,0))="FIX",CR119,CS119*EQ119)))</f>
        <v/>
      </c>
      <c r="ET119" s="422"/>
      <c r="EU119" s="422"/>
      <c r="EV119" s="422"/>
      <c r="EW119" s="422"/>
      <c r="EX119" s="422"/>
      <c r="EY119" s="422"/>
      <c r="EZ119" s="422"/>
      <c r="FA119" s="432" t="str">
        <f>IF(A119=FALSE,"",Cotations!AT119)</f>
        <v/>
      </c>
      <c r="FB119" s="1235" t="str">
        <f>IF(A119=FALSE,"",IF(Detail!AL119="","N/A",YEAR(Detail!F119)&amp;Detail!AO119&amp;Detail!AL119&amp;"-"&amp;Detail!$AL$13&amp;Detail!AM119))</f>
        <v/>
      </c>
      <c r="FC119" s="434" t="str">
        <f>IF(A119=FALSE,"",IF(LISTES!$A$17=1,Cotations!#REF!,Cotations!#REF!))</f>
        <v/>
      </c>
      <c r="FD119" s="277" t="str">
        <f t="shared" si="515"/>
        <v/>
      </c>
      <c r="FE119" s="443" t="str">
        <f>IF(A119=FALSE,"",IF(Detail!AM119="","",Detail!AM119))</f>
        <v/>
      </c>
      <c r="FF119" s="277"/>
      <c r="FG119" s="277"/>
      <c r="FH119" s="277" t="str">
        <f t="shared" si="516"/>
        <v/>
      </c>
      <c r="FI119" s="1104"/>
      <c r="FJ119" s="1104"/>
      <c r="FK119" s="443" t="str">
        <f>IF(A119=FALSE,"",IF(Cotations!AF119="monthly",FH119/12*L119,FH119/365*M119))</f>
        <v/>
      </c>
      <c r="FL119" s="1103" t="str">
        <f>IF(A119=FALSE,"",IF(Cotations!AF119="monthly",FJ119/12*L119,FJ119/365*M119))</f>
        <v/>
      </c>
      <c r="FM119" s="433" t="str">
        <f>IF(A119=FALSE,"",IF(Cotations!AJ119="","",Cotations!AJ119))</f>
        <v/>
      </c>
      <c r="FN119" s="277" t="str">
        <f t="shared" si="475"/>
        <v/>
      </c>
      <c r="FO119" s="277" t="str">
        <f t="shared" si="476"/>
        <v/>
      </c>
      <c r="FP119" s="1104"/>
      <c r="FQ119" s="277" t="str">
        <f t="shared" si="477"/>
        <v/>
      </c>
      <c r="FR119" s="759" t="str">
        <f>IF(A119=FALSE,"",((FH119*TAXE)-(FH119*TAXE*FM119))+IF(#REF!="N/A",0,IF(INDEX(LISTES!$F$105:$F$109,MATCH(#REF!,LISTES!$C$105:$C$109,0))="FIX",#REF!,#REF!*FQ119)))</f>
        <v/>
      </c>
      <c r="FS119" s="422"/>
      <c r="FT119" s="422"/>
      <c r="FU119" s="422"/>
      <c r="FV119" s="422"/>
      <c r="FW119" s="422"/>
      <c r="FX119" s="422"/>
      <c r="FY119" s="422"/>
      <c r="FZ119" s="422"/>
      <c r="GA119" s="432" t="str">
        <f t="shared" si="517"/>
        <v/>
      </c>
      <c r="GB119" s="1234" t="str">
        <f>IF(A119=FALSE,"",IF(Detail!DF119="","N/A",YEAR(Detail!F119)&amp;Detail!DI119&amp;Detail!DF119&amp;"-"&amp;Detail!$DF$13))</f>
        <v/>
      </c>
      <c r="GC119" s="434" t="str">
        <f>IF(A119=FALSE,"",IF(LISTES!$A$17=1,GB119,INDEX(colMOD3,MATCH(Cotations!AH119,colchoice,0))))</f>
        <v/>
      </c>
      <c r="GD119" s="277" t="str">
        <f t="shared" si="518"/>
        <v/>
      </c>
      <c r="GE119" s="277" t="str">
        <f t="shared" si="519"/>
        <v/>
      </c>
      <c r="GF119" s="277"/>
      <c r="GG119" s="277"/>
      <c r="GH119" s="277" t="str">
        <f t="shared" si="478"/>
        <v/>
      </c>
      <c r="GI119" s="1104" t="str">
        <f t="shared" si="479"/>
        <v/>
      </c>
      <c r="GJ119" s="1104" t="str">
        <f t="shared" si="480"/>
        <v/>
      </c>
      <c r="GK119" s="443" t="str">
        <f>IF(A119=FALSE,"",IF(Cotations!AF119="monthly",GH119/12*L119,GH119/365*M119))</f>
        <v/>
      </c>
      <c r="GL119" s="1103" t="str">
        <f>IF(A119=FALSE,"",IF(Cotations!AF119="monthly",GJ119/12*L119,GJ119/365*M119))</f>
        <v/>
      </c>
      <c r="GM119" s="433" t="str">
        <f>IF(A119=FALSE,"",IF(Cotations!AK119="","",Cotations!AK119))</f>
        <v/>
      </c>
      <c r="GN119" s="277" t="str">
        <f t="shared" si="481"/>
        <v/>
      </c>
      <c r="GO119" s="277" t="str">
        <f t="shared" si="482"/>
        <v/>
      </c>
      <c r="GP119" s="1104" t="str">
        <f t="shared" si="483"/>
        <v/>
      </c>
      <c r="GQ119" s="277" t="str">
        <f t="shared" si="484"/>
        <v/>
      </c>
      <c r="GR119" s="759" t="str">
        <f>IF(A119=FALSE,"",((GH119*TAXE)-(GH119*TAXE*GM119)+GI119)+IF(CQ119="N/A",0,IF(INDEX(LISTES!$F$105:$F$109,MATCH(CQ119,LISTES!$C$105:$C$109,0))="FIX",CR119,CS119*GQ119)))</f>
        <v/>
      </c>
      <c r="GS119" s="412"/>
      <c r="GT119" s="412"/>
      <c r="GU119" s="412"/>
      <c r="GV119" s="412"/>
      <c r="GW119" s="412"/>
      <c r="GX119" s="412"/>
      <c r="GY119" s="412"/>
      <c r="GZ119" s="412"/>
      <c r="HA119" s="432" t="str">
        <f t="shared" si="520"/>
        <v/>
      </c>
      <c r="HB119" s="1234" t="str">
        <f>IF(A119=FALSE,"",IF(Detail!DF119="","N/A",YEAR(Detail!F119)&amp;Detail!DI119&amp;Detail!DF119&amp;"-"&amp;Detail!$DF$13))</f>
        <v/>
      </c>
      <c r="HC119" s="434" t="str">
        <f>IF(A119=FALSE,"",IF(LISTES!$A$17=1,HB119,INDEX(colMOD4,MATCH(Cotations!AH119,colchoice,0))))</f>
        <v/>
      </c>
      <c r="HD119" s="277" t="str">
        <f t="shared" si="485"/>
        <v/>
      </c>
      <c r="HE119" s="277" t="str">
        <f t="shared" si="486"/>
        <v/>
      </c>
      <c r="HF119" s="277"/>
      <c r="HG119" s="277"/>
      <c r="HH119" s="277" t="str">
        <f t="shared" si="487"/>
        <v/>
      </c>
      <c r="HI119" s="1104" t="str">
        <f t="shared" si="488"/>
        <v/>
      </c>
      <c r="HJ119" s="1104" t="str">
        <f t="shared" si="489"/>
        <v/>
      </c>
      <c r="HK119" s="443" t="str">
        <f>IF(A119=FALSE,"",IF(Cotations!AF119="monthly",HH119/12*L119,HH119/365*M119))</f>
        <v/>
      </c>
      <c r="HL119" s="1103" t="str">
        <f>IF(A119=FALSE,"",IF(Cotations!AF119="monthly",HJ119/12*L119,HJ119/365*M119))</f>
        <v/>
      </c>
      <c r="HM119" s="433" t="str">
        <f>IF(A119=FALSE,"",IF(Cotations!AL119="","",Cotations!AL119))</f>
        <v/>
      </c>
      <c r="HN119" s="277" t="str">
        <f t="shared" si="490"/>
        <v/>
      </c>
      <c r="HO119" s="277" t="str">
        <f t="shared" si="491"/>
        <v/>
      </c>
      <c r="HP119" s="1104" t="str">
        <f t="shared" si="492"/>
        <v/>
      </c>
      <c r="HQ119" s="277" t="str">
        <f t="shared" si="493"/>
        <v/>
      </c>
      <c r="HR119" s="759" t="str">
        <f>IF(A119=FALSE,"",((HH119*TAXE)-(HH119*TAXE*HM119)+HI119)+IF(CQ119="N/A",0,IF(INDEX(LISTES!$F$105:$F$109,MATCH(CQ119,LISTES!$C$105:$C$109,0))="FIX",CR119,CS119*HQ119)))</f>
        <v/>
      </c>
      <c r="HS119" s="412"/>
      <c r="HT119" s="412"/>
      <c r="HU119" s="412"/>
      <c r="HV119" s="412"/>
      <c r="HW119" s="412"/>
      <c r="HX119" s="412"/>
      <c r="HY119" s="412"/>
      <c r="HZ119" s="1262"/>
      <c r="IA119" s="432" t="str">
        <f>IF(A119=FALSE,"",Cotations!AT119)</f>
        <v/>
      </c>
      <c r="IB119" s="1253" t="str">
        <f>IF(A119=FALSE,"",IF(Detail!AT119="","N/A",YEAR(Detail!F119)&amp;Detail!AW119&amp;Detail!AT119&amp;"-"&amp;Detail!$AT$13&amp;Detail!AU119))</f>
        <v/>
      </c>
      <c r="IC119" s="431" t="str">
        <f>IF(A119=FALSE,"",IF(LISTES!$A$17=1,IB119,INDEX(colMOD1,MATCH(DA119,colchoice,0))))</f>
        <v/>
      </c>
      <c r="ID119" s="759" t="str">
        <f t="shared" si="558"/>
        <v/>
      </c>
      <c r="IE119" s="292" t="str">
        <f>IF(A119=FALSE,"",IF(LISTES!$A$17=1,Detail!AU119,INDEX(Rates!$M$1:$M$270,MATCH(IC119,colMOD1,0))))</f>
        <v/>
      </c>
      <c r="IF119" s="409" t="str">
        <f t="shared" si="559"/>
        <v/>
      </c>
      <c r="IG119" s="430" t="str">
        <f>IF(A119=FALSE,"",IF(IA119="POEA",Cotations!AY119,IF(IA119="FIXE",Cotations!AZ119,IF(Cotations!BA119*Y119&lt;50000,Z119,Cotations!BA119*Y119))))</f>
        <v/>
      </c>
      <c r="IH119" s="292" t="str">
        <f t="shared" si="560"/>
        <v/>
      </c>
      <c r="II119" s="446" t="str">
        <f>IF(A119=FALSE,"",IF(Cotations!AU119="monthly",IH119/12*L119,IH119/365*M119))</f>
        <v/>
      </c>
      <c r="IJ119" s="429" t="str">
        <f>IF(A119=FALSE,"",IF(Cotations!BB119="","",Cotations!BB119))</f>
        <v/>
      </c>
      <c r="IK119" s="292" t="str">
        <f t="shared" si="561"/>
        <v/>
      </c>
      <c r="IL119" s="292" t="str">
        <f t="shared" si="562"/>
        <v/>
      </c>
      <c r="IM119" s="759" t="str">
        <f t="shared" si="563"/>
        <v/>
      </c>
      <c r="IN119" s="759" t="str">
        <f>IF(A119=FALSE,"",((IH119*TAXE)-(IH119*TAXE*IJ119))+IF(DQ119="N/A",0,IF(INDEX(LISTES!$F$105:$F$109,MATCH(DQ119,LISTES!$C$105:$C$109,0))="FIX",DR119,DS119*IM119)))</f>
        <v/>
      </c>
      <c r="JA119" s="432" t="str">
        <f>IF(A119=FALSE,"",Cotations!AT119)</f>
        <v/>
      </c>
      <c r="JB119" s="1234" t="str">
        <f>IF(A119=FALSE,"",IF(Detail!BB119="","N/A",YEAR(Detail!F119)&amp;Detail!BE119&amp;Detail!BB119&amp;"-"&amp;Detail!$BB$13&amp;Detail!BC119))</f>
        <v/>
      </c>
      <c r="JC119" s="431" t="str">
        <f>IF(A119=FALSE,"",IF(LISTES!$A$17=1,JB119,INDEX(colMOD2,MATCH(DA119,colchoice,0))))</f>
        <v/>
      </c>
      <c r="JD119" s="759" t="str">
        <f t="shared" si="521"/>
        <v/>
      </c>
      <c r="JE119" s="292"/>
      <c r="JF119" s="409" t="str">
        <f t="shared" si="522"/>
        <v/>
      </c>
      <c r="JG119" s="430" t="str">
        <f>IF(A119=FALSE,"",IF(JA119="POEA",Cotations!BC119,IF(JA119="FIXE",Cotations!BD119,IF(Cotations!BE119*Y119&lt;50000,Z119,Cotations!BE119*Y119))))</f>
        <v/>
      </c>
      <c r="JH119" s="292" t="str">
        <f t="shared" si="523"/>
        <v/>
      </c>
      <c r="JI119" s="446" t="str">
        <f>IF(A119=FALSE,"",IF(Cotations!AU119="monthly",JH119/12*L119,JH119/365*M119))</f>
        <v/>
      </c>
      <c r="JJ119" s="429" t="str">
        <f>IF(A119=FALSE,"",IF(Cotations!BF119="","",Cotations!BF119))</f>
        <v/>
      </c>
      <c r="JK119" s="292" t="str">
        <f t="shared" si="524"/>
        <v/>
      </c>
      <c r="JL119" s="292" t="str">
        <f t="shared" si="525"/>
        <v/>
      </c>
      <c r="JM119" s="759" t="str">
        <f t="shared" si="526"/>
        <v/>
      </c>
      <c r="JN119" s="759" t="str">
        <f>IF(A119=FALSE,"",((JH119*TAXE)-(JH119*TAXE*JJ119))+IF(#REF!="N/A",0,IF(INDEX(LISTES!$F$105:$F$109,MATCH(#REF!,LISTES!$C$105:$C$109,0))="FIX",#REF!,#REF!*JM119)))</f>
        <v/>
      </c>
      <c r="KA119" s="432" t="str">
        <f>IF(A119=FALSE,"",Cotations!AT119)</f>
        <v/>
      </c>
      <c r="KB119" s="1234" t="str">
        <f>IF(A119=FALSE,"",IF(Detail!BJ119="","N/A",YEAR(Detail!F119)&amp;Detail!BM119&amp;Detail!BJ119&amp;"-"&amp;Detail!$BJ$13&amp;Detail!BK119))</f>
        <v/>
      </c>
      <c r="KC119" s="431" t="str">
        <f>IF(A119=FALSE,"",IF(LISTES!$A$17=1,KB119,INDEX(colMOD3,MATCH(DA119,colchoice,0))))</f>
        <v/>
      </c>
      <c r="KD119" s="759" t="str">
        <f t="shared" si="527"/>
        <v/>
      </c>
      <c r="KE119" s="292"/>
      <c r="KF119" s="409" t="str">
        <f t="shared" si="528"/>
        <v/>
      </c>
      <c r="KG119" s="430" t="str">
        <f>IF(A119=FALSE,"",IF(KA119="POEA",Cotations!BG119,IF(KA119="FIXE",Cotations!BH119,IF(Cotations!BI119*Y119&lt;50000,Z119,Cotations!BI119*Y119))))</f>
        <v/>
      </c>
      <c r="KH119" s="292" t="str">
        <f t="shared" si="529"/>
        <v/>
      </c>
      <c r="KI119" s="446" t="str">
        <f>IF(A119=FALSE,"",IF(Cotations!AU119="monthly",KH119/12*L119,KH119/365*M119))</f>
        <v/>
      </c>
      <c r="KJ119" s="429" t="str">
        <f>IF(A119=FALSE,"",IF(Cotations!BJ119="","",Cotations!BJ119))</f>
        <v/>
      </c>
      <c r="KK119" s="292" t="str">
        <f t="shared" si="530"/>
        <v/>
      </c>
      <c r="KL119" s="292" t="str">
        <f t="shared" si="531"/>
        <v/>
      </c>
      <c r="KM119" s="759" t="str">
        <f t="shared" si="532"/>
        <v/>
      </c>
      <c r="KN119" s="759" t="str">
        <f>IF(A119=FALSE,"",((KH119*TAXE)-(KH119*TAXE*KJ119))+IF(#REF!="N/A",0,IF(INDEX(LISTES!$F$105:$F$109,MATCH(#REF!,LISTES!$C$105:$C$109,0))="FIX",#REF!,#REF!*KM119)))</f>
        <v/>
      </c>
      <c r="LA119" s="432" t="str">
        <f>IF(A119=FALSE,"",Cotations!AT119)</f>
        <v/>
      </c>
      <c r="LB119" s="1234" t="str">
        <f>IF(A119=FALSE,"",IF(Detail!BR119="","N/A",YEAR(Detail!F119)&amp;Detail!BU119&amp;Detail!BR119&amp;"-"&amp;Detail!$BR$13&amp;Detail!BS119))</f>
        <v/>
      </c>
      <c r="LC119" s="431" t="str">
        <f>IF(A119=FALSE,"",IF(LISTES!$A$17=1,LB119,INDEX(colMOD4,MATCH(DA119,colchoice,0))))</f>
        <v/>
      </c>
      <c r="LD119" s="759" t="str">
        <f t="shared" si="533"/>
        <v/>
      </c>
      <c r="LE119" s="292"/>
      <c r="LF119" s="409" t="str">
        <f t="shared" si="534"/>
        <v/>
      </c>
      <c r="LG119" s="430" t="str">
        <f>IF(A119=FALSE,"",IF(LA119="POEA",Cotations!BK119,IF(LA119="FIXE",Cotations!BL119,IF(Cotations!BM119*Y119&lt;50000,Z119,Cotations!BM119*Y119))))</f>
        <v/>
      </c>
      <c r="LH119" s="292" t="str">
        <f t="shared" si="535"/>
        <v/>
      </c>
      <c r="LI119" s="446" t="str">
        <f>IF(A119=FALSE,"",IF(Cotations!AU119="monthly",LH119/12*L119,LH119/365*M119))</f>
        <v/>
      </c>
      <c r="LJ119" s="429" t="str">
        <f>IF(A119=FALSE,"",IF(Cotations!BN119="","",Cotations!BN119))</f>
        <v/>
      </c>
      <c r="LK119" s="292" t="str">
        <f t="shared" si="536"/>
        <v/>
      </c>
      <c r="LL119" s="292" t="str">
        <f t="shared" si="537"/>
        <v/>
      </c>
      <c r="LM119" s="759" t="str">
        <f t="shared" si="538"/>
        <v/>
      </c>
      <c r="LN119" s="759" t="str">
        <f>IF(A119=FALSE,"",((LH119*TAXE)-(LH119*TAXE*LJ119))+IF(#REF!="N/A",0,IF(INDEX(LISTES!$F$105:$F$109,MATCH(#REF!,LISTES!$C$105:$C$109,0))="FIX",#REF!,#REF!*LM119)))</f>
        <v/>
      </c>
      <c r="MA119" s="432" t="str">
        <f t="shared" si="539"/>
        <v/>
      </c>
      <c r="MB119" s="1234" t="str">
        <f>IF(A119=FALSE,"",IF(Detail!BZ119="","N/A",YEAR(Detail!F119)&amp;Detail!CC119&amp;Detail!BZ119&amp;"-"&amp;Detail!$BZ$13&amp;" (100%/"&amp;Detail!CD119&amp;"/"&amp;Detail!CE119&amp;")"))</f>
        <v/>
      </c>
      <c r="MC119" s="431" t="str">
        <f>IF(A119=FALSE,"",IF(LISTES!$A$17=1,MB119,INDEX(colMOD5,MATCH(DA119,colchoice,0))))</f>
        <v/>
      </c>
      <c r="MD119" s="759" t="str">
        <f t="shared" si="540"/>
        <v/>
      </c>
      <c r="ME119" s="292"/>
      <c r="MF119" s="409" t="str">
        <f t="shared" si="541"/>
        <v/>
      </c>
      <c r="MG119" s="430" t="str">
        <f>IF(A119=FALSE,"",Cotations!BQ119*AA119)</f>
        <v/>
      </c>
      <c r="MH119" s="292" t="str">
        <f t="shared" si="542"/>
        <v/>
      </c>
      <c r="MI119" s="446" t="str">
        <f>IF(A119=FALSE,"",IF(Cotations!AU119="monthly",MH119/12*L119,MH119/365*M119))</f>
        <v/>
      </c>
      <c r="MJ119" s="429" t="str">
        <f>IF(A119=FALSE,"",IF(Cotations!BR119="","",Cotations!BR119))</f>
        <v/>
      </c>
      <c r="MK119" s="292" t="str">
        <f t="shared" si="543"/>
        <v/>
      </c>
      <c r="ML119" s="292" t="str">
        <f t="shared" si="544"/>
        <v/>
      </c>
      <c r="MM119" s="759" t="str">
        <f t="shared" si="545"/>
        <v/>
      </c>
      <c r="MN119" s="759" t="str">
        <f>IF(A119=FALSE,"",((MH119*TAXE)-(MH119*TAXE*MJ119))+IF(#REF!="N/A",0,IF(INDEX(LISTES!$F$105:$F$109,MATCH(#REF!,LISTES!$C$105:$C$109,0))="FIX",#REF!,#REF!*MM119)))</f>
        <v/>
      </c>
      <c r="NA119" s="432" t="str">
        <f t="shared" si="546"/>
        <v/>
      </c>
      <c r="NB119" s="1234" t="str">
        <f>IF(A119=FALSE,"",IF(Detail!CH119="","N/A",YEAR(Detail!F119)&amp;Detail!CK119&amp;Detail!CH119&amp;"-"&amp;Detail!$CH$13&amp;" (100%/"&amp;Detail!CL119&amp;"/"&amp;Detail!CM119&amp;")"))</f>
        <v/>
      </c>
      <c r="NC119" s="431" t="str">
        <f>IF(A119=FALSE,"",IF(LISTES!$A$17=1,NB119,INDEX(colMOD6,MATCH(DA119,colchoice,0))))</f>
        <v/>
      </c>
      <c r="ND119" s="759" t="str">
        <f t="shared" si="547"/>
        <v/>
      </c>
      <c r="NE119" s="292"/>
      <c r="NF119" s="409" t="str">
        <f t="shared" si="548"/>
        <v/>
      </c>
      <c r="NG119" s="430" t="str">
        <f>IF(A119=FALSE,"",Cotations!BU119*AA119)</f>
        <v/>
      </c>
      <c r="NH119" s="292" t="str">
        <f t="shared" si="549"/>
        <v/>
      </c>
      <c r="NI119" s="446" t="str">
        <f>IF(A119=FALSE,"",IF(Cotations!AU119="monthly",NH119/12*L119,NH119/365*M119))</f>
        <v/>
      </c>
      <c r="NJ119" s="429" t="str">
        <f>IF(A119=FALSE,"",IF(Cotations!BV119="","",Cotations!BV119))</f>
        <v/>
      </c>
      <c r="NK119" s="292" t="str">
        <f t="shared" si="550"/>
        <v/>
      </c>
      <c r="NL119" s="292" t="str">
        <f t="shared" si="551"/>
        <v/>
      </c>
      <c r="NM119" s="759" t="str">
        <f t="shared" si="552"/>
        <v/>
      </c>
      <c r="NN119" s="759" t="str">
        <f>IF(A119=FALSE,"",((NH119*TAXE)-(NH119*TAXE*NJ119))+IF(#REF!="N/A",0,IF(INDEX(LISTES!$F$105:$F$109,MATCH(#REF!,LISTES!$C$105:$C$109,0))="FIX",#REF!,#REF!*NM119)))</f>
        <v/>
      </c>
      <c r="NZ119" s="1281" t="str">
        <f>IF(A119=FALSE,"",IF(Detail!CP119="","N/A",YEAR(Detail!F119)&amp;Detail!CS119&amp;Detail!CP119&amp;"-"&amp;Detail!CQ119))</f>
        <v/>
      </c>
      <c r="OA119" s="432" t="str">
        <f>IF(A119=FALSE,"",Cotations!CF119)</f>
        <v/>
      </c>
      <c r="OB119" s="1282" t="str">
        <f>IF(A119=FALSE,"",IF(Detail!CP119="","N/A",YEAR(Detail!F119)&amp;Detail!CS119&amp;Detail!CP119&amp;"-"&amp;Detail!$CP$13&amp;Detail!CQ119))</f>
        <v/>
      </c>
      <c r="OC119" s="1283" t="str">
        <f>IF(A119=FALSE,"",IF(LISTES!$A$17=1,OB119,INDEX(colMOD1,MATCH(Cotations!CE119,colchoice,0))))</f>
        <v/>
      </c>
      <c r="OD119" s="759" t="str">
        <f t="shared" si="553"/>
        <v/>
      </c>
      <c r="OE119" s="292" t="str">
        <f>IF(A119=FALSE,"",Detail!CQ119)</f>
        <v/>
      </c>
      <c r="OF119" s="409" t="str">
        <f t="shared" si="554"/>
        <v/>
      </c>
      <c r="OG119" s="430" t="str">
        <f>IF(A119=FALSE,"",IF(OA119="FIXE",Cotations!CM119,Cotations!CN119*AA119))</f>
        <v/>
      </c>
      <c r="OH119" s="292" t="str">
        <f t="shared" si="494"/>
        <v/>
      </c>
      <c r="OI119" s="446" t="str">
        <f>IF(A119=FALSE,"",IF(Cotations!CF119="monthly",OH119/12*L119,OH119/365*M119))</f>
        <v/>
      </c>
      <c r="OJ119" s="429" t="str">
        <f>IF(A119=FALSE,"",IF(Cotations!CO119="","",Cotations!CO119))</f>
        <v/>
      </c>
      <c r="OK119" s="292" t="str">
        <f t="shared" si="495"/>
        <v/>
      </c>
      <c r="OL119" s="292" t="str">
        <f t="shared" si="496"/>
        <v/>
      </c>
      <c r="OM119" s="759" t="str">
        <f t="shared" si="555"/>
        <v/>
      </c>
      <c r="ON119" s="759" t="str">
        <f>IF(A119=FALSE,"",((OH119*(1+TAXE)-(OH119*(1+TAXE)*OJ119))+IF(#REF!="N/A",0,IF(INDEX(LISTES!$F$105:$F$109,MATCH(#REF!,LISTES!$C$105:$C$109,0))="FIX",#REF!,#REF!*OM119))))</f>
        <v/>
      </c>
      <c r="PA119" s="432" t="str">
        <f>IF(A119=FALSE,"",Cotations!CF119)</f>
        <v/>
      </c>
      <c r="PB119" s="1282" t="str">
        <f>IF(A119=FALSE,"",IF(Detail!CX119="","N/A",YEAR(Detail!F119)&amp;Detail!DA119&amp;Detail!CX119&amp;"-"&amp;Detail!$CX$13&amp;Detail!CY119))</f>
        <v/>
      </c>
      <c r="PC119" s="1283" t="str">
        <f>IF(A119=FALSE,"",IF(LISTES!$A$17=1,PB119,INDEX(colMOD3,MATCH(Cotations!CE119,colchoice,0))))</f>
        <v/>
      </c>
      <c r="PD119" s="759" t="str">
        <f t="shared" si="556"/>
        <v/>
      </c>
      <c r="PE119" s="292" t="str">
        <f>IF(A119=FALSE,"",IF(Detail!CY119="","",Detail!CY119))</f>
        <v/>
      </c>
      <c r="PF119" s="409" t="str">
        <f t="shared" si="497"/>
        <v/>
      </c>
      <c r="PG119" s="430" t="str">
        <f>IF(A119=FALSE,"",IF(PA119="FIXE",Cotations!CP119,Cotations!CQ119*AA119))</f>
        <v/>
      </c>
      <c r="PH119" s="292" t="str">
        <f t="shared" si="498"/>
        <v/>
      </c>
      <c r="PI119" s="446" t="str">
        <f>IF(A119=FALSE,"",IF(Cotations!CG119="monthly",PH119/12*L119,PH119/365*M119))</f>
        <v/>
      </c>
      <c r="PJ119" s="429" t="str">
        <f>IF(A119=FALSE,"",IF(Cotations!DA119="",0,Cotations!DA119))</f>
        <v/>
      </c>
      <c r="PK119" s="292" t="str">
        <f t="shared" si="499"/>
        <v/>
      </c>
      <c r="PL119" s="292" t="str">
        <f t="shared" si="500"/>
        <v/>
      </c>
      <c r="PM119" s="759" t="str">
        <f t="shared" si="557"/>
        <v/>
      </c>
      <c r="PN119" s="759" t="str">
        <f>IF(A119=FALSE,"",((PH119*(1+TAXE)-(PH119*(1+TAXE)*PJ119))+IF(#REF!="N/A",0,IF(INDEX(LISTES!$F$105:$F$109,MATCH(#REF!,LISTES!$C$105:$C$109,0))="FIX",#REF!,#REF!*PM119))))</f>
        <v/>
      </c>
    </row>
    <row r="120" spans="1:430">
      <c r="A120" s="779" t="b">
        <f t="shared" si="501"/>
        <v>0</v>
      </c>
      <c r="B120" s="779" t="b">
        <f>IF(NAMES!$B$9=TRUE,TRUE,FALSE)</f>
        <v>1</v>
      </c>
      <c r="C120" s="779" t="b">
        <f t="shared" si="421"/>
        <v>0</v>
      </c>
      <c r="D120" s="779" t="b">
        <f t="shared" si="422"/>
        <v>0</v>
      </c>
      <c r="E120" s="267" t="b">
        <f>IF(Cotations!C120="","",Cotations!C120)</f>
        <v>0</v>
      </c>
      <c r="F120" s="267" t="str">
        <f>IF(Cotations!AT120="","",Cotations!AT120)</f>
        <v>PROP</v>
      </c>
      <c r="G120" s="267" t="str">
        <f>IF(Cotations!D120="","",Cotations!D120)</f>
        <v>2016-2017!</v>
      </c>
      <c r="H120" s="267" t="str">
        <f>IF(Cotations!E120="","",Cotations!E120)</f>
        <v/>
      </c>
      <c r="I120" s="267" t="str">
        <f>IF(Cotations!F120="","",Cotations!F120)</f>
        <v/>
      </c>
      <c r="J120" s="267" t="str">
        <f>IF(Cotations!G120="","",Cotations!G120)</f>
        <v/>
      </c>
      <c r="K120" s="267" t="str">
        <f>IF(Cotations!H120="","",Cotations!H120)</f>
        <v/>
      </c>
      <c r="L120" s="267" t="str">
        <f>IF(A120=FALSE,"",IF(Cotations!M120="","",Cotations!M120))</f>
        <v/>
      </c>
      <c r="M120" s="267" t="str">
        <f>IF(Cotations!O120="","",Cotations!O120)</f>
        <v/>
      </c>
      <c r="N120" s="588" t="str">
        <f>IF(NAMES!$B$10=TRUE,Cotations!I120,Cotations!K120)</f>
        <v/>
      </c>
      <c r="O120" s="588" t="str">
        <f>IF(NAMES!$B$10=TRUE,Cotations!J120,Cotations!L120)</f>
        <v/>
      </c>
      <c r="P120" s="780" t="str">
        <f t="shared" si="423"/>
        <v/>
      </c>
      <c r="Q120" s="588" t="str">
        <f>IF(A120=FALSE,"",IF(Crewlist!Y120="","",Crewlist!Y120))</f>
        <v/>
      </c>
      <c r="R120" s="78" t="str">
        <f>IF(Cotations!T120="","",Cotations!T120)</f>
        <v/>
      </c>
      <c r="S120" s="780" t="str">
        <f t="shared" si="424"/>
        <v/>
      </c>
      <c r="T120" s="759" t="str">
        <f>IF(A120=FALSE,"",VLOOKUP($U$15:$U$120,Currency!$A$2:$D$10,4,0)*Crewlist!N120)</f>
        <v/>
      </c>
      <c r="U120" s="1097" t="str">
        <f>IF(A120=FALSE,"",IF(DP120=0,Crewlist!M120&amp;"/"&amp;CP120,Crewlist!M120&amp;"/"&amp;DP120))</f>
        <v/>
      </c>
      <c r="V120" s="759" t="str">
        <f>IF(A120=FALSE,"",VLOOKUP($U$15:$U$120,Currency!$A$2:$D$10,4,0)*Detail!Q120)</f>
        <v/>
      </c>
      <c r="W120" s="1097" t="str">
        <f>IF(A120=FALSE,"",IF(DP120=0,Detail!R120&amp;"/"&amp;CP120,Detail!R120&amp;"/"&amp;DP120))</f>
        <v/>
      </c>
      <c r="X120" s="759" t="str">
        <f>IF(A120=FALSE,"",IF(LISTES!$C$17="Crewlist",Calcul!T120,Calcul!V120))</f>
        <v/>
      </c>
      <c r="Y120" s="618" t="str">
        <f t="shared" si="425"/>
        <v/>
      </c>
      <c r="Z120" s="618" t="str">
        <f>IF(A120=FALSE,"",IF(X120=0,0,IF((Cotations!BA120*12*X120)&lt;50000,50000,(12*X120))))</f>
        <v/>
      </c>
      <c r="AA120" s="618" t="str">
        <f t="shared" si="426"/>
        <v/>
      </c>
      <c r="AB120" s="618" t="str">
        <f>IF(A120=FALSE,"",IF(Crewlist!O120=0,"",Crewlist!O120))</f>
        <v/>
      </c>
      <c r="AC120" s="618" t="str">
        <f>IF(I120="","",VLOOKUP($AB$15:$AB$120,Currency!$A$15:$B$34,2,0))</f>
        <v/>
      </c>
      <c r="AD120" s="618" t="str">
        <f t="shared" si="427"/>
        <v/>
      </c>
      <c r="AE120" s="618" t="str">
        <f t="shared" si="428"/>
        <v/>
      </c>
      <c r="AF120" s="618" t="str">
        <f t="shared" si="429"/>
        <v/>
      </c>
      <c r="AG120" s="618" t="str">
        <f t="shared" si="430"/>
        <v/>
      </c>
      <c r="AH120" s="1097" t="str">
        <f t="shared" si="502"/>
        <v/>
      </c>
      <c r="AI120" s="759" t="str">
        <f t="shared" si="431"/>
        <v/>
      </c>
      <c r="AJ120" s="1120" t="str">
        <f t="shared" si="432"/>
        <v/>
      </c>
      <c r="AK120" s="1120" t="str">
        <f t="shared" si="433"/>
        <v/>
      </c>
      <c r="AL120" s="236" t="str">
        <f t="shared" si="434"/>
        <v/>
      </c>
      <c r="AM120" s="236" t="str">
        <f t="shared" si="435"/>
        <v/>
      </c>
      <c r="AN120" s="1112" t="str">
        <f t="shared" si="436"/>
        <v/>
      </c>
      <c r="AO120" s="236" t="str">
        <f t="shared" si="437"/>
        <v/>
      </c>
      <c r="AP120" s="327" t="str">
        <f>IF(A120=FALSE,"",INDEX(Rates!$Q$1:$Q$278,MATCH(CA120,colchoice,0)))</f>
        <v/>
      </c>
      <c r="AQ120" s="236" t="str">
        <f t="shared" si="438"/>
        <v/>
      </c>
      <c r="AR120" s="236" t="str">
        <f t="shared" si="439"/>
        <v/>
      </c>
      <c r="AS120" s="236" t="str">
        <f t="shared" si="503"/>
        <v/>
      </c>
      <c r="AT120" s="236" t="str">
        <f t="shared" si="504"/>
        <v/>
      </c>
      <c r="AU120" s="236" t="str">
        <f t="shared" si="440"/>
        <v/>
      </c>
      <c r="AV120" s="236" t="str">
        <f t="shared" si="441"/>
        <v/>
      </c>
      <c r="AW120" s="236" t="str">
        <f t="shared" si="442"/>
        <v/>
      </c>
      <c r="AX120" s="236" t="str">
        <f t="shared" si="443"/>
        <v/>
      </c>
      <c r="AY120" s="236" t="str">
        <f t="shared" si="444"/>
        <v/>
      </c>
      <c r="AZ120" s="236" t="str">
        <f t="shared" si="445"/>
        <v/>
      </c>
      <c r="BA120" s="236" t="str">
        <f t="shared" si="446"/>
        <v/>
      </c>
      <c r="BB120" s="467" t="str">
        <f t="shared" si="447"/>
        <v/>
      </c>
      <c r="BC120" s="329" t="str">
        <f t="shared" si="448"/>
        <v/>
      </c>
      <c r="BD120" s="237" t="str">
        <f t="shared" si="449"/>
        <v/>
      </c>
      <c r="BE120" s="237" t="str">
        <f>IF(A120=FALSE,"",IF(ED120&lt;&gt;$BC$7,0,INDEX(EA120:EZ120,1,MATCH(Structure!$J$16,$EA$14:$EZ$14,0))))</f>
        <v/>
      </c>
      <c r="BF120" s="237" t="str">
        <f>IF(A120=FALSE,"",IF(FD120&lt;&gt;$BC$7,0,INDEX(FA120:FZ120,1,MATCH(Structure!$J$16,$FA$14:$FZ$14,0))))</f>
        <v/>
      </c>
      <c r="BG120" s="237" t="str">
        <f>IF(A120=FALSE,"",IF(GD120&lt;&gt;$BC$7,0,INDEX(GA120:GZ120,1,MATCH(Structure!$J$16,$GA$14:$GZ$14,0))))</f>
        <v/>
      </c>
      <c r="BH120" s="237" t="str">
        <f>IF(A120=FALSE,"",IF(HD120&lt;&gt;$BC$7,0,INDEX(HA120:HZ120,1,MATCH(Structure!$J$16,$HA$14:$HZ$14,0))))</f>
        <v/>
      </c>
      <c r="BI120" s="621" t="str">
        <f>IF(A120=FALSE,"",IF(ID120&lt;&gt;$BC$7,0,INDEX(IA120:IZ120,1,MATCH(Structure!$C$12,$IA$14:$IZ$14,0)))+OL120)</f>
        <v/>
      </c>
      <c r="BJ120" s="237" t="str">
        <f>IF(A120=FALSE,"",IF(JD120&lt;&gt;$BC$7,0,INDEX(JA120:JZ120,1,MATCH(Structure!$C$12,$JA$14:$JZ$14,0))))</f>
        <v/>
      </c>
      <c r="BK120" s="621" t="str">
        <f>IF(A120=FALSE,"",IF(KD120&lt;&gt;$BC$7,0,INDEX(KA120:KZ120,1,MATCH(Structure!$C$12,$KA$14:$KZ$14,0)))+PL120)</f>
        <v/>
      </c>
      <c r="BL120" s="237" t="str">
        <f>IF(A120=FALSE,"",IF(LD120&lt;&gt;$BC$7,0,INDEX(LA120:LZ120,1,MATCH(Structure!$C$12,$LA$14:$LZ$14,0))))</f>
        <v/>
      </c>
      <c r="BM120" s="237" t="str">
        <f>IF(A120=FALSE,"",IF(MD120&lt;&gt;$BC$7,0,INDEX(MA120:MZ120,1,MATCH(Structure!$C$12,$MA$14:$MZ$14,0))))</f>
        <v/>
      </c>
      <c r="BN120" s="326" t="str">
        <f>IF(A120=FALSE,"",IF(ND120&lt;&gt;$BC$7,0,INDEX(NA120:OC120,1,MATCH(Structure!$C$12,$NA$14:$OC$14,0))))</f>
        <v/>
      </c>
      <c r="BO120" s="435" t="str">
        <f t="shared" si="450"/>
        <v/>
      </c>
      <c r="BP120" s="237" t="str">
        <f t="shared" si="451"/>
        <v/>
      </c>
      <c r="BQ120" s="237" t="str">
        <f>IF(A120=FALSE,"",IF(ED120&lt;&gt;$BO$7,0,INDEX(EA120:EZ120,1,MATCH(Structure!$C$12,$EA$14:$EZ$14,0))))</f>
        <v/>
      </c>
      <c r="BR120" s="237" t="str">
        <f>IF(A120=FALSE,"",IF(FD120&lt;&gt;$BO$7,0,INDEX(FA120:FZ120,1,MATCH(Structure!$C$12,$FA$14:$FZ$14,0))))</f>
        <v/>
      </c>
      <c r="BS120" s="237" t="str">
        <f>IF(A120=FALSE,"",IF(ID120&lt;&gt;$BO$7,0,INDEX(IA120:IZ120,1,MATCH(Structure!$C$13,$IA$14:$IZ$14,0))))</f>
        <v/>
      </c>
      <c r="BT120" s="237" t="str">
        <f>IF(A120=FALSE,"",IF(JD120&lt;&gt;$BO$7,0,INDEX(JA120:JZ120,1,MATCH(Structure!$C$13,$JA$14:$JZ$14,0))))</f>
        <v/>
      </c>
      <c r="BU120" s="237" t="str">
        <f>IF(A120=FALSE,"",IF(KD120&lt;&gt;$BO$7,0,INDEX(KA120:KZ120,1,MATCH(Structure!$C$13,$KA$14:$KZ$14,0))))</f>
        <v/>
      </c>
      <c r="BV120" s="237" t="str">
        <f>IF(A120=FALSE,"",IF(LD120&lt;&gt;$BO$7,0,INDEX(LA120:LZ120,1,MATCH(Structure!$C$13,$LA$14:$LZ$14,0))))</f>
        <v/>
      </c>
      <c r="BW120" s="237" t="str">
        <f>IF(A120=FALSE,"",IF(MD120&lt;&gt;$BO$7,0,INDEX(MA120:MZ120,1,MATCH(Structure!$C$13,$MA$14:$MZ$14,0))))</f>
        <v/>
      </c>
      <c r="BX120" s="326" t="str">
        <f>IF(A120=FALSE,"",IF(ND120&lt;&gt;$BO$7,0,INDEX(NA120:OC120,1,MATCH(Structure!$C$13,$NA$14:$OC$14,0))))</f>
        <v/>
      </c>
      <c r="BY120" s="412"/>
      <c r="BZ120" s="412"/>
      <c r="CA120" s="1255" t="str">
        <f>IF(A120=FALSE,"",IF(LISTES!$A$17=1,Cotations!AG120,Cotations!AH120))</f>
        <v/>
      </c>
      <c r="CB120" s="1266" t="str">
        <f t="shared" si="452"/>
        <v/>
      </c>
      <c r="CC120" s="1120" t="str">
        <f t="shared" si="453"/>
        <v/>
      </c>
      <c r="CD120" s="1120" t="str">
        <f t="shared" si="454"/>
        <v/>
      </c>
      <c r="CE120" s="1120" t="str">
        <f t="shared" si="455"/>
        <v/>
      </c>
      <c r="CF120" s="1120" t="str">
        <f t="shared" si="456"/>
        <v/>
      </c>
      <c r="CG120" s="1267"/>
      <c r="CH120" s="1267"/>
      <c r="CI120" s="1268" t="str">
        <f t="shared" si="457"/>
        <v/>
      </c>
      <c r="CJ120" s="286" t="str">
        <f t="shared" si="458"/>
        <v/>
      </c>
      <c r="CK120" s="286" t="str">
        <f t="shared" si="459"/>
        <v/>
      </c>
      <c r="CL120" s="1263"/>
      <c r="CM120" s="1263"/>
      <c r="CN120" s="1263"/>
      <c r="CO120" s="1263"/>
      <c r="CP120" s="319" t="str">
        <f t="shared" si="460"/>
        <v/>
      </c>
      <c r="CQ120" s="443" t="str">
        <f>IF(A120=FALSE,"",Cotations!AM120)</f>
        <v/>
      </c>
      <c r="CR120" s="443" t="str">
        <f>IF(A120=FALSE,"",IF(Cotations!AN120="","",Cotations!AN120))</f>
        <v/>
      </c>
      <c r="CS120" s="433" t="str">
        <f>IF(A120=FALSE,"",Cotations!AO120)</f>
        <v/>
      </c>
      <c r="CT120" s="443" t="str">
        <f>IF(A120=FALSE,"",IF(CQ120="N/A",0,IF(INDEX(LISTES!$F$105:$F$109,MATCH(CQ120,LISTES!$C$105:$C$109,0))="FIX",IF(INDEX(LISTES!$E$105:$E$109,MATCH(CQ120,LISTES!$C$105:$C$109,0))=12,CR120/12*L120,CR120/365*M120),CS120*EQ120)))</f>
        <v/>
      </c>
      <c r="CU120" s="434" t="str">
        <f>IF(A120=FALSE,"",(CJ120+CK120)*Cotations!AP120)</f>
        <v/>
      </c>
      <c r="CV120" s="434" t="str">
        <f>IF(A120=FALSE,"",(CJ120+CK120)*Cotations!AQ120)</f>
        <v/>
      </c>
      <c r="DA120" s="1253" t="str">
        <f>IF(A120=FALSE,"",IF(LISTES!$A$17=1,Cotations!AV120,Cotations!AW120))</f>
        <v/>
      </c>
      <c r="DB120" s="1271" t="str">
        <f t="shared" si="461"/>
        <v/>
      </c>
      <c r="DC120" s="1270" t="str">
        <f t="shared" si="462"/>
        <v/>
      </c>
      <c r="DD120" s="1270" t="str">
        <f t="shared" si="463"/>
        <v/>
      </c>
      <c r="DE120" s="1270" t="str">
        <f t="shared" si="464"/>
        <v/>
      </c>
      <c r="DF120" s="1270" t="str">
        <f t="shared" si="465"/>
        <v/>
      </c>
      <c r="DG120" s="1270" t="str">
        <f t="shared" si="466"/>
        <v/>
      </c>
      <c r="DH120" s="1270" t="str">
        <f t="shared" si="467"/>
        <v/>
      </c>
      <c r="DI120" s="1271" t="str">
        <f t="shared" si="468"/>
        <v/>
      </c>
      <c r="DJ120" s="286" t="str">
        <f t="shared" si="469"/>
        <v/>
      </c>
      <c r="DK120" s="286" t="str">
        <f t="shared" si="470"/>
        <v/>
      </c>
      <c r="DL120" s="1264" t="str">
        <f t="shared" si="471"/>
        <v/>
      </c>
      <c r="DM120" s="1264" t="str">
        <f t="shared" si="472"/>
        <v/>
      </c>
      <c r="DN120" s="1264" t="str">
        <f t="shared" si="473"/>
        <v/>
      </c>
      <c r="DO120" s="1264" t="str">
        <f t="shared" si="474"/>
        <v/>
      </c>
      <c r="DP120" s="323" t="str">
        <f t="shared" si="505"/>
        <v/>
      </c>
      <c r="DQ120" s="444" t="str">
        <f>IF(A120=FALSE,"",Cotations!BW120)</f>
        <v/>
      </c>
      <c r="DR120" s="444" t="str">
        <f>IF(A120=FALSE,"",Cotations!BX120)</f>
        <v/>
      </c>
      <c r="DS120" s="433" t="str">
        <f>IF(A120=FALSE,"",Cotations!BY120)</f>
        <v/>
      </c>
      <c r="DT120" s="830" t="str">
        <f>IF(A120=FALSE,"",IF(DQ120="N/A",0,IF(INDEX(LISTES!$F$105:$F$109,MATCH(DQ120,LISTES!$C$105:$C$109,0))="FIX",IF(INDEX(LISTES!$E$105:$E$109,MATCH(DQ120,LISTES!$C$105:$C$109,0))=12,DR120/12*L120,DR120/365*M120),DS120*(DN120+DO120))))</f>
        <v/>
      </c>
      <c r="DU120" s="434" t="str">
        <f>IF(A120=FALSE,"",DJ120*Cotations!BZ120)</f>
        <v/>
      </c>
      <c r="DV120" s="434" t="str">
        <f>IF(A120=FALSE,"",DJ120*Cotations!CA120)</f>
        <v/>
      </c>
      <c r="EA120" s="432" t="str">
        <f>IF(A120=FALSE,"",Cotations!AT120)</f>
        <v/>
      </c>
      <c r="EB120" s="1234" t="str">
        <f>IF(A120=FALSE,"",YEAR(Detail!F120)&amp;Detail!AG120&amp;Detail!AD120&amp;"-"&amp;Detail!$AD$13&amp;Detail!AE120)</f>
        <v/>
      </c>
      <c r="EC120" s="434" t="str">
        <f>IF(A120=FALSE,"",IF(LISTES!$A$17=1,EB120,INDEX(colMOD1,MATCH(Cotations!AH120,colchoice,0))))</f>
        <v/>
      </c>
      <c r="ED120" s="277" t="str">
        <f t="shared" si="506"/>
        <v/>
      </c>
      <c r="EE120" s="277" t="str">
        <f t="shared" si="507"/>
        <v/>
      </c>
      <c r="EF120" s="277"/>
      <c r="EG120" s="277"/>
      <c r="EH120" s="277" t="str">
        <f t="shared" si="508"/>
        <v/>
      </c>
      <c r="EI120" s="1104" t="str">
        <f t="shared" si="509"/>
        <v/>
      </c>
      <c r="EJ120" s="1104" t="str">
        <f t="shared" si="510"/>
        <v/>
      </c>
      <c r="EK120" s="443" t="str">
        <f>IF(A120=FALSE,"",IF(Cotations!AF120="monthly",EH120/12*L120,EH120/365*M120))</f>
        <v/>
      </c>
      <c r="EL120" s="1103" t="str">
        <f>IF(A120=FALSE,"",IF(Cotations!AF120="monthly",EJ120/12*L120,EJ120/365*M120))</f>
        <v/>
      </c>
      <c r="EM120" s="433" t="str">
        <f>IF(A120=FALSE,"",IF(Cotations!AI120="","",Cotations!AI120))</f>
        <v/>
      </c>
      <c r="EN120" s="277" t="str">
        <f t="shared" si="511"/>
        <v/>
      </c>
      <c r="EO120" s="277" t="str">
        <f t="shared" si="512"/>
        <v/>
      </c>
      <c r="EP120" s="1168" t="str">
        <f t="shared" si="513"/>
        <v/>
      </c>
      <c r="EQ120" s="277" t="str">
        <f t="shared" si="514"/>
        <v/>
      </c>
      <c r="ER120" s="759" t="str">
        <f>IF(A120=FALSE,"",((EH120*TAXE)-(EH120*TAXE*EM120)+EI120)+IF(CQ120="N/A",0,IF(INDEX(LISTES!$F$105:$F$109,MATCH(CQ120,LISTES!$C$105:$C$109,0))="FIX",CR120,CS120*EQ120)))</f>
        <v/>
      </c>
      <c r="ET120" s="422"/>
      <c r="EU120" s="422"/>
      <c r="EV120" s="422"/>
      <c r="EW120" s="422"/>
      <c r="EX120" s="422"/>
      <c r="EY120" s="422"/>
      <c r="EZ120" s="422"/>
      <c r="FA120" s="432" t="str">
        <f>IF(A120=FALSE,"",Cotations!AT120)</f>
        <v/>
      </c>
      <c r="FB120" s="1235" t="str">
        <f>IF(A120=FALSE,"",IF(Detail!AL120="","N/A",YEAR(Detail!F120)&amp;Detail!AO120&amp;Detail!AL120&amp;"-"&amp;Detail!$AL$13&amp;Detail!AM120))</f>
        <v/>
      </c>
      <c r="FC120" s="434" t="str">
        <f>IF(A120=FALSE,"",IF(LISTES!$A$17=1,Cotations!#REF!,Cotations!#REF!))</f>
        <v/>
      </c>
      <c r="FD120" s="277" t="str">
        <f t="shared" si="515"/>
        <v/>
      </c>
      <c r="FE120" s="443" t="str">
        <f>IF(A120=FALSE,"",IF(Detail!AM120="","",Detail!AM120))</f>
        <v/>
      </c>
      <c r="FF120" s="277"/>
      <c r="FG120" s="277"/>
      <c r="FH120" s="277" t="str">
        <f t="shared" si="516"/>
        <v/>
      </c>
      <c r="FI120" s="1104"/>
      <c r="FJ120" s="1104"/>
      <c r="FK120" s="443" t="str">
        <f>IF(A120=FALSE,"",IF(Cotations!AF120="monthly",FH120/12*L120,FH120/365*M120))</f>
        <v/>
      </c>
      <c r="FL120" s="1103" t="str">
        <f>IF(A120=FALSE,"",IF(Cotations!AF120="monthly",FJ120/12*L120,FJ120/365*M120))</f>
        <v/>
      </c>
      <c r="FM120" s="433" t="str">
        <f>IF(A120=FALSE,"",IF(Cotations!AJ120="","",Cotations!AJ120))</f>
        <v/>
      </c>
      <c r="FN120" s="277" t="str">
        <f t="shared" si="475"/>
        <v/>
      </c>
      <c r="FO120" s="277" t="str">
        <f t="shared" si="476"/>
        <v/>
      </c>
      <c r="FP120" s="1104"/>
      <c r="FQ120" s="277" t="str">
        <f t="shared" si="477"/>
        <v/>
      </c>
      <c r="FR120" s="759" t="str">
        <f>IF(A120=FALSE,"",((FH120*TAXE)-(FH120*TAXE*FM120))+IF(#REF!="N/A",0,IF(INDEX(LISTES!$F$105:$F$109,MATCH(#REF!,LISTES!$C$105:$C$109,0))="FIX",#REF!,#REF!*FQ120)))</f>
        <v/>
      </c>
      <c r="FS120" s="422"/>
      <c r="FT120" s="422"/>
      <c r="FU120" s="422"/>
      <c r="FV120" s="422"/>
      <c r="FW120" s="422"/>
      <c r="FX120" s="422"/>
      <c r="FY120" s="422"/>
      <c r="FZ120" s="422"/>
      <c r="GA120" s="432" t="str">
        <f t="shared" si="517"/>
        <v/>
      </c>
      <c r="GB120" s="1234" t="str">
        <f>IF(A120=FALSE,"",IF(Detail!DF120="","N/A",YEAR(Detail!F120)&amp;Detail!DI120&amp;Detail!DF120&amp;"-"&amp;Detail!$DF$13))</f>
        <v/>
      </c>
      <c r="GC120" s="434" t="str">
        <f>IF(A120=FALSE,"",IF(LISTES!$A$17=1,GB120,INDEX(colMOD3,MATCH(Cotations!AH120,colchoice,0))))</f>
        <v/>
      </c>
      <c r="GD120" s="277" t="str">
        <f t="shared" si="518"/>
        <v/>
      </c>
      <c r="GE120" s="277" t="str">
        <f t="shared" si="519"/>
        <v/>
      </c>
      <c r="GF120" s="277"/>
      <c r="GG120" s="277"/>
      <c r="GH120" s="277" t="str">
        <f t="shared" si="478"/>
        <v/>
      </c>
      <c r="GI120" s="1104" t="str">
        <f t="shared" si="479"/>
        <v/>
      </c>
      <c r="GJ120" s="1104" t="str">
        <f t="shared" si="480"/>
        <v/>
      </c>
      <c r="GK120" s="443" t="str">
        <f>IF(A120=FALSE,"",IF(Cotations!AF120="monthly",GH120/12*L120,GH120/365*M120))</f>
        <v/>
      </c>
      <c r="GL120" s="1103" t="str">
        <f>IF(A120=FALSE,"",IF(Cotations!AF120="monthly",GJ120/12*L120,GJ120/365*M120))</f>
        <v/>
      </c>
      <c r="GM120" s="433" t="str">
        <f>IF(A120=FALSE,"",IF(Cotations!AK120="","",Cotations!AK120))</f>
        <v/>
      </c>
      <c r="GN120" s="277" t="str">
        <f t="shared" si="481"/>
        <v/>
      </c>
      <c r="GO120" s="277" t="str">
        <f t="shared" si="482"/>
        <v/>
      </c>
      <c r="GP120" s="1104" t="str">
        <f t="shared" si="483"/>
        <v/>
      </c>
      <c r="GQ120" s="277" t="str">
        <f t="shared" si="484"/>
        <v/>
      </c>
      <c r="GR120" s="759" t="str">
        <f>IF(A120=FALSE,"",((GH120*TAXE)-(GH120*TAXE*GM120)+GI120)+IF(CQ120="N/A",0,IF(INDEX(LISTES!$F$105:$F$109,MATCH(CQ120,LISTES!$C$105:$C$109,0))="FIX",CR120,CS120*GQ120)))</f>
        <v/>
      </c>
      <c r="GS120" s="412"/>
      <c r="GT120" s="412"/>
      <c r="GU120" s="412"/>
      <c r="GV120" s="412"/>
      <c r="GW120" s="412"/>
      <c r="GX120" s="412"/>
      <c r="GY120" s="412"/>
      <c r="GZ120" s="412"/>
      <c r="HA120" s="432" t="str">
        <f t="shared" si="520"/>
        <v/>
      </c>
      <c r="HB120" s="1234" t="str">
        <f>IF(A120=FALSE,"",IF(Detail!DF120="","N/A",YEAR(Detail!F120)&amp;Detail!DI120&amp;Detail!DF120&amp;"-"&amp;Detail!$DF$13))</f>
        <v/>
      </c>
      <c r="HC120" s="434" t="str">
        <f>IF(A120=FALSE,"",IF(LISTES!$A$17=1,HB120,INDEX(colMOD4,MATCH(Cotations!AH120,colchoice,0))))</f>
        <v/>
      </c>
      <c r="HD120" s="277" t="str">
        <f t="shared" si="485"/>
        <v/>
      </c>
      <c r="HE120" s="277" t="str">
        <f t="shared" si="486"/>
        <v/>
      </c>
      <c r="HF120" s="277"/>
      <c r="HG120" s="277"/>
      <c r="HH120" s="277" t="str">
        <f t="shared" si="487"/>
        <v/>
      </c>
      <c r="HI120" s="1104" t="str">
        <f t="shared" si="488"/>
        <v/>
      </c>
      <c r="HJ120" s="1104" t="str">
        <f t="shared" si="489"/>
        <v/>
      </c>
      <c r="HK120" s="443" t="str">
        <f>IF(A120=FALSE,"",IF(Cotations!AF120="monthly",HH120/12*L120,HH120/365*M120))</f>
        <v/>
      </c>
      <c r="HL120" s="1103" t="str">
        <f>IF(A120=FALSE,"",IF(Cotations!AF120="monthly",HJ120/12*L120,HJ120/365*M120))</f>
        <v/>
      </c>
      <c r="HM120" s="433" t="str">
        <f>IF(A120=FALSE,"",IF(Cotations!AL120="","",Cotations!AL120))</f>
        <v/>
      </c>
      <c r="HN120" s="277" t="str">
        <f t="shared" si="490"/>
        <v/>
      </c>
      <c r="HO120" s="277" t="str">
        <f t="shared" si="491"/>
        <v/>
      </c>
      <c r="HP120" s="1104" t="str">
        <f t="shared" si="492"/>
        <v/>
      </c>
      <c r="HQ120" s="277" t="str">
        <f t="shared" si="493"/>
        <v/>
      </c>
      <c r="HR120" s="759" t="str">
        <f>IF(A120=FALSE,"",((HH120*TAXE)-(HH120*TAXE*HM120)+HI120)+IF(CQ120="N/A",0,IF(INDEX(LISTES!$F$105:$F$109,MATCH(CQ120,LISTES!$C$105:$C$109,0))="FIX",CR120,CS120*HQ120)))</f>
        <v/>
      </c>
      <c r="HS120" s="412"/>
      <c r="HT120" s="412"/>
      <c r="HU120" s="412"/>
      <c r="HV120" s="412"/>
      <c r="HW120" s="412"/>
      <c r="HX120" s="412"/>
      <c r="HY120" s="412"/>
      <c r="HZ120" s="1262"/>
      <c r="IA120" s="432" t="str">
        <f>IF(A120=FALSE,"",Cotations!AT120)</f>
        <v/>
      </c>
      <c r="IB120" s="1253" t="str">
        <f>IF(A120=FALSE,"",IF(Detail!AT120="","N/A",YEAR(Detail!F120)&amp;Detail!AW120&amp;Detail!AT120&amp;"-"&amp;Detail!$AT$13&amp;Detail!AU120))</f>
        <v/>
      </c>
      <c r="IC120" s="431" t="str">
        <f>IF(A120=FALSE,"",IF(LISTES!$A$17=1,IB120,INDEX(colMOD1,MATCH(DA120,colchoice,0))))</f>
        <v/>
      </c>
      <c r="ID120" s="759" t="str">
        <f t="shared" si="558"/>
        <v/>
      </c>
      <c r="IE120" s="292" t="str">
        <f>IF(A120=FALSE,"",IF(LISTES!$A$17=1,Detail!AU120,INDEX(Rates!$M$1:$M$270,MATCH(IC120,colMOD1,0))))</f>
        <v/>
      </c>
      <c r="IF120" s="409" t="str">
        <f t="shared" si="559"/>
        <v/>
      </c>
      <c r="IG120" s="430" t="str">
        <f>IF(A120=FALSE,"",IF(IA120="POEA",Cotations!AY120,IF(IA120="FIXE",Cotations!AZ120,IF(Cotations!BA120*Y120&lt;50000,Z120,Cotations!BA120*Y120))))</f>
        <v/>
      </c>
      <c r="IH120" s="292" t="str">
        <f t="shared" si="560"/>
        <v/>
      </c>
      <c r="II120" s="446" t="str">
        <f>IF(A120=FALSE,"",IF(Cotations!AU120="monthly",IH120/12*L120,IH120/365*M120))</f>
        <v/>
      </c>
      <c r="IJ120" s="429" t="str">
        <f>IF(A120=FALSE,"",IF(Cotations!BB120="","",Cotations!BB120))</f>
        <v/>
      </c>
      <c r="IK120" s="292" t="str">
        <f t="shared" si="561"/>
        <v/>
      </c>
      <c r="IL120" s="292" t="str">
        <f t="shared" si="562"/>
        <v/>
      </c>
      <c r="IM120" s="759" t="str">
        <f t="shared" si="563"/>
        <v/>
      </c>
      <c r="IN120" s="759" t="str">
        <f>IF(A120=FALSE,"",((IH120*TAXE)-(IH120*TAXE*IJ120))+IF(DQ120="N/A",0,IF(INDEX(LISTES!$F$105:$F$109,MATCH(DQ120,LISTES!$C$105:$C$109,0))="FIX",DR120,DS120*IM120)))</f>
        <v/>
      </c>
      <c r="JA120" s="432" t="str">
        <f>IF(A120=FALSE,"",Cotations!AT120)</f>
        <v/>
      </c>
      <c r="JB120" s="1234" t="str">
        <f>IF(A120=FALSE,"",IF(Detail!BB120="","N/A",YEAR(Detail!F120)&amp;Detail!BE120&amp;Detail!BB120&amp;"-"&amp;Detail!$BB$13&amp;Detail!BC120))</f>
        <v/>
      </c>
      <c r="JC120" s="431" t="str">
        <f>IF(A120=FALSE,"",IF(LISTES!$A$17=1,JB120,INDEX(colMOD2,MATCH(DA120,colchoice,0))))</f>
        <v/>
      </c>
      <c r="JD120" s="759" t="str">
        <f t="shared" si="521"/>
        <v/>
      </c>
      <c r="JE120" s="292"/>
      <c r="JF120" s="409" t="str">
        <f t="shared" si="522"/>
        <v/>
      </c>
      <c r="JG120" s="430" t="str">
        <f>IF(A120=FALSE,"",IF(JA120="POEA",Cotations!BC120,IF(JA120="FIXE",Cotations!BD120,IF(Cotations!BE120*Y120&lt;50000,Z120,Cotations!BE120*Y120))))</f>
        <v/>
      </c>
      <c r="JH120" s="292" t="str">
        <f t="shared" si="523"/>
        <v/>
      </c>
      <c r="JI120" s="446" t="str">
        <f>IF(A120=FALSE,"",IF(Cotations!AU120="monthly",JH120/12*L120,JH120/365*M120))</f>
        <v/>
      </c>
      <c r="JJ120" s="429" t="str">
        <f>IF(A120=FALSE,"",IF(Cotations!BF120="","",Cotations!BF120))</f>
        <v/>
      </c>
      <c r="JK120" s="292" t="str">
        <f t="shared" si="524"/>
        <v/>
      </c>
      <c r="JL120" s="292" t="str">
        <f t="shared" si="525"/>
        <v/>
      </c>
      <c r="JM120" s="759" t="str">
        <f t="shared" si="526"/>
        <v/>
      </c>
      <c r="JN120" s="759" t="str">
        <f>IF(A120=FALSE,"",((JH120*TAXE)-(JH120*TAXE*JJ120))+IF(#REF!="N/A",0,IF(INDEX(LISTES!$F$105:$F$109,MATCH(#REF!,LISTES!$C$105:$C$109,0))="FIX",#REF!,#REF!*JM120)))</f>
        <v/>
      </c>
      <c r="KA120" s="432" t="str">
        <f>IF(A120=FALSE,"",Cotations!AT120)</f>
        <v/>
      </c>
      <c r="KB120" s="1234" t="str">
        <f>IF(A120=FALSE,"",IF(Detail!BJ120="","N/A",YEAR(Detail!F120)&amp;Detail!BM120&amp;Detail!BJ120&amp;"-"&amp;Detail!$BJ$13&amp;Detail!BK120))</f>
        <v/>
      </c>
      <c r="KC120" s="431" t="str">
        <f>IF(A120=FALSE,"",IF(LISTES!$A$17=1,KB120,INDEX(colMOD3,MATCH(DA120,colchoice,0))))</f>
        <v/>
      </c>
      <c r="KD120" s="759" t="str">
        <f t="shared" si="527"/>
        <v/>
      </c>
      <c r="KE120" s="292"/>
      <c r="KF120" s="409" t="str">
        <f t="shared" si="528"/>
        <v/>
      </c>
      <c r="KG120" s="430" t="str">
        <f>IF(A120=FALSE,"",IF(KA120="POEA",Cotations!BG120,IF(KA120="FIXE",Cotations!BH120,IF(Cotations!BI120*Y120&lt;50000,Z120,Cotations!BI120*Y120))))</f>
        <v/>
      </c>
      <c r="KH120" s="292" t="str">
        <f t="shared" si="529"/>
        <v/>
      </c>
      <c r="KI120" s="446" t="str">
        <f>IF(A120=FALSE,"",IF(Cotations!AU120="monthly",KH120/12*L120,KH120/365*M120))</f>
        <v/>
      </c>
      <c r="KJ120" s="429" t="str">
        <f>IF(A120=FALSE,"",IF(Cotations!BJ120="","",Cotations!BJ120))</f>
        <v/>
      </c>
      <c r="KK120" s="292" t="str">
        <f t="shared" si="530"/>
        <v/>
      </c>
      <c r="KL120" s="292" t="str">
        <f t="shared" si="531"/>
        <v/>
      </c>
      <c r="KM120" s="759" t="str">
        <f t="shared" si="532"/>
        <v/>
      </c>
      <c r="KN120" s="759" t="str">
        <f>IF(A120=FALSE,"",((KH120*TAXE)-(KH120*TAXE*KJ120))+IF(#REF!="N/A",0,IF(INDEX(LISTES!$F$105:$F$109,MATCH(#REF!,LISTES!$C$105:$C$109,0))="FIX",#REF!,#REF!*KM120)))</f>
        <v/>
      </c>
      <c r="LA120" s="432" t="str">
        <f>IF(A120=FALSE,"",Cotations!AT120)</f>
        <v/>
      </c>
      <c r="LB120" s="1234" t="str">
        <f>IF(A120=FALSE,"",IF(Detail!BR120="","N/A",YEAR(Detail!F120)&amp;Detail!BU120&amp;Detail!BR120&amp;"-"&amp;Detail!$BR$13&amp;Detail!BS120))</f>
        <v/>
      </c>
      <c r="LC120" s="431" t="str">
        <f>IF(A120=FALSE,"",IF(LISTES!$A$17=1,LB120,INDEX(colMOD4,MATCH(DA120,colchoice,0))))</f>
        <v/>
      </c>
      <c r="LD120" s="759" t="str">
        <f t="shared" si="533"/>
        <v/>
      </c>
      <c r="LE120" s="292"/>
      <c r="LF120" s="409" t="str">
        <f t="shared" si="534"/>
        <v/>
      </c>
      <c r="LG120" s="430" t="str">
        <f>IF(A120=FALSE,"",IF(LA120="POEA",Cotations!BK120,IF(LA120="FIXE",Cotations!BL120,IF(Cotations!BM120*Y120&lt;50000,Z120,Cotations!BM120*Y120))))</f>
        <v/>
      </c>
      <c r="LH120" s="292" t="str">
        <f t="shared" si="535"/>
        <v/>
      </c>
      <c r="LI120" s="446" t="str">
        <f>IF(A120=FALSE,"",IF(Cotations!AU120="monthly",LH120/12*L120,LH120/365*M120))</f>
        <v/>
      </c>
      <c r="LJ120" s="429" t="str">
        <f>IF(A120=FALSE,"",IF(Cotations!BN120="","",Cotations!BN120))</f>
        <v/>
      </c>
      <c r="LK120" s="292" t="str">
        <f t="shared" si="536"/>
        <v/>
      </c>
      <c r="LL120" s="292" t="str">
        <f t="shared" si="537"/>
        <v/>
      </c>
      <c r="LM120" s="759" t="str">
        <f t="shared" si="538"/>
        <v/>
      </c>
      <c r="LN120" s="759" t="str">
        <f>IF(A120=FALSE,"",((LH120*TAXE)-(LH120*TAXE*LJ120))+IF(#REF!="N/A",0,IF(INDEX(LISTES!$F$105:$F$109,MATCH(#REF!,LISTES!$C$105:$C$109,0))="FIX",#REF!,#REF!*LM120)))</f>
        <v/>
      </c>
      <c r="MA120" s="432" t="str">
        <f t="shared" si="539"/>
        <v/>
      </c>
      <c r="MB120" s="1234" t="str">
        <f>IF(A120=FALSE,"",IF(Detail!BZ120="","N/A",YEAR(Detail!F120)&amp;Detail!CC120&amp;Detail!BZ120&amp;"-"&amp;Detail!$BZ$13&amp;" (100%/"&amp;Detail!CD120&amp;"/"&amp;Detail!CE120&amp;")"))</f>
        <v/>
      </c>
      <c r="MC120" s="431" t="str">
        <f>IF(A120=FALSE,"",IF(LISTES!$A$17=1,MB120,INDEX(colMOD5,MATCH(DA120,colchoice,0))))</f>
        <v/>
      </c>
      <c r="MD120" s="759" t="str">
        <f t="shared" si="540"/>
        <v/>
      </c>
      <c r="ME120" s="292"/>
      <c r="MF120" s="409" t="str">
        <f t="shared" si="541"/>
        <v/>
      </c>
      <c r="MG120" s="430" t="str">
        <f>IF(A120=FALSE,"",Cotations!BQ120*AA120)</f>
        <v/>
      </c>
      <c r="MH120" s="292" t="str">
        <f t="shared" si="542"/>
        <v/>
      </c>
      <c r="MI120" s="446" t="str">
        <f>IF(A120=FALSE,"",IF(Cotations!AU120="monthly",MH120/12*L120,MH120/365*M120))</f>
        <v/>
      </c>
      <c r="MJ120" s="429" t="str">
        <f>IF(A120=FALSE,"",IF(Cotations!BR120="","",Cotations!BR120))</f>
        <v/>
      </c>
      <c r="MK120" s="292" t="str">
        <f t="shared" si="543"/>
        <v/>
      </c>
      <c r="ML120" s="292" t="str">
        <f t="shared" si="544"/>
        <v/>
      </c>
      <c r="MM120" s="759" t="str">
        <f t="shared" si="545"/>
        <v/>
      </c>
      <c r="MN120" s="759" t="str">
        <f>IF(A120=FALSE,"",((MH120*TAXE)-(MH120*TAXE*MJ120))+IF(#REF!="N/A",0,IF(INDEX(LISTES!$F$105:$F$109,MATCH(#REF!,LISTES!$C$105:$C$109,0))="FIX",#REF!,#REF!*MM120)))</f>
        <v/>
      </c>
      <c r="NA120" s="432" t="str">
        <f t="shared" si="546"/>
        <v/>
      </c>
      <c r="NB120" s="1234" t="str">
        <f>IF(A120=FALSE,"",IF(Detail!CH120="","N/A",YEAR(Detail!F120)&amp;Detail!CK120&amp;Detail!CH120&amp;"-"&amp;Detail!$CH$13&amp;" (100%/"&amp;Detail!CL120&amp;"/"&amp;Detail!CM120&amp;")"))</f>
        <v/>
      </c>
      <c r="NC120" s="431" t="str">
        <f>IF(A120=FALSE,"",IF(LISTES!$A$17=1,NB120,INDEX(colMOD6,MATCH(DA120,colchoice,0))))</f>
        <v/>
      </c>
      <c r="ND120" s="759" t="str">
        <f t="shared" si="547"/>
        <v/>
      </c>
      <c r="NE120" s="292"/>
      <c r="NF120" s="409" t="str">
        <f t="shared" si="548"/>
        <v/>
      </c>
      <c r="NG120" s="430" t="str">
        <f>IF(A120=FALSE,"",Cotations!BU120*AA120)</f>
        <v/>
      </c>
      <c r="NH120" s="292" t="str">
        <f t="shared" si="549"/>
        <v/>
      </c>
      <c r="NI120" s="446" t="str">
        <f>IF(A120=FALSE,"",IF(Cotations!AU120="monthly",NH120/12*L120,NH120/365*M120))</f>
        <v/>
      </c>
      <c r="NJ120" s="429" t="str">
        <f>IF(A120=FALSE,"",IF(Cotations!BV120="","",Cotations!BV120))</f>
        <v/>
      </c>
      <c r="NK120" s="292" t="str">
        <f t="shared" si="550"/>
        <v/>
      </c>
      <c r="NL120" s="292" t="str">
        <f t="shared" si="551"/>
        <v/>
      </c>
      <c r="NM120" s="759" t="str">
        <f t="shared" si="552"/>
        <v/>
      </c>
      <c r="NN120" s="759" t="str">
        <f>IF(A120=FALSE,"",((NH120*TAXE)-(NH120*TAXE*NJ120))+IF(#REF!="N/A",0,IF(INDEX(LISTES!$F$105:$F$109,MATCH(#REF!,LISTES!$C$105:$C$109,0))="FIX",#REF!,#REF!*NM120)))</f>
        <v/>
      </c>
      <c r="NZ120" s="1281" t="str">
        <f>IF(A120=FALSE,"",IF(Detail!CP120="","N/A",YEAR(Detail!F120)&amp;Detail!CS120&amp;Detail!CP120&amp;"-"&amp;Detail!CQ120))</f>
        <v/>
      </c>
      <c r="OA120" s="432" t="str">
        <f>IF(A120=FALSE,"",Cotations!CF120)</f>
        <v/>
      </c>
      <c r="OB120" s="1282" t="str">
        <f>IF(A120=FALSE,"",IF(Detail!CP120="","N/A",YEAR(Detail!F120)&amp;Detail!CS120&amp;Detail!CP120&amp;"-"&amp;Detail!$CP$13&amp;Detail!CQ120))</f>
        <v/>
      </c>
      <c r="OC120" s="1283" t="str">
        <f>IF(A120=FALSE,"",IF(LISTES!$A$17=1,OB120,INDEX(colMOD1,MATCH(Cotations!CE120,colchoice,0))))</f>
        <v/>
      </c>
      <c r="OD120" s="759" t="str">
        <f t="shared" si="553"/>
        <v/>
      </c>
      <c r="OE120" s="292" t="str">
        <f>IF(A120=FALSE,"",Detail!CQ120)</f>
        <v/>
      </c>
      <c r="OF120" s="409" t="str">
        <f t="shared" si="554"/>
        <v/>
      </c>
      <c r="OG120" s="430" t="str">
        <f>IF(A120=FALSE,"",IF(OA120="FIXE",Cotations!CM120,Cotations!CN120*AA120))</f>
        <v/>
      </c>
      <c r="OH120" s="292" t="str">
        <f t="shared" si="494"/>
        <v/>
      </c>
      <c r="OI120" s="446" t="str">
        <f>IF(A120=FALSE,"",IF(Cotations!CF120="monthly",OH120/12*L120,OH120/365*M120))</f>
        <v/>
      </c>
      <c r="OJ120" s="429" t="str">
        <f>IF(A120=FALSE,"",IF(Cotations!CO120="","",Cotations!CO120))</f>
        <v/>
      </c>
      <c r="OK120" s="292" t="str">
        <f t="shared" si="495"/>
        <v/>
      </c>
      <c r="OL120" s="292" t="str">
        <f t="shared" si="496"/>
        <v/>
      </c>
      <c r="OM120" s="759" t="str">
        <f t="shared" si="555"/>
        <v/>
      </c>
      <c r="ON120" s="759" t="str">
        <f>IF(A120=FALSE,"",((OH120*(1+TAXE)-(OH120*(1+TAXE)*OJ120))+IF(#REF!="N/A",0,IF(INDEX(LISTES!$F$105:$F$109,MATCH(#REF!,LISTES!$C$105:$C$109,0))="FIX",#REF!,#REF!*OM120))))</f>
        <v/>
      </c>
      <c r="PA120" s="432" t="str">
        <f>IF(A120=FALSE,"",Cotations!CF120)</f>
        <v/>
      </c>
      <c r="PB120" s="1282" t="str">
        <f>IF(A120=FALSE,"",IF(Detail!CX120="","N/A",YEAR(Detail!F120)&amp;Detail!DA120&amp;Detail!CX120&amp;"-"&amp;Detail!$CX$13&amp;Detail!CY120))</f>
        <v/>
      </c>
      <c r="PC120" s="1283" t="str">
        <f>IF(A120=FALSE,"",IF(LISTES!$A$17=1,PB120,INDEX(colMOD3,MATCH(Cotations!CE120,colchoice,0))))</f>
        <v/>
      </c>
      <c r="PD120" s="759" t="str">
        <f t="shared" si="556"/>
        <v/>
      </c>
      <c r="PE120" s="292" t="str">
        <f>IF(A120=FALSE,"",IF(Detail!CY120="","",Detail!CY120))</f>
        <v/>
      </c>
      <c r="PF120" s="409" t="str">
        <f t="shared" si="497"/>
        <v/>
      </c>
      <c r="PG120" s="430" t="str">
        <f>IF(A120=FALSE,"",IF(PA120="FIXE",Cotations!CP120,Cotations!CQ120*AA120))</f>
        <v/>
      </c>
      <c r="PH120" s="292" t="str">
        <f t="shared" si="498"/>
        <v/>
      </c>
      <c r="PI120" s="446" t="str">
        <f>IF(A120=FALSE,"",IF(Cotations!CG120="monthly",PH120/12*L120,PH120/365*M120))</f>
        <v/>
      </c>
      <c r="PJ120" s="429" t="str">
        <f>IF(A120=FALSE,"",IF(Cotations!DA120="",0,Cotations!DA120))</f>
        <v/>
      </c>
      <c r="PK120" s="292" t="str">
        <f t="shared" si="499"/>
        <v/>
      </c>
      <c r="PL120" s="292" t="str">
        <f t="shared" si="500"/>
        <v/>
      </c>
      <c r="PM120" s="759" t="str">
        <f t="shared" si="557"/>
        <v/>
      </c>
      <c r="PN120" s="759" t="str">
        <f>IF(A120=FALSE,"",((PH120*(1+TAXE)-(PH120*(1+TAXE)*PJ120))+IF(#REF!="N/A",0,IF(INDEX(LISTES!$F$105:$F$109,MATCH(#REF!,LISTES!$C$105:$C$109,0))="FIX",#REF!,#REF!*PM120))))</f>
        <v/>
      </c>
    </row>
    <row r="121" spans="1:430">
      <c r="CJ121" s="288"/>
      <c r="CK121" s="383"/>
      <c r="CL121" s="1127"/>
      <c r="CM121" s="1127"/>
      <c r="CN121" s="1127"/>
      <c r="CO121" s="1127"/>
      <c r="CQ121" s="383"/>
      <c r="CR121" s="383"/>
      <c r="CS121" s="383"/>
      <c r="CT121" s="288"/>
      <c r="CU121" s="383"/>
      <c r="CV121" s="383"/>
      <c r="DJ121" s="383"/>
      <c r="DK121" s="383"/>
      <c r="DL121" s="1127"/>
      <c r="DM121" s="1127"/>
      <c r="DN121" s="1127"/>
      <c r="DO121" s="1127"/>
      <c r="DQ121" s="383"/>
      <c r="DR121" s="383"/>
      <c r="DS121" s="383"/>
      <c r="DT121" s="383"/>
      <c r="DU121" s="383"/>
      <c r="DV121" s="383"/>
      <c r="ED121" s="269"/>
      <c r="EE121" s="288"/>
      <c r="EF121" s="383"/>
      <c r="EG121" s="383"/>
      <c r="EH121" s="383"/>
      <c r="EI121" s="1107"/>
      <c r="EJ121" s="1107"/>
      <c r="EK121" s="288"/>
      <c r="EL121" s="1107"/>
      <c r="EM121" s="383"/>
      <c r="EN121" s="383"/>
      <c r="EO121" s="383"/>
      <c r="EP121" s="422"/>
      <c r="EQ121" s="269"/>
      <c r="FD121" s="383"/>
      <c r="FE121" s="383"/>
      <c r="FF121" s="383"/>
      <c r="FG121" s="383"/>
      <c r="FH121" s="383"/>
      <c r="FI121" s="1127"/>
      <c r="FJ121" s="1127"/>
      <c r="FK121" s="383"/>
      <c r="FL121" s="1127"/>
      <c r="FM121" s="383"/>
      <c r="FN121" s="383"/>
      <c r="FO121" s="383"/>
      <c r="FP121" s="1127"/>
      <c r="FQ121" s="383"/>
      <c r="GD121" s="1127"/>
      <c r="GE121" s="1127"/>
      <c r="GF121" s="1127"/>
      <c r="GG121" s="1127"/>
      <c r="GH121" s="1127"/>
      <c r="GI121" s="1127"/>
      <c r="GJ121" s="1127"/>
      <c r="GK121" s="1127"/>
      <c r="GL121" s="1127"/>
      <c r="GM121" s="1127"/>
      <c r="GN121" s="1127"/>
      <c r="GO121" s="1127"/>
      <c r="GP121" s="422"/>
      <c r="GQ121" s="1127"/>
      <c r="HD121" s="1127"/>
      <c r="HE121" s="1127"/>
      <c r="HF121" s="1127"/>
      <c r="HG121" s="1127"/>
      <c r="HH121" s="1127"/>
      <c r="HI121" s="1127"/>
      <c r="HJ121" s="1127"/>
      <c r="HK121" s="1127"/>
      <c r="HL121" s="1127"/>
      <c r="HM121" s="1127"/>
      <c r="HN121" s="1127"/>
      <c r="HO121" s="1127"/>
      <c r="HP121" s="422"/>
      <c r="HQ121" s="1127"/>
      <c r="ID121" s="383"/>
      <c r="IE121" s="383"/>
      <c r="IF121" s="383"/>
      <c r="IH121" s="383"/>
      <c r="II121" s="383"/>
      <c r="IJ121" s="383"/>
      <c r="IK121" s="383"/>
      <c r="IL121" s="383"/>
      <c r="IM121" s="383"/>
      <c r="JD121" s="383"/>
      <c r="JE121" s="383"/>
      <c r="JF121" s="383"/>
      <c r="JH121" s="383"/>
      <c r="JI121" s="383"/>
      <c r="JJ121" s="383"/>
      <c r="JK121" s="383"/>
      <c r="JL121" s="383"/>
      <c r="JM121" s="383"/>
      <c r="KD121" s="383"/>
      <c r="KE121" s="383"/>
      <c r="KF121" s="383"/>
      <c r="KH121" s="383"/>
      <c r="KI121" s="383"/>
      <c r="KJ121" s="383"/>
      <c r="KK121" s="383"/>
      <c r="KL121" s="383"/>
      <c r="KM121" s="383"/>
      <c r="LD121" s="383"/>
      <c r="LE121" s="383"/>
      <c r="LF121" s="383"/>
      <c r="LH121" s="383"/>
      <c r="LI121" s="383"/>
      <c r="LJ121" s="383"/>
      <c r="LK121" s="383"/>
      <c r="LL121" s="383"/>
      <c r="LM121" s="383"/>
      <c r="MD121" s="383"/>
      <c r="ME121" s="383"/>
      <c r="MF121" s="383"/>
      <c r="MH121" s="383"/>
      <c r="MI121" s="383"/>
      <c r="MJ121" s="383"/>
      <c r="MK121" s="383"/>
      <c r="ML121" s="383"/>
      <c r="MM121" s="383"/>
      <c r="ND121" s="383"/>
      <c r="NE121" s="383"/>
      <c r="NF121" s="383"/>
      <c r="NH121" s="383"/>
      <c r="NI121" s="383"/>
      <c r="NJ121" s="383"/>
      <c r="NK121" s="383"/>
      <c r="NL121" s="383"/>
      <c r="NM121" s="383"/>
      <c r="OC121" s="431" t="str">
        <f>IF(A121=FALSE,"",IF(LISTES!$A$17=1,OB121,INDEX(colMOD1,MATCH(DA121,colchoice,0))))</f>
        <v/>
      </c>
      <c r="OD121" s="582"/>
      <c r="OE121" s="582"/>
      <c r="OF121" s="582"/>
      <c r="OH121" s="582"/>
      <c r="OI121" s="582"/>
      <c r="OJ121" s="582"/>
      <c r="OK121" s="582"/>
      <c r="OL121" s="582"/>
      <c r="OM121" s="582"/>
      <c r="PC121" s="431" t="str">
        <f>IF(AA121=FALSE,"",IF(LISTES!$A$17=1,PB121,INDEX(colMOD1,MATCH(EA121,colchoice,0))))</f>
        <v/>
      </c>
      <c r="PD121" s="1127"/>
      <c r="PE121" s="1127"/>
      <c r="PF121" s="1127"/>
      <c r="PH121" s="1127"/>
      <c r="PI121" s="1127"/>
      <c r="PJ121" s="1127"/>
      <c r="PK121" s="1127"/>
      <c r="PL121" s="1127"/>
      <c r="PM121" s="1127"/>
    </row>
    <row r="122" spans="1:430">
      <c r="CJ122" s="288"/>
      <c r="CK122" s="383"/>
      <c r="CL122" s="1127"/>
      <c r="CM122" s="1127"/>
      <c r="CN122" s="1127"/>
      <c r="CO122" s="1127"/>
      <c r="CQ122" s="383"/>
      <c r="CR122" s="383"/>
      <c r="CS122" s="383"/>
      <c r="CT122" s="288"/>
      <c r="CU122" s="383"/>
      <c r="CV122" s="383"/>
      <c r="DJ122" s="383"/>
      <c r="DK122" s="383"/>
      <c r="DL122" s="1127"/>
      <c r="DM122" s="1127"/>
      <c r="DN122" s="1127"/>
      <c r="DO122" s="1127"/>
      <c r="DQ122" s="383"/>
      <c r="DR122" s="383"/>
      <c r="DS122" s="383"/>
      <c r="DT122" s="383"/>
      <c r="DU122" s="383"/>
      <c r="DV122" s="383"/>
      <c r="ED122" s="269"/>
      <c r="EE122" s="288"/>
      <c r="EF122" s="383"/>
      <c r="EG122" s="383"/>
      <c r="EH122" s="383"/>
      <c r="EI122" s="1107"/>
      <c r="EJ122" s="1107"/>
      <c r="EK122" s="288"/>
      <c r="EL122" s="1107"/>
      <c r="EM122" s="383"/>
      <c r="EN122" s="383"/>
      <c r="EO122" s="383"/>
      <c r="EP122" s="422"/>
      <c r="EQ122" s="269"/>
      <c r="FD122" s="383"/>
      <c r="FE122" s="383"/>
      <c r="FF122" s="383"/>
      <c r="FG122" s="383"/>
      <c r="FH122" s="383"/>
      <c r="FI122" s="1127"/>
      <c r="FJ122" s="1127"/>
      <c r="FK122" s="383"/>
      <c r="FL122" s="1127"/>
      <c r="FM122" s="383"/>
      <c r="FN122" s="383"/>
      <c r="FO122" s="383"/>
      <c r="FP122" s="1127"/>
      <c r="FQ122" s="383"/>
      <c r="GD122" s="1127"/>
      <c r="GE122" s="1127"/>
      <c r="GF122" s="1127"/>
      <c r="GG122" s="1127"/>
      <c r="GH122" s="1127"/>
      <c r="GI122" s="1127"/>
      <c r="GJ122" s="1127"/>
      <c r="GK122" s="1127"/>
      <c r="GL122" s="1127"/>
      <c r="GM122" s="1127"/>
      <c r="GN122" s="1127"/>
      <c r="GO122" s="1127"/>
      <c r="GP122" s="422"/>
      <c r="GQ122" s="1127"/>
      <c r="HD122" s="1127"/>
      <c r="HE122" s="1127"/>
      <c r="HF122" s="1127"/>
      <c r="HG122" s="1127"/>
      <c r="HH122" s="1127"/>
      <c r="HI122" s="1127"/>
      <c r="HJ122" s="1127"/>
      <c r="HK122" s="1127"/>
      <c r="HL122" s="1127"/>
      <c r="HM122" s="1127"/>
      <c r="HN122" s="1127"/>
      <c r="HO122" s="1127"/>
      <c r="HP122" s="422"/>
      <c r="HQ122" s="1127"/>
      <c r="ID122" s="383"/>
      <c r="IE122" s="383"/>
      <c r="IF122" s="383"/>
      <c r="IH122" s="383"/>
      <c r="II122" s="383"/>
      <c r="IJ122" s="383"/>
      <c r="IK122" s="383"/>
      <c r="IL122" s="383"/>
      <c r="IM122" s="383"/>
      <c r="JD122" s="383"/>
      <c r="JE122" s="383"/>
      <c r="JF122" s="383"/>
      <c r="JH122" s="383"/>
      <c r="JI122" s="383"/>
      <c r="JJ122" s="383"/>
      <c r="JK122" s="383"/>
      <c r="JL122" s="383"/>
      <c r="JM122" s="383"/>
      <c r="KD122" s="383"/>
      <c r="KE122" s="383"/>
      <c r="KF122" s="383"/>
      <c r="KH122" s="383"/>
      <c r="KI122" s="383"/>
      <c r="KJ122" s="383"/>
      <c r="KK122" s="383"/>
      <c r="KL122" s="383"/>
      <c r="KM122" s="383"/>
      <c r="LD122" s="383"/>
      <c r="LE122" s="383"/>
      <c r="LF122" s="383"/>
      <c r="LH122" s="383"/>
      <c r="LI122" s="383"/>
      <c r="LJ122" s="383"/>
      <c r="LK122" s="383"/>
      <c r="LL122" s="383"/>
      <c r="LM122" s="383"/>
      <c r="MD122" s="383"/>
      <c r="ME122" s="383"/>
      <c r="MF122" s="383"/>
      <c r="MH122" s="383"/>
      <c r="MI122" s="383"/>
      <c r="MJ122" s="383"/>
      <c r="MK122" s="383"/>
      <c r="ML122" s="383"/>
      <c r="MM122" s="383"/>
      <c r="ND122" s="383"/>
      <c r="NE122" s="383"/>
      <c r="NF122" s="383"/>
      <c r="NH122" s="383"/>
      <c r="NI122" s="383"/>
      <c r="NJ122" s="383"/>
      <c r="NK122" s="383"/>
      <c r="NL122" s="383"/>
      <c r="NM122" s="383"/>
      <c r="OD122" s="582"/>
      <c r="OE122" s="582"/>
      <c r="OF122" s="582"/>
      <c r="OH122" s="582"/>
      <c r="OI122" s="582"/>
      <c r="OJ122" s="582"/>
      <c r="OK122" s="582"/>
      <c r="OL122" s="582"/>
      <c r="OM122" s="582"/>
      <c r="PD122" s="1127"/>
      <c r="PE122" s="1127"/>
      <c r="PF122" s="1127"/>
      <c r="PH122" s="1127"/>
      <c r="PI122" s="1127"/>
      <c r="PJ122" s="1127"/>
      <c r="PK122" s="1127"/>
      <c r="PL122" s="1127"/>
      <c r="PM122" s="1127"/>
    </row>
    <row r="123" spans="1:430">
      <c r="CJ123" s="288"/>
      <c r="CK123" s="383"/>
      <c r="CL123" s="1127"/>
      <c r="CM123" s="1127"/>
      <c r="CN123" s="1127"/>
      <c r="CO123" s="1127"/>
      <c r="CQ123" s="383"/>
      <c r="CR123" s="383"/>
      <c r="CS123" s="383"/>
      <c r="CT123" s="288"/>
      <c r="CU123" s="383"/>
      <c r="CV123" s="383"/>
      <c r="DJ123" s="383"/>
      <c r="DK123" s="383"/>
      <c r="DL123" s="1127"/>
      <c r="DM123" s="1127"/>
      <c r="DN123" s="1127"/>
      <c r="DO123" s="1127"/>
      <c r="DQ123" s="383"/>
      <c r="DR123" s="383"/>
      <c r="DS123" s="383"/>
      <c r="DT123" s="383"/>
      <c r="DU123" s="383"/>
      <c r="DV123" s="383"/>
      <c r="ED123" s="269"/>
      <c r="EE123" s="288"/>
      <c r="EF123" s="383"/>
      <c r="EG123" s="383"/>
      <c r="EH123" s="383"/>
      <c r="EI123" s="1107"/>
      <c r="EJ123" s="1107"/>
      <c r="EK123" s="288"/>
      <c r="EL123" s="1107"/>
      <c r="EM123" s="383"/>
      <c r="EN123" s="383"/>
      <c r="EO123" s="383"/>
      <c r="EP123" s="422"/>
      <c r="EQ123" s="269"/>
      <c r="FD123" s="383"/>
      <c r="FE123" s="383"/>
      <c r="FF123" s="383"/>
      <c r="FG123" s="383"/>
      <c r="FH123" s="383"/>
      <c r="FI123" s="1127"/>
      <c r="FJ123" s="1127"/>
      <c r="FK123" s="383"/>
      <c r="FL123" s="1127"/>
      <c r="FM123" s="383"/>
      <c r="FN123" s="383"/>
      <c r="FO123" s="383"/>
      <c r="FP123" s="1127"/>
      <c r="FQ123" s="383"/>
      <c r="GD123" s="1127"/>
      <c r="GE123" s="1127"/>
      <c r="GF123" s="1127"/>
      <c r="GG123" s="1127"/>
      <c r="GH123" s="1127"/>
      <c r="GI123" s="1127"/>
      <c r="GJ123" s="1127"/>
      <c r="GK123" s="1127"/>
      <c r="GL123" s="1127"/>
      <c r="GM123" s="1127"/>
      <c r="GN123" s="1127"/>
      <c r="GO123" s="1127"/>
      <c r="GP123" s="422"/>
      <c r="GQ123" s="1127"/>
      <c r="HD123" s="1127"/>
      <c r="HE123" s="1127"/>
      <c r="HF123" s="1127"/>
      <c r="HG123" s="1127"/>
      <c r="HH123" s="1127"/>
      <c r="HI123" s="1127"/>
      <c r="HJ123" s="1127"/>
      <c r="HK123" s="1127"/>
      <c r="HL123" s="1127"/>
      <c r="HM123" s="1127"/>
      <c r="HN123" s="1127"/>
      <c r="HO123" s="1127"/>
      <c r="HP123" s="422"/>
      <c r="HQ123" s="1127"/>
      <c r="ID123" s="383"/>
      <c r="IE123" s="383"/>
      <c r="IF123" s="383"/>
      <c r="IH123" s="383"/>
      <c r="II123" s="383"/>
      <c r="IJ123" s="383"/>
      <c r="IK123" s="383"/>
      <c r="IL123" s="383"/>
      <c r="IM123" s="383"/>
      <c r="JD123" s="383"/>
      <c r="JE123" s="383"/>
      <c r="JF123" s="383"/>
      <c r="JH123" s="383"/>
      <c r="JI123" s="383"/>
      <c r="JJ123" s="383"/>
      <c r="JK123" s="383"/>
      <c r="JL123" s="383"/>
      <c r="JM123" s="383"/>
      <c r="KD123" s="383"/>
      <c r="KE123" s="383"/>
      <c r="KF123" s="383"/>
      <c r="KH123" s="383"/>
      <c r="KI123" s="383"/>
      <c r="KJ123" s="383"/>
      <c r="KK123" s="383"/>
      <c r="KL123" s="383"/>
      <c r="KM123" s="383"/>
      <c r="LD123" s="383"/>
      <c r="LE123" s="383"/>
      <c r="LF123" s="383"/>
      <c r="LH123" s="383"/>
      <c r="LI123" s="383"/>
      <c r="LJ123" s="383"/>
      <c r="LK123" s="383"/>
      <c r="LL123" s="383"/>
      <c r="LM123" s="383"/>
      <c r="MD123" s="383"/>
      <c r="ME123" s="383"/>
      <c r="MF123" s="383"/>
      <c r="MH123" s="383"/>
      <c r="MI123" s="383"/>
      <c r="MJ123" s="383"/>
      <c r="MK123" s="383"/>
      <c r="ML123" s="383"/>
      <c r="MM123" s="383"/>
      <c r="ND123" s="383"/>
      <c r="NE123" s="383"/>
      <c r="NF123" s="383"/>
      <c r="NH123" s="383"/>
      <c r="NI123" s="383"/>
      <c r="NJ123" s="383"/>
      <c r="NK123" s="383"/>
      <c r="NL123" s="383"/>
      <c r="NM123" s="383"/>
      <c r="OD123" s="582"/>
      <c r="OE123" s="582"/>
      <c r="OF123" s="582"/>
      <c r="OH123" s="582"/>
      <c r="OI123" s="582"/>
      <c r="OJ123" s="582"/>
      <c r="OK123" s="582"/>
      <c r="OL123" s="582"/>
      <c r="OM123" s="582"/>
      <c r="PD123" s="1127"/>
      <c r="PE123" s="1127"/>
      <c r="PF123" s="1127"/>
      <c r="PH123" s="1127"/>
      <c r="PI123" s="1127"/>
      <c r="PJ123" s="1127"/>
      <c r="PK123" s="1127"/>
      <c r="PL123" s="1127"/>
      <c r="PM123" s="1127"/>
    </row>
    <row r="124" spans="1:430">
      <c r="CJ124" s="288"/>
      <c r="CK124" s="383"/>
      <c r="CL124" s="1127"/>
      <c r="CM124" s="1127"/>
      <c r="CN124" s="1127"/>
      <c r="CO124" s="1127"/>
      <c r="CQ124" s="383"/>
      <c r="CR124" s="383"/>
      <c r="CS124" s="383"/>
      <c r="CT124" s="288"/>
      <c r="CU124" s="383"/>
      <c r="CV124" s="383"/>
      <c r="DJ124" s="383"/>
      <c r="DK124" s="383"/>
      <c r="DL124" s="1127"/>
      <c r="DM124" s="1127"/>
      <c r="DN124" s="1127"/>
      <c r="DO124" s="1127"/>
      <c r="DQ124" s="383"/>
      <c r="DR124" s="383"/>
      <c r="DS124" s="383"/>
      <c r="DT124" s="383"/>
      <c r="DU124" s="383"/>
      <c r="DV124" s="383"/>
      <c r="ED124" s="269"/>
      <c r="EE124" s="288"/>
      <c r="EF124" s="383"/>
      <c r="EG124" s="383"/>
      <c r="EH124" s="383"/>
      <c r="EI124" s="1107"/>
      <c r="EJ124" s="1107"/>
      <c r="EK124" s="288"/>
      <c r="EL124" s="1107"/>
      <c r="EM124" s="383"/>
      <c r="EN124" s="383"/>
      <c r="EO124" s="383"/>
      <c r="EP124" s="422"/>
      <c r="EQ124" s="269"/>
      <c r="FD124" s="383"/>
      <c r="FE124" s="383"/>
      <c r="FF124" s="383"/>
      <c r="FG124" s="383"/>
      <c r="FH124" s="383"/>
      <c r="FI124" s="1127"/>
      <c r="FJ124" s="1127"/>
      <c r="FK124" s="383"/>
      <c r="FL124" s="1127"/>
      <c r="FM124" s="383"/>
      <c r="FN124" s="383"/>
      <c r="FO124" s="383"/>
      <c r="FP124" s="1127"/>
      <c r="FQ124" s="383"/>
      <c r="GD124" s="1127"/>
      <c r="GE124" s="1127"/>
      <c r="GF124" s="1127"/>
      <c r="GG124" s="1127"/>
      <c r="GH124" s="1127"/>
      <c r="GI124" s="1127"/>
      <c r="GJ124" s="1127"/>
      <c r="GK124" s="1127"/>
      <c r="GL124" s="1127"/>
      <c r="GM124" s="1127"/>
      <c r="GN124" s="1127"/>
      <c r="GO124" s="1127"/>
      <c r="GP124" s="422"/>
      <c r="GQ124" s="1127"/>
      <c r="HD124" s="1127"/>
      <c r="HE124" s="1127"/>
      <c r="HF124" s="1127"/>
      <c r="HG124" s="1127"/>
      <c r="HH124" s="1127"/>
      <c r="HI124" s="1127"/>
      <c r="HJ124" s="1127"/>
      <c r="HK124" s="1127"/>
      <c r="HL124" s="1127"/>
      <c r="HM124" s="1127"/>
      <c r="HN124" s="1127"/>
      <c r="HO124" s="1127"/>
      <c r="HP124" s="422"/>
      <c r="HQ124" s="1127"/>
      <c r="ID124" s="383"/>
      <c r="IE124" s="383"/>
      <c r="IF124" s="383"/>
      <c r="IH124" s="383"/>
      <c r="II124" s="383"/>
      <c r="IJ124" s="383"/>
      <c r="IK124" s="383"/>
      <c r="IL124" s="383"/>
      <c r="IM124" s="383"/>
      <c r="JD124" s="383"/>
      <c r="JE124" s="383"/>
      <c r="JF124" s="383"/>
      <c r="JH124" s="383"/>
      <c r="JI124" s="383"/>
      <c r="JJ124" s="383"/>
      <c r="JK124" s="383"/>
      <c r="JL124" s="383"/>
      <c r="JM124" s="383"/>
      <c r="KD124" s="383"/>
      <c r="KE124" s="383"/>
      <c r="KF124" s="383"/>
      <c r="KH124" s="383"/>
      <c r="KI124" s="383"/>
      <c r="KJ124" s="383"/>
      <c r="KK124" s="383"/>
      <c r="KL124" s="383"/>
      <c r="KM124" s="383"/>
      <c r="LD124" s="383"/>
      <c r="LE124" s="383"/>
      <c r="LF124" s="383"/>
      <c r="LH124" s="383"/>
      <c r="LI124" s="383"/>
      <c r="LJ124" s="383"/>
      <c r="LK124" s="383"/>
      <c r="LL124" s="383"/>
      <c r="LM124" s="383"/>
      <c r="MD124" s="383"/>
      <c r="ME124" s="383"/>
      <c r="MF124" s="383"/>
      <c r="MH124" s="383"/>
      <c r="MI124" s="383"/>
      <c r="MJ124" s="383"/>
      <c r="MK124" s="383"/>
      <c r="ML124" s="383"/>
      <c r="MM124" s="383"/>
      <c r="ND124" s="383"/>
      <c r="NE124" s="383"/>
      <c r="NF124" s="383"/>
      <c r="NH124" s="383"/>
      <c r="NI124" s="383"/>
      <c r="NJ124" s="383"/>
      <c r="NK124" s="383"/>
      <c r="NL124" s="383"/>
      <c r="NM124" s="383"/>
      <c r="OD124" s="582"/>
      <c r="OE124" s="582"/>
      <c r="OF124" s="582"/>
      <c r="OH124" s="582"/>
      <c r="OI124" s="582"/>
      <c r="OJ124" s="582"/>
      <c r="OK124" s="582"/>
      <c r="OL124" s="582"/>
      <c r="OM124" s="582"/>
      <c r="PD124" s="1127"/>
      <c r="PE124" s="1127"/>
      <c r="PF124" s="1127"/>
      <c r="PH124" s="1127"/>
      <c r="PI124" s="1127"/>
      <c r="PJ124" s="1127"/>
      <c r="PK124" s="1127"/>
      <c r="PL124" s="1127"/>
      <c r="PM124" s="1127"/>
    </row>
    <row r="125" spans="1:430">
      <c r="CJ125" s="288"/>
      <c r="CK125" s="383"/>
      <c r="CL125" s="1127"/>
      <c r="CM125" s="1127"/>
      <c r="CN125" s="1127"/>
      <c r="CO125" s="1127"/>
      <c r="CQ125" s="383"/>
      <c r="CR125" s="383"/>
      <c r="CS125" s="383"/>
      <c r="CT125" s="288"/>
      <c r="CU125" s="383"/>
      <c r="CV125" s="383"/>
      <c r="DJ125" s="383"/>
      <c r="DK125" s="383"/>
      <c r="DL125" s="1127"/>
      <c r="DM125" s="1127"/>
      <c r="DN125" s="1127"/>
      <c r="DO125" s="1127"/>
      <c r="DQ125" s="383"/>
      <c r="DR125" s="383"/>
      <c r="DS125" s="383"/>
      <c r="DT125" s="383"/>
      <c r="DU125" s="383"/>
      <c r="DV125" s="383"/>
      <c r="ED125" s="269"/>
      <c r="EE125" s="288"/>
      <c r="EF125" s="383"/>
      <c r="EG125" s="383"/>
      <c r="EH125" s="383"/>
      <c r="EI125" s="1107"/>
      <c r="EJ125" s="1107"/>
      <c r="EK125" s="288"/>
      <c r="EL125" s="1107"/>
      <c r="EM125" s="383"/>
      <c r="EN125" s="383"/>
      <c r="EO125" s="383"/>
      <c r="EP125" s="422"/>
      <c r="EQ125" s="269"/>
      <c r="FD125" s="383"/>
      <c r="FE125" s="383"/>
      <c r="FF125" s="383"/>
      <c r="FG125" s="383"/>
      <c r="FH125" s="383"/>
      <c r="FI125" s="1127"/>
      <c r="FJ125" s="1127"/>
      <c r="FK125" s="383"/>
      <c r="FL125" s="1127"/>
      <c r="FM125" s="383"/>
      <c r="FN125" s="383"/>
      <c r="FO125" s="383"/>
      <c r="FP125" s="1127"/>
      <c r="FQ125" s="383"/>
      <c r="GD125" s="1127"/>
      <c r="GE125" s="1127"/>
      <c r="GF125" s="1127"/>
      <c r="GG125" s="1127"/>
      <c r="GH125" s="1127"/>
      <c r="GI125" s="1127"/>
      <c r="GJ125" s="1127"/>
      <c r="GK125" s="1127"/>
      <c r="GL125" s="1127"/>
      <c r="GM125" s="1127"/>
      <c r="GN125" s="1127"/>
      <c r="GO125" s="1127"/>
      <c r="GP125" s="422"/>
      <c r="GQ125" s="1127"/>
      <c r="HD125" s="1127"/>
      <c r="HE125" s="1127"/>
      <c r="HF125" s="1127"/>
      <c r="HG125" s="1127"/>
      <c r="HH125" s="1127"/>
      <c r="HI125" s="1127"/>
      <c r="HJ125" s="1127"/>
      <c r="HK125" s="1127"/>
      <c r="HL125" s="1127"/>
      <c r="HM125" s="1127"/>
      <c r="HN125" s="1127"/>
      <c r="HO125" s="1127"/>
      <c r="HP125" s="422"/>
      <c r="HQ125" s="1127"/>
      <c r="ID125" s="383"/>
      <c r="IE125" s="383"/>
      <c r="IF125" s="383"/>
      <c r="IH125" s="383"/>
      <c r="II125" s="383"/>
      <c r="IJ125" s="383"/>
      <c r="IK125" s="383"/>
      <c r="IL125" s="383"/>
      <c r="IM125" s="383"/>
      <c r="JD125" s="383"/>
      <c r="JE125" s="383"/>
      <c r="JF125" s="383"/>
      <c r="JH125" s="383"/>
      <c r="JI125" s="383"/>
      <c r="JJ125" s="383"/>
      <c r="JK125" s="383"/>
      <c r="JL125" s="383"/>
      <c r="JM125" s="383"/>
      <c r="KD125" s="383"/>
      <c r="KE125" s="383"/>
      <c r="KF125" s="383"/>
      <c r="KH125" s="383"/>
      <c r="KI125" s="383"/>
      <c r="KJ125" s="383"/>
      <c r="KK125" s="383"/>
      <c r="KL125" s="383"/>
      <c r="KM125" s="383"/>
      <c r="LD125" s="383"/>
      <c r="LE125" s="383"/>
      <c r="LF125" s="383"/>
      <c r="LH125" s="383"/>
      <c r="LI125" s="383"/>
      <c r="LJ125" s="383"/>
      <c r="LK125" s="383"/>
      <c r="LL125" s="383"/>
      <c r="LM125" s="383"/>
      <c r="MD125" s="383"/>
      <c r="ME125" s="383"/>
      <c r="MF125" s="383"/>
      <c r="MH125" s="383"/>
      <c r="MI125" s="383"/>
      <c r="MJ125" s="383"/>
      <c r="MK125" s="383"/>
      <c r="ML125" s="383"/>
      <c r="MM125" s="383"/>
      <c r="ND125" s="383"/>
      <c r="NE125" s="383"/>
      <c r="NF125" s="383"/>
      <c r="NH125" s="383"/>
      <c r="NI125" s="383"/>
      <c r="NJ125" s="383"/>
      <c r="NK125" s="383"/>
      <c r="NL125" s="383"/>
      <c r="NM125" s="383"/>
      <c r="OD125" s="582"/>
      <c r="OE125" s="582"/>
      <c r="OF125" s="582"/>
      <c r="OH125" s="582"/>
      <c r="OI125" s="582"/>
      <c r="OJ125" s="582"/>
      <c r="OK125" s="582"/>
      <c r="OL125" s="582"/>
      <c r="OM125" s="582"/>
      <c r="PD125" s="1127"/>
      <c r="PE125" s="1127"/>
      <c r="PF125" s="1127"/>
      <c r="PH125" s="1127"/>
      <c r="PI125" s="1127"/>
      <c r="PJ125" s="1127"/>
      <c r="PK125" s="1127"/>
      <c r="PL125" s="1127"/>
      <c r="PM125" s="1127"/>
    </row>
    <row r="126" spans="1:430">
      <c r="CJ126" s="288"/>
      <c r="CK126" s="383"/>
      <c r="CL126" s="1127"/>
      <c r="CM126" s="1127"/>
      <c r="CN126" s="1127"/>
      <c r="CO126" s="1127"/>
      <c r="CQ126" s="383"/>
      <c r="CR126" s="383"/>
      <c r="CS126" s="383"/>
      <c r="CT126" s="288"/>
      <c r="CU126" s="383"/>
      <c r="CV126" s="383"/>
      <c r="DJ126" s="383"/>
      <c r="DK126" s="383"/>
      <c r="DL126" s="1127"/>
      <c r="DM126" s="1127"/>
      <c r="DN126" s="1127"/>
      <c r="DO126" s="1127"/>
      <c r="DQ126" s="383"/>
      <c r="DR126" s="383"/>
      <c r="DS126" s="383"/>
      <c r="DT126" s="383"/>
      <c r="DU126" s="383"/>
      <c r="DV126" s="383"/>
      <c r="ED126" s="269"/>
      <c r="EE126" s="288"/>
      <c r="EF126" s="383"/>
      <c r="EG126" s="383"/>
      <c r="EH126" s="383"/>
      <c r="EI126" s="1107"/>
      <c r="EJ126" s="1107"/>
      <c r="EK126" s="288"/>
      <c r="EL126" s="1107"/>
      <c r="EM126" s="383"/>
      <c r="EN126" s="383"/>
      <c r="EO126" s="383"/>
      <c r="EP126" s="422"/>
      <c r="EQ126" s="269"/>
      <c r="FD126" s="383"/>
      <c r="FE126" s="383"/>
      <c r="FF126" s="383"/>
      <c r="FG126" s="383"/>
      <c r="FH126" s="383"/>
      <c r="FI126" s="1127"/>
      <c r="FJ126" s="1127"/>
      <c r="FK126" s="383"/>
      <c r="FL126" s="1127"/>
      <c r="FM126" s="383"/>
      <c r="FN126" s="383"/>
      <c r="FO126" s="383"/>
      <c r="FP126" s="1127"/>
      <c r="FQ126" s="383"/>
      <c r="GD126" s="1127"/>
      <c r="GE126" s="1127"/>
      <c r="GF126" s="1127"/>
      <c r="GG126" s="1127"/>
      <c r="GH126" s="1127"/>
      <c r="GI126" s="1127"/>
      <c r="GJ126" s="1127"/>
      <c r="GK126" s="1127"/>
      <c r="GL126" s="1127"/>
      <c r="GM126" s="1127"/>
      <c r="GN126" s="1127"/>
      <c r="GO126" s="1127"/>
      <c r="GP126" s="422"/>
      <c r="GQ126" s="1127"/>
      <c r="HD126" s="1127"/>
      <c r="HE126" s="1127"/>
      <c r="HF126" s="1127"/>
      <c r="HG126" s="1127"/>
      <c r="HH126" s="1127"/>
      <c r="HI126" s="1127"/>
      <c r="HJ126" s="1127"/>
      <c r="HK126" s="1127"/>
      <c r="HL126" s="1127"/>
      <c r="HM126" s="1127"/>
      <c r="HN126" s="1127"/>
      <c r="HO126" s="1127"/>
      <c r="HP126" s="422"/>
      <c r="HQ126" s="1127"/>
      <c r="ID126" s="383"/>
      <c r="IE126" s="383"/>
      <c r="IF126" s="383"/>
      <c r="IH126" s="383"/>
      <c r="II126" s="383"/>
      <c r="IJ126" s="383"/>
      <c r="IK126" s="383"/>
      <c r="IL126" s="383"/>
      <c r="IM126" s="383"/>
      <c r="JD126" s="383"/>
      <c r="JE126" s="383"/>
      <c r="JF126" s="383"/>
      <c r="JH126" s="383"/>
      <c r="JI126" s="383"/>
      <c r="JJ126" s="383"/>
      <c r="JK126" s="383"/>
      <c r="JL126" s="383"/>
      <c r="JM126" s="383"/>
      <c r="KD126" s="383"/>
      <c r="KE126" s="383"/>
      <c r="KF126" s="383"/>
      <c r="KH126" s="383"/>
      <c r="KI126" s="383"/>
      <c r="KJ126" s="383"/>
      <c r="KK126" s="383"/>
      <c r="KL126" s="383"/>
      <c r="KM126" s="383"/>
      <c r="LD126" s="383"/>
      <c r="LE126" s="383"/>
      <c r="LF126" s="383"/>
      <c r="LH126" s="383"/>
      <c r="LI126" s="383"/>
      <c r="LJ126" s="383"/>
      <c r="LK126" s="383"/>
      <c r="LL126" s="383"/>
      <c r="LM126" s="383"/>
      <c r="MD126" s="383"/>
      <c r="ME126" s="383"/>
      <c r="MF126" s="383"/>
      <c r="MH126" s="383"/>
      <c r="MI126" s="383"/>
      <c r="MJ126" s="383"/>
      <c r="MK126" s="383"/>
      <c r="ML126" s="383"/>
      <c r="MM126" s="383"/>
      <c r="ND126" s="383"/>
      <c r="NE126" s="383"/>
      <c r="NF126" s="383"/>
      <c r="NH126" s="383"/>
      <c r="NI126" s="383"/>
      <c r="NJ126" s="383"/>
      <c r="NK126" s="383"/>
      <c r="NL126" s="383"/>
      <c r="NM126" s="383"/>
      <c r="OD126" s="582"/>
      <c r="OE126" s="582"/>
      <c r="OF126" s="582"/>
      <c r="OH126" s="582"/>
      <c r="OI126" s="582"/>
      <c r="OJ126" s="582"/>
      <c r="OK126" s="582"/>
      <c r="OL126" s="582"/>
      <c r="OM126" s="582"/>
      <c r="PD126" s="1127"/>
      <c r="PE126" s="1127"/>
      <c r="PF126" s="1127"/>
      <c r="PH126" s="1127"/>
      <c r="PI126" s="1127"/>
      <c r="PJ126" s="1127"/>
      <c r="PK126" s="1127"/>
      <c r="PL126" s="1127"/>
      <c r="PM126" s="1127"/>
    </row>
    <row r="127" spans="1:430">
      <c r="CJ127" s="288"/>
      <c r="CK127" s="383"/>
      <c r="CL127" s="1127"/>
      <c r="CM127" s="1127"/>
      <c r="CN127" s="1127"/>
      <c r="CO127" s="1127"/>
      <c r="CQ127" s="383"/>
      <c r="CR127" s="383"/>
      <c r="CS127" s="383"/>
      <c r="CT127" s="288"/>
      <c r="CU127" s="383"/>
      <c r="CV127" s="383"/>
      <c r="DJ127" s="383"/>
      <c r="DK127" s="383"/>
      <c r="DL127" s="1127"/>
      <c r="DM127" s="1127"/>
      <c r="DN127" s="1127"/>
      <c r="DO127" s="1127"/>
      <c r="DQ127" s="383"/>
      <c r="DR127" s="383"/>
      <c r="DS127" s="383"/>
      <c r="DT127" s="383"/>
      <c r="DU127" s="383"/>
      <c r="DV127" s="383"/>
      <c r="ED127" s="269"/>
      <c r="EE127" s="288"/>
      <c r="EF127" s="383"/>
      <c r="EG127" s="383"/>
      <c r="EH127" s="383"/>
      <c r="EI127" s="1107"/>
      <c r="EJ127" s="1107"/>
      <c r="EK127" s="288"/>
      <c r="EL127" s="1107"/>
      <c r="EM127" s="383"/>
      <c r="EN127" s="383"/>
      <c r="EO127" s="383"/>
      <c r="EP127" s="422"/>
      <c r="EQ127" s="269"/>
      <c r="FD127" s="383"/>
      <c r="FE127" s="383"/>
      <c r="FF127" s="383"/>
      <c r="FG127" s="383"/>
      <c r="FH127" s="383"/>
      <c r="FI127" s="1127"/>
      <c r="FJ127" s="1127"/>
      <c r="FK127" s="383"/>
      <c r="FL127" s="1127"/>
      <c r="FM127" s="383"/>
      <c r="FN127" s="383"/>
      <c r="FO127" s="383"/>
      <c r="FP127" s="1127"/>
      <c r="FQ127" s="383"/>
      <c r="GD127" s="1127"/>
      <c r="GE127" s="1127"/>
      <c r="GF127" s="1127"/>
      <c r="GG127" s="1127"/>
      <c r="GH127" s="1127"/>
      <c r="GI127" s="1127"/>
      <c r="GJ127" s="1127"/>
      <c r="GK127" s="1127"/>
      <c r="GL127" s="1127"/>
      <c r="GM127" s="1127"/>
      <c r="GN127" s="1127"/>
      <c r="GO127" s="1127"/>
      <c r="GP127" s="422"/>
      <c r="GQ127" s="1127"/>
      <c r="HD127" s="1127"/>
      <c r="HE127" s="1127"/>
      <c r="HF127" s="1127"/>
      <c r="HG127" s="1127"/>
      <c r="HH127" s="1127"/>
      <c r="HI127" s="1127"/>
      <c r="HJ127" s="1127"/>
      <c r="HK127" s="1127"/>
      <c r="HL127" s="1127"/>
      <c r="HM127" s="1127"/>
      <c r="HN127" s="1127"/>
      <c r="HO127" s="1127"/>
      <c r="HP127" s="422"/>
      <c r="HQ127" s="1127"/>
      <c r="ID127" s="383"/>
      <c r="IE127" s="383"/>
      <c r="IF127" s="383"/>
      <c r="IH127" s="383"/>
      <c r="II127" s="383"/>
      <c r="IJ127" s="383"/>
      <c r="IK127" s="383"/>
      <c r="IL127" s="383"/>
      <c r="IM127" s="383"/>
      <c r="JD127" s="383"/>
      <c r="JE127" s="383"/>
      <c r="JF127" s="383"/>
      <c r="JH127" s="383"/>
      <c r="JI127" s="383"/>
      <c r="JJ127" s="383"/>
      <c r="JK127" s="383"/>
      <c r="JL127" s="383"/>
      <c r="JM127" s="383"/>
      <c r="KD127" s="383"/>
      <c r="KE127" s="383"/>
      <c r="KF127" s="383"/>
      <c r="KH127" s="383"/>
      <c r="KI127" s="383"/>
      <c r="KJ127" s="383"/>
      <c r="KK127" s="383"/>
      <c r="KL127" s="383"/>
      <c r="KM127" s="383"/>
      <c r="LD127" s="383"/>
      <c r="LE127" s="383"/>
      <c r="LF127" s="383"/>
      <c r="LH127" s="383"/>
      <c r="LI127" s="383"/>
      <c r="LJ127" s="383"/>
      <c r="LK127" s="383"/>
      <c r="LL127" s="383"/>
      <c r="LM127" s="383"/>
      <c r="MD127" s="383"/>
      <c r="ME127" s="383"/>
      <c r="MF127" s="383"/>
      <c r="MH127" s="383"/>
      <c r="MI127" s="383"/>
      <c r="MJ127" s="383"/>
      <c r="MK127" s="383"/>
      <c r="ML127" s="383"/>
      <c r="MM127" s="383"/>
      <c r="ND127" s="383"/>
      <c r="NE127" s="383"/>
      <c r="NF127" s="383"/>
      <c r="NH127" s="383"/>
      <c r="NI127" s="383"/>
      <c r="NJ127" s="383"/>
      <c r="NK127" s="383"/>
      <c r="NL127" s="383"/>
      <c r="NM127" s="383"/>
      <c r="OD127" s="582"/>
      <c r="OE127" s="582"/>
      <c r="OF127" s="582"/>
      <c r="OH127" s="582"/>
      <c r="OI127" s="582"/>
      <c r="OJ127" s="582"/>
      <c r="OK127" s="582"/>
      <c r="OL127" s="582"/>
      <c r="OM127" s="582"/>
      <c r="PD127" s="1127"/>
      <c r="PE127" s="1127"/>
      <c r="PF127" s="1127"/>
      <c r="PH127" s="1127"/>
      <c r="PI127" s="1127"/>
      <c r="PJ127" s="1127"/>
      <c r="PK127" s="1127"/>
      <c r="PL127" s="1127"/>
      <c r="PM127" s="1127"/>
    </row>
    <row r="128" spans="1:430">
      <c r="CJ128" s="288"/>
      <c r="CK128" s="383"/>
      <c r="CL128" s="1127"/>
      <c r="CM128" s="1127"/>
      <c r="CN128" s="1127"/>
      <c r="CO128" s="1127"/>
      <c r="CQ128" s="383"/>
      <c r="CR128" s="383"/>
      <c r="CS128" s="383"/>
      <c r="CT128" s="288"/>
      <c r="CU128" s="383"/>
      <c r="CV128" s="383"/>
      <c r="DJ128" s="383"/>
      <c r="DK128" s="383"/>
      <c r="DL128" s="1127"/>
      <c r="DM128" s="1127"/>
      <c r="DN128" s="1127"/>
      <c r="DO128" s="1127"/>
      <c r="DQ128" s="383"/>
      <c r="DR128" s="383"/>
      <c r="DS128" s="383"/>
      <c r="DT128" s="383"/>
      <c r="DU128" s="383"/>
      <c r="DV128" s="383"/>
      <c r="ED128" s="269"/>
      <c r="EE128" s="288"/>
      <c r="EF128" s="383"/>
      <c r="EG128" s="383"/>
      <c r="EH128" s="383"/>
      <c r="EI128" s="1107"/>
      <c r="EJ128" s="1107"/>
      <c r="EK128" s="288"/>
      <c r="EL128" s="1107"/>
      <c r="EM128" s="383"/>
      <c r="EN128" s="383"/>
      <c r="EO128" s="383"/>
      <c r="EP128" s="422"/>
      <c r="EQ128" s="269"/>
      <c r="FD128" s="383"/>
      <c r="FE128" s="383"/>
      <c r="FF128" s="383"/>
      <c r="FG128" s="383"/>
      <c r="FH128" s="383"/>
      <c r="FI128" s="1127"/>
      <c r="FJ128" s="1127"/>
      <c r="FK128" s="383"/>
      <c r="FL128" s="1127"/>
      <c r="FM128" s="383"/>
      <c r="FN128" s="383"/>
      <c r="FO128" s="383"/>
      <c r="FP128" s="1127"/>
      <c r="FQ128" s="383"/>
      <c r="GD128" s="1127"/>
      <c r="GE128" s="1127"/>
      <c r="GF128" s="1127"/>
      <c r="GG128" s="1127"/>
      <c r="GH128" s="1127"/>
      <c r="GI128" s="1127"/>
      <c r="GJ128" s="1127"/>
      <c r="GK128" s="1127"/>
      <c r="GL128" s="1127"/>
      <c r="GM128" s="1127"/>
      <c r="GN128" s="1127"/>
      <c r="GO128" s="1127"/>
      <c r="GP128" s="422"/>
      <c r="GQ128" s="1127"/>
      <c r="HD128" s="1127"/>
      <c r="HE128" s="1127"/>
      <c r="HF128" s="1127"/>
      <c r="HG128" s="1127"/>
      <c r="HH128" s="1127"/>
      <c r="HI128" s="1127"/>
      <c r="HJ128" s="1127"/>
      <c r="HK128" s="1127"/>
      <c r="HL128" s="1127"/>
      <c r="HM128" s="1127"/>
      <c r="HN128" s="1127"/>
      <c r="HO128" s="1127"/>
      <c r="HP128" s="422"/>
      <c r="HQ128" s="1127"/>
      <c r="ID128" s="383"/>
      <c r="IE128" s="383"/>
      <c r="IF128" s="383"/>
      <c r="IH128" s="383"/>
      <c r="II128" s="383"/>
      <c r="IJ128" s="383"/>
      <c r="IK128" s="383"/>
      <c r="IL128" s="383"/>
      <c r="IM128" s="383"/>
      <c r="JD128" s="383"/>
      <c r="JE128" s="383"/>
      <c r="JF128" s="383"/>
      <c r="JH128" s="383"/>
      <c r="JI128" s="383"/>
      <c r="JJ128" s="383"/>
      <c r="JK128" s="383"/>
      <c r="JL128" s="383"/>
      <c r="JM128" s="383"/>
      <c r="KD128" s="383"/>
      <c r="KE128" s="383"/>
      <c r="KF128" s="383"/>
      <c r="KH128" s="383"/>
      <c r="KI128" s="383"/>
      <c r="KJ128" s="383"/>
      <c r="KK128" s="383"/>
      <c r="KL128" s="383"/>
      <c r="KM128" s="383"/>
      <c r="LD128" s="383"/>
      <c r="LE128" s="383"/>
      <c r="LF128" s="383"/>
      <c r="LH128" s="383"/>
      <c r="LI128" s="383"/>
      <c r="LJ128" s="383"/>
      <c r="LK128" s="383"/>
      <c r="LL128" s="383"/>
      <c r="LM128" s="383"/>
      <c r="MD128" s="383"/>
      <c r="ME128" s="383"/>
      <c r="MF128" s="383"/>
      <c r="MH128" s="383"/>
      <c r="MI128" s="383"/>
      <c r="MJ128" s="383"/>
      <c r="MK128" s="383"/>
      <c r="ML128" s="383"/>
      <c r="MM128" s="383"/>
      <c r="ND128" s="383"/>
      <c r="NE128" s="383"/>
      <c r="NF128" s="383"/>
      <c r="NH128" s="383"/>
      <c r="NI128" s="383"/>
      <c r="NJ128" s="383"/>
      <c r="NK128" s="383"/>
      <c r="NL128" s="383"/>
      <c r="NM128" s="383"/>
      <c r="OD128" s="582"/>
      <c r="OE128" s="582"/>
      <c r="OF128" s="582"/>
      <c r="OH128" s="582"/>
      <c r="OI128" s="582"/>
      <c r="OJ128" s="582"/>
      <c r="OK128" s="582"/>
      <c r="OL128" s="582"/>
      <c r="OM128" s="582"/>
      <c r="PD128" s="1127"/>
      <c r="PE128" s="1127"/>
      <c r="PF128" s="1127"/>
      <c r="PH128" s="1127"/>
      <c r="PI128" s="1127"/>
      <c r="PJ128" s="1127"/>
      <c r="PK128" s="1127"/>
      <c r="PL128" s="1127"/>
      <c r="PM128" s="1127"/>
    </row>
    <row r="129" spans="88:429">
      <c r="CJ129" s="288"/>
      <c r="CK129" s="383"/>
      <c r="CL129" s="1127"/>
      <c r="CM129" s="1127"/>
      <c r="CN129" s="1127"/>
      <c r="CO129" s="1127"/>
      <c r="CQ129" s="383"/>
      <c r="CR129" s="383"/>
      <c r="CS129" s="383"/>
      <c r="CT129" s="288"/>
      <c r="CU129" s="383"/>
      <c r="CV129" s="383"/>
      <c r="DJ129" s="383"/>
      <c r="DK129" s="383"/>
      <c r="DL129" s="1127"/>
      <c r="DM129" s="1127"/>
      <c r="DN129" s="1127"/>
      <c r="DO129" s="1127"/>
      <c r="DQ129" s="383"/>
      <c r="DR129" s="383"/>
      <c r="DS129" s="383"/>
      <c r="DT129" s="383"/>
      <c r="DU129" s="383"/>
      <c r="DV129" s="383"/>
      <c r="ED129" s="269"/>
      <c r="EE129" s="288"/>
      <c r="EF129" s="383"/>
      <c r="EG129" s="383"/>
      <c r="EH129" s="383"/>
      <c r="EI129" s="1107"/>
      <c r="EJ129" s="1107"/>
      <c r="EK129" s="288"/>
      <c r="EL129" s="1107"/>
      <c r="EM129" s="383"/>
      <c r="EN129" s="383"/>
      <c r="EO129" s="383"/>
      <c r="EP129" s="422"/>
      <c r="EQ129" s="269"/>
      <c r="FD129" s="383"/>
      <c r="FE129" s="383"/>
      <c r="FF129" s="383"/>
      <c r="FG129" s="383"/>
      <c r="FH129" s="383"/>
      <c r="FI129" s="1127"/>
      <c r="FJ129" s="1127"/>
      <c r="FK129" s="383"/>
      <c r="FL129" s="1127"/>
      <c r="FM129" s="383"/>
      <c r="FN129" s="383"/>
      <c r="FO129" s="383"/>
      <c r="FP129" s="1127"/>
      <c r="FQ129" s="383"/>
      <c r="GD129" s="1127"/>
      <c r="GE129" s="1127"/>
      <c r="GF129" s="1127"/>
      <c r="GG129" s="1127"/>
      <c r="GH129" s="1127"/>
      <c r="GI129" s="1127"/>
      <c r="GJ129" s="1127"/>
      <c r="GK129" s="1127"/>
      <c r="GL129" s="1127"/>
      <c r="GM129" s="1127"/>
      <c r="GN129" s="1127"/>
      <c r="GO129" s="1127"/>
      <c r="GP129" s="422"/>
      <c r="GQ129" s="1127"/>
      <c r="HD129" s="1127"/>
      <c r="HE129" s="1127"/>
      <c r="HF129" s="1127"/>
      <c r="HG129" s="1127"/>
      <c r="HH129" s="1127"/>
      <c r="HI129" s="1127"/>
      <c r="HJ129" s="1127"/>
      <c r="HK129" s="1127"/>
      <c r="HL129" s="1127"/>
      <c r="HM129" s="1127"/>
      <c r="HN129" s="1127"/>
      <c r="HO129" s="1127"/>
      <c r="HP129" s="422"/>
      <c r="HQ129" s="1127"/>
      <c r="ID129" s="383"/>
      <c r="IE129" s="383"/>
      <c r="IF129" s="383"/>
      <c r="IH129" s="383"/>
      <c r="II129" s="383"/>
      <c r="IJ129" s="383"/>
      <c r="IK129" s="383"/>
      <c r="IL129" s="383"/>
      <c r="IM129" s="383"/>
      <c r="JD129" s="383"/>
      <c r="JE129" s="383"/>
      <c r="JF129" s="383"/>
      <c r="JH129" s="383"/>
      <c r="JI129" s="383"/>
      <c r="JJ129" s="383"/>
      <c r="JK129" s="383"/>
      <c r="JL129" s="383"/>
      <c r="JM129" s="383"/>
      <c r="KD129" s="383"/>
      <c r="KE129" s="383"/>
      <c r="KF129" s="383"/>
      <c r="KH129" s="383"/>
      <c r="KI129" s="383"/>
      <c r="KJ129" s="383"/>
      <c r="KK129" s="383"/>
      <c r="KL129" s="383"/>
      <c r="KM129" s="383"/>
      <c r="LD129" s="383"/>
      <c r="LE129" s="383"/>
      <c r="LF129" s="383"/>
      <c r="LH129" s="383"/>
      <c r="LI129" s="383"/>
      <c r="LJ129" s="383"/>
      <c r="LK129" s="383"/>
      <c r="LL129" s="383"/>
      <c r="LM129" s="383"/>
      <c r="MD129" s="383"/>
      <c r="ME129" s="383"/>
      <c r="MF129" s="383"/>
      <c r="MH129" s="383"/>
      <c r="MI129" s="383"/>
      <c r="MJ129" s="383"/>
      <c r="MK129" s="383"/>
      <c r="ML129" s="383"/>
      <c r="MM129" s="383"/>
      <c r="ND129" s="383"/>
      <c r="NE129" s="383"/>
      <c r="NF129" s="383"/>
      <c r="NH129" s="383"/>
      <c r="NI129" s="383"/>
      <c r="NJ129" s="383"/>
      <c r="NK129" s="383"/>
      <c r="NL129" s="383"/>
      <c r="NM129" s="383"/>
      <c r="OD129" s="582"/>
      <c r="OE129" s="582"/>
      <c r="OF129" s="582"/>
      <c r="OH129" s="582"/>
      <c r="OI129" s="582"/>
      <c r="OJ129" s="582"/>
      <c r="OK129" s="582"/>
      <c r="OL129" s="582"/>
      <c r="OM129" s="582"/>
      <c r="PD129" s="1127"/>
      <c r="PE129" s="1127"/>
      <c r="PF129" s="1127"/>
      <c r="PH129" s="1127"/>
      <c r="PI129" s="1127"/>
      <c r="PJ129" s="1127"/>
      <c r="PK129" s="1127"/>
      <c r="PL129" s="1127"/>
      <c r="PM129" s="1127"/>
    </row>
    <row r="130" spans="88:429">
      <c r="CJ130" s="288"/>
      <c r="CK130" s="383"/>
      <c r="CL130" s="1127"/>
      <c r="CM130" s="1127"/>
      <c r="CN130" s="1127"/>
      <c r="CO130" s="1127"/>
      <c r="CQ130" s="383"/>
      <c r="CR130" s="383"/>
      <c r="CS130" s="383"/>
      <c r="CT130" s="288"/>
      <c r="CU130" s="383"/>
      <c r="CV130" s="383"/>
      <c r="DJ130" s="383"/>
      <c r="DK130" s="383"/>
      <c r="DL130" s="1127"/>
      <c r="DM130" s="1127"/>
      <c r="DN130" s="1127"/>
      <c r="DO130" s="1127"/>
      <c r="DQ130" s="383"/>
      <c r="DR130" s="383"/>
      <c r="DS130" s="383"/>
      <c r="DT130" s="383"/>
      <c r="DU130" s="383"/>
      <c r="DV130" s="383"/>
      <c r="ED130" s="269"/>
      <c r="EE130" s="288"/>
      <c r="EF130" s="383"/>
      <c r="EG130" s="383"/>
      <c r="EH130" s="383"/>
      <c r="EI130" s="1107"/>
      <c r="EJ130" s="1107"/>
      <c r="EK130" s="288"/>
      <c r="EL130" s="1107"/>
      <c r="EM130" s="383"/>
      <c r="EN130" s="383"/>
      <c r="EO130" s="383"/>
      <c r="EP130" s="422"/>
      <c r="EQ130" s="269"/>
      <c r="FD130" s="383"/>
      <c r="FE130" s="383"/>
      <c r="FF130" s="383"/>
      <c r="FG130" s="383"/>
      <c r="FH130" s="383"/>
      <c r="FI130" s="1127"/>
      <c r="FJ130" s="1127"/>
      <c r="FK130" s="383"/>
      <c r="FL130" s="1127"/>
      <c r="FM130" s="383"/>
      <c r="FN130" s="383"/>
      <c r="FO130" s="383"/>
      <c r="FP130" s="1127"/>
      <c r="FQ130" s="383"/>
      <c r="GD130" s="1127"/>
      <c r="GE130" s="1127"/>
      <c r="GF130" s="1127"/>
      <c r="GG130" s="1127"/>
      <c r="GH130" s="1127"/>
      <c r="GI130" s="1127"/>
      <c r="GJ130" s="1127"/>
      <c r="GK130" s="1127"/>
      <c r="GL130" s="1127"/>
      <c r="GM130" s="1127"/>
      <c r="GN130" s="1127"/>
      <c r="GO130" s="1127"/>
      <c r="GP130" s="422"/>
      <c r="GQ130" s="1127"/>
      <c r="HD130" s="1127"/>
      <c r="HE130" s="1127"/>
      <c r="HF130" s="1127"/>
      <c r="HG130" s="1127"/>
      <c r="HH130" s="1127"/>
      <c r="HI130" s="1127"/>
      <c r="HJ130" s="1127"/>
      <c r="HK130" s="1127"/>
      <c r="HL130" s="1127"/>
      <c r="HM130" s="1127"/>
      <c r="HN130" s="1127"/>
      <c r="HO130" s="1127"/>
      <c r="HP130" s="422"/>
      <c r="HQ130" s="1127"/>
      <c r="ID130" s="383"/>
      <c r="IE130" s="383"/>
      <c r="IF130" s="383"/>
      <c r="IH130" s="383"/>
      <c r="II130" s="383"/>
      <c r="IJ130" s="383"/>
      <c r="IK130" s="383"/>
      <c r="IL130" s="383"/>
      <c r="IM130" s="383"/>
      <c r="JD130" s="383"/>
      <c r="JE130" s="383"/>
      <c r="JF130" s="383"/>
      <c r="JH130" s="383"/>
      <c r="JI130" s="383"/>
      <c r="JJ130" s="383"/>
      <c r="JK130" s="383"/>
      <c r="JL130" s="383"/>
      <c r="JM130" s="383"/>
      <c r="KD130" s="383"/>
      <c r="KE130" s="383"/>
      <c r="KF130" s="383"/>
      <c r="KH130" s="383"/>
      <c r="KI130" s="383"/>
      <c r="KJ130" s="383"/>
      <c r="KK130" s="383"/>
      <c r="KL130" s="383"/>
      <c r="KM130" s="383"/>
      <c r="LD130" s="383"/>
      <c r="LE130" s="383"/>
      <c r="LF130" s="383"/>
      <c r="LH130" s="383"/>
      <c r="LI130" s="383"/>
      <c r="LJ130" s="383"/>
      <c r="LK130" s="383"/>
      <c r="LL130" s="383"/>
      <c r="LM130" s="383"/>
      <c r="MD130" s="383"/>
      <c r="ME130" s="383"/>
      <c r="MF130" s="383"/>
      <c r="MH130" s="383"/>
      <c r="MI130" s="383"/>
      <c r="MJ130" s="383"/>
      <c r="MK130" s="383"/>
      <c r="ML130" s="383"/>
      <c r="MM130" s="383"/>
      <c r="ND130" s="383"/>
      <c r="NE130" s="383"/>
      <c r="NF130" s="383"/>
      <c r="NH130" s="383"/>
      <c r="NI130" s="383"/>
      <c r="NJ130" s="383"/>
      <c r="NK130" s="383"/>
      <c r="NL130" s="383"/>
      <c r="NM130" s="383"/>
      <c r="OD130" s="582"/>
      <c r="OE130" s="582"/>
      <c r="OF130" s="582"/>
      <c r="OH130" s="582"/>
      <c r="OI130" s="582"/>
      <c r="OJ130" s="582"/>
      <c r="OK130" s="582"/>
      <c r="OL130" s="582"/>
      <c r="OM130" s="582"/>
      <c r="PD130" s="1127"/>
      <c r="PE130" s="1127"/>
      <c r="PF130" s="1127"/>
      <c r="PH130" s="1127"/>
      <c r="PI130" s="1127"/>
      <c r="PJ130" s="1127"/>
      <c r="PK130" s="1127"/>
      <c r="PL130" s="1127"/>
      <c r="PM130" s="1127"/>
    </row>
    <row r="131" spans="88:429">
      <c r="CJ131" s="288"/>
      <c r="CK131" s="383"/>
      <c r="CL131" s="1127"/>
      <c r="CM131" s="1127"/>
      <c r="CN131" s="1127"/>
      <c r="CO131" s="1127"/>
      <c r="CQ131" s="383"/>
      <c r="CR131" s="383"/>
      <c r="CS131" s="383"/>
      <c r="CT131" s="288"/>
      <c r="CU131" s="383"/>
      <c r="CV131" s="383"/>
      <c r="DJ131" s="383"/>
      <c r="DK131" s="383"/>
      <c r="DL131" s="1127"/>
      <c r="DM131" s="1127"/>
      <c r="DN131" s="1127"/>
      <c r="DO131" s="1127"/>
      <c r="DQ131" s="383"/>
      <c r="DR131" s="383"/>
      <c r="DS131" s="383"/>
      <c r="DT131" s="383"/>
      <c r="DU131" s="383"/>
      <c r="DV131" s="383"/>
      <c r="ED131" s="269"/>
      <c r="EE131" s="288"/>
      <c r="EF131" s="383"/>
      <c r="EG131" s="383"/>
      <c r="EH131" s="383"/>
      <c r="EI131" s="1107"/>
      <c r="EJ131" s="1107"/>
      <c r="EK131" s="288"/>
      <c r="EL131" s="1107"/>
      <c r="EM131" s="383"/>
      <c r="EN131" s="383"/>
      <c r="EO131" s="383"/>
      <c r="EP131" s="422"/>
      <c r="EQ131" s="269"/>
      <c r="FD131" s="383"/>
      <c r="FE131" s="383"/>
      <c r="FF131" s="383"/>
      <c r="FG131" s="383"/>
      <c r="FH131" s="383"/>
      <c r="FI131" s="1127"/>
      <c r="FJ131" s="1127"/>
      <c r="FK131" s="383"/>
      <c r="FL131" s="1127"/>
      <c r="FM131" s="383"/>
      <c r="FN131" s="383"/>
      <c r="FO131" s="383"/>
      <c r="FP131" s="1127"/>
      <c r="FQ131" s="383"/>
      <c r="GD131" s="1127"/>
      <c r="GE131" s="1127"/>
      <c r="GF131" s="1127"/>
      <c r="GG131" s="1127"/>
      <c r="GH131" s="1127"/>
      <c r="GI131" s="1127"/>
      <c r="GJ131" s="1127"/>
      <c r="GK131" s="1127"/>
      <c r="GL131" s="1127"/>
      <c r="GM131" s="1127"/>
      <c r="GN131" s="1127"/>
      <c r="GO131" s="1127"/>
      <c r="GP131" s="422"/>
      <c r="GQ131" s="1127"/>
      <c r="HD131" s="1127"/>
      <c r="HE131" s="1127"/>
      <c r="HF131" s="1127"/>
      <c r="HG131" s="1127"/>
      <c r="HH131" s="1127"/>
      <c r="HI131" s="1127"/>
      <c r="HJ131" s="1127"/>
      <c r="HK131" s="1127"/>
      <c r="HL131" s="1127"/>
      <c r="HM131" s="1127"/>
      <c r="HN131" s="1127"/>
      <c r="HO131" s="1127"/>
      <c r="HP131" s="422"/>
      <c r="HQ131" s="1127"/>
      <c r="ID131" s="383"/>
      <c r="IE131" s="383"/>
      <c r="IF131" s="383"/>
      <c r="IH131" s="383"/>
      <c r="II131" s="383"/>
      <c r="IJ131" s="383"/>
      <c r="IK131" s="383"/>
      <c r="IL131" s="383"/>
      <c r="IM131" s="383"/>
      <c r="JD131" s="383"/>
      <c r="JE131" s="383"/>
      <c r="JF131" s="383"/>
      <c r="JH131" s="383"/>
      <c r="JI131" s="383"/>
      <c r="JJ131" s="383"/>
      <c r="JK131" s="383"/>
      <c r="JL131" s="383"/>
      <c r="JM131" s="383"/>
      <c r="KD131" s="383"/>
      <c r="KE131" s="383"/>
      <c r="KF131" s="383"/>
      <c r="KH131" s="383"/>
      <c r="KI131" s="383"/>
      <c r="KJ131" s="383"/>
      <c r="KK131" s="383"/>
      <c r="KL131" s="383"/>
      <c r="KM131" s="383"/>
      <c r="LD131" s="383"/>
      <c r="LE131" s="383"/>
      <c r="LF131" s="383"/>
      <c r="LH131" s="383"/>
      <c r="LI131" s="383"/>
      <c r="LJ131" s="383"/>
      <c r="LK131" s="383"/>
      <c r="LL131" s="383"/>
      <c r="LM131" s="383"/>
      <c r="MD131" s="383"/>
      <c r="ME131" s="383"/>
      <c r="MF131" s="383"/>
      <c r="MH131" s="383"/>
      <c r="MI131" s="383"/>
      <c r="MJ131" s="383"/>
      <c r="MK131" s="383"/>
      <c r="ML131" s="383"/>
      <c r="MM131" s="383"/>
      <c r="ND131" s="383"/>
      <c r="NE131" s="383"/>
      <c r="NF131" s="383"/>
      <c r="NH131" s="383"/>
      <c r="NI131" s="383"/>
      <c r="NJ131" s="383"/>
      <c r="NK131" s="383"/>
      <c r="NL131" s="383"/>
      <c r="NM131" s="383"/>
      <c r="OD131" s="582"/>
      <c r="OE131" s="582"/>
      <c r="OF131" s="582"/>
      <c r="OH131" s="582"/>
      <c r="OI131" s="582"/>
      <c r="OJ131" s="582"/>
      <c r="OK131" s="582"/>
      <c r="OL131" s="582"/>
      <c r="OM131" s="582"/>
      <c r="PD131" s="1127"/>
      <c r="PE131" s="1127"/>
      <c r="PF131" s="1127"/>
      <c r="PH131" s="1127"/>
      <c r="PI131" s="1127"/>
      <c r="PJ131" s="1127"/>
      <c r="PK131" s="1127"/>
      <c r="PL131" s="1127"/>
      <c r="PM131" s="1127"/>
    </row>
    <row r="132" spans="88:429">
      <c r="CJ132" s="288"/>
      <c r="CK132" s="383"/>
      <c r="CL132" s="1127"/>
      <c r="CM132" s="1127"/>
      <c r="CN132" s="1127"/>
      <c r="CO132" s="1127"/>
      <c r="CQ132" s="383"/>
      <c r="CR132" s="383"/>
      <c r="CS132" s="383"/>
      <c r="CT132" s="288"/>
      <c r="CU132" s="383"/>
      <c r="CV132" s="383"/>
      <c r="DJ132" s="383"/>
      <c r="DK132" s="383"/>
      <c r="DL132" s="1127"/>
      <c r="DM132" s="1127"/>
      <c r="DN132" s="1127"/>
      <c r="DO132" s="1127"/>
      <c r="DQ132" s="383"/>
      <c r="DR132" s="383"/>
      <c r="DS132" s="383"/>
      <c r="DT132" s="383"/>
      <c r="DU132" s="383"/>
      <c r="DV132" s="383"/>
      <c r="ED132" s="269"/>
      <c r="EE132" s="288"/>
      <c r="EF132" s="383"/>
      <c r="EG132" s="383"/>
      <c r="EH132" s="383"/>
      <c r="EI132" s="1107"/>
      <c r="EJ132" s="1107"/>
      <c r="EK132" s="288"/>
      <c r="EL132" s="1107"/>
      <c r="EM132" s="383"/>
      <c r="EN132" s="383"/>
      <c r="EO132" s="383"/>
      <c r="EP132" s="422"/>
      <c r="EQ132" s="269"/>
      <c r="FD132" s="383"/>
      <c r="FE132" s="383"/>
      <c r="FF132" s="383"/>
      <c r="FG132" s="383"/>
      <c r="FH132" s="383"/>
      <c r="FI132" s="1127"/>
      <c r="FJ132" s="1127"/>
      <c r="FK132" s="383"/>
      <c r="FL132" s="1127"/>
      <c r="FM132" s="383"/>
      <c r="FN132" s="383"/>
      <c r="FO132" s="383"/>
      <c r="FP132" s="1127"/>
      <c r="FQ132" s="383"/>
      <c r="GD132" s="1127"/>
      <c r="GE132" s="1127"/>
      <c r="GF132" s="1127"/>
      <c r="GG132" s="1127"/>
      <c r="GH132" s="1127"/>
      <c r="GI132" s="1127"/>
      <c r="GJ132" s="1127"/>
      <c r="GK132" s="1127"/>
      <c r="GL132" s="1127"/>
      <c r="GM132" s="1127"/>
      <c r="GN132" s="1127"/>
      <c r="GO132" s="1127"/>
      <c r="GP132" s="422"/>
      <c r="GQ132" s="1127"/>
      <c r="HD132" s="1127"/>
      <c r="HE132" s="1127"/>
      <c r="HF132" s="1127"/>
      <c r="HG132" s="1127"/>
      <c r="HH132" s="1127"/>
      <c r="HI132" s="1127"/>
      <c r="HJ132" s="1127"/>
      <c r="HK132" s="1127"/>
      <c r="HL132" s="1127"/>
      <c r="HM132" s="1127"/>
      <c r="HN132" s="1127"/>
      <c r="HO132" s="1127"/>
      <c r="HP132" s="422"/>
      <c r="HQ132" s="1127"/>
      <c r="ID132" s="383"/>
      <c r="IE132" s="383"/>
      <c r="IF132" s="383"/>
      <c r="IH132" s="383"/>
      <c r="II132" s="383"/>
      <c r="IJ132" s="383"/>
      <c r="IK132" s="383"/>
      <c r="IL132" s="383"/>
      <c r="IM132" s="383"/>
      <c r="JD132" s="383"/>
      <c r="JE132" s="383"/>
      <c r="JF132" s="383"/>
      <c r="JH132" s="383"/>
      <c r="JI132" s="383"/>
      <c r="JJ132" s="383"/>
      <c r="JK132" s="383"/>
      <c r="JL132" s="383"/>
      <c r="JM132" s="383"/>
      <c r="KD132" s="383"/>
      <c r="KE132" s="383"/>
      <c r="KF132" s="383"/>
      <c r="KH132" s="383"/>
      <c r="KI132" s="383"/>
      <c r="KJ132" s="383"/>
      <c r="KK132" s="383"/>
      <c r="KL132" s="383"/>
      <c r="KM132" s="383"/>
      <c r="LD132" s="383"/>
      <c r="LE132" s="383"/>
      <c r="LF132" s="383"/>
      <c r="LH132" s="383"/>
      <c r="LI132" s="383"/>
      <c r="LJ132" s="383"/>
      <c r="LK132" s="383"/>
      <c r="LL132" s="383"/>
      <c r="LM132" s="383"/>
      <c r="MD132" s="383"/>
      <c r="ME132" s="383"/>
      <c r="MF132" s="383"/>
      <c r="MH132" s="383"/>
      <c r="MI132" s="383"/>
      <c r="MJ132" s="383"/>
      <c r="MK132" s="383"/>
      <c r="ML132" s="383"/>
      <c r="MM132" s="383"/>
      <c r="ND132" s="383"/>
      <c r="NE132" s="383"/>
      <c r="NF132" s="383"/>
      <c r="NH132" s="383"/>
      <c r="NI132" s="383"/>
      <c r="NJ132" s="383"/>
      <c r="NK132" s="383"/>
      <c r="NL132" s="383"/>
      <c r="NM132" s="383"/>
      <c r="OD132" s="582"/>
      <c r="OE132" s="582"/>
      <c r="OF132" s="582"/>
      <c r="OH132" s="582"/>
      <c r="OI132" s="582"/>
      <c r="OJ132" s="582"/>
      <c r="OK132" s="582"/>
      <c r="OL132" s="582"/>
      <c r="OM132" s="582"/>
      <c r="PD132" s="1127"/>
      <c r="PE132" s="1127"/>
      <c r="PF132" s="1127"/>
      <c r="PH132" s="1127"/>
      <c r="PI132" s="1127"/>
      <c r="PJ132" s="1127"/>
      <c r="PK132" s="1127"/>
      <c r="PL132" s="1127"/>
      <c r="PM132" s="1127"/>
    </row>
    <row r="133" spans="88:429">
      <c r="CJ133" s="288"/>
      <c r="CK133" s="383"/>
      <c r="CL133" s="1127"/>
      <c r="CM133" s="1127"/>
      <c r="CN133" s="1127"/>
      <c r="CO133" s="1127"/>
      <c r="CQ133" s="383"/>
      <c r="CR133" s="383"/>
      <c r="CS133" s="383"/>
      <c r="CT133" s="288"/>
      <c r="CU133" s="383"/>
      <c r="CV133" s="383"/>
      <c r="DJ133" s="383"/>
      <c r="DK133" s="383"/>
      <c r="DL133" s="1127"/>
      <c r="DM133" s="1127"/>
      <c r="DN133" s="1127"/>
      <c r="DO133" s="1127"/>
      <c r="DQ133" s="383"/>
      <c r="DR133" s="383"/>
      <c r="DS133" s="383"/>
      <c r="DT133" s="383"/>
      <c r="DU133" s="383"/>
      <c r="DV133" s="383"/>
      <c r="ED133" s="269"/>
      <c r="EE133" s="288"/>
      <c r="EF133" s="383"/>
      <c r="EG133" s="383"/>
      <c r="EH133" s="383"/>
      <c r="EI133" s="1107"/>
      <c r="EJ133" s="1107"/>
      <c r="EK133" s="288"/>
      <c r="EL133" s="1107"/>
      <c r="EM133" s="383"/>
      <c r="EN133" s="383"/>
      <c r="EO133" s="383"/>
      <c r="EP133" s="422"/>
      <c r="EQ133" s="269"/>
      <c r="FD133" s="383"/>
      <c r="FE133" s="383"/>
      <c r="FF133" s="383"/>
      <c r="FG133" s="383"/>
      <c r="FH133" s="383"/>
      <c r="FI133" s="1127"/>
      <c r="FJ133" s="1127"/>
      <c r="FK133" s="383"/>
      <c r="FL133" s="1127"/>
      <c r="FM133" s="383"/>
      <c r="FN133" s="383"/>
      <c r="FO133" s="383"/>
      <c r="FP133" s="1127"/>
      <c r="FQ133" s="383"/>
      <c r="GD133" s="1127"/>
      <c r="GE133" s="1127"/>
      <c r="GF133" s="1127"/>
      <c r="GG133" s="1127"/>
      <c r="GH133" s="1127"/>
      <c r="GI133" s="1127"/>
      <c r="GJ133" s="1127"/>
      <c r="GK133" s="1127"/>
      <c r="GL133" s="1127"/>
      <c r="GM133" s="1127"/>
      <c r="GN133" s="1127"/>
      <c r="GO133" s="1127"/>
      <c r="GP133" s="422"/>
      <c r="GQ133" s="1127"/>
      <c r="HD133" s="1127"/>
      <c r="HE133" s="1127"/>
      <c r="HF133" s="1127"/>
      <c r="HG133" s="1127"/>
      <c r="HH133" s="1127"/>
      <c r="HI133" s="1127"/>
      <c r="HJ133" s="1127"/>
      <c r="HK133" s="1127"/>
      <c r="HL133" s="1127"/>
      <c r="HM133" s="1127"/>
      <c r="HN133" s="1127"/>
      <c r="HO133" s="1127"/>
      <c r="HP133" s="422"/>
      <c r="HQ133" s="1127"/>
      <c r="ID133" s="383"/>
      <c r="IE133" s="383"/>
      <c r="IF133" s="383"/>
      <c r="IH133" s="383"/>
      <c r="II133" s="383"/>
      <c r="IJ133" s="383"/>
      <c r="IK133" s="383"/>
      <c r="IL133" s="383"/>
      <c r="IM133" s="383"/>
      <c r="JD133" s="383"/>
      <c r="JE133" s="383"/>
      <c r="JF133" s="383"/>
      <c r="JH133" s="383"/>
      <c r="JI133" s="383"/>
      <c r="JJ133" s="383"/>
      <c r="JK133" s="383"/>
      <c r="JL133" s="383"/>
      <c r="JM133" s="383"/>
      <c r="KD133" s="383"/>
      <c r="KE133" s="383"/>
      <c r="KF133" s="383"/>
      <c r="KH133" s="383"/>
      <c r="KI133" s="383"/>
      <c r="KJ133" s="383"/>
      <c r="KK133" s="383"/>
      <c r="KL133" s="383"/>
      <c r="KM133" s="383"/>
      <c r="LD133" s="383"/>
      <c r="LE133" s="383"/>
      <c r="LF133" s="383"/>
      <c r="LH133" s="383"/>
      <c r="LI133" s="383"/>
      <c r="LJ133" s="383"/>
      <c r="LK133" s="383"/>
      <c r="LL133" s="383"/>
      <c r="LM133" s="383"/>
      <c r="MD133" s="383"/>
      <c r="ME133" s="383"/>
      <c r="MF133" s="383"/>
      <c r="MH133" s="383"/>
      <c r="MI133" s="383"/>
      <c r="MJ133" s="383"/>
      <c r="MK133" s="383"/>
      <c r="ML133" s="383"/>
      <c r="MM133" s="383"/>
      <c r="ND133" s="383"/>
      <c r="NE133" s="383"/>
      <c r="NF133" s="383"/>
      <c r="NH133" s="383"/>
      <c r="NI133" s="383"/>
      <c r="NJ133" s="383"/>
      <c r="NK133" s="383"/>
      <c r="NL133" s="383"/>
      <c r="NM133" s="383"/>
      <c r="OD133" s="582"/>
      <c r="OE133" s="582"/>
      <c r="OF133" s="582"/>
      <c r="OH133" s="582"/>
      <c r="OI133" s="582"/>
      <c r="OJ133" s="582"/>
      <c r="OK133" s="582"/>
      <c r="OL133" s="582"/>
      <c r="OM133" s="582"/>
      <c r="PD133" s="1127"/>
      <c r="PE133" s="1127"/>
      <c r="PF133" s="1127"/>
      <c r="PH133" s="1127"/>
      <c r="PI133" s="1127"/>
      <c r="PJ133" s="1127"/>
      <c r="PK133" s="1127"/>
      <c r="PL133" s="1127"/>
      <c r="PM133" s="1127"/>
    </row>
    <row r="134" spans="88:429">
      <c r="CJ134" s="288"/>
      <c r="CK134" s="383"/>
      <c r="CL134" s="1127"/>
      <c r="CM134" s="1127"/>
      <c r="CN134" s="1127"/>
      <c r="CO134" s="1127"/>
      <c r="CQ134" s="383"/>
      <c r="CR134" s="383"/>
      <c r="CS134" s="383"/>
      <c r="CT134" s="288"/>
      <c r="CU134" s="383"/>
      <c r="CV134" s="383"/>
      <c r="DJ134" s="383"/>
      <c r="DK134" s="383"/>
      <c r="DL134" s="1127"/>
      <c r="DM134" s="1127"/>
      <c r="DN134" s="1127"/>
      <c r="DO134" s="1127"/>
      <c r="DQ134" s="383"/>
      <c r="DR134" s="383"/>
      <c r="DS134" s="383"/>
      <c r="DT134" s="383"/>
      <c r="DU134" s="383"/>
      <c r="DV134" s="383"/>
      <c r="ED134" s="269"/>
      <c r="EE134" s="288"/>
      <c r="EF134" s="383"/>
      <c r="EG134" s="383"/>
      <c r="EH134" s="383"/>
      <c r="EI134" s="1107"/>
      <c r="EJ134" s="1107"/>
      <c r="EK134" s="288"/>
      <c r="EL134" s="1107"/>
      <c r="EM134" s="383"/>
      <c r="EN134" s="383"/>
      <c r="EO134" s="383"/>
      <c r="EP134" s="422"/>
      <c r="EQ134" s="269"/>
      <c r="FD134" s="383"/>
      <c r="FE134" s="383"/>
      <c r="FF134" s="383"/>
      <c r="FG134" s="383"/>
      <c r="FH134" s="383"/>
      <c r="FI134" s="1127"/>
      <c r="FJ134" s="1127"/>
      <c r="FK134" s="383"/>
      <c r="FL134" s="1127"/>
      <c r="FM134" s="383"/>
      <c r="FN134" s="383"/>
      <c r="FO134" s="383"/>
      <c r="FP134" s="1127"/>
      <c r="FQ134" s="383"/>
      <c r="GD134" s="1127"/>
      <c r="GE134" s="1127"/>
      <c r="GF134" s="1127"/>
      <c r="GG134" s="1127"/>
      <c r="GH134" s="1127"/>
      <c r="GI134" s="1127"/>
      <c r="GJ134" s="1127"/>
      <c r="GK134" s="1127"/>
      <c r="GL134" s="1127"/>
      <c r="GM134" s="1127"/>
      <c r="GN134" s="1127"/>
      <c r="GO134" s="1127"/>
      <c r="GP134" s="422"/>
      <c r="GQ134" s="1127"/>
      <c r="HD134" s="1127"/>
      <c r="HE134" s="1127"/>
      <c r="HF134" s="1127"/>
      <c r="HG134" s="1127"/>
      <c r="HH134" s="1127"/>
      <c r="HI134" s="1127"/>
      <c r="HJ134" s="1127"/>
      <c r="HK134" s="1127"/>
      <c r="HL134" s="1127"/>
      <c r="HM134" s="1127"/>
      <c r="HN134" s="1127"/>
      <c r="HO134" s="1127"/>
      <c r="HP134" s="422"/>
      <c r="HQ134" s="1127"/>
      <c r="ID134" s="383"/>
      <c r="IE134" s="383"/>
      <c r="IF134" s="383"/>
      <c r="IH134" s="383"/>
      <c r="II134" s="383"/>
      <c r="IJ134" s="383"/>
      <c r="IK134" s="383"/>
      <c r="IL134" s="383"/>
      <c r="IM134" s="383"/>
      <c r="JD134" s="383"/>
      <c r="JE134" s="383"/>
      <c r="JF134" s="383"/>
      <c r="JH134" s="383"/>
      <c r="JI134" s="383"/>
      <c r="JJ134" s="383"/>
      <c r="JK134" s="383"/>
      <c r="JL134" s="383"/>
      <c r="JM134" s="383"/>
      <c r="KD134" s="383"/>
      <c r="KE134" s="383"/>
      <c r="KF134" s="383"/>
      <c r="KH134" s="383"/>
      <c r="KI134" s="383"/>
      <c r="KJ134" s="383"/>
      <c r="KK134" s="383"/>
      <c r="KL134" s="383"/>
      <c r="KM134" s="383"/>
      <c r="LD134" s="383"/>
      <c r="LE134" s="383"/>
      <c r="LF134" s="383"/>
      <c r="LH134" s="383"/>
      <c r="LI134" s="383"/>
      <c r="LJ134" s="383"/>
      <c r="LK134" s="383"/>
      <c r="LL134" s="383"/>
      <c r="LM134" s="383"/>
      <c r="MD134" s="383"/>
      <c r="ME134" s="383"/>
      <c r="MF134" s="383"/>
      <c r="MH134" s="383"/>
      <c r="MI134" s="383"/>
      <c r="MJ134" s="383"/>
      <c r="MK134" s="383"/>
      <c r="ML134" s="383"/>
      <c r="MM134" s="383"/>
      <c r="ND134" s="383"/>
      <c r="NE134" s="383"/>
      <c r="NF134" s="383"/>
      <c r="NH134" s="383"/>
      <c r="NI134" s="383"/>
      <c r="NJ134" s="383"/>
      <c r="NK134" s="383"/>
      <c r="NL134" s="383"/>
      <c r="NM134" s="383"/>
      <c r="OD134" s="582"/>
      <c r="OE134" s="582"/>
      <c r="OF134" s="582"/>
      <c r="OH134" s="582"/>
      <c r="OI134" s="582"/>
      <c r="OJ134" s="582"/>
      <c r="OK134" s="582"/>
      <c r="OL134" s="582"/>
      <c r="OM134" s="582"/>
      <c r="PD134" s="1127"/>
      <c r="PE134" s="1127"/>
      <c r="PF134" s="1127"/>
      <c r="PH134" s="1127"/>
      <c r="PI134" s="1127"/>
      <c r="PJ134" s="1127"/>
      <c r="PK134" s="1127"/>
      <c r="PL134" s="1127"/>
      <c r="PM134" s="1127"/>
    </row>
    <row r="135" spans="88:429">
      <c r="CJ135" s="288"/>
      <c r="CK135" s="383"/>
      <c r="CL135" s="1127"/>
      <c r="CM135" s="1127"/>
      <c r="CN135" s="1127"/>
      <c r="CO135" s="1127"/>
      <c r="CQ135" s="383"/>
      <c r="CR135" s="383"/>
      <c r="CS135" s="383"/>
      <c r="CT135" s="288"/>
      <c r="CU135" s="383"/>
      <c r="CV135" s="383"/>
      <c r="DJ135" s="383"/>
      <c r="DK135" s="383"/>
      <c r="DL135" s="1127"/>
      <c r="DM135" s="1127"/>
      <c r="DN135" s="1127"/>
      <c r="DO135" s="1127"/>
      <c r="DQ135" s="383"/>
      <c r="DR135" s="383"/>
      <c r="DS135" s="383"/>
      <c r="DT135" s="383"/>
      <c r="DU135" s="383"/>
      <c r="DV135" s="383"/>
      <c r="ED135" s="269"/>
      <c r="EE135" s="288"/>
      <c r="EF135" s="383"/>
      <c r="EG135" s="383"/>
      <c r="EH135" s="383"/>
      <c r="EI135" s="1107"/>
      <c r="EJ135" s="1107"/>
      <c r="EK135" s="288"/>
      <c r="EL135" s="1107"/>
      <c r="EM135" s="383"/>
      <c r="EN135" s="383"/>
      <c r="EO135" s="383"/>
      <c r="EP135" s="422"/>
      <c r="EQ135" s="269"/>
      <c r="FD135" s="383"/>
      <c r="FE135" s="383"/>
      <c r="FF135" s="383"/>
      <c r="FG135" s="383"/>
      <c r="FH135" s="383"/>
      <c r="FI135" s="1127"/>
      <c r="FJ135" s="1127"/>
      <c r="FK135" s="383"/>
      <c r="FL135" s="1127"/>
      <c r="FM135" s="383"/>
      <c r="FN135" s="383"/>
      <c r="FO135" s="383"/>
      <c r="FP135" s="1127"/>
      <c r="FQ135" s="383"/>
      <c r="GD135" s="1127"/>
      <c r="GE135" s="1127"/>
      <c r="GF135" s="1127"/>
      <c r="GG135" s="1127"/>
      <c r="GH135" s="1127"/>
      <c r="GI135" s="1127"/>
      <c r="GJ135" s="1127"/>
      <c r="GK135" s="1127"/>
      <c r="GL135" s="1127"/>
      <c r="GM135" s="1127"/>
      <c r="GN135" s="1127"/>
      <c r="GO135" s="1127"/>
      <c r="GP135" s="422"/>
      <c r="GQ135" s="1127"/>
      <c r="HD135" s="1127"/>
      <c r="HE135" s="1127"/>
      <c r="HF135" s="1127"/>
      <c r="HG135" s="1127"/>
      <c r="HH135" s="1127"/>
      <c r="HI135" s="1127"/>
      <c r="HJ135" s="1127"/>
      <c r="HK135" s="1127"/>
      <c r="HL135" s="1127"/>
      <c r="HM135" s="1127"/>
      <c r="HN135" s="1127"/>
      <c r="HO135" s="1127"/>
      <c r="HP135" s="422"/>
      <c r="HQ135" s="1127"/>
      <c r="ID135" s="383"/>
      <c r="IE135" s="383"/>
      <c r="IF135" s="383"/>
      <c r="IH135" s="383"/>
      <c r="II135" s="383"/>
      <c r="IJ135" s="383"/>
      <c r="IK135" s="383"/>
      <c r="IL135" s="383"/>
      <c r="IM135" s="383"/>
      <c r="JD135" s="383"/>
      <c r="JE135" s="383"/>
      <c r="JF135" s="383"/>
      <c r="JH135" s="383"/>
      <c r="JI135" s="383"/>
      <c r="JJ135" s="383"/>
      <c r="JK135" s="383"/>
      <c r="JL135" s="383"/>
      <c r="JM135" s="383"/>
      <c r="KD135" s="383"/>
      <c r="KE135" s="383"/>
      <c r="KF135" s="383"/>
      <c r="KH135" s="383"/>
      <c r="KI135" s="383"/>
      <c r="KJ135" s="383"/>
      <c r="KK135" s="383"/>
      <c r="KL135" s="383"/>
      <c r="KM135" s="383"/>
      <c r="LD135" s="383"/>
      <c r="LE135" s="383"/>
      <c r="LF135" s="383"/>
      <c r="LH135" s="383"/>
      <c r="LI135" s="383"/>
      <c r="LJ135" s="383"/>
      <c r="LK135" s="383"/>
      <c r="LL135" s="383"/>
      <c r="LM135" s="383"/>
      <c r="MD135" s="383"/>
      <c r="ME135" s="383"/>
      <c r="MF135" s="383"/>
      <c r="MH135" s="383"/>
      <c r="MI135" s="383"/>
      <c r="MJ135" s="383"/>
      <c r="MK135" s="383"/>
      <c r="ML135" s="383"/>
      <c r="MM135" s="383"/>
      <c r="ND135" s="383"/>
      <c r="NE135" s="383"/>
      <c r="NF135" s="383"/>
      <c r="NH135" s="383"/>
      <c r="NI135" s="383"/>
      <c r="NJ135" s="383"/>
      <c r="NK135" s="383"/>
      <c r="NL135" s="383"/>
      <c r="NM135" s="383"/>
      <c r="OD135" s="582"/>
      <c r="OE135" s="582"/>
      <c r="OF135" s="582"/>
      <c r="OH135" s="582"/>
      <c r="OI135" s="582"/>
      <c r="OJ135" s="582"/>
      <c r="OK135" s="582"/>
      <c r="OL135" s="582"/>
      <c r="OM135" s="582"/>
      <c r="PD135" s="1127"/>
      <c r="PE135" s="1127"/>
      <c r="PF135" s="1127"/>
      <c r="PH135" s="1127"/>
      <c r="PI135" s="1127"/>
      <c r="PJ135" s="1127"/>
      <c r="PK135" s="1127"/>
      <c r="PL135" s="1127"/>
      <c r="PM135" s="1127"/>
    </row>
    <row r="136" spans="88:429">
      <c r="CJ136" s="288"/>
      <c r="CK136" s="383"/>
      <c r="CL136" s="1127"/>
      <c r="CM136" s="1127"/>
      <c r="CN136" s="1127"/>
      <c r="CO136" s="1127"/>
      <c r="CQ136" s="383"/>
      <c r="CR136" s="383"/>
      <c r="CS136" s="383"/>
      <c r="CT136" s="288"/>
      <c r="CU136" s="383"/>
      <c r="CV136" s="383"/>
      <c r="DJ136" s="383"/>
      <c r="DK136" s="383"/>
      <c r="DL136" s="1127"/>
      <c r="DM136" s="1127"/>
      <c r="DN136" s="1127"/>
      <c r="DO136" s="1127"/>
      <c r="DQ136" s="383"/>
      <c r="DR136" s="383"/>
      <c r="DS136" s="383"/>
      <c r="DT136" s="383"/>
      <c r="DU136" s="383"/>
      <c r="DV136" s="383"/>
      <c r="ED136" s="269"/>
      <c r="EE136" s="288"/>
      <c r="EF136" s="383"/>
      <c r="EG136" s="383"/>
      <c r="EH136" s="383"/>
      <c r="EI136" s="1107"/>
      <c r="EJ136" s="1107"/>
      <c r="EK136" s="288"/>
      <c r="EL136" s="1107"/>
      <c r="EM136" s="383"/>
      <c r="EN136" s="383"/>
      <c r="EO136" s="383"/>
      <c r="EP136" s="422"/>
      <c r="EQ136" s="269"/>
      <c r="FD136" s="383"/>
      <c r="FE136" s="383"/>
      <c r="FF136" s="383"/>
      <c r="FG136" s="383"/>
      <c r="FH136" s="383"/>
      <c r="FI136" s="1127"/>
      <c r="FJ136" s="1127"/>
      <c r="FK136" s="383"/>
      <c r="FL136" s="1127"/>
      <c r="FM136" s="383"/>
      <c r="FN136" s="383"/>
      <c r="FO136" s="383"/>
      <c r="FP136" s="1127"/>
      <c r="FQ136" s="383"/>
      <c r="GD136" s="1127"/>
      <c r="GE136" s="1127"/>
      <c r="GF136" s="1127"/>
      <c r="GG136" s="1127"/>
      <c r="GH136" s="1127"/>
      <c r="GI136" s="1127"/>
      <c r="GJ136" s="1127"/>
      <c r="GK136" s="1127"/>
      <c r="GL136" s="1127"/>
      <c r="GM136" s="1127"/>
      <c r="GN136" s="1127"/>
      <c r="GO136" s="1127"/>
      <c r="GP136" s="422"/>
      <c r="GQ136" s="1127"/>
      <c r="HD136" s="1127"/>
      <c r="HE136" s="1127"/>
      <c r="HF136" s="1127"/>
      <c r="HG136" s="1127"/>
      <c r="HH136" s="1127"/>
      <c r="HI136" s="1127"/>
      <c r="HJ136" s="1127"/>
      <c r="HK136" s="1127"/>
      <c r="HL136" s="1127"/>
      <c r="HM136" s="1127"/>
      <c r="HN136" s="1127"/>
      <c r="HO136" s="1127"/>
      <c r="HP136" s="422"/>
      <c r="HQ136" s="1127"/>
      <c r="ID136" s="383"/>
      <c r="IE136" s="383"/>
      <c r="IF136" s="383"/>
      <c r="IH136" s="383"/>
      <c r="II136" s="383"/>
      <c r="IJ136" s="383"/>
      <c r="IK136" s="383"/>
      <c r="IL136" s="383"/>
      <c r="IM136" s="383"/>
      <c r="JD136" s="383"/>
      <c r="JE136" s="383"/>
      <c r="JF136" s="383"/>
      <c r="JH136" s="383"/>
      <c r="JI136" s="383"/>
      <c r="JJ136" s="383"/>
      <c r="JK136" s="383"/>
      <c r="JL136" s="383"/>
      <c r="JM136" s="383"/>
      <c r="KD136" s="383"/>
      <c r="KE136" s="383"/>
      <c r="KF136" s="383"/>
      <c r="KH136" s="383"/>
      <c r="KI136" s="383"/>
      <c r="KJ136" s="383"/>
      <c r="KK136" s="383"/>
      <c r="KL136" s="383"/>
      <c r="KM136" s="383"/>
      <c r="LD136" s="383"/>
      <c r="LE136" s="383"/>
      <c r="LF136" s="383"/>
      <c r="LH136" s="383"/>
      <c r="LI136" s="383"/>
      <c r="LJ136" s="383"/>
      <c r="LK136" s="383"/>
      <c r="LL136" s="383"/>
      <c r="LM136" s="383"/>
      <c r="MD136" s="383"/>
      <c r="ME136" s="383"/>
      <c r="MF136" s="383"/>
      <c r="MH136" s="383"/>
      <c r="MI136" s="383"/>
      <c r="MJ136" s="383"/>
      <c r="MK136" s="383"/>
      <c r="ML136" s="383"/>
      <c r="MM136" s="383"/>
      <c r="ND136" s="383"/>
      <c r="NE136" s="383"/>
      <c r="NF136" s="383"/>
      <c r="NH136" s="383"/>
      <c r="NI136" s="383"/>
      <c r="NJ136" s="383"/>
      <c r="NK136" s="383"/>
      <c r="NL136" s="383"/>
      <c r="NM136" s="383"/>
      <c r="OD136" s="582"/>
      <c r="OE136" s="582"/>
      <c r="OF136" s="582"/>
      <c r="OH136" s="582"/>
      <c r="OI136" s="582"/>
      <c r="OJ136" s="582"/>
      <c r="OK136" s="582"/>
      <c r="OL136" s="582"/>
      <c r="OM136" s="582"/>
      <c r="PD136" s="1127"/>
      <c r="PE136" s="1127"/>
      <c r="PF136" s="1127"/>
      <c r="PH136" s="1127"/>
      <c r="PI136" s="1127"/>
      <c r="PJ136" s="1127"/>
      <c r="PK136" s="1127"/>
      <c r="PL136" s="1127"/>
      <c r="PM136" s="1127"/>
    </row>
    <row r="137" spans="88:429">
      <c r="CJ137" s="288"/>
      <c r="CK137" s="383"/>
      <c r="CL137" s="1127"/>
      <c r="CM137" s="1127"/>
      <c r="CN137" s="1127"/>
      <c r="CO137" s="1127"/>
      <c r="CQ137" s="383"/>
      <c r="CR137" s="383"/>
      <c r="CS137" s="383"/>
      <c r="CT137" s="288"/>
      <c r="CU137" s="383"/>
      <c r="CV137" s="383"/>
      <c r="DJ137" s="383"/>
      <c r="DK137" s="383"/>
      <c r="DL137" s="1127"/>
      <c r="DM137" s="1127"/>
      <c r="DN137" s="1127"/>
      <c r="DO137" s="1127"/>
      <c r="DQ137" s="383"/>
      <c r="DR137" s="383"/>
      <c r="DS137" s="383"/>
      <c r="DT137" s="383"/>
      <c r="DU137" s="383"/>
      <c r="DV137" s="383"/>
      <c r="ED137" s="269"/>
      <c r="EE137" s="288"/>
      <c r="EF137" s="383"/>
      <c r="EG137" s="383"/>
      <c r="EH137" s="383"/>
      <c r="EI137" s="1107"/>
      <c r="EJ137" s="1107"/>
      <c r="EK137" s="288"/>
      <c r="EL137" s="1107"/>
      <c r="EM137" s="383"/>
      <c r="EN137" s="383"/>
      <c r="EO137" s="383"/>
      <c r="EP137" s="422"/>
      <c r="EQ137" s="269"/>
      <c r="FD137" s="383"/>
      <c r="FE137" s="383"/>
      <c r="FF137" s="383"/>
      <c r="FG137" s="383"/>
      <c r="FH137" s="383"/>
      <c r="FI137" s="1127"/>
      <c r="FJ137" s="1127"/>
      <c r="FK137" s="383"/>
      <c r="FL137" s="1127"/>
      <c r="FM137" s="383"/>
      <c r="FN137" s="383"/>
      <c r="FO137" s="383"/>
      <c r="FP137" s="1127"/>
      <c r="FQ137" s="383"/>
      <c r="GD137" s="1127"/>
      <c r="GE137" s="1127"/>
      <c r="GF137" s="1127"/>
      <c r="GG137" s="1127"/>
      <c r="GH137" s="1127"/>
      <c r="GI137" s="1127"/>
      <c r="GJ137" s="1127"/>
      <c r="GK137" s="1127"/>
      <c r="GL137" s="1127"/>
      <c r="GM137" s="1127"/>
      <c r="GN137" s="1127"/>
      <c r="GO137" s="1127"/>
      <c r="GP137" s="422"/>
      <c r="GQ137" s="1127"/>
      <c r="HD137" s="1127"/>
      <c r="HE137" s="1127"/>
      <c r="HF137" s="1127"/>
      <c r="HG137" s="1127"/>
      <c r="HH137" s="1127"/>
      <c r="HI137" s="1127"/>
      <c r="HJ137" s="1127"/>
      <c r="HK137" s="1127"/>
      <c r="HL137" s="1127"/>
      <c r="HM137" s="1127"/>
      <c r="HN137" s="1127"/>
      <c r="HO137" s="1127"/>
      <c r="HP137" s="422"/>
      <c r="HQ137" s="1127"/>
      <c r="ID137" s="383"/>
      <c r="IE137" s="383"/>
      <c r="IF137" s="383"/>
      <c r="IH137" s="383"/>
      <c r="II137" s="383"/>
      <c r="IJ137" s="383"/>
      <c r="IK137" s="383"/>
      <c r="IL137" s="383"/>
      <c r="IM137" s="383"/>
      <c r="JD137" s="383"/>
      <c r="JE137" s="383"/>
      <c r="JF137" s="383"/>
      <c r="JH137" s="383"/>
      <c r="JI137" s="383"/>
      <c r="JJ137" s="383"/>
      <c r="JK137" s="383"/>
      <c r="JL137" s="383"/>
      <c r="JM137" s="383"/>
      <c r="KD137" s="383"/>
      <c r="KE137" s="383"/>
      <c r="KF137" s="383"/>
      <c r="KH137" s="383"/>
      <c r="KI137" s="383"/>
      <c r="KJ137" s="383"/>
      <c r="KK137" s="383"/>
      <c r="KL137" s="383"/>
      <c r="KM137" s="383"/>
      <c r="LD137" s="383"/>
      <c r="LE137" s="383"/>
      <c r="LF137" s="383"/>
      <c r="LH137" s="383"/>
      <c r="LI137" s="383"/>
      <c r="LJ137" s="383"/>
      <c r="LK137" s="383"/>
      <c r="LL137" s="383"/>
      <c r="LM137" s="383"/>
      <c r="MD137" s="383"/>
      <c r="ME137" s="383"/>
      <c r="MF137" s="383"/>
      <c r="MH137" s="383"/>
      <c r="MI137" s="383"/>
      <c r="MJ137" s="383"/>
      <c r="MK137" s="383"/>
      <c r="ML137" s="383"/>
      <c r="MM137" s="383"/>
      <c r="ND137" s="383"/>
      <c r="NE137" s="383"/>
      <c r="NF137" s="383"/>
      <c r="NH137" s="383"/>
      <c r="NI137" s="383"/>
      <c r="NJ137" s="383"/>
      <c r="NK137" s="383"/>
      <c r="NL137" s="383"/>
      <c r="NM137" s="383"/>
      <c r="OD137" s="582"/>
      <c r="OE137" s="582"/>
      <c r="OF137" s="582"/>
      <c r="OH137" s="582"/>
      <c r="OI137" s="582"/>
      <c r="OJ137" s="582"/>
      <c r="OK137" s="582"/>
      <c r="OL137" s="582"/>
      <c r="OM137" s="582"/>
      <c r="PD137" s="1127"/>
      <c r="PE137" s="1127"/>
      <c r="PF137" s="1127"/>
      <c r="PH137" s="1127"/>
      <c r="PI137" s="1127"/>
      <c r="PJ137" s="1127"/>
      <c r="PK137" s="1127"/>
      <c r="PL137" s="1127"/>
      <c r="PM137" s="1127"/>
    </row>
    <row r="138" spans="88:429">
      <c r="CJ138" s="288"/>
      <c r="CK138" s="383"/>
      <c r="CL138" s="1127"/>
      <c r="CM138" s="1127"/>
      <c r="CN138" s="1127"/>
      <c r="CO138" s="1127"/>
      <c r="CQ138" s="383"/>
      <c r="CR138" s="383"/>
      <c r="CS138" s="383"/>
      <c r="CT138" s="288"/>
      <c r="CU138" s="383"/>
      <c r="CV138" s="383"/>
      <c r="DJ138" s="383"/>
      <c r="DK138" s="383"/>
      <c r="DL138" s="1127"/>
      <c r="DM138" s="1127"/>
      <c r="DN138" s="1127"/>
      <c r="DO138" s="1127"/>
      <c r="DQ138" s="383"/>
      <c r="DR138" s="383"/>
      <c r="DS138" s="383"/>
      <c r="DT138" s="383"/>
      <c r="DU138" s="383"/>
      <c r="DV138" s="383"/>
      <c r="ED138" s="269"/>
      <c r="EE138" s="288"/>
      <c r="EF138" s="383"/>
      <c r="EG138" s="383"/>
      <c r="EH138" s="383"/>
      <c r="EI138" s="1107"/>
      <c r="EJ138" s="1107"/>
      <c r="EK138" s="288"/>
      <c r="EL138" s="1107"/>
      <c r="EM138" s="383"/>
      <c r="EN138" s="383"/>
      <c r="EO138" s="383"/>
      <c r="EP138" s="422"/>
      <c r="EQ138" s="269"/>
      <c r="FD138" s="383"/>
      <c r="FE138" s="383"/>
      <c r="FF138" s="383"/>
      <c r="FG138" s="383"/>
      <c r="FH138" s="383"/>
      <c r="FI138" s="1127"/>
      <c r="FJ138" s="1127"/>
      <c r="FK138" s="383"/>
      <c r="FL138" s="1127"/>
      <c r="FM138" s="383"/>
      <c r="FN138" s="383"/>
      <c r="FO138" s="383"/>
      <c r="FP138" s="1127"/>
      <c r="FQ138" s="383"/>
      <c r="GD138" s="1127"/>
      <c r="GE138" s="1127"/>
      <c r="GF138" s="1127"/>
      <c r="GG138" s="1127"/>
      <c r="GH138" s="1127"/>
      <c r="GI138" s="1127"/>
      <c r="GJ138" s="1127"/>
      <c r="GK138" s="1127"/>
      <c r="GL138" s="1127"/>
      <c r="GM138" s="1127"/>
      <c r="GN138" s="1127"/>
      <c r="GO138" s="1127"/>
      <c r="GP138" s="422"/>
      <c r="GQ138" s="1127"/>
      <c r="HD138" s="1127"/>
      <c r="HE138" s="1127"/>
      <c r="HF138" s="1127"/>
      <c r="HG138" s="1127"/>
      <c r="HH138" s="1127"/>
      <c r="HI138" s="1127"/>
      <c r="HJ138" s="1127"/>
      <c r="HK138" s="1127"/>
      <c r="HL138" s="1127"/>
      <c r="HM138" s="1127"/>
      <c r="HN138" s="1127"/>
      <c r="HO138" s="1127"/>
      <c r="HP138" s="422"/>
      <c r="HQ138" s="1127"/>
      <c r="ID138" s="383"/>
      <c r="IE138" s="383"/>
      <c r="IF138" s="383"/>
      <c r="IH138" s="383"/>
      <c r="II138" s="383"/>
      <c r="IJ138" s="383"/>
      <c r="IK138" s="383"/>
      <c r="IL138" s="383"/>
      <c r="IM138" s="383"/>
      <c r="JD138" s="383"/>
      <c r="JE138" s="383"/>
      <c r="JF138" s="383"/>
      <c r="JH138" s="383"/>
      <c r="JI138" s="383"/>
      <c r="JJ138" s="383"/>
      <c r="JK138" s="383"/>
      <c r="JL138" s="383"/>
      <c r="JM138" s="383"/>
      <c r="KD138" s="383"/>
      <c r="KE138" s="383"/>
      <c r="KF138" s="383"/>
      <c r="KH138" s="383"/>
      <c r="KI138" s="383"/>
      <c r="KJ138" s="383"/>
      <c r="KK138" s="383"/>
      <c r="KL138" s="383"/>
      <c r="KM138" s="383"/>
      <c r="LD138" s="383"/>
      <c r="LE138" s="383"/>
      <c r="LF138" s="383"/>
      <c r="LH138" s="383"/>
      <c r="LI138" s="383"/>
      <c r="LJ138" s="383"/>
      <c r="LK138" s="383"/>
      <c r="LL138" s="383"/>
      <c r="LM138" s="383"/>
      <c r="MD138" s="383"/>
      <c r="ME138" s="383"/>
      <c r="MF138" s="383"/>
      <c r="MH138" s="383"/>
      <c r="MI138" s="383"/>
      <c r="MJ138" s="383"/>
      <c r="MK138" s="383"/>
      <c r="ML138" s="383"/>
      <c r="MM138" s="383"/>
      <c r="ND138" s="383"/>
      <c r="NE138" s="383"/>
      <c r="NF138" s="383"/>
      <c r="NH138" s="383"/>
      <c r="NI138" s="383"/>
      <c r="NJ138" s="383"/>
      <c r="NK138" s="383"/>
      <c r="NL138" s="383"/>
      <c r="NM138" s="383"/>
      <c r="OD138" s="582"/>
      <c r="OE138" s="582"/>
      <c r="OF138" s="582"/>
      <c r="OH138" s="582"/>
      <c r="OI138" s="582"/>
      <c r="OJ138" s="582"/>
      <c r="OK138" s="582"/>
      <c r="OL138" s="582"/>
      <c r="OM138" s="582"/>
      <c r="PD138" s="1127"/>
      <c r="PE138" s="1127"/>
      <c r="PF138" s="1127"/>
      <c r="PH138" s="1127"/>
      <c r="PI138" s="1127"/>
      <c r="PJ138" s="1127"/>
      <c r="PK138" s="1127"/>
      <c r="PL138" s="1127"/>
      <c r="PM138" s="1127"/>
    </row>
    <row r="139" spans="88:429">
      <c r="CJ139" s="288"/>
      <c r="CK139" s="383"/>
      <c r="CL139" s="1127"/>
      <c r="CM139" s="1127"/>
      <c r="CN139" s="1127"/>
      <c r="CO139" s="1127"/>
      <c r="CQ139" s="383"/>
      <c r="CR139" s="383"/>
      <c r="CS139" s="383"/>
      <c r="CT139" s="288"/>
      <c r="CU139" s="383"/>
      <c r="CV139" s="383"/>
      <c r="DJ139" s="383"/>
      <c r="DK139" s="383"/>
      <c r="DL139" s="1127"/>
      <c r="DM139" s="1127"/>
      <c r="DN139" s="1127"/>
      <c r="DO139" s="1127"/>
      <c r="DQ139" s="383"/>
      <c r="DR139" s="383"/>
      <c r="DS139" s="383"/>
      <c r="DT139" s="383"/>
      <c r="DU139" s="383"/>
      <c r="DV139" s="383"/>
      <c r="ED139" s="269"/>
      <c r="EE139" s="288"/>
      <c r="EF139" s="383"/>
      <c r="EG139" s="383"/>
      <c r="EH139" s="383"/>
      <c r="EI139" s="1107"/>
      <c r="EJ139" s="1107"/>
      <c r="EK139" s="288"/>
      <c r="EL139" s="1107"/>
      <c r="EM139" s="383"/>
      <c r="EN139" s="383"/>
      <c r="EO139" s="383"/>
      <c r="EP139" s="422"/>
      <c r="EQ139" s="269"/>
      <c r="FD139" s="383"/>
      <c r="FE139" s="383"/>
      <c r="FF139" s="383"/>
      <c r="FG139" s="383"/>
      <c r="FH139" s="383"/>
      <c r="FI139" s="1127"/>
      <c r="FJ139" s="1127"/>
      <c r="FK139" s="383"/>
      <c r="FL139" s="1127"/>
      <c r="FM139" s="383"/>
      <c r="FN139" s="383"/>
      <c r="FO139" s="383"/>
      <c r="FP139" s="1127"/>
      <c r="FQ139" s="383"/>
      <c r="GD139" s="1127"/>
      <c r="GE139" s="1127"/>
      <c r="GF139" s="1127"/>
      <c r="GG139" s="1127"/>
      <c r="GH139" s="1127"/>
      <c r="GI139" s="1127"/>
      <c r="GJ139" s="1127"/>
      <c r="GK139" s="1127"/>
      <c r="GL139" s="1127"/>
      <c r="GM139" s="1127"/>
      <c r="GN139" s="1127"/>
      <c r="GO139" s="1127"/>
      <c r="GP139" s="422"/>
      <c r="GQ139" s="1127"/>
      <c r="HD139" s="1127"/>
      <c r="HE139" s="1127"/>
      <c r="HF139" s="1127"/>
      <c r="HG139" s="1127"/>
      <c r="HH139" s="1127"/>
      <c r="HI139" s="1127"/>
      <c r="HJ139" s="1127"/>
      <c r="HK139" s="1127"/>
      <c r="HL139" s="1127"/>
      <c r="HM139" s="1127"/>
      <c r="HN139" s="1127"/>
      <c r="HO139" s="1127"/>
      <c r="HP139" s="422"/>
      <c r="HQ139" s="1127"/>
      <c r="ID139" s="383"/>
      <c r="IE139" s="383"/>
      <c r="IF139" s="383"/>
      <c r="IH139" s="383"/>
      <c r="II139" s="383"/>
      <c r="IJ139" s="383"/>
      <c r="IK139" s="383"/>
      <c r="IL139" s="383"/>
      <c r="IM139" s="383"/>
      <c r="JD139" s="383"/>
      <c r="JE139" s="383"/>
      <c r="JF139" s="383"/>
      <c r="JH139" s="383"/>
      <c r="JI139" s="383"/>
      <c r="JJ139" s="383"/>
      <c r="JK139" s="383"/>
      <c r="JL139" s="383"/>
      <c r="JM139" s="383"/>
      <c r="KD139" s="383"/>
      <c r="KE139" s="383"/>
      <c r="KF139" s="383"/>
      <c r="KH139" s="383"/>
      <c r="KI139" s="383"/>
      <c r="KJ139" s="383"/>
      <c r="KK139" s="383"/>
      <c r="KL139" s="383"/>
      <c r="KM139" s="383"/>
      <c r="LD139" s="383"/>
      <c r="LE139" s="383"/>
      <c r="LF139" s="383"/>
      <c r="LH139" s="383"/>
      <c r="LI139" s="383"/>
      <c r="LJ139" s="383"/>
      <c r="LK139" s="383"/>
      <c r="LL139" s="383"/>
      <c r="LM139" s="383"/>
      <c r="MD139" s="383"/>
      <c r="ME139" s="383"/>
      <c r="MF139" s="383"/>
      <c r="MH139" s="383"/>
      <c r="MI139" s="383"/>
      <c r="MJ139" s="383"/>
      <c r="MK139" s="383"/>
      <c r="ML139" s="383"/>
      <c r="MM139" s="383"/>
      <c r="ND139" s="383"/>
      <c r="NE139" s="383"/>
      <c r="NF139" s="383"/>
      <c r="NH139" s="383"/>
      <c r="NI139" s="383"/>
      <c r="NJ139" s="383"/>
      <c r="NK139" s="383"/>
      <c r="NL139" s="383"/>
      <c r="NM139" s="383"/>
      <c r="OD139" s="582"/>
      <c r="OE139" s="582"/>
      <c r="OF139" s="582"/>
      <c r="OH139" s="582"/>
      <c r="OI139" s="582"/>
      <c r="OJ139" s="582"/>
      <c r="OK139" s="582"/>
      <c r="OL139" s="582"/>
      <c r="OM139" s="582"/>
      <c r="PD139" s="1127"/>
      <c r="PE139" s="1127"/>
      <c r="PF139" s="1127"/>
      <c r="PH139" s="1127"/>
      <c r="PI139" s="1127"/>
      <c r="PJ139" s="1127"/>
      <c r="PK139" s="1127"/>
      <c r="PL139" s="1127"/>
      <c r="PM139" s="1127"/>
    </row>
    <row r="140" spans="88:429">
      <c r="CJ140" s="288"/>
      <c r="CK140" s="383"/>
      <c r="CL140" s="1127"/>
      <c r="CM140" s="1127"/>
      <c r="CN140" s="1127"/>
      <c r="CO140" s="1127"/>
      <c r="CQ140" s="383"/>
      <c r="CR140" s="383"/>
      <c r="CS140" s="383"/>
      <c r="CT140" s="288"/>
      <c r="CU140" s="383"/>
      <c r="CV140" s="383"/>
      <c r="DJ140" s="383"/>
      <c r="DK140" s="383"/>
      <c r="DL140" s="1127"/>
      <c r="DM140" s="1127"/>
      <c r="DN140" s="1127"/>
      <c r="DO140" s="1127"/>
      <c r="DQ140" s="383"/>
      <c r="DR140" s="383"/>
      <c r="DS140" s="383"/>
      <c r="DT140" s="383"/>
      <c r="DU140" s="383"/>
      <c r="DV140" s="383"/>
      <c r="ED140" s="269"/>
      <c r="EE140" s="288"/>
      <c r="EF140" s="383"/>
      <c r="EG140" s="383"/>
      <c r="EH140" s="383"/>
      <c r="EI140" s="1107"/>
      <c r="EJ140" s="1107"/>
      <c r="EK140" s="288"/>
      <c r="EL140" s="1107"/>
      <c r="EM140" s="383"/>
      <c r="EN140" s="383"/>
      <c r="EO140" s="383"/>
      <c r="EP140" s="422"/>
      <c r="EQ140" s="269"/>
      <c r="FD140" s="383"/>
      <c r="FE140" s="383"/>
      <c r="FF140" s="383"/>
      <c r="FG140" s="383"/>
      <c r="FH140" s="383"/>
      <c r="FI140" s="1127"/>
      <c r="FJ140" s="1127"/>
      <c r="FK140" s="383"/>
      <c r="FL140" s="1127"/>
      <c r="FM140" s="383"/>
      <c r="FN140" s="383"/>
      <c r="FO140" s="383"/>
      <c r="FP140" s="1127"/>
      <c r="FQ140" s="383"/>
      <c r="GD140" s="1127"/>
      <c r="GE140" s="1127"/>
      <c r="GF140" s="1127"/>
      <c r="GG140" s="1127"/>
      <c r="GH140" s="1127"/>
      <c r="GI140" s="1127"/>
      <c r="GJ140" s="1127"/>
      <c r="GK140" s="1127"/>
      <c r="GL140" s="1127"/>
      <c r="GM140" s="1127"/>
      <c r="GN140" s="1127"/>
      <c r="GO140" s="1127"/>
      <c r="GP140" s="422"/>
      <c r="GQ140" s="1127"/>
      <c r="HD140" s="1127"/>
      <c r="HE140" s="1127"/>
      <c r="HF140" s="1127"/>
      <c r="HG140" s="1127"/>
      <c r="HH140" s="1127"/>
      <c r="HI140" s="1127"/>
      <c r="HJ140" s="1127"/>
      <c r="HK140" s="1127"/>
      <c r="HL140" s="1127"/>
      <c r="HM140" s="1127"/>
      <c r="HN140" s="1127"/>
      <c r="HO140" s="1127"/>
      <c r="HP140" s="422"/>
      <c r="HQ140" s="1127"/>
      <c r="ID140" s="383"/>
      <c r="IE140" s="383"/>
      <c r="IF140" s="383"/>
      <c r="IH140" s="383"/>
      <c r="II140" s="383"/>
      <c r="IJ140" s="383"/>
      <c r="IK140" s="383"/>
      <c r="IL140" s="383"/>
      <c r="IM140" s="383"/>
      <c r="JD140" s="383"/>
      <c r="JE140" s="383"/>
      <c r="JF140" s="383"/>
      <c r="JH140" s="383"/>
      <c r="JI140" s="383"/>
      <c r="JJ140" s="383"/>
      <c r="JK140" s="383"/>
      <c r="JL140" s="383"/>
      <c r="JM140" s="383"/>
      <c r="KD140" s="383"/>
      <c r="KE140" s="383"/>
      <c r="KF140" s="383"/>
      <c r="KH140" s="383"/>
      <c r="KI140" s="383"/>
      <c r="KJ140" s="383"/>
      <c r="KK140" s="383"/>
      <c r="KL140" s="383"/>
      <c r="KM140" s="383"/>
      <c r="LD140" s="383"/>
      <c r="LE140" s="383"/>
      <c r="LF140" s="383"/>
      <c r="LH140" s="383"/>
      <c r="LI140" s="383"/>
      <c r="LJ140" s="383"/>
      <c r="LK140" s="383"/>
      <c r="LL140" s="383"/>
      <c r="LM140" s="383"/>
      <c r="MD140" s="383"/>
      <c r="ME140" s="383"/>
      <c r="MF140" s="383"/>
      <c r="MH140" s="383"/>
      <c r="MI140" s="383"/>
      <c r="MJ140" s="383"/>
      <c r="MK140" s="383"/>
      <c r="ML140" s="383"/>
      <c r="MM140" s="383"/>
      <c r="ND140" s="383"/>
      <c r="NE140" s="383"/>
      <c r="NF140" s="383"/>
      <c r="NH140" s="383"/>
      <c r="NI140" s="383"/>
      <c r="NJ140" s="383"/>
      <c r="NK140" s="383"/>
      <c r="NL140" s="383"/>
      <c r="NM140" s="383"/>
      <c r="OD140" s="582"/>
      <c r="OE140" s="582"/>
      <c r="OF140" s="582"/>
      <c r="OH140" s="582"/>
      <c r="OI140" s="582"/>
      <c r="OJ140" s="582"/>
      <c r="OK140" s="582"/>
      <c r="OL140" s="582"/>
      <c r="OM140" s="582"/>
      <c r="PD140" s="1127"/>
      <c r="PE140" s="1127"/>
      <c r="PF140" s="1127"/>
      <c r="PH140" s="1127"/>
      <c r="PI140" s="1127"/>
      <c r="PJ140" s="1127"/>
      <c r="PK140" s="1127"/>
      <c r="PL140" s="1127"/>
      <c r="PM140" s="1127"/>
    </row>
    <row r="141" spans="88:429">
      <c r="CJ141" s="288"/>
      <c r="CK141" s="383"/>
      <c r="CL141" s="1127"/>
      <c r="CM141" s="1127"/>
      <c r="CN141" s="1127"/>
      <c r="CO141" s="1127"/>
      <c r="CQ141" s="383"/>
      <c r="CR141" s="383"/>
      <c r="CS141" s="383"/>
      <c r="CT141" s="288"/>
      <c r="CU141" s="383"/>
      <c r="CV141" s="383"/>
      <c r="DJ141" s="383"/>
      <c r="DK141" s="383"/>
      <c r="DL141" s="1127"/>
      <c r="DM141" s="1127"/>
      <c r="DN141" s="1127"/>
      <c r="DO141" s="1127"/>
      <c r="DQ141" s="383"/>
      <c r="DR141" s="383"/>
      <c r="DS141" s="383"/>
      <c r="DT141" s="383"/>
      <c r="DU141" s="383"/>
      <c r="DV141" s="383"/>
      <c r="ED141" s="269"/>
      <c r="EE141" s="288"/>
      <c r="EF141" s="383"/>
      <c r="EG141" s="383"/>
      <c r="EH141" s="383"/>
      <c r="EI141" s="1107"/>
      <c r="EJ141" s="1107"/>
      <c r="EK141" s="288"/>
      <c r="EL141" s="1107"/>
      <c r="EM141" s="383"/>
      <c r="EN141" s="383"/>
      <c r="EO141" s="383"/>
      <c r="EP141" s="422"/>
      <c r="EQ141" s="269"/>
      <c r="FD141" s="383"/>
      <c r="FE141" s="383"/>
      <c r="FF141" s="383"/>
      <c r="FG141" s="383"/>
      <c r="FH141" s="383"/>
      <c r="FI141" s="1127"/>
      <c r="FJ141" s="1127"/>
      <c r="FK141" s="383"/>
      <c r="FL141" s="1127"/>
      <c r="FM141" s="383"/>
      <c r="FN141" s="383"/>
      <c r="FO141" s="383"/>
      <c r="FP141" s="1127"/>
      <c r="FQ141" s="383"/>
      <c r="GD141" s="1127"/>
      <c r="GE141" s="1127"/>
      <c r="GF141" s="1127"/>
      <c r="GG141" s="1127"/>
      <c r="GH141" s="1127"/>
      <c r="GI141" s="1127"/>
      <c r="GJ141" s="1127"/>
      <c r="GK141" s="1127"/>
      <c r="GL141" s="1127"/>
      <c r="GM141" s="1127"/>
      <c r="GN141" s="1127"/>
      <c r="GO141" s="1127"/>
      <c r="GP141" s="422"/>
      <c r="GQ141" s="1127"/>
      <c r="HD141" s="1127"/>
      <c r="HE141" s="1127"/>
      <c r="HF141" s="1127"/>
      <c r="HG141" s="1127"/>
      <c r="HH141" s="1127"/>
      <c r="HI141" s="1127"/>
      <c r="HJ141" s="1127"/>
      <c r="HK141" s="1127"/>
      <c r="HL141" s="1127"/>
      <c r="HM141" s="1127"/>
      <c r="HN141" s="1127"/>
      <c r="HO141" s="1127"/>
      <c r="HP141" s="422"/>
      <c r="HQ141" s="1127"/>
      <c r="ID141" s="383"/>
      <c r="IE141" s="383"/>
      <c r="IF141" s="383"/>
      <c r="IH141" s="383"/>
      <c r="II141" s="383"/>
      <c r="IJ141" s="383"/>
      <c r="IK141" s="383"/>
      <c r="IL141" s="383"/>
      <c r="IM141" s="383"/>
      <c r="JD141" s="383"/>
      <c r="JE141" s="383"/>
      <c r="JF141" s="383"/>
      <c r="JH141" s="383"/>
      <c r="JI141" s="383"/>
      <c r="JJ141" s="383"/>
      <c r="JK141" s="383"/>
      <c r="JL141" s="383"/>
      <c r="JM141" s="383"/>
      <c r="KD141" s="383"/>
      <c r="KE141" s="383"/>
      <c r="KF141" s="383"/>
      <c r="KH141" s="383"/>
      <c r="KI141" s="383"/>
      <c r="KJ141" s="383"/>
      <c r="KK141" s="383"/>
      <c r="KL141" s="383"/>
      <c r="KM141" s="383"/>
      <c r="LD141" s="383"/>
      <c r="LE141" s="383"/>
      <c r="LF141" s="383"/>
      <c r="LH141" s="383"/>
      <c r="LI141" s="383"/>
      <c r="LJ141" s="383"/>
      <c r="LK141" s="383"/>
      <c r="LL141" s="383"/>
      <c r="LM141" s="383"/>
      <c r="MD141" s="383"/>
      <c r="ME141" s="383"/>
      <c r="MF141" s="383"/>
      <c r="MH141" s="383"/>
      <c r="MI141" s="383"/>
      <c r="MJ141" s="383"/>
      <c r="MK141" s="383"/>
      <c r="ML141" s="383"/>
      <c r="MM141" s="383"/>
      <c r="ND141" s="383"/>
      <c r="NE141" s="383"/>
      <c r="NF141" s="383"/>
      <c r="NH141" s="383"/>
      <c r="NI141" s="383"/>
      <c r="NJ141" s="383"/>
      <c r="NK141" s="383"/>
      <c r="NL141" s="383"/>
      <c r="NM141" s="383"/>
      <c r="OD141" s="582"/>
      <c r="OE141" s="582"/>
      <c r="OF141" s="582"/>
      <c r="OH141" s="582"/>
      <c r="OI141" s="582"/>
      <c r="OJ141" s="582"/>
      <c r="OK141" s="582"/>
      <c r="OL141" s="582"/>
      <c r="OM141" s="582"/>
      <c r="PD141" s="1127"/>
      <c r="PE141" s="1127"/>
      <c r="PF141" s="1127"/>
      <c r="PH141" s="1127"/>
      <c r="PI141" s="1127"/>
      <c r="PJ141" s="1127"/>
      <c r="PK141" s="1127"/>
      <c r="PL141" s="1127"/>
      <c r="PM141" s="1127"/>
    </row>
    <row r="142" spans="88:429">
      <c r="CJ142" s="288"/>
      <c r="CK142" s="383"/>
      <c r="CL142" s="1127"/>
      <c r="CM142" s="1127"/>
      <c r="CN142" s="1127"/>
      <c r="CO142" s="1127"/>
      <c r="CQ142" s="383"/>
      <c r="CR142" s="383"/>
      <c r="CS142" s="383"/>
      <c r="CT142" s="288"/>
      <c r="CU142" s="383"/>
      <c r="CV142" s="383"/>
      <c r="DJ142" s="383"/>
      <c r="DK142" s="383"/>
      <c r="DL142" s="1127"/>
      <c r="DM142" s="1127"/>
      <c r="DN142" s="1127"/>
      <c r="DO142" s="1127"/>
      <c r="DQ142" s="383"/>
      <c r="DR142" s="383"/>
      <c r="DS142" s="383"/>
      <c r="DT142" s="383"/>
      <c r="DU142" s="383"/>
      <c r="DV142" s="383"/>
      <c r="ED142" s="269"/>
      <c r="EE142" s="288"/>
      <c r="EF142" s="383"/>
      <c r="EG142" s="383"/>
      <c r="EH142" s="383"/>
      <c r="EI142" s="1107"/>
      <c r="EJ142" s="1107"/>
      <c r="EK142" s="288"/>
      <c r="EL142" s="1107"/>
      <c r="EM142" s="383"/>
      <c r="EN142" s="383"/>
      <c r="EO142" s="383"/>
      <c r="EP142" s="422"/>
      <c r="EQ142" s="269"/>
      <c r="FD142" s="383"/>
      <c r="FE142" s="383"/>
      <c r="FF142" s="383"/>
      <c r="FG142" s="383"/>
      <c r="FH142" s="383"/>
      <c r="FI142" s="1127"/>
      <c r="FJ142" s="1127"/>
      <c r="FK142" s="383"/>
      <c r="FL142" s="1127"/>
      <c r="FM142" s="383"/>
      <c r="FN142" s="383"/>
      <c r="FO142" s="383"/>
      <c r="FP142" s="1127"/>
      <c r="FQ142" s="383"/>
      <c r="GD142" s="1127"/>
      <c r="GE142" s="1127"/>
      <c r="GF142" s="1127"/>
      <c r="GG142" s="1127"/>
      <c r="GH142" s="1127"/>
      <c r="GI142" s="1127"/>
      <c r="GJ142" s="1127"/>
      <c r="GK142" s="1127"/>
      <c r="GL142" s="1127"/>
      <c r="GM142" s="1127"/>
      <c r="GN142" s="1127"/>
      <c r="GO142" s="1127"/>
      <c r="GP142" s="422"/>
      <c r="GQ142" s="1127"/>
      <c r="HD142" s="1127"/>
      <c r="HE142" s="1127"/>
      <c r="HF142" s="1127"/>
      <c r="HG142" s="1127"/>
      <c r="HH142" s="1127"/>
      <c r="HI142" s="1127"/>
      <c r="HJ142" s="1127"/>
      <c r="HK142" s="1127"/>
      <c r="HL142" s="1127"/>
      <c r="HM142" s="1127"/>
      <c r="HN142" s="1127"/>
      <c r="HO142" s="1127"/>
      <c r="HP142" s="422"/>
      <c r="HQ142" s="1127"/>
      <c r="ID142" s="383"/>
      <c r="IE142" s="383"/>
      <c r="IF142" s="383"/>
      <c r="IH142" s="383"/>
      <c r="II142" s="383"/>
      <c r="IJ142" s="383"/>
      <c r="IK142" s="383"/>
      <c r="IL142" s="383"/>
      <c r="IM142" s="383"/>
      <c r="JD142" s="383"/>
      <c r="JE142" s="383"/>
      <c r="JF142" s="383"/>
      <c r="JH142" s="383"/>
      <c r="JI142" s="383"/>
      <c r="JJ142" s="383"/>
      <c r="JK142" s="383"/>
      <c r="JL142" s="383"/>
      <c r="JM142" s="383"/>
      <c r="KD142" s="383"/>
      <c r="KE142" s="383"/>
      <c r="KF142" s="383"/>
      <c r="KH142" s="383"/>
      <c r="KI142" s="383"/>
      <c r="KJ142" s="383"/>
      <c r="KK142" s="383"/>
      <c r="KL142" s="383"/>
      <c r="KM142" s="383"/>
      <c r="LD142" s="383"/>
      <c r="LE142" s="383"/>
      <c r="LF142" s="383"/>
      <c r="LH142" s="383"/>
      <c r="LI142" s="383"/>
      <c r="LJ142" s="383"/>
      <c r="LK142" s="383"/>
      <c r="LL142" s="383"/>
      <c r="LM142" s="383"/>
      <c r="MD142" s="383"/>
      <c r="ME142" s="383"/>
      <c r="MF142" s="383"/>
      <c r="MH142" s="383"/>
      <c r="MI142" s="383"/>
      <c r="MJ142" s="383"/>
      <c r="MK142" s="383"/>
      <c r="ML142" s="383"/>
      <c r="MM142" s="383"/>
      <c r="ND142" s="383"/>
      <c r="NE142" s="383"/>
      <c r="NF142" s="383"/>
      <c r="NH142" s="383"/>
      <c r="NI142" s="383"/>
      <c r="NJ142" s="383"/>
      <c r="NK142" s="383"/>
      <c r="NL142" s="383"/>
      <c r="NM142" s="383"/>
      <c r="OD142" s="582"/>
      <c r="OE142" s="582"/>
      <c r="OF142" s="582"/>
      <c r="OH142" s="582"/>
      <c r="OI142" s="582"/>
      <c r="OJ142" s="582"/>
      <c r="OK142" s="582"/>
      <c r="OL142" s="582"/>
      <c r="OM142" s="582"/>
      <c r="PD142" s="1127"/>
      <c r="PE142" s="1127"/>
      <c r="PF142" s="1127"/>
      <c r="PH142" s="1127"/>
      <c r="PI142" s="1127"/>
      <c r="PJ142" s="1127"/>
      <c r="PK142" s="1127"/>
      <c r="PL142" s="1127"/>
      <c r="PM142" s="1127"/>
    </row>
    <row r="143" spans="88:429">
      <c r="CJ143" s="288"/>
      <c r="CK143" s="383"/>
      <c r="CL143" s="1127"/>
      <c r="CM143" s="1127"/>
      <c r="CN143" s="1127"/>
      <c r="CO143" s="1127"/>
      <c r="CQ143" s="383"/>
      <c r="CR143" s="383"/>
      <c r="CS143" s="383"/>
      <c r="CT143" s="288"/>
      <c r="CU143" s="383"/>
      <c r="CV143" s="383"/>
      <c r="DJ143" s="383"/>
      <c r="DK143" s="383"/>
      <c r="DL143" s="1127"/>
      <c r="DM143" s="1127"/>
      <c r="DN143" s="1127"/>
      <c r="DO143" s="1127"/>
      <c r="DQ143" s="383"/>
      <c r="DR143" s="383"/>
      <c r="DS143" s="383"/>
      <c r="DT143" s="383"/>
      <c r="DU143" s="383"/>
      <c r="DV143" s="383"/>
      <c r="ED143" s="269"/>
      <c r="EE143" s="288"/>
      <c r="EF143" s="383"/>
      <c r="EG143" s="383"/>
      <c r="EH143" s="383"/>
      <c r="EI143" s="1107"/>
      <c r="EJ143" s="1107"/>
      <c r="EK143" s="288"/>
      <c r="EL143" s="1107"/>
      <c r="EM143" s="383"/>
      <c r="EN143" s="383"/>
      <c r="EO143" s="383"/>
      <c r="EP143" s="422"/>
      <c r="EQ143" s="269"/>
      <c r="FD143" s="383"/>
      <c r="FE143" s="383"/>
      <c r="FF143" s="383"/>
      <c r="FG143" s="383"/>
      <c r="FH143" s="383"/>
      <c r="FI143" s="1127"/>
      <c r="FJ143" s="1127"/>
      <c r="FK143" s="383"/>
      <c r="FL143" s="1127"/>
      <c r="FM143" s="383"/>
      <c r="FN143" s="383"/>
      <c r="FO143" s="383"/>
      <c r="FP143" s="1127"/>
      <c r="FQ143" s="383"/>
      <c r="GD143" s="1127"/>
      <c r="GE143" s="1127"/>
      <c r="GF143" s="1127"/>
      <c r="GG143" s="1127"/>
      <c r="GH143" s="1127"/>
      <c r="GI143" s="1127"/>
      <c r="GJ143" s="1127"/>
      <c r="GK143" s="1127"/>
      <c r="GL143" s="1127"/>
      <c r="GM143" s="1127"/>
      <c r="GN143" s="1127"/>
      <c r="GO143" s="1127"/>
      <c r="GP143" s="422"/>
      <c r="GQ143" s="1127"/>
      <c r="HD143" s="1127"/>
      <c r="HE143" s="1127"/>
      <c r="HF143" s="1127"/>
      <c r="HG143" s="1127"/>
      <c r="HH143" s="1127"/>
      <c r="HI143" s="1127"/>
      <c r="HJ143" s="1127"/>
      <c r="HK143" s="1127"/>
      <c r="HL143" s="1127"/>
      <c r="HM143" s="1127"/>
      <c r="HN143" s="1127"/>
      <c r="HO143" s="1127"/>
      <c r="HP143" s="422"/>
      <c r="HQ143" s="1127"/>
      <c r="ID143" s="383"/>
      <c r="IE143" s="383"/>
      <c r="IF143" s="383"/>
      <c r="IH143" s="383"/>
      <c r="II143" s="383"/>
      <c r="IJ143" s="383"/>
      <c r="IK143" s="383"/>
      <c r="IL143" s="383"/>
      <c r="IM143" s="383"/>
      <c r="JD143" s="383"/>
      <c r="JE143" s="383"/>
      <c r="JF143" s="383"/>
      <c r="JH143" s="383"/>
      <c r="JI143" s="383"/>
      <c r="JJ143" s="383"/>
      <c r="JK143" s="383"/>
      <c r="JL143" s="383"/>
      <c r="JM143" s="383"/>
      <c r="KD143" s="383"/>
      <c r="KE143" s="383"/>
      <c r="KF143" s="383"/>
      <c r="KH143" s="383"/>
      <c r="KI143" s="383"/>
      <c r="KJ143" s="383"/>
      <c r="KK143" s="383"/>
      <c r="KL143" s="383"/>
      <c r="KM143" s="383"/>
      <c r="LD143" s="383"/>
      <c r="LE143" s="383"/>
      <c r="LF143" s="383"/>
      <c r="LH143" s="383"/>
      <c r="LI143" s="383"/>
      <c r="LJ143" s="383"/>
      <c r="LK143" s="383"/>
      <c r="LL143" s="383"/>
      <c r="LM143" s="383"/>
      <c r="MD143" s="383"/>
      <c r="ME143" s="383"/>
      <c r="MF143" s="383"/>
      <c r="MH143" s="383"/>
      <c r="MI143" s="383"/>
      <c r="MJ143" s="383"/>
      <c r="MK143" s="383"/>
      <c r="ML143" s="383"/>
      <c r="MM143" s="383"/>
      <c r="ND143" s="383"/>
      <c r="NE143" s="383"/>
      <c r="NF143" s="383"/>
      <c r="NH143" s="383"/>
      <c r="NI143" s="383"/>
      <c r="NJ143" s="383"/>
      <c r="NK143" s="383"/>
      <c r="NL143" s="383"/>
      <c r="NM143" s="383"/>
      <c r="OD143" s="582"/>
      <c r="OE143" s="582"/>
      <c r="OF143" s="582"/>
      <c r="OH143" s="582"/>
      <c r="OI143" s="582"/>
      <c r="OJ143" s="582"/>
      <c r="OK143" s="582"/>
      <c r="OL143" s="582"/>
      <c r="OM143" s="582"/>
      <c r="PD143" s="1127"/>
      <c r="PE143" s="1127"/>
      <c r="PF143" s="1127"/>
      <c r="PH143" s="1127"/>
      <c r="PI143" s="1127"/>
      <c r="PJ143" s="1127"/>
      <c r="PK143" s="1127"/>
      <c r="PL143" s="1127"/>
      <c r="PM143" s="1127"/>
    </row>
    <row r="144" spans="88:429">
      <c r="CJ144" s="288"/>
      <c r="CK144" s="383"/>
      <c r="CL144" s="1127"/>
      <c r="CM144" s="1127"/>
      <c r="CN144" s="1127"/>
      <c r="CO144" s="1127"/>
      <c r="CQ144" s="383"/>
      <c r="CR144" s="383"/>
      <c r="CS144" s="383"/>
      <c r="CT144" s="288"/>
      <c r="CU144" s="383"/>
      <c r="CV144" s="383"/>
      <c r="DJ144" s="383"/>
      <c r="DK144" s="383"/>
      <c r="DL144" s="1127"/>
      <c r="DM144" s="1127"/>
      <c r="DN144" s="1127"/>
      <c r="DO144" s="1127"/>
      <c r="DQ144" s="383"/>
      <c r="DR144" s="383"/>
      <c r="DS144" s="383"/>
      <c r="DT144" s="383"/>
      <c r="DU144" s="383"/>
      <c r="DV144" s="383"/>
      <c r="ED144" s="269"/>
      <c r="EE144" s="288"/>
      <c r="EF144" s="383"/>
      <c r="EG144" s="383"/>
      <c r="EH144" s="383"/>
      <c r="EI144" s="1107"/>
      <c r="EJ144" s="1107"/>
      <c r="EK144" s="288"/>
      <c r="EL144" s="1107"/>
      <c r="EM144" s="383"/>
      <c r="EN144" s="383"/>
      <c r="EO144" s="383"/>
      <c r="EP144" s="422"/>
      <c r="EQ144" s="269"/>
      <c r="FD144" s="383"/>
      <c r="FE144" s="383"/>
      <c r="FF144" s="383"/>
      <c r="FG144" s="383"/>
      <c r="FH144" s="383"/>
      <c r="FI144" s="1127"/>
      <c r="FJ144" s="1127"/>
      <c r="FK144" s="383"/>
      <c r="FL144" s="1127"/>
      <c r="FM144" s="383"/>
      <c r="FN144" s="383"/>
      <c r="FO144" s="383"/>
      <c r="FP144" s="1127"/>
      <c r="FQ144" s="383"/>
      <c r="GD144" s="1127"/>
      <c r="GE144" s="1127"/>
      <c r="GF144" s="1127"/>
      <c r="GG144" s="1127"/>
      <c r="GH144" s="1127"/>
      <c r="GI144" s="1127"/>
      <c r="GJ144" s="1127"/>
      <c r="GK144" s="1127"/>
      <c r="GL144" s="1127"/>
      <c r="GM144" s="1127"/>
      <c r="GN144" s="1127"/>
      <c r="GO144" s="1127"/>
      <c r="GP144" s="422"/>
      <c r="GQ144" s="1127"/>
      <c r="HD144" s="1127"/>
      <c r="HE144" s="1127"/>
      <c r="HF144" s="1127"/>
      <c r="HG144" s="1127"/>
      <c r="HH144" s="1127"/>
      <c r="HI144" s="1127"/>
      <c r="HJ144" s="1127"/>
      <c r="HK144" s="1127"/>
      <c r="HL144" s="1127"/>
      <c r="HM144" s="1127"/>
      <c r="HN144" s="1127"/>
      <c r="HO144" s="1127"/>
      <c r="HP144" s="422"/>
      <c r="HQ144" s="1127"/>
      <c r="ID144" s="383"/>
      <c r="IE144" s="383"/>
      <c r="IF144" s="383"/>
      <c r="IH144" s="383"/>
      <c r="II144" s="383"/>
      <c r="IJ144" s="383"/>
      <c r="IK144" s="383"/>
      <c r="IL144" s="383"/>
      <c r="IM144" s="383"/>
      <c r="JD144" s="383"/>
      <c r="JE144" s="383"/>
      <c r="JF144" s="383"/>
      <c r="JH144" s="383"/>
      <c r="JI144" s="383"/>
      <c r="JJ144" s="383"/>
      <c r="JK144" s="383"/>
      <c r="JL144" s="383"/>
      <c r="JM144" s="383"/>
      <c r="KD144" s="383"/>
      <c r="KE144" s="383"/>
      <c r="KF144" s="383"/>
      <c r="KH144" s="383"/>
      <c r="KI144" s="383"/>
      <c r="KJ144" s="383"/>
      <c r="KK144" s="383"/>
      <c r="KL144" s="383"/>
      <c r="KM144" s="383"/>
      <c r="LD144" s="383"/>
      <c r="LE144" s="383"/>
      <c r="LF144" s="383"/>
      <c r="LH144" s="383"/>
      <c r="LI144" s="383"/>
      <c r="LJ144" s="383"/>
      <c r="LK144" s="383"/>
      <c r="LL144" s="383"/>
      <c r="LM144" s="383"/>
      <c r="MD144" s="383"/>
      <c r="ME144" s="383"/>
      <c r="MF144" s="383"/>
      <c r="MH144" s="383"/>
      <c r="MI144" s="383"/>
      <c r="MJ144" s="383"/>
      <c r="MK144" s="383"/>
      <c r="ML144" s="383"/>
      <c r="MM144" s="383"/>
      <c r="ND144" s="383"/>
      <c r="NE144" s="383"/>
      <c r="NF144" s="383"/>
      <c r="NH144" s="383"/>
      <c r="NI144" s="383"/>
      <c r="NJ144" s="383"/>
      <c r="NK144" s="383"/>
      <c r="NL144" s="383"/>
      <c r="NM144" s="383"/>
      <c r="OD144" s="582"/>
      <c r="OE144" s="582"/>
      <c r="OF144" s="582"/>
      <c r="OH144" s="582"/>
      <c r="OI144" s="582"/>
      <c r="OJ144" s="582"/>
      <c r="OK144" s="582"/>
      <c r="OL144" s="582"/>
      <c r="OM144" s="582"/>
      <c r="PD144" s="1127"/>
      <c r="PE144" s="1127"/>
      <c r="PF144" s="1127"/>
      <c r="PH144" s="1127"/>
      <c r="PI144" s="1127"/>
      <c r="PJ144" s="1127"/>
      <c r="PK144" s="1127"/>
      <c r="PL144" s="1127"/>
      <c r="PM144" s="1127"/>
    </row>
    <row r="145" spans="88:429">
      <c r="CJ145" s="288"/>
      <c r="CK145" s="383"/>
      <c r="CL145" s="1127"/>
      <c r="CM145" s="1127"/>
      <c r="CN145" s="1127"/>
      <c r="CO145" s="1127"/>
      <c r="CQ145" s="383"/>
      <c r="CR145" s="383"/>
      <c r="CS145" s="383"/>
      <c r="CT145" s="288"/>
      <c r="CU145" s="383"/>
      <c r="CV145" s="383"/>
      <c r="DJ145" s="383"/>
      <c r="DK145" s="383"/>
      <c r="DL145" s="1127"/>
      <c r="DM145" s="1127"/>
      <c r="DN145" s="1127"/>
      <c r="DO145" s="1127"/>
      <c r="DQ145" s="383"/>
      <c r="DR145" s="383"/>
      <c r="DS145" s="383"/>
      <c r="DT145" s="383"/>
      <c r="DU145" s="383"/>
      <c r="DV145" s="383"/>
      <c r="ED145" s="269"/>
      <c r="EE145" s="288"/>
      <c r="EF145" s="383"/>
      <c r="EG145" s="383"/>
      <c r="EH145" s="383"/>
      <c r="EI145" s="1107"/>
      <c r="EJ145" s="1107"/>
      <c r="EK145" s="288"/>
      <c r="EL145" s="1107"/>
      <c r="EM145" s="383"/>
      <c r="EN145" s="383"/>
      <c r="EO145" s="383"/>
      <c r="EP145" s="422"/>
      <c r="EQ145" s="269"/>
      <c r="FD145" s="383"/>
      <c r="FE145" s="383"/>
      <c r="FF145" s="383"/>
      <c r="FG145" s="383"/>
      <c r="FH145" s="383"/>
      <c r="FI145" s="1127"/>
      <c r="FJ145" s="1127"/>
      <c r="FK145" s="383"/>
      <c r="FL145" s="1127"/>
      <c r="FM145" s="383"/>
      <c r="FN145" s="383"/>
      <c r="FO145" s="383"/>
      <c r="FP145" s="1127"/>
      <c r="FQ145" s="383"/>
      <c r="GD145" s="1127"/>
      <c r="GE145" s="1127"/>
      <c r="GF145" s="1127"/>
      <c r="GG145" s="1127"/>
      <c r="GH145" s="1127"/>
      <c r="GI145" s="1127"/>
      <c r="GJ145" s="1127"/>
      <c r="GK145" s="1127"/>
      <c r="GL145" s="1127"/>
      <c r="GM145" s="1127"/>
      <c r="GN145" s="1127"/>
      <c r="GO145" s="1127"/>
      <c r="GP145" s="422"/>
      <c r="GQ145" s="1127"/>
      <c r="HD145" s="1127"/>
      <c r="HE145" s="1127"/>
      <c r="HF145" s="1127"/>
      <c r="HG145" s="1127"/>
      <c r="HH145" s="1127"/>
      <c r="HI145" s="1127"/>
      <c r="HJ145" s="1127"/>
      <c r="HK145" s="1127"/>
      <c r="HL145" s="1127"/>
      <c r="HM145" s="1127"/>
      <c r="HN145" s="1127"/>
      <c r="HO145" s="1127"/>
      <c r="HP145" s="422"/>
      <c r="HQ145" s="1127"/>
      <c r="ID145" s="383"/>
      <c r="IE145" s="383"/>
      <c r="IF145" s="383"/>
      <c r="IH145" s="383"/>
      <c r="II145" s="383"/>
      <c r="IJ145" s="383"/>
      <c r="IK145" s="383"/>
      <c r="IL145" s="383"/>
      <c r="IM145" s="383"/>
      <c r="JD145" s="383"/>
      <c r="JE145" s="383"/>
      <c r="JF145" s="383"/>
      <c r="JH145" s="383"/>
      <c r="JI145" s="383"/>
      <c r="JJ145" s="383"/>
      <c r="JK145" s="383"/>
      <c r="JL145" s="383"/>
      <c r="JM145" s="383"/>
      <c r="KD145" s="383"/>
      <c r="KE145" s="383"/>
      <c r="KF145" s="383"/>
      <c r="KH145" s="383"/>
      <c r="KI145" s="383"/>
      <c r="KJ145" s="383"/>
      <c r="KK145" s="383"/>
      <c r="KL145" s="383"/>
      <c r="KM145" s="383"/>
      <c r="LD145" s="383"/>
      <c r="LE145" s="383"/>
      <c r="LF145" s="383"/>
      <c r="LH145" s="383"/>
      <c r="LI145" s="383"/>
      <c r="LJ145" s="383"/>
      <c r="LK145" s="383"/>
      <c r="LL145" s="383"/>
      <c r="LM145" s="383"/>
      <c r="MD145" s="383"/>
      <c r="ME145" s="383"/>
      <c r="MF145" s="383"/>
      <c r="MH145" s="383"/>
      <c r="MI145" s="383"/>
      <c r="MJ145" s="383"/>
      <c r="MK145" s="383"/>
      <c r="ML145" s="383"/>
      <c r="MM145" s="383"/>
      <c r="ND145" s="383"/>
      <c r="NE145" s="383"/>
      <c r="NF145" s="383"/>
      <c r="NH145" s="383"/>
      <c r="NI145" s="383"/>
      <c r="NJ145" s="383"/>
      <c r="NK145" s="383"/>
      <c r="NL145" s="383"/>
      <c r="NM145" s="383"/>
      <c r="OD145" s="582"/>
      <c r="OE145" s="582"/>
      <c r="OF145" s="582"/>
      <c r="OH145" s="582"/>
      <c r="OI145" s="582"/>
      <c r="OJ145" s="582"/>
      <c r="OK145" s="582"/>
      <c r="OL145" s="582"/>
      <c r="OM145" s="582"/>
      <c r="PD145" s="1127"/>
      <c r="PE145" s="1127"/>
      <c r="PF145" s="1127"/>
      <c r="PH145" s="1127"/>
      <c r="PI145" s="1127"/>
      <c r="PJ145" s="1127"/>
      <c r="PK145" s="1127"/>
      <c r="PL145" s="1127"/>
      <c r="PM145" s="1127"/>
    </row>
    <row r="146" spans="88:429">
      <c r="CJ146" s="288"/>
      <c r="CK146" s="383"/>
      <c r="CL146" s="1127"/>
      <c r="CM146" s="1127"/>
      <c r="CN146" s="1127"/>
      <c r="CO146" s="1127"/>
      <c r="CQ146" s="383"/>
      <c r="CR146" s="383"/>
      <c r="CS146" s="383"/>
      <c r="CT146" s="288"/>
      <c r="CU146" s="383"/>
      <c r="CV146" s="383"/>
      <c r="DJ146" s="383"/>
      <c r="DK146" s="383"/>
      <c r="DL146" s="1127"/>
      <c r="DM146" s="1127"/>
      <c r="DN146" s="1127"/>
      <c r="DO146" s="1127"/>
      <c r="DQ146" s="383"/>
      <c r="DR146" s="383"/>
      <c r="DS146" s="383"/>
      <c r="DT146" s="383"/>
      <c r="DU146" s="383"/>
      <c r="DV146" s="383"/>
      <c r="ED146" s="269"/>
      <c r="EE146" s="288"/>
      <c r="EF146" s="383"/>
      <c r="EG146" s="383"/>
      <c r="EH146" s="383"/>
      <c r="EI146" s="1107"/>
      <c r="EJ146" s="1107"/>
      <c r="EK146" s="288"/>
      <c r="EL146" s="1107"/>
      <c r="EM146" s="383"/>
      <c r="EN146" s="383"/>
      <c r="EO146" s="383"/>
      <c r="EP146" s="422"/>
      <c r="EQ146" s="269"/>
      <c r="FD146" s="383"/>
      <c r="FE146" s="383"/>
      <c r="FF146" s="383"/>
      <c r="FG146" s="383"/>
      <c r="FH146" s="383"/>
      <c r="FI146" s="1127"/>
      <c r="FJ146" s="1127"/>
      <c r="FK146" s="383"/>
      <c r="FL146" s="1127"/>
      <c r="FM146" s="383"/>
      <c r="FN146" s="383"/>
      <c r="FO146" s="383"/>
      <c r="FP146" s="1127"/>
      <c r="FQ146" s="383"/>
      <c r="GD146" s="1127"/>
      <c r="GE146" s="1127"/>
      <c r="GF146" s="1127"/>
      <c r="GG146" s="1127"/>
      <c r="GH146" s="1127"/>
      <c r="GI146" s="1127"/>
      <c r="GJ146" s="1127"/>
      <c r="GK146" s="1127"/>
      <c r="GL146" s="1127"/>
      <c r="GM146" s="1127"/>
      <c r="GN146" s="1127"/>
      <c r="GO146" s="1127"/>
      <c r="GP146" s="422"/>
      <c r="GQ146" s="1127"/>
      <c r="HD146" s="1127"/>
      <c r="HE146" s="1127"/>
      <c r="HF146" s="1127"/>
      <c r="HG146" s="1127"/>
      <c r="HH146" s="1127"/>
      <c r="HI146" s="1127"/>
      <c r="HJ146" s="1127"/>
      <c r="HK146" s="1127"/>
      <c r="HL146" s="1127"/>
      <c r="HM146" s="1127"/>
      <c r="HN146" s="1127"/>
      <c r="HO146" s="1127"/>
      <c r="HP146" s="422"/>
      <c r="HQ146" s="1127"/>
      <c r="ID146" s="383"/>
      <c r="IE146" s="383"/>
      <c r="IF146" s="383"/>
      <c r="IH146" s="383"/>
      <c r="II146" s="383"/>
      <c r="IJ146" s="383"/>
      <c r="IK146" s="383"/>
      <c r="IL146" s="383"/>
      <c r="IM146" s="383"/>
      <c r="JD146" s="383"/>
      <c r="JE146" s="383"/>
      <c r="JF146" s="383"/>
      <c r="JH146" s="383"/>
      <c r="JI146" s="383"/>
      <c r="JJ146" s="383"/>
      <c r="JK146" s="383"/>
      <c r="JL146" s="383"/>
      <c r="JM146" s="383"/>
      <c r="KD146" s="383"/>
      <c r="KE146" s="383"/>
      <c r="KF146" s="383"/>
      <c r="KH146" s="383"/>
      <c r="KI146" s="383"/>
      <c r="KJ146" s="383"/>
      <c r="KK146" s="383"/>
      <c r="KL146" s="383"/>
      <c r="KM146" s="383"/>
      <c r="LD146" s="383"/>
      <c r="LE146" s="383"/>
      <c r="LF146" s="383"/>
      <c r="LH146" s="383"/>
      <c r="LI146" s="383"/>
      <c r="LJ146" s="383"/>
      <c r="LK146" s="383"/>
      <c r="LL146" s="383"/>
      <c r="LM146" s="383"/>
      <c r="MD146" s="383"/>
      <c r="ME146" s="383"/>
      <c r="MF146" s="383"/>
      <c r="MH146" s="383"/>
      <c r="MI146" s="383"/>
      <c r="MJ146" s="383"/>
      <c r="MK146" s="383"/>
      <c r="ML146" s="383"/>
      <c r="MM146" s="383"/>
      <c r="ND146" s="383"/>
      <c r="NE146" s="383"/>
      <c r="NF146" s="383"/>
      <c r="NH146" s="383"/>
      <c r="NI146" s="383"/>
      <c r="NJ146" s="383"/>
      <c r="NK146" s="383"/>
      <c r="NL146" s="383"/>
      <c r="NM146" s="383"/>
      <c r="OD146" s="582"/>
      <c r="OE146" s="582"/>
      <c r="OF146" s="582"/>
      <c r="OH146" s="582"/>
      <c r="OI146" s="582"/>
      <c r="OJ146" s="582"/>
      <c r="OK146" s="582"/>
      <c r="OL146" s="582"/>
      <c r="OM146" s="582"/>
      <c r="PD146" s="1127"/>
      <c r="PE146" s="1127"/>
      <c r="PF146" s="1127"/>
      <c r="PH146" s="1127"/>
      <c r="PI146" s="1127"/>
      <c r="PJ146" s="1127"/>
      <c r="PK146" s="1127"/>
      <c r="PL146" s="1127"/>
      <c r="PM146" s="1127"/>
    </row>
    <row r="147" spans="88:429">
      <c r="CJ147" s="288"/>
      <c r="CK147" s="383"/>
      <c r="CL147" s="1127"/>
      <c r="CM147" s="1127"/>
      <c r="CN147" s="1127"/>
      <c r="CO147" s="1127"/>
      <c r="CQ147" s="383"/>
      <c r="CR147" s="383"/>
      <c r="CS147" s="383"/>
      <c r="CT147" s="288"/>
      <c r="CU147" s="383"/>
      <c r="CV147" s="383"/>
      <c r="DJ147" s="383"/>
      <c r="DK147" s="383"/>
      <c r="DL147" s="1127"/>
      <c r="DM147" s="1127"/>
      <c r="DN147" s="1127"/>
      <c r="DO147" s="1127"/>
      <c r="DQ147" s="383"/>
      <c r="DR147" s="383"/>
      <c r="DS147" s="383"/>
      <c r="DT147" s="383"/>
      <c r="DU147" s="383"/>
      <c r="DV147" s="383"/>
      <c r="ED147" s="269"/>
      <c r="EE147" s="288"/>
      <c r="EF147" s="383"/>
      <c r="EG147" s="383"/>
      <c r="EH147" s="383"/>
      <c r="EI147" s="1107"/>
      <c r="EJ147" s="1107"/>
      <c r="EK147" s="288"/>
      <c r="EL147" s="1107"/>
      <c r="EM147" s="383"/>
      <c r="EN147" s="383"/>
      <c r="EO147" s="383"/>
      <c r="EP147" s="422"/>
      <c r="EQ147" s="269"/>
      <c r="FD147" s="383"/>
      <c r="FE147" s="383"/>
      <c r="FF147" s="383"/>
      <c r="FG147" s="383"/>
      <c r="FH147" s="383"/>
      <c r="FI147" s="1127"/>
      <c r="FJ147" s="1127"/>
      <c r="FK147" s="383"/>
      <c r="FL147" s="1127"/>
      <c r="FM147" s="383"/>
      <c r="FN147" s="383"/>
      <c r="FO147" s="383"/>
      <c r="FP147" s="1127"/>
      <c r="FQ147" s="383"/>
      <c r="GD147" s="1127"/>
      <c r="GE147" s="1127"/>
      <c r="GF147" s="1127"/>
      <c r="GG147" s="1127"/>
      <c r="GH147" s="1127"/>
      <c r="GI147" s="1127"/>
      <c r="GJ147" s="1127"/>
      <c r="GK147" s="1127"/>
      <c r="GL147" s="1127"/>
      <c r="GM147" s="1127"/>
      <c r="GN147" s="1127"/>
      <c r="GO147" s="1127"/>
      <c r="GP147" s="422"/>
      <c r="GQ147" s="1127"/>
      <c r="HD147" s="1127"/>
      <c r="HE147" s="1127"/>
      <c r="HF147" s="1127"/>
      <c r="HG147" s="1127"/>
      <c r="HH147" s="1127"/>
      <c r="HI147" s="1127"/>
      <c r="HJ147" s="1127"/>
      <c r="HK147" s="1127"/>
      <c r="HL147" s="1127"/>
      <c r="HM147" s="1127"/>
      <c r="HN147" s="1127"/>
      <c r="HO147" s="1127"/>
      <c r="HP147" s="422"/>
      <c r="HQ147" s="1127"/>
      <c r="ID147" s="383"/>
      <c r="IE147" s="383"/>
      <c r="IF147" s="383"/>
      <c r="IH147" s="383"/>
      <c r="II147" s="383"/>
      <c r="IJ147" s="383"/>
      <c r="IK147" s="383"/>
      <c r="IL147" s="383"/>
      <c r="IM147" s="383"/>
      <c r="JD147" s="383"/>
      <c r="JE147" s="383"/>
      <c r="JF147" s="383"/>
      <c r="JH147" s="383"/>
      <c r="JI147" s="383"/>
      <c r="JJ147" s="383"/>
      <c r="JK147" s="383"/>
      <c r="JL147" s="383"/>
      <c r="JM147" s="383"/>
      <c r="KD147" s="383"/>
      <c r="KE147" s="383"/>
      <c r="KF147" s="383"/>
      <c r="KH147" s="383"/>
      <c r="KI147" s="383"/>
      <c r="KJ147" s="383"/>
      <c r="KK147" s="383"/>
      <c r="KL147" s="383"/>
      <c r="KM147" s="383"/>
      <c r="LD147" s="383"/>
      <c r="LE147" s="383"/>
      <c r="LF147" s="383"/>
      <c r="LH147" s="383"/>
      <c r="LI147" s="383"/>
      <c r="LJ147" s="383"/>
      <c r="LK147" s="383"/>
      <c r="LL147" s="383"/>
      <c r="LM147" s="383"/>
      <c r="MD147" s="383"/>
      <c r="ME147" s="383"/>
      <c r="MF147" s="383"/>
      <c r="MH147" s="383"/>
      <c r="MI147" s="383"/>
      <c r="MJ147" s="383"/>
      <c r="MK147" s="383"/>
      <c r="ML147" s="383"/>
      <c r="MM147" s="383"/>
      <c r="ND147" s="383"/>
      <c r="NE147" s="383"/>
      <c r="NF147" s="383"/>
      <c r="NH147" s="383"/>
      <c r="NI147" s="383"/>
      <c r="NJ147" s="383"/>
      <c r="NK147" s="383"/>
      <c r="NL147" s="383"/>
      <c r="NM147" s="383"/>
      <c r="OD147" s="582"/>
      <c r="OE147" s="582"/>
      <c r="OF147" s="582"/>
      <c r="OH147" s="582"/>
      <c r="OI147" s="582"/>
      <c r="OJ147" s="582"/>
      <c r="OK147" s="582"/>
      <c r="OL147" s="582"/>
      <c r="OM147" s="582"/>
      <c r="PD147" s="1127"/>
      <c r="PE147" s="1127"/>
      <c r="PF147" s="1127"/>
      <c r="PH147" s="1127"/>
      <c r="PI147" s="1127"/>
      <c r="PJ147" s="1127"/>
      <c r="PK147" s="1127"/>
      <c r="PL147" s="1127"/>
      <c r="PM147" s="1127"/>
    </row>
    <row r="148" spans="88:429">
      <c r="CJ148" s="288"/>
      <c r="CK148" s="383"/>
      <c r="CL148" s="1127"/>
      <c r="CM148" s="1127"/>
      <c r="CN148" s="1127"/>
      <c r="CO148" s="1127"/>
      <c r="CQ148" s="383"/>
      <c r="CR148" s="383"/>
      <c r="CS148" s="383"/>
      <c r="CT148" s="288"/>
      <c r="CU148" s="383"/>
      <c r="CV148" s="383"/>
      <c r="DJ148" s="383"/>
      <c r="DK148" s="383"/>
      <c r="DL148" s="1127"/>
      <c r="DM148" s="1127"/>
      <c r="DN148" s="1127"/>
      <c r="DO148" s="1127"/>
      <c r="DQ148" s="383"/>
      <c r="DR148" s="383"/>
      <c r="DS148" s="383"/>
      <c r="DT148" s="383"/>
      <c r="DU148" s="383"/>
      <c r="DV148" s="383"/>
      <c r="ED148" s="269"/>
      <c r="EE148" s="288"/>
      <c r="EF148" s="383"/>
      <c r="EG148" s="383"/>
      <c r="EH148" s="383"/>
      <c r="EI148" s="1107"/>
      <c r="EJ148" s="1107"/>
      <c r="EK148" s="288"/>
      <c r="EL148" s="1107"/>
      <c r="EM148" s="383"/>
      <c r="EN148" s="383"/>
      <c r="EO148" s="383"/>
      <c r="EP148" s="422"/>
      <c r="EQ148" s="269"/>
      <c r="FD148" s="383"/>
      <c r="FE148" s="383"/>
      <c r="FF148" s="383"/>
      <c r="FG148" s="383"/>
      <c r="FH148" s="383"/>
      <c r="FI148" s="1127"/>
      <c r="FJ148" s="1127"/>
      <c r="FK148" s="383"/>
      <c r="FL148" s="1127"/>
      <c r="FM148" s="383"/>
      <c r="FN148" s="383"/>
      <c r="FO148" s="383"/>
      <c r="FP148" s="1127"/>
      <c r="FQ148" s="383"/>
      <c r="GD148" s="1127"/>
      <c r="GE148" s="1127"/>
      <c r="GF148" s="1127"/>
      <c r="GG148" s="1127"/>
      <c r="GH148" s="1127"/>
      <c r="GI148" s="1127"/>
      <c r="GJ148" s="1127"/>
      <c r="GK148" s="1127"/>
      <c r="GL148" s="1127"/>
      <c r="GM148" s="1127"/>
      <c r="GN148" s="1127"/>
      <c r="GO148" s="1127"/>
      <c r="GP148" s="422"/>
      <c r="GQ148" s="1127"/>
      <c r="HD148" s="1127"/>
      <c r="HE148" s="1127"/>
      <c r="HF148" s="1127"/>
      <c r="HG148" s="1127"/>
      <c r="HH148" s="1127"/>
      <c r="HI148" s="1127"/>
      <c r="HJ148" s="1127"/>
      <c r="HK148" s="1127"/>
      <c r="HL148" s="1127"/>
      <c r="HM148" s="1127"/>
      <c r="HN148" s="1127"/>
      <c r="HO148" s="1127"/>
      <c r="HP148" s="422"/>
      <c r="HQ148" s="1127"/>
      <c r="ID148" s="383"/>
      <c r="IE148" s="383"/>
      <c r="IF148" s="383"/>
      <c r="IH148" s="383"/>
      <c r="II148" s="383"/>
      <c r="IJ148" s="383"/>
      <c r="IK148" s="383"/>
      <c r="IL148" s="383"/>
      <c r="IM148" s="383"/>
      <c r="JD148" s="383"/>
      <c r="JE148" s="383"/>
      <c r="JF148" s="383"/>
      <c r="JH148" s="383"/>
      <c r="JI148" s="383"/>
      <c r="JJ148" s="383"/>
      <c r="JK148" s="383"/>
      <c r="JL148" s="383"/>
      <c r="JM148" s="383"/>
      <c r="KD148" s="383"/>
      <c r="KE148" s="383"/>
      <c r="KF148" s="383"/>
      <c r="KH148" s="383"/>
      <c r="KI148" s="383"/>
      <c r="KJ148" s="383"/>
      <c r="KK148" s="383"/>
      <c r="KL148" s="383"/>
      <c r="KM148" s="383"/>
      <c r="LD148" s="383"/>
      <c r="LE148" s="383"/>
      <c r="LF148" s="383"/>
      <c r="LH148" s="383"/>
      <c r="LI148" s="383"/>
      <c r="LJ148" s="383"/>
      <c r="LK148" s="383"/>
      <c r="LL148" s="383"/>
      <c r="LM148" s="383"/>
      <c r="MD148" s="383"/>
      <c r="ME148" s="383"/>
      <c r="MF148" s="383"/>
      <c r="MH148" s="383"/>
      <c r="MI148" s="383"/>
      <c r="MJ148" s="383"/>
      <c r="MK148" s="383"/>
      <c r="ML148" s="383"/>
      <c r="MM148" s="383"/>
      <c r="ND148" s="383"/>
      <c r="NE148" s="383"/>
      <c r="NF148" s="383"/>
      <c r="NH148" s="383"/>
      <c r="NI148" s="383"/>
      <c r="NJ148" s="383"/>
      <c r="NK148" s="383"/>
      <c r="NL148" s="383"/>
      <c r="NM148" s="383"/>
      <c r="OD148" s="582"/>
      <c r="OE148" s="582"/>
      <c r="OF148" s="582"/>
      <c r="OH148" s="582"/>
      <c r="OI148" s="582"/>
      <c r="OJ148" s="582"/>
      <c r="OK148" s="582"/>
      <c r="OL148" s="582"/>
      <c r="OM148" s="582"/>
      <c r="PD148" s="1127"/>
      <c r="PE148" s="1127"/>
      <c r="PF148" s="1127"/>
      <c r="PH148" s="1127"/>
      <c r="PI148" s="1127"/>
      <c r="PJ148" s="1127"/>
      <c r="PK148" s="1127"/>
      <c r="PL148" s="1127"/>
      <c r="PM148" s="1127"/>
    </row>
    <row r="149" spans="88:429">
      <c r="CJ149" s="288"/>
      <c r="CK149" s="383"/>
      <c r="CL149" s="1127"/>
      <c r="CM149" s="1127"/>
      <c r="CN149" s="1127"/>
      <c r="CO149" s="1127"/>
      <c r="CQ149" s="383"/>
      <c r="CR149" s="383"/>
      <c r="CS149" s="383"/>
      <c r="CT149" s="288"/>
      <c r="CU149" s="383"/>
      <c r="CV149" s="383"/>
      <c r="DJ149" s="383"/>
      <c r="DK149" s="383"/>
      <c r="DL149" s="1127"/>
      <c r="DM149" s="1127"/>
      <c r="DN149" s="1127"/>
      <c r="DO149" s="1127"/>
      <c r="DQ149" s="383"/>
      <c r="DR149" s="383"/>
      <c r="DS149" s="383"/>
      <c r="DT149" s="383"/>
      <c r="DU149" s="383"/>
      <c r="DV149" s="383"/>
      <c r="ED149" s="269"/>
      <c r="EE149" s="288"/>
      <c r="EF149" s="383"/>
      <c r="EG149" s="383"/>
      <c r="EH149" s="383"/>
      <c r="EI149" s="1107"/>
      <c r="EJ149" s="1107"/>
      <c r="EK149" s="288"/>
      <c r="EL149" s="1107"/>
      <c r="EM149" s="383"/>
      <c r="EN149" s="383"/>
      <c r="EO149" s="383"/>
      <c r="EP149" s="422"/>
      <c r="EQ149" s="269"/>
      <c r="FD149" s="383"/>
      <c r="FE149" s="383"/>
      <c r="FF149" s="383"/>
      <c r="FG149" s="383"/>
      <c r="FH149" s="383"/>
      <c r="FI149" s="1127"/>
      <c r="FJ149" s="1127"/>
      <c r="FK149" s="383"/>
      <c r="FL149" s="1127"/>
      <c r="FM149" s="383"/>
      <c r="FN149" s="383"/>
      <c r="FO149" s="383"/>
      <c r="FP149" s="1127"/>
      <c r="FQ149" s="383"/>
      <c r="GD149" s="1127"/>
      <c r="GE149" s="1127"/>
      <c r="GF149" s="1127"/>
      <c r="GG149" s="1127"/>
      <c r="GH149" s="1127"/>
      <c r="GI149" s="1127"/>
      <c r="GJ149" s="1127"/>
      <c r="GK149" s="1127"/>
      <c r="GL149" s="1127"/>
      <c r="GM149" s="1127"/>
      <c r="GN149" s="1127"/>
      <c r="GO149" s="1127"/>
      <c r="GP149" s="422"/>
      <c r="GQ149" s="1127"/>
      <c r="HD149" s="1127"/>
      <c r="HE149" s="1127"/>
      <c r="HF149" s="1127"/>
      <c r="HG149" s="1127"/>
      <c r="HH149" s="1127"/>
      <c r="HI149" s="1127"/>
      <c r="HJ149" s="1127"/>
      <c r="HK149" s="1127"/>
      <c r="HL149" s="1127"/>
      <c r="HM149" s="1127"/>
      <c r="HN149" s="1127"/>
      <c r="HO149" s="1127"/>
      <c r="HP149" s="422"/>
      <c r="HQ149" s="1127"/>
      <c r="ID149" s="383"/>
      <c r="IE149" s="383"/>
      <c r="IF149" s="383"/>
      <c r="IH149" s="383"/>
      <c r="II149" s="383"/>
      <c r="IJ149" s="383"/>
      <c r="IK149" s="383"/>
      <c r="IL149" s="383"/>
      <c r="IM149" s="383"/>
      <c r="JD149" s="383"/>
      <c r="JE149" s="383"/>
      <c r="JF149" s="383"/>
      <c r="JH149" s="383"/>
      <c r="JI149" s="383"/>
      <c r="JJ149" s="383"/>
      <c r="JK149" s="383"/>
      <c r="JL149" s="383"/>
      <c r="JM149" s="383"/>
      <c r="KD149" s="383"/>
      <c r="KE149" s="383"/>
      <c r="KF149" s="383"/>
      <c r="KH149" s="383"/>
      <c r="KI149" s="383"/>
      <c r="KJ149" s="383"/>
      <c r="KK149" s="383"/>
      <c r="KL149" s="383"/>
      <c r="KM149" s="383"/>
      <c r="LD149" s="383"/>
      <c r="LE149" s="383"/>
      <c r="LF149" s="383"/>
      <c r="LH149" s="383"/>
      <c r="LI149" s="383"/>
      <c r="LJ149" s="383"/>
      <c r="LK149" s="383"/>
      <c r="LL149" s="383"/>
      <c r="LM149" s="383"/>
      <c r="MD149" s="383"/>
      <c r="ME149" s="383"/>
      <c r="MF149" s="383"/>
      <c r="MH149" s="383"/>
      <c r="MI149" s="383"/>
      <c r="MJ149" s="383"/>
      <c r="MK149" s="383"/>
      <c r="ML149" s="383"/>
      <c r="MM149" s="383"/>
      <c r="ND149" s="383"/>
      <c r="NE149" s="383"/>
      <c r="NF149" s="383"/>
      <c r="NH149" s="383"/>
      <c r="NI149" s="383"/>
      <c r="NJ149" s="383"/>
      <c r="NK149" s="383"/>
      <c r="NL149" s="383"/>
      <c r="NM149" s="383"/>
      <c r="OD149" s="582"/>
      <c r="OE149" s="582"/>
      <c r="OF149" s="582"/>
      <c r="OH149" s="582"/>
      <c r="OI149" s="582"/>
      <c r="OJ149" s="582"/>
      <c r="OK149" s="582"/>
      <c r="OL149" s="582"/>
      <c r="OM149" s="582"/>
      <c r="PD149" s="1127"/>
      <c r="PE149" s="1127"/>
      <c r="PF149" s="1127"/>
      <c r="PH149" s="1127"/>
      <c r="PI149" s="1127"/>
      <c r="PJ149" s="1127"/>
      <c r="PK149" s="1127"/>
      <c r="PL149" s="1127"/>
      <c r="PM149" s="1127"/>
    </row>
    <row r="150" spans="88:429">
      <c r="CJ150" s="288"/>
      <c r="CK150" s="383"/>
      <c r="CL150" s="1127"/>
      <c r="CM150" s="1127"/>
      <c r="CN150" s="1127"/>
      <c r="CO150" s="1127"/>
      <c r="CQ150" s="383"/>
      <c r="CR150" s="383"/>
      <c r="CS150" s="383"/>
      <c r="CT150" s="288"/>
      <c r="CU150" s="383"/>
      <c r="CV150" s="383"/>
      <c r="DJ150" s="383"/>
      <c r="DK150" s="383"/>
      <c r="DL150" s="1127"/>
      <c r="DM150" s="1127"/>
      <c r="DN150" s="1127"/>
      <c r="DO150" s="1127"/>
      <c r="DQ150" s="383"/>
      <c r="DR150" s="383"/>
      <c r="DS150" s="383"/>
      <c r="DT150" s="383"/>
      <c r="DU150" s="383"/>
      <c r="DV150" s="383"/>
      <c r="ED150" s="269"/>
      <c r="EE150" s="288"/>
      <c r="EF150" s="383"/>
      <c r="EG150" s="383"/>
      <c r="EH150" s="383"/>
      <c r="EI150" s="1107"/>
      <c r="EJ150" s="1107"/>
      <c r="EK150" s="288"/>
      <c r="EL150" s="1107"/>
      <c r="EM150" s="383"/>
      <c r="EN150" s="383"/>
      <c r="EO150" s="383"/>
      <c r="EP150" s="422"/>
      <c r="EQ150" s="269"/>
      <c r="FD150" s="383"/>
      <c r="FE150" s="383"/>
      <c r="FF150" s="383"/>
      <c r="FG150" s="383"/>
      <c r="FH150" s="383"/>
      <c r="FI150" s="1127"/>
      <c r="FJ150" s="1127"/>
      <c r="FK150" s="383"/>
      <c r="FL150" s="1127"/>
      <c r="FM150" s="383"/>
      <c r="FN150" s="383"/>
      <c r="FO150" s="383"/>
      <c r="FP150" s="1127"/>
      <c r="FQ150" s="383"/>
      <c r="GD150" s="1127"/>
      <c r="GE150" s="1127"/>
      <c r="GF150" s="1127"/>
      <c r="GG150" s="1127"/>
      <c r="GH150" s="1127"/>
      <c r="GI150" s="1127"/>
      <c r="GJ150" s="1127"/>
      <c r="GK150" s="1127"/>
      <c r="GL150" s="1127"/>
      <c r="GM150" s="1127"/>
      <c r="GN150" s="1127"/>
      <c r="GO150" s="1127"/>
      <c r="GP150" s="422"/>
      <c r="GQ150" s="1127"/>
      <c r="HD150" s="1127"/>
      <c r="HE150" s="1127"/>
      <c r="HF150" s="1127"/>
      <c r="HG150" s="1127"/>
      <c r="HH150" s="1127"/>
      <c r="HI150" s="1127"/>
      <c r="HJ150" s="1127"/>
      <c r="HK150" s="1127"/>
      <c r="HL150" s="1127"/>
      <c r="HM150" s="1127"/>
      <c r="HN150" s="1127"/>
      <c r="HO150" s="1127"/>
      <c r="HP150" s="422"/>
      <c r="HQ150" s="1127"/>
      <c r="ID150" s="383"/>
      <c r="IE150" s="383"/>
      <c r="IF150" s="383"/>
      <c r="IH150" s="383"/>
      <c r="II150" s="383"/>
      <c r="IJ150" s="383"/>
      <c r="IK150" s="383"/>
      <c r="IL150" s="383"/>
      <c r="IM150" s="383"/>
      <c r="JD150" s="383"/>
      <c r="JE150" s="383"/>
      <c r="JF150" s="383"/>
      <c r="JH150" s="383"/>
      <c r="JI150" s="383"/>
      <c r="JJ150" s="383"/>
      <c r="JK150" s="383"/>
      <c r="JL150" s="383"/>
      <c r="JM150" s="383"/>
      <c r="KD150" s="383"/>
      <c r="KE150" s="383"/>
      <c r="KF150" s="383"/>
      <c r="KH150" s="383"/>
      <c r="KI150" s="383"/>
      <c r="KJ150" s="383"/>
      <c r="KK150" s="383"/>
      <c r="KL150" s="383"/>
      <c r="KM150" s="383"/>
      <c r="LD150" s="383"/>
      <c r="LE150" s="383"/>
      <c r="LF150" s="383"/>
      <c r="LH150" s="383"/>
      <c r="LI150" s="383"/>
      <c r="LJ150" s="383"/>
      <c r="LK150" s="383"/>
      <c r="LL150" s="383"/>
      <c r="LM150" s="383"/>
      <c r="MD150" s="383"/>
      <c r="ME150" s="383"/>
      <c r="MF150" s="383"/>
      <c r="MH150" s="383"/>
      <c r="MI150" s="383"/>
      <c r="MJ150" s="383"/>
      <c r="MK150" s="383"/>
      <c r="ML150" s="383"/>
      <c r="MM150" s="383"/>
      <c r="ND150" s="383"/>
      <c r="NE150" s="383"/>
      <c r="NF150" s="383"/>
      <c r="NH150" s="383"/>
      <c r="NI150" s="383"/>
      <c r="NJ150" s="383"/>
      <c r="NK150" s="383"/>
      <c r="NL150" s="383"/>
      <c r="NM150" s="383"/>
      <c r="OD150" s="582"/>
      <c r="OE150" s="582"/>
      <c r="OF150" s="582"/>
      <c r="OH150" s="582"/>
      <c r="OI150" s="582"/>
      <c r="OJ150" s="582"/>
      <c r="OK150" s="582"/>
      <c r="OL150" s="582"/>
      <c r="OM150" s="582"/>
      <c r="PD150" s="1127"/>
      <c r="PE150" s="1127"/>
      <c r="PF150" s="1127"/>
      <c r="PH150" s="1127"/>
      <c r="PI150" s="1127"/>
      <c r="PJ150" s="1127"/>
      <c r="PK150" s="1127"/>
      <c r="PL150" s="1127"/>
      <c r="PM150" s="1127"/>
    </row>
    <row r="151" spans="88:429">
      <c r="CJ151" s="288"/>
      <c r="CK151" s="383"/>
      <c r="CL151" s="1127"/>
      <c r="CM151" s="1127"/>
      <c r="CN151" s="1127"/>
      <c r="CO151" s="1127"/>
      <c r="CQ151" s="383"/>
      <c r="CR151" s="383"/>
      <c r="CS151" s="383"/>
      <c r="CT151" s="288"/>
      <c r="CU151" s="383"/>
      <c r="CV151" s="383"/>
      <c r="DJ151" s="383"/>
      <c r="DK151" s="383"/>
      <c r="DL151" s="1127"/>
      <c r="DM151" s="1127"/>
      <c r="DN151" s="1127"/>
      <c r="DO151" s="1127"/>
      <c r="DQ151" s="383"/>
      <c r="DR151" s="383"/>
      <c r="DS151" s="383"/>
      <c r="DT151" s="383"/>
      <c r="DU151" s="383"/>
      <c r="DV151" s="383"/>
      <c r="ED151" s="269"/>
      <c r="EE151" s="288"/>
      <c r="EF151" s="383"/>
      <c r="EG151" s="383"/>
      <c r="EH151" s="383"/>
      <c r="EI151" s="1107"/>
      <c r="EJ151" s="1107"/>
      <c r="EK151" s="288"/>
      <c r="EL151" s="1107"/>
      <c r="EM151" s="383"/>
      <c r="EN151" s="383"/>
      <c r="EO151" s="383"/>
      <c r="EP151" s="422"/>
      <c r="EQ151" s="269"/>
      <c r="FD151" s="383"/>
      <c r="FE151" s="383"/>
      <c r="FF151" s="383"/>
      <c r="FG151" s="383"/>
      <c r="FH151" s="383"/>
      <c r="FI151" s="1127"/>
      <c r="FJ151" s="1127"/>
      <c r="FK151" s="383"/>
      <c r="FL151" s="1127"/>
      <c r="FM151" s="383"/>
      <c r="FN151" s="383"/>
      <c r="FO151" s="383"/>
      <c r="FP151" s="1127"/>
      <c r="FQ151" s="383"/>
      <c r="GD151" s="1127"/>
      <c r="GE151" s="1127"/>
      <c r="GF151" s="1127"/>
      <c r="GG151" s="1127"/>
      <c r="GH151" s="1127"/>
      <c r="GI151" s="1127"/>
      <c r="GJ151" s="1127"/>
      <c r="GK151" s="1127"/>
      <c r="GL151" s="1127"/>
      <c r="GM151" s="1127"/>
      <c r="GN151" s="1127"/>
      <c r="GO151" s="1127"/>
      <c r="GP151" s="422"/>
      <c r="GQ151" s="1127"/>
      <c r="HD151" s="1127"/>
      <c r="HE151" s="1127"/>
      <c r="HF151" s="1127"/>
      <c r="HG151" s="1127"/>
      <c r="HH151" s="1127"/>
      <c r="HI151" s="1127"/>
      <c r="HJ151" s="1127"/>
      <c r="HK151" s="1127"/>
      <c r="HL151" s="1127"/>
      <c r="HM151" s="1127"/>
      <c r="HN151" s="1127"/>
      <c r="HO151" s="1127"/>
      <c r="HP151" s="422"/>
      <c r="HQ151" s="1127"/>
      <c r="ID151" s="383"/>
      <c r="IE151" s="383"/>
      <c r="IF151" s="383"/>
      <c r="IH151" s="383"/>
      <c r="II151" s="383"/>
      <c r="IJ151" s="383"/>
      <c r="IK151" s="383"/>
      <c r="IL151" s="383"/>
      <c r="IM151" s="383"/>
      <c r="JD151" s="383"/>
      <c r="JE151" s="383"/>
      <c r="JF151" s="383"/>
      <c r="JH151" s="383"/>
      <c r="JI151" s="383"/>
      <c r="JJ151" s="383"/>
      <c r="JK151" s="383"/>
      <c r="JL151" s="383"/>
      <c r="JM151" s="383"/>
      <c r="KD151" s="383"/>
      <c r="KE151" s="383"/>
      <c r="KF151" s="383"/>
      <c r="KH151" s="383"/>
      <c r="KI151" s="383"/>
      <c r="KJ151" s="383"/>
      <c r="KK151" s="383"/>
      <c r="KL151" s="383"/>
      <c r="KM151" s="383"/>
      <c r="LD151" s="383"/>
      <c r="LE151" s="383"/>
      <c r="LF151" s="383"/>
      <c r="LH151" s="383"/>
      <c r="LI151" s="383"/>
      <c r="LJ151" s="383"/>
      <c r="LK151" s="383"/>
      <c r="LL151" s="383"/>
      <c r="LM151" s="383"/>
      <c r="MD151" s="383"/>
      <c r="ME151" s="383"/>
      <c r="MF151" s="383"/>
      <c r="MH151" s="383"/>
      <c r="MI151" s="383"/>
      <c r="MJ151" s="383"/>
      <c r="MK151" s="383"/>
      <c r="ML151" s="383"/>
      <c r="MM151" s="383"/>
      <c r="ND151" s="383"/>
      <c r="NE151" s="383"/>
      <c r="NF151" s="383"/>
      <c r="NH151" s="383"/>
      <c r="NI151" s="383"/>
      <c r="NJ151" s="383"/>
      <c r="NK151" s="383"/>
      <c r="NL151" s="383"/>
      <c r="NM151" s="383"/>
      <c r="OD151" s="582"/>
      <c r="OE151" s="582"/>
      <c r="OF151" s="582"/>
      <c r="OH151" s="582"/>
      <c r="OI151" s="582"/>
      <c r="OJ151" s="582"/>
      <c r="OK151" s="582"/>
      <c r="OL151" s="582"/>
      <c r="OM151" s="582"/>
      <c r="PD151" s="1127"/>
      <c r="PE151" s="1127"/>
      <c r="PF151" s="1127"/>
      <c r="PH151" s="1127"/>
      <c r="PI151" s="1127"/>
      <c r="PJ151" s="1127"/>
      <c r="PK151" s="1127"/>
      <c r="PL151" s="1127"/>
      <c r="PM151" s="1127"/>
    </row>
    <row r="152" spans="88:429">
      <c r="CJ152" s="288"/>
      <c r="CK152" s="383"/>
      <c r="CL152" s="1127"/>
      <c r="CM152" s="1127"/>
      <c r="CN152" s="1127"/>
      <c r="CO152" s="1127"/>
      <c r="CQ152" s="383"/>
      <c r="CR152" s="383"/>
      <c r="CS152" s="383"/>
      <c r="CT152" s="288"/>
      <c r="CU152" s="383"/>
      <c r="CV152" s="383"/>
      <c r="DJ152" s="383"/>
      <c r="DK152" s="383"/>
      <c r="DL152" s="1127"/>
      <c r="DM152" s="1127"/>
      <c r="DN152" s="1127"/>
      <c r="DO152" s="1127"/>
      <c r="DQ152" s="383"/>
      <c r="DR152" s="383"/>
      <c r="DS152" s="383"/>
      <c r="DT152" s="383"/>
      <c r="DU152" s="383"/>
      <c r="DV152" s="383"/>
      <c r="ED152" s="269"/>
      <c r="EE152" s="288"/>
      <c r="EF152" s="383"/>
      <c r="EG152" s="383"/>
      <c r="EH152" s="383"/>
      <c r="EI152" s="1107"/>
      <c r="EJ152" s="1107"/>
      <c r="EK152" s="288"/>
      <c r="EL152" s="1107"/>
      <c r="EM152" s="383"/>
      <c r="EN152" s="383"/>
      <c r="EO152" s="383"/>
      <c r="EP152" s="422"/>
      <c r="EQ152" s="269"/>
      <c r="FD152" s="383"/>
      <c r="FE152" s="383"/>
      <c r="FF152" s="383"/>
      <c r="FG152" s="383"/>
      <c r="FH152" s="383"/>
      <c r="FI152" s="1127"/>
      <c r="FJ152" s="1127"/>
      <c r="FK152" s="383"/>
      <c r="FL152" s="1127"/>
      <c r="FM152" s="383"/>
      <c r="FN152" s="383"/>
      <c r="FO152" s="383"/>
      <c r="FP152" s="1127"/>
      <c r="FQ152" s="383"/>
      <c r="GD152" s="1127"/>
      <c r="GE152" s="1127"/>
      <c r="GF152" s="1127"/>
      <c r="GG152" s="1127"/>
      <c r="GH152" s="1127"/>
      <c r="GI152" s="1127"/>
      <c r="GJ152" s="1127"/>
      <c r="GK152" s="1127"/>
      <c r="GL152" s="1127"/>
      <c r="GM152" s="1127"/>
      <c r="GN152" s="1127"/>
      <c r="GO152" s="1127"/>
      <c r="GP152" s="422"/>
      <c r="GQ152" s="1127"/>
      <c r="HD152" s="1127"/>
      <c r="HE152" s="1127"/>
      <c r="HF152" s="1127"/>
      <c r="HG152" s="1127"/>
      <c r="HH152" s="1127"/>
      <c r="HI152" s="1127"/>
      <c r="HJ152" s="1127"/>
      <c r="HK152" s="1127"/>
      <c r="HL152" s="1127"/>
      <c r="HM152" s="1127"/>
      <c r="HN152" s="1127"/>
      <c r="HO152" s="1127"/>
      <c r="HP152" s="422"/>
      <c r="HQ152" s="1127"/>
      <c r="ID152" s="383"/>
      <c r="IE152" s="383"/>
      <c r="IF152" s="383"/>
      <c r="IH152" s="383"/>
      <c r="II152" s="383"/>
      <c r="IJ152" s="383"/>
      <c r="IK152" s="383"/>
      <c r="IL152" s="383"/>
      <c r="IM152" s="383"/>
      <c r="JD152" s="383"/>
      <c r="JE152" s="383"/>
      <c r="JF152" s="383"/>
      <c r="JH152" s="383"/>
      <c r="JI152" s="383"/>
      <c r="JJ152" s="383"/>
      <c r="JK152" s="383"/>
      <c r="JL152" s="383"/>
      <c r="JM152" s="383"/>
      <c r="KD152" s="383"/>
      <c r="KE152" s="383"/>
      <c r="KF152" s="383"/>
      <c r="KH152" s="383"/>
      <c r="KI152" s="383"/>
      <c r="KJ152" s="383"/>
      <c r="KK152" s="383"/>
      <c r="KL152" s="383"/>
      <c r="KM152" s="383"/>
      <c r="LD152" s="383"/>
      <c r="LE152" s="383"/>
      <c r="LF152" s="383"/>
      <c r="LH152" s="383"/>
      <c r="LI152" s="383"/>
      <c r="LJ152" s="383"/>
      <c r="LK152" s="383"/>
      <c r="LL152" s="383"/>
      <c r="LM152" s="383"/>
      <c r="MD152" s="383"/>
      <c r="ME152" s="383"/>
      <c r="MF152" s="383"/>
      <c r="MH152" s="383"/>
      <c r="MI152" s="383"/>
      <c r="MJ152" s="383"/>
      <c r="MK152" s="383"/>
      <c r="ML152" s="383"/>
      <c r="MM152" s="383"/>
      <c r="ND152" s="383"/>
      <c r="NE152" s="383"/>
      <c r="NF152" s="383"/>
      <c r="NH152" s="383"/>
      <c r="NI152" s="383"/>
      <c r="NJ152" s="383"/>
      <c r="NK152" s="383"/>
      <c r="NL152" s="383"/>
      <c r="NM152" s="383"/>
      <c r="OD152" s="582"/>
      <c r="OE152" s="582"/>
      <c r="OF152" s="582"/>
      <c r="OH152" s="582"/>
      <c r="OI152" s="582"/>
      <c r="OJ152" s="582"/>
      <c r="OK152" s="582"/>
      <c r="OL152" s="582"/>
      <c r="OM152" s="582"/>
      <c r="PD152" s="1127"/>
      <c r="PE152" s="1127"/>
      <c r="PF152" s="1127"/>
      <c r="PH152" s="1127"/>
      <c r="PI152" s="1127"/>
      <c r="PJ152" s="1127"/>
      <c r="PK152" s="1127"/>
      <c r="PL152" s="1127"/>
      <c r="PM152" s="1127"/>
    </row>
    <row r="153" spans="88:429">
      <c r="CJ153" s="288"/>
      <c r="CK153" s="383"/>
      <c r="CL153" s="1127"/>
      <c r="CM153" s="1127"/>
      <c r="CN153" s="1127"/>
      <c r="CO153" s="1127"/>
      <c r="CQ153" s="383"/>
      <c r="CR153" s="383"/>
      <c r="CS153" s="383"/>
      <c r="CT153" s="288"/>
      <c r="CU153" s="383"/>
      <c r="CV153" s="383"/>
      <c r="DJ153" s="383"/>
      <c r="DK153" s="383"/>
      <c r="DL153" s="1127"/>
      <c r="DM153" s="1127"/>
      <c r="DN153" s="1127"/>
      <c r="DO153" s="1127"/>
      <c r="DQ153" s="383"/>
      <c r="DR153" s="383"/>
      <c r="DS153" s="383"/>
      <c r="DT153" s="383"/>
      <c r="DU153" s="383"/>
      <c r="DV153" s="383"/>
      <c r="ED153" s="269"/>
      <c r="EE153" s="288"/>
      <c r="EF153" s="383"/>
      <c r="EG153" s="383"/>
      <c r="EH153" s="383"/>
      <c r="EI153" s="1107"/>
      <c r="EJ153" s="1107"/>
      <c r="EK153" s="288"/>
      <c r="EL153" s="1107"/>
      <c r="EM153" s="383"/>
      <c r="EN153" s="383"/>
      <c r="EO153" s="383"/>
      <c r="EP153" s="422"/>
      <c r="EQ153" s="269"/>
      <c r="FD153" s="383"/>
      <c r="FE153" s="383"/>
      <c r="FF153" s="383"/>
      <c r="FG153" s="383"/>
      <c r="FH153" s="383"/>
      <c r="FI153" s="1127"/>
      <c r="FJ153" s="1127"/>
      <c r="FK153" s="383"/>
      <c r="FL153" s="1127"/>
      <c r="FM153" s="383"/>
      <c r="FN153" s="383"/>
      <c r="FO153" s="383"/>
      <c r="FP153" s="1127"/>
      <c r="FQ153" s="383"/>
      <c r="GD153" s="1127"/>
      <c r="GE153" s="1127"/>
      <c r="GF153" s="1127"/>
      <c r="GG153" s="1127"/>
      <c r="GH153" s="1127"/>
      <c r="GI153" s="1127"/>
      <c r="GJ153" s="1127"/>
      <c r="GK153" s="1127"/>
      <c r="GL153" s="1127"/>
      <c r="GM153" s="1127"/>
      <c r="GN153" s="1127"/>
      <c r="GO153" s="1127"/>
      <c r="GP153" s="422"/>
      <c r="GQ153" s="1127"/>
      <c r="HD153" s="1127"/>
      <c r="HE153" s="1127"/>
      <c r="HF153" s="1127"/>
      <c r="HG153" s="1127"/>
      <c r="HH153" s="1127"/>
      <c r="HI153" s="1127"/>
      <c r="HJ153" s="1127"/>
      <c r="HK153" s="1127"/>
      <c r="HL153" s="1127"/>
      <c r="HM153" s="1127"/>
      <c r="HN153" s="1127"/>
      <c r="HO153" s="1127"/>
      <c r="HP153" s="422"/>
      <c r="HQ153" s="1127"/>
      <c r="ID153" s="383"/>
      <c r="IE153" s="383"/>
      <c r="IF153" s="383"/>
      <c r="IH153" s="383"/>
      <c r="II153" s="383"/>
      <c r="IJ153" s="383"/>
      <c r="IK153" s="383"/>
      <c r="IL153" s="383"/>
      <c r="IM153" s="383"/>
      <c r="JD153" s="383"/>
      <c r="JE153" s="383"/>
      <c r="JF153" s="383"/>
      <c r="JH153" s="383"/>
      <c r="JI153" s="383"/>
      <c r="JJ153" s="383"/>
      <c r="JK153" s="383"/>
      <c r="JL153" s="383"/>
      <c r="JM153" s="383"/>
      <c r="KD153" s="383"/>
      <c r="KE153" s="383"/>
      <c r="KF153" s="383"/>
      <c r="KH153" s="383"/>
      <c r="KI153" s="383"/>
      <c r="KJ153" s="383"/>
      <c r="KK153" s="383"/>
      <c r="KL153" s="383"/>
      <c r="KM153" s="383"/>
      <c r="LD153" s="383"/>
      <c r="LE153" s="383"/>
      <c r="LF153" s="383"/>
      <c r="LH153" s="383"/>
      <c r="LI153" s="383"/>
      <c r="LJ153" s="383"/>
      <c r="LK153" s="383"/>
      <c r="LL153" s="383"/>
      <c r="LM153" s="383"/>
      <c r="MD153" s="383"/>
      <c r="ME153" s="383"/>
      <c r="MF153" s="383"/>
      <c r="MH153" s="383"/>
      <c r="MI153" s="383"/>
      <c r="MJ153" s="383"/>
      <c r="MK153" s="383"/>
      <c r="ML153" s="383"/>
      <c r="MM153" s="383"/>
      <c r="ND153" s="383"/>
      <c r="NE153" s="383"/>
      <c r="NF153" s="383"/>
      <c r="NH153" s="383"/>
      <c r="NI153" s="383"/>
      <c r="NJ153" s="383"/>
      <c r="NK153" s="383"/>
      <c r="NL153" s="383"/>
      <c r="NM153" s="383"/>
      <c r="OD153" s="582"/>
      <c r="OE153" s="582"/>
      <c r="OF153" s="582"/>
      <c r="OH153" s="582"/>
      <c r="OI153" s="582"/>
      <c r="OJ153" s="582"/>
      <c r="OK153" s="582"/>
      <c r="OL153" s="582"/>
      <c r="OM153" s="582"/>
      <c r="PD153" s="1127"/>
      <c r="PE153" s="1127"/>
      <c r="PF153" s="1127"/>
      <c r="PH153" s="1127"/>
      <c r="PI153" s="1127"/>
      <c r="PJ153" s="1127"/>
      <c r="PK153" s="1127"/>
      <c r="PL153" s="1127"/>
      <c r="PM153" s="1127"/>
    </row>
    <row r="154" spans="88:429">
      <c r="CJ154" s="288"/>
      <c r="CK154" s="383"/>
      <c r="CL154" s="1127"/>
      <c r="CM154" s="1127"/>
      <c r="CN154" s="1127"/>
      <c r="CO154" s="1127"/>
      <c r="CQ154" s="383"/>
      <c r="CR154" s="383"/>
      <c r="CS154" s="383"/>
      <c r="CT154" s="288"/>
      <c r="CU154" s="383"/>
      <c r="CV154" s="383"/>
      <c r="DJ154" s="383"/>
      <c r="DK154" s="383"/>
      <c r="DL154" s="1127"/>
      <c r="DM154" s="1127"/>
      <c r="DN154" s="1127"/>
      <c r="DO154" s="1127"/>
      <c r="DQ154" s="383"/>
      <c r="DR154" s="383"/>
      <c r="DS154" s="383"/>
      <c r="DT154" s="383"/>
      <c r="DU154" s="383"/>
      <c r="DV154" s="383"/>
      <c r="ED154" s="269"/>
      <c r="EE154" s="288"/>
      <c r="EF154" s="383"/>
      <c r="EG154" s="383"/>
      <c r="EH154" s="383"/>
      <c r="EI154" s="1107"/>
      <c r="EJ154" s="1107"/>
      <c r="EK154" s="288"/>
      <c r="EL154" s="1107"/>
      <c r="EM154" s="383"/>
      <c r="EN154" s="383"/>
      <c r="EO154" s="383"/>
      <c r="EP154" s="422"/>
      <c r="EQ154" s="269"/>
      <c r="FD154" s="383"/>
      <c r="FE154" s="383"/>
      <c r="FF154" s="383"/>
      <c r="FG154" s="383"/>
      <c r="FH154" s="383"/>
      <c r="FI154" s="1127"/>
      <c r="FJ154" s="1127"/>
      <c r="FK154" s="383"/>
      <c r="FL154" s="1127"/>
      <c r="FM154" s="383"/>
      <c r="FN154" s="383"/>
      <c r="FO154" s="383"/>
      <c r="FP154" s="1127"/>
      <c r="FQ154" s="383"/>
      <c r="GD154" s="1127"/>
      <c r="GE154" s="1127"/>
      <c r="GF154" s="1127"/>
      <c r="GG154" s="1127"/>
      <c r="GH154" s="1127"/>
      <c r="GI154" s="1127"/>
      <c r="GJ154" s="1127"/>
      <c r="GK154" s="1127"/>
      <c r="GL154" s="1127"/>
      <c r="GM154" s="1127"/>
      <c r="GN154" s="1127"/>
      <c r="GO154" s="1127"/>
      <c r="GP154" s="422"/>
      <c r="GQ154" s="1127"/>
      <c r="HD154" s="1127"/>
      <c r="HE154" s="1127"/>
      <c r="HF154" s="1127"/>
      <c r="HG154" s="1127"/>
      <c r="HH154" s="1127"/>
      <c r="HI154" s="1127"/>
      <c r="HJ154" s="1127"/>
      <c r="HK154" s="1127"/>
      <c r="HL154" s="1127"/>
      <c r="HM154" s="1127"/>
      <c r="HN154" s="1127"/>
      <c r="HO154" s="1127"/>
      <c r="HP154" s="422"/>
      <c r="HQ154" s="1127"/>
      <c r="ID154" s="383"/>
      <c r="IE154" s="383"/>
      <c r="IF154" s="383"/>
      <c r="IH154" s="383"/>
      <c r="II154" s="383"/>
      <c r="IJ154" s="383"/>
      <c r="IK154" s="383"/>
      <c r="IL154" s="383"/>
      <c r="IM154" s="383"/>
      <c r="JD154" s="383"/>
      <c r="JE154" s="383"/>
      <c r="JF154" s="383"/>
      <c r="JH154" s="383"/>
      <c r="JI154" s="383"/>
      <c r="JJ154" s="383"/>
      <c r="JK154" s="383"/>
      <c r="JL154" s="383"/>
      <c r="JM154" s="383"/>
      <c r="KD154" s="383"/>
      <c r="KE154" s="383"/>
      <c r="KF154" s="383"/>
      <c r="KH154" s="383"/>
      <c r="KI154" s="383"/>
      <c r="KJ154" s="383"/>
      <c r="KK154" s="383"/>
      <c r="KL154" s="383"/>
      <c r="KM154" s="383"/>
      <c r="LD154" s="383"/>
      <c r="LE154" s="383"/>
      <c r="LF154" s="383"/>
      <c r="LH154" s="383"/>
      <c r="LI154" s="383"/>
      <c r="LJ154" s="383"/>
      <c r="LK154" s="383"/>
      <c r="LL154" s="383"/>
      <c r="LM154" s="383"/>
      <c r="MD154" s="383"/>
      <c r="ME154" s="383"/>
      <c r="MF154" s="383"/>
      <c r="MH154" s="383"/>
      <c r="MI154" s="383"/>
      <c r="MJ154" s="383"/>
      <c r="MK154" s="383"/>
      <c r="ML154" s="383"/>
      <c r="MM154" s="383"/>
      <c r="ND154" s="383"/>
      <c r="NE154" s="383"/>
      <c r="NF154" s="383"/>
      <c r="NH154" s="383"/>
      <c r="NI154" s="383"/>
      <c r="NJ154" s="383"/>
      <c r="NK154" s="383"/>
      <c r="NL154" s="383"/>
      <c r="NM154" s="383"/>
      <c r="OD154" s="582"/>
      <c r="OE154" s="582"/>
      <c r="OF154" s="582"/>
      <c r="OH154" s="582"/>
      <c r="OI154" s="582"/>
      <c r="OJ154" s="582"/>
      <c r="OK154" s="582"/>
      <c r="OL154" s="582"/>
      <c r="OM154" s="582"/>
      <c r="PD154" s="1127"/>
      <c r="PE154" s="1127"/>
      <c r="PF154" s="1127"/>
      <c r="PH154" s="1127"/>
      <c r="PI154" s="1127"/>
      <c r="PJ154" s="1127"/>
      <c r="PK154" s="1127"/>
      <c r="PL154" s="1127"/>
      <c r="PM154" s="1127"/>
    </row>
    <row r="155" spans="88:429">
      <c r="CJ155" s="288"/>
      <c r="CK155" s="383"/>
      <c r="CL155" s="1127"/>
      <c r="CM155" s="1127"/>
      <c r="CN155" s="1127"/>
      <c r="CO155" s="1127"/>
      <c r="CQ155" s="383"/>
      <c r="CR155" s="383"/>
      <c r="CS155" s="383"/>
      <c r="CT155" s="288"/>
      <c r="CU155" s="383"/>
      <c r="CV155" s="383"/>
      <c r="DJ155" s="383"/>
      <c r="DK155" s="383"/>
      <c r="DL155" s="1127"/>
      <c r="DM155" s="1127"/>
      <c r="DN155" s="1127"/>
      <c r="DO155" s="1127"/>
      <c r="DQ155" s="383"/>
      <c r="DR155" s="383"/>
      <c r="DS155" s="383"/>
      <c r="DT155" s="383"/>
      <c r="DU155" s="383"/>
      <c r="DV155" s="383"/>
      <c r="ED155" s="269"/>
      <c r="EE155" s="288"/>
      <c r="EF155" s="383"/>
      <c r="EG155" s="383"/>
      <c r="EH155" s="383"/>
      <c r="EI155" s="1107"/>
      <c r="EJ155" s="1107"/>
      <c r="EK155" s="288"/>
      <c r="EL155" s="1107"/>
      <c r="EM155" s="383"/>
      <c r="EN155" s="383"/>
      <c r="EO155" s="383"/>
      <c r="EP155" s="422"/>
      <c r="EQ155" s="269"/>
      <c r="FD155" s="383"/>
      <c r="FE155" s="383"/>
      <c r="FF155" s="383"/>
      <c r="FG155" s="383"/>
      <c r="FH155" s="383"/>
      <c r="FI155" s="1127"/>
      <c r="FJ155" s="1127"/>
      <c r="FK155" s="383"/>
      <c r="FL155" s="1127"/>
      <c r="FM155" s="383"/>
      <c r="FN155" s="383"/>
      <c r="FO155" s="383"/>
      <c r="FP155" s="1127"/>
      <c r="FQ155" s="383"/>
      <c r="GD155" s="1127"/>
      <c r="GE155" s="1127"/>
      <c r="GF155" s="1127"/>
      <c r="GG155" s="1127"/>
      <c r="GH155" s="1127"/>
      <c r="GI155" s="1127"/>
      <c r="GJ155" s="1127"/>
      <c r="GK155" s="1127"/>
      <c r="GL155" s="1127"/>
      <c r="GM155" s="1127"/>
      <c r="GN155" s="1127"/>
      <c r="GO155" s="1127"/>
      <c r="GP155" s="422"/>
      <c r="GQ155" s="1127"/>
      <c r="HD155" s="1127"/>
      <c r="HE155" s="1127"/>
      <c r="HF155" s="1127"/>
      <c r="HG155" s="1127"/>
      <c r="HH155" s="1127"/>
      <c r="HI155" s="1127"/>
      <c r="HJ155" s="1127"/>
      <c r="HK155" s="1127"/>
      <c r="HL155" s="1127"/>
      <c r="HM155" s="1127"/>
      <c r="HN155" s="1127"/>
      <c r="HO155" s="1127"/>
      <c r="HP155" s="422"/>
      <c r="HQ155" s="1127"/>
      <c r="ID155" s="383"/>
      <c r="IE155" s="383"/>
      <c r="IF155" s="383"/>
      <c r="IH155" s="383"/>
      <c r="II155" s="383"/>
      <c r="IJ155" s="383"/>
      <c r="IK155" s="383"/>
      <c r="IL155" s="383"/>
      <c r="IM155" s="383"/>
      <c r="JD155" s="383"/>
      <c r="JE155" s="383"/>
      <c r="JF155" s="383"/>
      <c r="JH155" s="383"/>
      <c r="JI155" s="383"/>
      <c r="JJ155" s="383"/>
      <c r="JK155" s="383"/>
      <c r="JL155" s="383"/>
      <c r="JM155" s="383"/>
      <c r="KD155" s="383"/>
      <c r="KE155" s="383"/>
      <c r="KF155" s="383"/>
      <c r="KH155" s="383"/>
      <c r="KI155" s="383"/>
      <c r="KJ155" s="383"/>
      <c r="KK155" s="383"/>
      <c r="KL155" s="383"/>
      <c r="KM155" s="383"/>
      <c r="LD155" s="383"/>
      <c r="LE155" s="383"/>
      <c r="LF155" s="383"/>
      <c r="LH155" s="383"/>
      <c r="LI155" s="383"/>
      <c r="LJ155" s="383"/>
      <c r="LK155" s="383"/>
      <c r="LL155" s="383"/>
      <c r="LM155" s="383"/>
      <c r="MD155" s="383"/>
      <c r="ME155" s="383"/>
      <c r="MF155" s="383"/>
      <c r="MH155" s="383"/>
      <c r="MI155" s="383"/>
      <c r="MJ155" s="383"/>
      <c r="MK155" s="383"/>
      <c r="ML155" s="383"/>
      <c r="MM155" s="383"/>
      <c r="ND155" s="383"/>
      <c r="NE155" s="383"/>
      <c r="NF155" s="383"/>
      <c r="NH155" s="383"/>
      <c r="NI155" s="383"/>
      <c r="NJ155" s="383"/>
      <c r="NK155" s="383"/>
      <c r="NL155" s="383"/>
      <c r="NM155" s="383"/>
      <c r="OD155" s="582"/>
      <c r="OE155" s="582"/>
      <c r="OF155" s="582"/>
      <c r="OH155" s="582"/>
      <c r="OI155" s="582"/>
      <c r="OJ155" s="582"/>
      <c r="OK155" s="582"/>
      <c r="OL155" s="582"/>
      <c r="OM155" s="582"/>
      <c r="PD155" s="1127"/>
      <c r="PE155" s="1127"/>
      <c r="PF155" s="1127"/>
      <c r="PH155" s="1127"/>
      <c r="PI155" s="1127"/>
      <c r="PJ155" s="1127"/>
      <c r="PK155" s="1127"/>
      <c r="PL155" s="1127"/>
      <c r="PM155" s="1127"/>
    </row>
    <row r="156" spans="88:429">
      <c r="CJ156" s="288"/>
      <c r="CK156" s="383"/>
      <c r="CL156" s="1127"/>
      <c r="CM156" s="1127"/>
      <c r="CN156" s="1127"/>
      <c r="CO156" s="1127"/>
      <c r="CQ156" s="383"/>
      <c r="CR156" s="383"/>
      <c r="CS156" s="383"/>
      <c r="CT156" s="288"/>
      <c r="CU156" s="383"/>
      <c r="CV156" s="383"/>
      <c r="DJ156" s="383"/>
      <c r="DK156" s="383"/>
      <c r="DL156" s="1127"/>
      <c r="DM156" s="1127"/>
      <c r="DN156" s="1127"/>
      <c r="DO156" s="1127"/>
      <c r="DQ156" s="383"/>
      <c r="DR156" s="383"/>
      <c r="DS156" s="383"/>
      <c r="DT156" s="383"/>
      <c r="DU156" s="383"/>
      <c r="DV156" s="383"/>
      <c r="ED156" s="269"/>
      <c r="EE156" s="288"/>
      <c r="EF156" s="383"/>
      <c r="EG156" s="383"/>
      <c r="EH156" s="383"/>
      <c r="EI156" s="1107"/>
      <c r="EJ156" s="1107"/>
      <c r="EK156" s="288"/>
      <c r="EL156" s="1107"/>
      <c r="EM156" s="383"/>
      <c r="EN156" s="383"/>
      <c r="EO156" s="383"/>
      <c r="EP156" s="422"/>
      <c r="EQ156" s="269"/>
      <c r="FD156" s="383"/>
      <c r="FE156" s="383"/>
      <c r="FF156" s="383"/>
      <c r="FG156" s="383"/>
      <c r="FH156" s="383"/>
      <c r="FI156" s="1127"/>
      <c r="FJ156" s="1127"/>
      <c r="FK156" s="383"/>
      <c r="FL156" s="1127"/>
      <c r="FM156" s="383"/>
      <c r="FN156" s="383"/>
      <c r="FO156" s="383"/>
      <c r="FP156" s="1127"/>
      <c r="FQ156" s="383"/>
      <c r="GD156" s="1127"/>
      <c r="GE156" s="1127"/>
      <c r="GF156" s="1127"/>
      <c r="GG156" s="1127"/>
      <c r="GH156" s="1127"/>
      <c r="GI156" s="1127"/>
      <c r="GJ156" s="1127"/>
      <c r="GK156" s="1127"/>
      <c r="GL156" s="1127"/>
      <c r="GM156" s="1127"/>
      <c r="GN156" s="1127"/>
      <c r="GO156" s="1127"/>
      <c r="GP156" s="422"/>
      <c r="GQ156" s="1127"/>
      <c r="HD156" s="1127"/>
      <c r="HE156" s="1127"/>
      <c r="HF156" s="1127"/>
      <c r="HG156" s="1127"/>
      <c r="HH156" s="1127"/>
      <c r="HI156" s="1127"/>
      <c r="HJ156" s="1127"/>
      <c r="HK156" s="1127"/>
      <c r="HL156" s="1127"/>
      <c r="HM156" s="1127"/>
      <c r="HN156" s="1127"/>
      <c r="HO156" s="1127"/>
      <c r="HP156" s="422"/>
      <c r="HQ156" s="1127"/>
      <c r="ID156" s="383"/>
      <c r="IE156" s="383"/>
      <c r="IF156" s="383"/>
      <c r="IH156" s="383"/>
      <c r="II156" s="383"/>
      <c r="IJ156" s="383"/>
      <c r="IK156" s="383"/>
      <c r="IL156" s="383"/>
      <c r="IM156" s="383"/>
      <c r="JD156" s="383"/>
      <c r="JE156" s="383"/>
      <c r="JF156" s="383"/>
      <c r="JH156" s="383"/>
      <c r="JI156" s="383"/>
      <c r="JJ156" s="383"/>
      <c r="JK156" s="383"/>
      <c r="JL156" s="383"/>
      <c r="JM156" s="383"/>
      <c r="KD156" s="383"/>
      <c r="KE156" s="383"/>
      <c r="KF156" s="383"/>
      <c r="KH156" s="383"/>
      <c r="KI156" s="383"/>
      <c r="KJ156" s="383"/>
      <c r="KK156" s="383"/>
      <c r="KL156" s="383"/>
      <c r="KM156" s="383"/>
      <c r="LD156" s="383"/>
      <c r="LE156" s="383"/>
      <c r="LF156" s="383"/>
      <c r="LH156" s="383"/>
      <c r="LI156" s="383"/>
      <c r="LJ156" s="383"/>
      <c r="LK156" s="383"/>
      <c r="LL156" s="383"/>
      <c r="LM156" s="383"/>
      <c r="MD156" s="383"/>
      <c r="ME156" s="383"/>
      <c r="MF156" s="383"/>
      <c r="MH156" s="383"/>
      <c r="MI156" s="383"/>
      <c r="MJ156" s="383"/>
      <c r="MK156" s="383"/>
      <c r="ML156" s="383"/>
      <c r="MM156" s="383"/>
      <c r="ND156" s="383"/>
      <c r="NE156" s="383"/>
      <c r="NF156" s="383"/>
      <c r="NH156" s="383"/>
      <c r="NI156" s="383"/>
      <c r="NJ156" s="383"/>
      <c r="NK156" s="383"/>
      <c r="NL156" s="383"/>
      <c r="NM156" s="383"/>
      <c r="OD156" s="582"/>
      <c r="OE156" s="582"/>
      <c r="OF156" s="582"/>
      <c r="OH156" s="582"/>
      <c r="OI156" s="582"/>
      <c r="OJ156" s="582"/>
      <c r="OK156" s="582"/>
      <c r="OL156" s="582"/>
      <c r="OM156" s="582"/>
      <c r="PD156" s="1127"/>
      <c r="PE156" s="1127"/>
      <c r="PF156" s="1127"/>
      <c r="PH156" s="1127"/>
      <c r="PI156" s="1127"/>
      <c r="PJ156" s="1127"/>
      <c r="PK156" s="1127"/>
      <c r="PL156" s="1127"/>
      <c r="PM156" s="1127"/>
    </row>
    <row r="157" spans="88:429">
      <c r="CJ157" s="288"/>
      <c r="CK157" s="383"/>
      <c r="CL157" s="1127"/>
      <c r="CM157" s="1127"/>
      <c r="CN157" s="1127"/>
      <c r="CO157" s="1127"/>
      <c r="CQ157" s="383"/>
      <c r="CR157" s="383"/>
      <c r="CS157" s="383"/>
      <c r="CT157" s="288"/>
      <c r="CU157" s="383"/>
      <c r="CV157" s="383"/>
      <c r="DJ157" s="383"/>
      <c r="DK157" s="383"/>
      <c r="DL157" s="1127"/>
      <c r="DM157" s="1127"/>
      <c r="DN157" s="1127"/>
      <c r="DO157" s="1127"/>
      <c r="DQ157" s="383"/>
      <c r="DR157" s="383"/>
      <c r="DS157" s="383"/>
      <c r="DT157" s="383"/>
      <c r="DU157" s="383"/>
      <c r="DV157" s="383"/>
      <c r="ED157" s="269"/>
      <c r="EE157" s="288"/>
      <c r="EF157" s="383"/>
      <c r="EG157" s="383"/>
      <c r="EH157" s="383"/>
      <c r="EI157" s="1107"/>
      <c r="EJ157" s="1107"/>
      <c r="EK157" s="288"/>
      <c r="EL157" s="1107"/>
      <c r="EM157" s="383"/>
      <c r="EN157" s="383"/>
      <c r="EO157" s="383"/>
      <c r="EP157" s="422"/>
      <c r="EQ157" s="269"/>
      <c r="FD157" s="383"/>
      <c r="FE157" s="383"/>
      <c r="FF157" s="383"/>
      <c r="FG157" s="383"/>
      <c r="FH157" s="383"/>
      <c r="FI157" s="1127"/>
      <c r="FJ157" s="1127"/>
      <c r="FK157" s="383"/>
      <c r="FL157" s="1127"/>
      <c r="FM157" s="383"/>
      <c r="FN157" s="383"/>
      <c r="FO157" s="383"/>
      <c r="FP157" s="1127"/>
      <c r="FQ157" s="383"/>
      <c r="GD157" s="1127"/>
      <c r="GE157" s="1127"/>
      <c r="GF157" s="1127"/>
      <c r="GG157" s="1127"/>
      <c r="GH157" s="1127"/>
      <c r="GI157" s="1127"/>
      <c r="GJ157" s="1127"/>
      <c r="GK157" s="1127"/>
      <c r="GL157" s="1127"/>
      <c r="GM157" s="1127"/>
      <c r="GN157" s="1127"/>
      <c r="GO157" s="1127"/>
      <c r="GP157" s="422"/>
      <c r="GQ157" s="1127"/>
      <c r="HD157" s="1127"/>
      <c r="HE157" s="1127"/>
      <c r="HF157" s="1127"/>
      <c r="HG157" s="1127"/>
      <c r="HH157" s="1127"/>
      <c r="HI157" s="1127"/>
      <c r="HJ157" s="1127"/>
      <c r="HK157" s="1127"/>
      <c r="HL157" s="1127"/>
      <c r="HM157" s="1127"/>
      <c r="HN157" s="1127"/>
      <c r="HO157" s="1127"/>
      <c r="HP157" s="422"/>
      <c r="HQ157" s="1127"/>
      <c r="ID157" s="383"/>
      <c r="IE157" s="383"/>
      <c r="IF157" s="383"/>
      <c r="IH157" s="383"/>
      <c r="II157" s="383"/>
      <c r="IJ157" s="383"/>
      <c r="IK157" s="383"/>
      <c r="IL157" s="383"/>
      <c r="IM157" s="383"/>
      <c r="JD157" s="383"/>
      <c r="JE157" s="383"/>
      <c r="JF157" s="383"/>
      <c r="JH157" s="383"/>
      <c r="JI157" s="383"/>
      <c r="JJ157" s="383"/>
      <c r="JK157" s="383"/>
      <c r="JL157" s="383"/>
      <c r="JM157" s="383"/>
      <c r="KD157" s="383"/>
      <c r="KE157" s="383"/>
      <c r="KF157" s="383"/>
      <c r="KH157" s="383"/>
      <c r="KI157" s="383"/>
      <c r="KJ157" s="383"/>
      <c r="KK157" s="383"/>
      <c r="KL157" s="383"/>
      <c r="KM157" s="383"/>
      <c r="LD157" s="383"/>
      <c r="LE157" s="383"/>
      <c r="LF157" s="383"/>
      <c r="LH157" s="383"/>
      <c r="LI157" s="383"/>
      <c r="LJ157" s="383"/>
      <c r="LK157" s="383"/>
      <c r="LL157" s="383"/>
      <c r="LM157" s="383"/>
      <c r="MD157" s="383"/>
      <c r="ME157" s="383"/>
      <c r="MF157" s="383"/>
      <c r="MH157" s="383"/>
      <c r="MI157" s="383"/>
      <c r="MJ157" s="383"/>
      <c r="MK157" s="383"/>
      <c r="ML157" s="383"/>
      <c r="MM157" s="383"/>
      <c r="ND157" s="383"/>
      <c r="NE157" s="383"/>
      <c r="NF157" s="383"/>
      <c r="NH157" s="383"/>
      <c r="NI157" s="383"/>
      <c r="NJ157" s="383"/>
      <c r="NK157" s="383"/>
      <c r="NL157" s="383"/>
      <c r="NM157" s="383"/>
      <c r="OD157" s="582"/>
      <c r="OE157" s="582"/>
      <c r="OF157" s="582"/>
      <c r="OH157" s="582"/>
      <c r="OI157" s="582"/>
      <c r="OJ157" s="582"/>
      <c r="OK157" s="582"/>
      <c r="OL157" s="582"/>
      <c r="OM157" s="582"/>
      <c r="PD157" s="1127"/>
      <c r="PE157" s="1127"/>
      <c r="PF157" s="1127"/>
      <c r="PH157" s="1127"/>
      <c r="PI157" s="1127"/>
      <c r="PJ157" s="1127"/>
      <c r="PK157" s="1127"/>
      <c r="PL157" s="1127"/>
      <c r="PM157" s="1127"/>
    </row>
    <row r="158" spans="88:429">
      <c r="CJ158" s="288"/>
      <c r="CK158" s="383"/>
      <c r="CL158" s="1127"/>
      <c r="CM158" s="1127"/>
      <c r="CN158" s="1127"/>
      <c r="CO158" s="1127"/>
      <c r="CQ158" s="383"/>
      <c r="CR158" s="383"/>
      <c r="CS158" s="383"/>
      <c r="CT158" s="288"/>
      <c r="CU158" s="383"/>
      <c r="CV158" s="383"/>
      <c r="DJ158" s="383"/>
      <c r="DK158" s="383"/>
      <c r="DL158" s="1127"/>
      <c r="DM158" s="1127"/>
      <c r="DN158" s="1127"/>
      <c r="DO158" s="1127"/>
      <c r="DQ158" s="383"/>
      <c r="DR158" s="383"/>
      <c r="DS158" s="383"/>
      <c r="DT158" s="383"/>
      <c r="DU158" s="383"/>
      <c r="DV158" s="383"/>
      <c r="ED158" s="269"/>
      <c r="EE158" s="288"/>
      <c r="EF158" s="383"/>
      <c r="EG158" s="383"/>
      <c r="EH158" s="383"/>
      <c r="EI158" s="1107"/>
      <c r="EJ158" s="1107"/>
      <c r="EK158" s="288"/>
      <c r="EL158" s="1107"/>
      <c r="EM158" s="383"/>
      <c r="EN158" s="383"/>
      <c r="EO158" s="383"/>
      <c r="EP158" s="422"/>
      <c r="EQ158" s="269"/>
      <c r="FD158" s="383"/>
      <c r="FE158" s="383"/>
      <c r="FF158" s="383"/>
      <c r="FG158" s="383"/>
      <c r="FH158" s="383"/>
      <c r="FI158" s="1127"/>
      <c r="FJ158" s="1127"/>
      <c r="FK158" s="383"/>
      <c r="FL158" s="1127"/>
      <c r="FM158" s="383"/>
      <c r="FN158" s="383"/>
      <c r="FO158" s="383"/>
      <c r="FP158" s="1127"/>
      <c r="FQ158" s="383"/>
      <c r="GD158" s="1127"/>
      <c r="GE158" s="1127"/>
      <c r="GF158" s="1127"/>
      <c r="GG158" s="1127"/>
      <c r="GH158" s="1127"/>
      <c r="GI158" s="1127"/>
      <c r="GJ158" s="1127"/>
      <c r="GK158" s="1127"/>
      <c r="GL158" s="1127"/>
      <c r="GM158" s="1127"/>
      <c r="GN158" s="1127"/>
      <c r="GO158" s="1127"/>
      <c r="GP158" s="422"/>
      <c r="GQ158" s="1127"/>
      <c r="HD158" s="1127"/>
      <c r="HE158" s="1127"/>
      <c r="HF158" s="1127"/>
      <c r="HG158" s="1127"/>
      <c r="HH158" s="1127"/>
      <c r="HI158" s="1127"/>
      <c r="HJ158" s="1127"/>
      <c r="HK158" s="1127"/>
      <c r="HL158" s="1127"/>
      <c r="HM158" s="1127"/>
      <c r="HN158" s="1127"/>
      <c r="HO158" s="1127"/>
      <c r="HP158" s="422"/>
      <c r="HQ158" s="1127"/>
      <c r="ID158" s="383"/>
      <c r="IE158" s="383"/>
      <c r="IF158" s="383"/>
      <c r="IH158" s="383"/>
      <c r="II158" s="383"/>
      <c r="IJ158" s="383"/>
      <c r="IK158" s="383"/>
      <c r="IL158" s="383"/>
      <c r="IM158" s="383"/>
      <c r="JD158" s="383"/>
      <c r="JE158" s="383"/>
      <c r="JF158" s="383"/>
      <c r="JH158" s="383"/>
      <c r="JI158" s="383"/>
      <c r="JJ158" s="383"/>
      <c r="JK158" s="383"/>
      <c r="JL158" s="383"/>
      <c r="JM158" s="383"/>
      <c r="KD158" s="383"/>
      <c r="KE158" s="383"/>
      <c r="KF158" s="383"/>
      <c r="KH158" s="383"/>
      <c r="KI158" s="383"/>
      <c r="KJ158" s="383"/>
      <c r="KK158" s="383"/>
      <c r="KL158" s="383"/>
      <c r="KM158" s="383"/>
      <c r="LD158" s="383"/>
      <c r="LE158" s="383"/>
      <c r="LF158" s="383"/>
      <c r="LH158" s="383"/>
      <c r="LI158" s="383"/>
      <c r="LJ158" s="383"/>
      <c r="LK158" s="383"/>
      <c r="LL158" s="383"/>
      <c r="LM158" s="383"/>
      <c r="MD158" s="383"/>
      <c r="ME158" s="383"/>
      <c r="MF158" s="383"/>
      <c r="MH158" s="383"/>
      <c r="MI158" s="383"/>
      <c r="MJ158" s="383"/>
      <c r="MK158" s="383"/>
      <c r="ML158" s="383"/>
      <c r="MM158" s="383"/>
      <c r="ND158" s="383"/>
      <c r="NE158" s="383"/>
      <c r="NF158" s="383"/>
      <c r="NH158" s="383"/>
      <c r="NI158" s="383"/>
      <c r="NJ158" s="383"/>
      <c r="NK158" s="383"/>
      <c r="NL158" s="383"/>
      <c r="NM158" s="383"/>
      <c r="OD158" s="582"/>
      <c r="OE158" s="582"/>
      <c r="OF158" s="582"/>
      <c r="OH158" s="582"/>
      <c r="OI158" s="582"/>
      <c r="OJ158" s="582"/>
      <c r="OK158" s="582"/>
      <c r="OL158" s="582"/>
      <c r="OM158" s="582"/>
      <c r="PD158" s="1127"/>
      <c r="PE158" s="1127"/>
      <c r="PF158" s="1127"/>
      <c r="PH158" s="1127"/>
      <c r="PI158" s="1127"/>
      <c r="PJ158" s="1127"/>
      <c r="PK158" s="1127"/>
      <c r="PL158" s="1127"/>
      <c r="PM158" s="1127"/>
    </row>
    <row r="159" spans="88:429">
      <c r="CJ159" s="288"/>
      <c r="CK159" s="383"/>
      <c r="CL159" s="1127"/>
      <c r="CM159" s="1127"/>
      <c r="CN159" s="1127"/>
      <c r="CO159" s="1127"/>
      <c r="CQ159" s="383"/>
      <c r="CR159" s="383"/>
      <c r="CS159" s="383"/>
      <c r="CT159" s="288"/>
      <c r="CU159" s="383"/>
      <c r="CV159" s="383"/>
      <c r="DJ159" s="383"/>
      <c r="DK159" s="383"/>
      <c r="DL159" s="1127"/>
      <c r="DM159" s="1127"/>
      <c r="DN159" s="1127"/>
      <c r="DO159" s="1127"/>
      <c r="DQ159" s="383"/>
      <c r="DR159" s="383"/>
      <c r="DS159" s="383"/>
      <c r="DT159" s="383"/>
      <c r="DU159" s="383"/>
      <c r="DV159" s="383"/>
      <c r="ED159" s="269"/>
      <c r="EE159" s="288"/>
      <c r="EF159" s="383"/>
      <c r="EG159" s="383"/>
      <c r="EH159" s="383"/>
      <c r="EI159" s="1107"/>
      <c r="EJ159" s="1107"/>
      <c r="EK159" s="288"/>
      <c r="EL159" s="1107"/>
      <c r="EM159" s="383"/>
      <c r="EN159" s="383"/>
      <c r="EO159" s="383"/>
      <c r="EP159" s="422"/>
      <c r="EQ159" s="269"/>
      <c r="FD159" s="383"/>
      <c r="FE159" s="383"/>
      <c r="FF159" s="383"/>
      <c r="FG159" s="383"/>
      <c r="FH159" s="383"/>
      <c r="FI159" s="1127"/>
      <c r="FJ159" s="1127"/>
      <c r="FK159" s="383"/>
      <c r="FL159" s="1127"/>
      <c r="FM159" s="383"/>
      <c r="FN159" s="383"/>
      <c r="FO159" s="383"/>
      <c r="FP159" s="1127"/>
      <c r="FQ159" s="383"/>
      <c r="GD159" s="1127"/>
      <c r="GE159" s="1127"/>
      <c r="GF159" s="1127"/>
      <c r="GG159" s="1127"/>
      <c r="GH159" s="1127"/>
      <c r="GI159" s="1127"/>
      <c r="GJ159" s="1127"/>
      <c r="GK159" s="1127"/>
      <c r="GL159" s="1127"/>
      <c r="GM159" s="1127"/>
      <c r="GN159" s="1127"/>
      <c r="GO159" s="1127"/>
      <c r="GP159" s="422"/>
      <c r="GQ159" s="1127"/>
      <c r="HD159" s="1127"/>
      <c r="HE159" s="1127"/>
      <c r="HF159" s="1127"/>
      <c r="HG159" s="1127"/>
      <c r="HH159" s="1127"/>
      <c r="HI159" s="1127"/>
      <c r="HJ159" s="1127"/>
      <c r="HK159" s="1127"/>
      <c r="HL159" s="1127"/>
      <c r="HM159" s="1127"/>
      <c r="HN159" s="1127"/>
      <c r="HO159" s="1127"/>
      <c r="HP159" s="422"/>
      <c r="HQ159" s="1127"/>
      <c r="ID159" s="383"/>
      <c r="IE159" s="383"/>
      <c r="IF159" s="383"/>
      <c r="IH159" s="383"/>
      <c r="II159" s="383"/>
      <c r="IJ159" s="383"/>
      <c r="IK159" s="383"/>
      <c r="IL159" s="383"/>
      <c r="IM159" s="383"/>
      <c r="JD159" s="383"/>
      <c r="JE159" s="383"/>
      <c r="JF159" s="383"/>
      <c r="JH159" s="383"/>
      <c r="JI159" s="383"/>
      <c r="JJ159" s="383"/>
      <c r="JK159" s="383"/>
      <c r="JL159" s="383"/>
      <c r="JM159" s="383"/>
      <c r="KD159" s="383"/>
      <c r="KE159" s="383"/>
      <c r="KF159" s="383"/>
      <c r="KH159" s="383"/>
      <c r="KI159" s="383"/>
      <c r="KJ159" s="383"/>
      <c r="KK159" s="383"/>
      <c r="KL159" s="383"/>
      <c r="KM159" s="383"/>
      <c r="LD159" s="383"/>
      <c r="LE159" s="383"/>
      <c r="LF159" s="383"/>
      <c r="LH159" s="383"/>
      <c r="LI159" s="383"/>
      <c r="LJ159" s="383"/>
      <c r="LK159" s="383"/>
      <c r="LL159" s="383"/>
      <c r="LM159" s="383"/>
      <c r="MD159" s="383"/>
      <c r="ME159" s="383"/>
      <c r="MF159" s="383"/>
      <c r="MH159" s="383"/>
      <c r="MI159" s="383"/>
      <c r="MJ159" s="383"/>
      <c r="MK159" s="383"/>
      <c r="ML159" s="383"/>
      <c r="MM159" s="383"/>
      <c r="ND159" s="383"/>
      <c r="NE159" s="383"/>
      <c r="NF159" s="383"/>
      <c r="NH159" s="383"/>
      <c r="NI159" s="383"/>
      <c r="NJ159" s="383"/>
      <c r="NK159" s="383"/>
      <c r="NL159" s="383"/>
      <c r="NM159" s="383"/>
      <c r="OD159" s="582"/>
      <c r="OE159" s="582"/>
      <c r="OF159" s="582"/>
      <c r="OH159" s="582"/>
      <c r="OI159" s="582"/>
      <c r="OJ159" s="582"/>
      <c r="OK159" s="582"/>
      <c r="OL159" s="582"/>
      <c r="OM159" s="582"/>
      <c r="PD159" s="1127"/>
      <c r="PE159" s="1127"/>
      <c r="PF159" s="1127"/>
      <c r="PH159" s="1127"/>
      <c r="PI159" s="1127"/>
      <c r="PJ159" s="1127"/>
      <c r="PK159" s="1127"/>
      <c r="PL159" s="1127"/>
      <c r="PM159" s="1127"/>
    </row>
    <row r="160" spans="88:429">
      <c r="CJ160" s="288"/>
      <c r="CK160" s="383"/>
      <c r="CL160" s="1127"/>
      <c r="CM160" s="1127"/>
      <c r="CN160" s="1127"/>
      <c r="CO160" s="1127"/>
      <c r="CQ160" s="383"/>
      <c r="CR160" s="383"/>
      <c r="CS160" s="383"/>
      <c r="CT160" s="288"/>
      <c r="CU160" s="383"/>
      <c r="CV160" s="383"/>
      <c r="DJ160" s="383"/>
      <c r="DK160" s="383"/>
      <c r="DL160" s="1127"/>
      <c r="DM160" s="1127"/>
      <c r="DN160" s="1127"/>
      <c r="DO160" s="1127"/>
      <c r="DQ160" s="383"/>
      <c r="DR160" s="383"/>
      <c r="DS160" s="383"/>
      <c r="DT160" s="383"/>
      <c r="DU160" s="383"/>
      <c r="DV160" s="383"/>
      <c r="ED160" s="269"/>
      <c r="EE160" s="288"/>
      <c r="EF160" s="383"/>
      <c r="EG160" s="383"/>
      <c r="EH160" s="383"/>
      <c r="EI160" s="1107"/>
      <c r="EJ160" s="1107"/>
      <c r="EK160" s="288"/>
      <c r="EL160" s="1107"/>
      <c r="EM160" s="383"/>
      <c r="EN160" s="383"/>
      <c r="EO160" s="383"/>
      <c r="EP160" s="422"/>
      <c r="EQ160" s="269"/>
      <c r="FD160" s="383"/>
      <c r="FE160" s="383"/>
      <c r="FF160" s="383"/>
      <c r="FG160" s="383"/>
      <c r="FH160" s="383"/>
      <c r="FI160" s="1127"/>
      <c r="FJ160" s="1127"/>
      <c r="FK160" s="383"/>
      <c r="FL160" s="1127"/>
      <c r="FM160" s="383"/>
      <c r="FN160" s="383"/>
      <c r="FO160" s="383"/>
      <c r="FP160" s="1127"/>
      <c r="FQ160" s="383"/>
      <c r="GD160" s="1127"/>
      <c r="GE160" s="1127"/>
      <c r="GF160" s="1127"/>
      <c r="GG160" s="1127"/>
      <c r="GH160" s="1127"/>
      <c r="GI160" s="1127"/>
      <c r="GJ160" s="1127"/>
      <c r="GK160" s="1127"/>
      <c r="GL160" s="1127"/>
      <c r="GM160" s="1127"/>
      <c r="GN160" s="1127"/>
      <c r="GO160" s="1127"/>
      <c r="GP160" s="422"/>
      <c r="GQ160" s="1127"/>
      <c r="HD160" s="1127"/>
      <c r="HE160" s="1127"/>
      <c r="HF160" s="1127"/>
      <c r="HG160" s="1127"/>
      <c r="HH160" s="1127"/>
      <c r="HI160" s="1127"/>
      <c r="HJ160" s="1127"/>
      <c r="HK160" s="1127"/>
      <c r="HL160" s="1127"/>
      <c r="HM160" s="1127"/>
      <c r="HN160" s="1127"/>
      <c r="HO160" s="1127"/>
      <c r="HP160" s="422"/>
      <c r="HQ160" s="1127"/>
      <c r="ID160" s="383"/>
      <c r="IE160" s="383"/>
      <c r="IF160" s="383"/>
      <c r="IH160" s="383"/>
      <c r="II160" s="383"/>
      <c r="IJ160" s="383"/>
      <c r="IK160" s="383"/>
      <c r="IL160" s="383"/>
      <c r="IM160" s="383"/>
      <c r="JD160" s="383"/>
      <c r="JE160" s="383"/>
      <c r="JF160" s="383"/>
      <c r="JH160" s="383"/>
      <c r="JI160" s="383"/>
      <c r="JJ160" s="383"/>
      <c r="JK160" s="383"/>
      <c r="JL160" s="383"/>
      <c r="JM160" s="383"/>
      <c r="KD160" s="383"/>
      <c r="KE160" s="383"/>
      <c r="KF160" s="383"/>
      <c r="KH160" s="383"/>
      <c r="KI160" s="383"/>
      <c r="KJ160" s="383"/>
      <c r="KK160" s="383"/>
      <c r="KL160" s="383"/>
      <c r="KM160" s="383"/>
      <c r="LD160" s="383"/>
      <c r="LE160" s="383"/>
      <c r="LF160" s="383"/>
      <c r="LH160" s="383"/>
      <c r="LI160" s="383"/>
      <c r="LJ160" s="383"/>
      <c r="LK160" s="383"/>
      <c r="LL160" s="383"/>
      <c r="LM160" s="383"/>
      <c r="MD160" s="383"/>
      <c r="ME160" s="383"/>
      <c r="MF160" s="383"/>
      <c r="MH160" s="383"/>
      <c r="MI160" s="383"/>
      <c r="MJ160" s="383"/>
      <c r="MK160" s="383"/>
      <c r="ML160" s="383"/>
      <c r="MM160" s="383"/>
      <c r="ND160" s="383"/>
      <c r="NE160" s="383"/>
      <c r="NF160" s="383"/>
      <c r="NH160" s="383"/>
      <c r="NI160" s="383"/>
      <c r="NJ160" s="383"/>
      <c r="NK160" s="383"/>
      <c r="NL160" s="383"/>
      <c r="NM160" s="383"/>
      <c r="OD160" s="582"/>
      <c r="OE160" s="582"/>
      <c r="OF160" s="582"/>
      <c r="OH160" s="582"/>
      <c r="OI160" s="582"/>
      <c r="OJ160" s="582"/>
      <c r="OK160" s="582"/>
      <c r="OL160" s="582"/>
      <c r="OM160" s="582"/>
      <c r="PD160" s="1127"/>
      <c r="PE160" s="1127"/>
      <c r="PF160" s="1127"/>
      <c r="PH160" s="1127"/>
      <c r="PI160" s="1127"/>
      <c r="PJ160" s="1127"/>
      <c r="PK160" s="1127"/>
      <c r="PL160" s="1127"/>
      <c r="PM160" s="1127"/>
    </row>
    <row r="161" spans="88:429">
      <c r="CJ161" s="288"/>
      <c r="CK161" s="383"/>
      <c r="CL161" s="1127"/>
      <c r="CM161" s="1127"/>
      <c r="CN161" s="1127"/>
      <c r="CO161" s="1127"/>
      <c r="CQ161" s="383"/>
      <c r="CR161" s="383"/>
      <c r="CS161" s="383"/>
      <c r="CT161" s="288"/>
      <c r="CU161" s="383"/>
      <c r="CV161" s="383"/>
      <c r="DJ161" s="383"/>
      <c r="DK161" s="383"/>
      <c r="DL161" s="1127"/>
      <c r="DM161" s="1127"/>
      <c r="DN161" s="1127"/>
      <c r="DO161" s="1127"/>
      <c r="DQ161" s="383"/>
      <c r="DR161" s="383"/>
      <c r="DS161" s="383"/>
      <c r="DT161" s="383"/>
      <c r="DU161" s="383"/>
      <c r="DV161" s="383"/>
      <c r="ED161" s="269"/>
      <c r="EE161" s="288"/>
      <c r="EF161" s="383"/>
      <c r="EG161" s="383"/>
      <c r="EH161" s="383"/>
      <c r="EI161" s="1107"/>
      <c r="EJ161" s="1107"/>
      <c r="EK161" s="288"/>
      <c r="EL161" s="1107"/>
      <c r="EM161" s="383"/>
      <c r="EN161" s="383"/>
      <c r="EO161" s="383"/>
      <c r="EP161" s="422"/>
      <c r="EQ161" s="269"/>
      <c r="FD161" s="383"/>
      <c r="FE161" s="383"/>
      <c r="FF161" s="383"/>
      <c r="FG161" s="383"/>
      <c r="FH161" s="383"/>
      <c r="FI161" s="1127"/>
      <c r="FJ161" s="1127"/>
      <c r="FK161" s="383"/>
      <c r="FL161" s="1127"/>
      <c r="FM161" s="383"/>
      <c r="FN161" s="383"/>
      <c r="FO161" s="383"/>
      <c r="FP161" s="1127"/>
      <c r="FQ161" s="383"/>
      <c r="GD161" s="1127"/>
      <c r="GE161" s="1127"/>
      <c r="GF161" s="1127"/>
      <c r="GG161" s="1127"/>
      <c r="GH161" s="1127"/>
      <c r="GI161" s="1127"/>
      <c r="GJ161" s="1127"/>
      <c r="GK161" s="1127"/>
      <c r="GL161" s="1127"/>
      <c r="GM161" s="1127"/>
      <c r="GN161" s="1127"/>
      <c r="GO161" s="1127"/>
      <c r="GP161" s="422"/>
      <c r="GQ161" s="1127"/>
      <c r="HD161" s="1127"/>
      <c r="HE161" s="1127"/>
      <c r="HF161" s="1127"/>
      <c r="HG161" s="1127"/>
      <c r="HH161" s="1127"/>
      <c r="HI161" s="1127"/>
      <c r="HJ161" s="1127"/>
      <c r="HK161" s="1127"/>
      <c r="HL161" s="1127"/>
      <c r="HM161" s="1127"/>
      <c r="HN161" s="1127"/>
      <c r="HO161" s="1127"/>
      <c r="HP161" s="422"/>
      <c r="HQ161" s="1127"/>
      <c r="ID161" s="383"/>
      <c r="IE161" s="383"/>
      <c r="IF161" s="383"/>
      <c r="IH161" s="383"/>
      <c r="II161" s="383"/>
      <c r="IJ161" s="383"/>
      <c r="IK161" s="383"/>
      <c r="IL161" s="383"/>
      <c r="IM161" s="383"/>
      <c r="JD161" s="383"/>
      <c r="JE161" s="383"/>
      <c r="JF161" s="383"/>
      <c r="JH161" s="383"/>
      <c r="JI161" s="383"/>
      <c r="JJ161" s="383"/>
      <c r="JK161" s="383"/>
      <c r="JL161" s="383"/>
      <c r="JM161" s="383"/>
      <c r="KD161" s="383"/>
      <c r="KE161" s="383"/>
      <c r="KF161" s="383"/>
      <c r="KH161" s="383"/>
      <c r="KI161" s="383"/>
      <c r="KJ161" s="383"/>
      <c r="KK161" s="383"/>
      <c r="KL161" s="383"/>
      <c r="KM161" s="383"/>
      <c r="LD161" s="383"/>
      <c r="LE161" s="383"/>
      <c r="LF161" s="383"/>
      <c r="LH161" s="383"/>
      <c r="LI161" s="383"/>
      <c r="LJ161" s="383"/>
      <c r="LK161" s="383"/>
      <c r="LL161" s="383"/>
      <c r="LM161" s="383"/>
      <c r="MD161" s="383"/>
      <c r="ME161" s="383"/>
      <c r="MF161" s="383"/>
      <c r="MH161" s="383"/>
      <c r="MI161" s="383"/>
      <c r="MJ161" s="383"/>
      <c r="MK161" s="383"/>
      <c r="ML161" s="383"/>
      <c r="MM161" s="383"/>
      <c r="ND161" s="383"/>
      <c r="NE161" s="383"/>
      <c r="NF161" s="383"/>
      <c r="NH161" s="383"/>
      <c r="NI161" s="383"/>
      <c r="NJ161" s="383"/>
      <c r="NK161" s="383"/>
      <c r="NL161" s="383"/>
      <c r="NM161" s="383"/>
      <c r="OD161" s="582"/>
      <c r="OE161" s="582"/>
      <c r="OF161" s="582"/>
      <c r="OH161" s="582"/>
      <c r="OI161" s="582"/>
      <c r="OJ161" s="582"/>
      <c r="OK161" s="582"/>
      <c r="OL161" s="582"/>
      <c r="OM161" s="582"/>
      <c r="PD161" s="1127"/>
      <c r="PE161" s="1127"/>
      <c r="PF161" s="1127"/>
      <c r="PH161" s="1127"/>
      <c r="PI161" s="1127"/>
      <c r="PJ161" s="1127"/>
      <c r="PK161" s="1127"/>
      <c r="PL161" s="1127"/>
      <c r="PM161" s="1127"/>
    </row>
    <row r="162" spans="88:429">
      <c r="CJ162" s="288"/>
      <c r="CK162" s="383"/>
      <c r="CL162" s="1127"/>
      <c r="CM162" s="1127"/>
      <c r="CN162" s="1127"/>
      <c r="CO162" s="1127"/>
      <c r="CQ162" s="383"/>
      <c r="CR162" s="383"/>
      <c r="CS162" s="383"/>
      <c r="CT162" s="288"/>
      <c r="CU162" s="383"/>
      <c r="CV162" s="383"/>
      <c r="DJ162" s="383"/>
      <c r="DK162" s="383"/>
      <c r="DL162" s="1127"/>
      <c r="DM162" s="1127"/>
      <c r="DN162" s="1127"/>
      <c r="DO162" s="1127"/>
      <c r="DQ162" s="383"/>
      <c r="DR162" s="383"/>
      <c r="DS162" s="383"/>
      <c r="DT162" s="383"/>
      <c r="DU162" s="383"/>
      <c r="DV162" s="383"/>
      <c r="ED162" s="269"/>
      <c r="EE162" s="288"/>
      <c r="EF162" s="383"/>
      <c r="EG162" s="383"/>
      <c r="EH162" s="383"/>
      <c r="EI162" s="1107"/>
      <c r="EJ162" s="1107"/>
      <c r="EK162" s="288"/>
      <c r="EL162" s="1107"/>
      <c r="EM162" s="383"/>
      <c r="EN162" s="383"/>
      <c r="EO162" s="383"/>
      <c r="EP162" s="422"/>
      <c r="EQ162" s="269"/>
      <c r="FD162" s="383"/>
      <c r="FE162" s="383"/>
      <c r="FF162" s="383"/>
      <c r="FG162" s="383"/>
      <c r="FH162" s="383"/>
      <c r="FI162" s="1127"/>
      <c r="FJ162" s="1127"/>
      <c r="FK162" s="383"/>
      <c r="FL162" s="1127"/>
      <c r="FM162" s="383"/>
      <c r="FN162" s="383"/>
      <c r="FO162" s="383"/>
      <c r="FP162" s="1127"/>
      <c r="FQ162" s="383"/>
      <c r="GD162" s="1127"/>
      <c r="GE162" s="1127"/>
      <c r="GF162" s="1127"/>
      <c r="GG162" s="1127"/>
      <c r="GH162" s="1127"/>
      <c r="GI162" s="1127"/>
      <c r="GJ162" s="1127"/>
      <c r="GK162" s="1127"/>
      <c r="GL162" s="1127"/>
      <c r="GM162" s="1127"/>
      <c r="GN162" s="1127"/>
      <c r="GO162" s="1127"/>
      <c r="GP162" s="422"/>
      <c r="GQ162" s="1127"/>
      <c r="HD162" s="1127"/>
      <c r="HE162" s="1127"/>
      <c r="HF162" s="1127"/>
      <c r="HG162" s="1127"/>
      <c r="HH162" s="1127"/>
      <c r="HI162" s="1127"/>
      <c r="HJ162" s="1127"/>
      <c r="HK162" s="1127"/>
      <c r="HL162" s="1127"/>
      <c r="HM162" s="1127"/>
      <c r="HN162" s="1127"/>
      <c r="HO162" s="1127"/>
      <c r="HP162" s="422"/>
      <c r="HQ162" s="1127"/>
      <c r="ID162" s="383"/>
      <c r="IE162" s="383"/>
      <c r="IF162" s="383"/>
      <c r="IH162" s="383"/>
      <c r="II162" s="383"/>
      <c r="IJ162" s="383"/>
      <c r="IK162" s="383"/>
      <c r="IL162" s="383"/>
      <c r="IM162" s="383"/>
      <c r="JD162" s="383"/>
      <c r="JE162" s="383"/>
      <c r="JF162" s="383"/>
      <c r="JH162" s="383"/>
      <c r="JI162" s="383"/>
      <c r="JJ162" s="383"/>
      <c r="JK162" s="383"/>
      <c r="JL162" s="383"/>
      <c r="JM162" s="383"/>
      <c r="KD162" s="383"/>
      <c r="KE162" s="383"/>
      <c r="KF162" s="383"/>
      <c r="KH162" s="383"/>
      <c r="KI162" s="383"/>
      <c r="KJ162" s="383"/>
      <c r="KK162" s="383"/>
      <c r="KL162" s="383"/>
      <c r="KM162" s="383"/>
      <c r="LD162" s="383"/>
      <c r="LE162" s="383"/>
      <c r="LF162" s="383"/>
      <c r="LH162" s="383"/>
      <c r="LI162" s="383"/>
      <c r="LJ162" s="383"/>
      <c r="LK162" s="383"/>
      <c r="LL162" s="383"/>
      <c r="LM162" s="383"/>
      <c r="MD162" s="383"/>
      <c r="ME162" s="383"/>
      <c r="MF162" s="383"/>
      <c r="MH162" s="383"/>
      <c r="MI162" s="383"/>
      <c r="MJ162" s="383"/>
      <c r="MK162" s="383"/>
      <c r="ML162" s="383"/>
      <c r="MM162" s="383"/>
      <c r="ND162" s="383"/>
      <c r="NE162" s="383"/>
      <c r="NF162" s="383"/>
      <c r="NH162" s="383"/>
      <c r="NI162" s="383"/>
      <c r="NJ162" s="383"/>
      <c r="NK162" s="383"/>
      <c r="NL162" s="383"/>
      <c r="NM162" s="383"/>
      <c r="OD162" s="582"/>
      <c r="OE162" s="582"/>
      <c r="OF162" s="582"/>
      <c r="OH162" s="582"/>
      <c r="OI162" s="582"/>
      <c r="OJ162" s="582"/>
      <c r="OK162" s="582"/>
      <c r="OL162" s="582"/>
      <c r="OM162" s="582"/>
      <c r="PD162" s="1127"/>
      <c r="PE162" s="1127"/>
      <c r="PF162" s="1127"/>
      <c r="PH162" s="1127"/>
      <c r="PI162" s="1127"/>
      <c r="PJ162" s="1127"/>
      <c r="PK162" s="1127"/>
      <c r="PL162" s="1127"/>
      <c r="PM162" s="1127"/>
    </row>
    <row r="163" spans="88:429">
      <c r="CJ163" s="288"/>
      <c r="CK163" s="383"/>
      <c r="CL163" s="1127"/>
      <c r="CM163" s="1127"/>
      <c r="CN163" s="1127"/>
      <c r="CO163" s="1127"/>
      <c r="CQ163" s="383"/>
      <c r="CR163" s="383"/>
      <c r="CS163" s="383"/>
      <c r="CT163" s="288"/>
      <c r="CU163" s="383"/>
      <c r="CV163" s="383"/>
      <c r="DJ163" s="383"/>
      <c r="DK163" s="383"/>
      <c r="DL163" s="1127"/>
      <c r="DM163" s="1127"/>
      <c r="DN163" s="1127"/>
      <c r="DO163" s="1127"/>
      <c r="DQ163" s="383"/>
      <c r="DR163" s="383"/>
      <c r="DS163" s="383"/>
      <c r="DT163" s="383"/>
      <c r="DU163" s="383"/>
      <c r="DV163" s="383"/>
      <c r="ED163" s="269"/>
      <c r="EE163" s="288"/>
      <c r="EF163" s="383"/>
      <c r="EG163" s="383"/>
      <c r="EH163" s="383"/>
      <c r="EI163" s="1107"/>
      <c r="EJ163" s="1107"/>
      <c r="EK163" s="288"/>
      <c r="EL163" s="1107"/>
      <c r="EM163" s="383"/>
      <c r="EN163" s="383"/>
      <c r="EO163" s="383"/>
      <c r="EP163" s="422"/>
      <c r="EQ163" s="269"/>
      <c r="FD163" s="383"/>
      <c r="FE163" s="383"/>
      <c r="FF163" s="383"/>
      <c r="FG163" s="383"/>
      <c r="FH163" s="383"/>
      <c r="FI163" s="1127"/>
      <c r="FJ163" s="1127"/>
      <c r="FK163" s="383"/>
      <c r="FL163" s="1127"/>
      <c r="FM163" s="383"/>
      <c r="FN163" s="383"/>
      <c r="FO163" s="383"/>
      <c r="FP163" s="1127"/>
      <c r="FQ163" s="383"/>
      <c r="GD163" s="1127"/>
      <c r="GE163" s="1127"/>
      <c r="GF163" s="1127"/>
      <c r="GG163" s="1127"/>
      <c r="GH163" s="1127"/>
      <c r="GI163" s="1127"/>
      <c r="GJ163" s="1127"/>
      <c r="GK163" s="1127"/>
      <c r="GL163" s="1127"/>
      <c r="GM163" s="1127"/>
      <c r="GN163" s="1127"/>
      <c r="GO163" s="1127"/>
      <c r="GP163" s="422"/>
      <c r="GQ163" s="1127"/>
      <c r="HD163" s="1127"/>
      <c r="HE163" s="1127"/>
      <c r="HF163" s="1127"/>
      <c r="HG163" s="1127"/>
      <c r="HH163" s="1127"/>
      <c r="HI163" s="1127"/>
      <c r="HJ163" s="1127"/>
      <c r="HK163" s="1127"/>
      <c r="HL163" s="1127"/>
      <c r="HM163" s="1127"/>
      <c r="HN163" s="1127"/>
      <c r="HO163" s="1127"/>
      <c r="HP163" s="422"/>
      <c r="HQ163" s="1127"/>
      <c r="ID163" s="383"/>
      <c r="IE163" s="383"/>
      <c r="IF163" s="383"/>
      <c r="IH163" s="383"/>
      <c r="II163" s="383"/>
      <c r="IJ163" s="383"/>
      <c r="IK163" s="383"/>
      <c r="IL163" s="383"/>
      <c r="IM163" s="383"/>
      <c r="JD163" s="383"/>
      <c r="JE163" s="383"/>
      <c r="JF163" s="383"/>
      <c r="JH163" s="383"/>
      <c r="JI163" s="383"/>
      <c r="JJ163" s="383"/>
      <c r="JK163" s="383"/>
      <c r="JL163" s="383"/>
      <c r="JM163" s="383"/>
      <c r="KD163" s="383"/>
      <c r="KE163" s="383"/>
      <c r="KF163" s="383"/>
      <c r="KH163" s="383"/>
      <c r="KI163" s="383"/>
      <c r="KJ163" s="383"/>
      <c r="KK163" s="383"/>
      <c r="KL163" s="383"/>
      <c r="KM163" s="383"/>
      <c r="LD163" s="383"/>
      <c r="LE163" s="383"/>
      <c r="LF163" s="383"/>
      <c r="LH163" s="383"/>
      <c r="LI163" s="383"/>
      <c r="LJ163" s="383"/>
      <c r="LK163" s="383"/>
      <c r="LL163" s="383"/>
      <c r="LM163" s="383"/>
      <c r="MD163" s="383"/>
      <c r="ME163" s="383"/>
      <c r="MF163" s="383"/>
      <c r="MH163" s="383"/>
      <c r="MI163" s="383"/>
      <c r="MJ163" s="383"/>
      <c r="MK163" s="383"/>
      <c r="ML163" s="383"/>
      <c r="MM163" s="383"/>
      <c r="ND163" s="383"/>
      <c r="NE163" s="383"/>
      <c r="NF163" s="383"/>
      <c r="NH163" s="383"/>
      <c r="NI163" s="383"/>
      <c r="NJ163" s="383"/>
      <c r="NK163" s="383"/>
      <c r="NL163" s="383"/>
      <c r="NM163" s="383"/>
      <c r="OD163" s="582"/>
      <c r="OE163" s="582"/>
      <c r="OF163" s="582"/>
      <c r="OH163" s="582"/>
      <c r="OI163" s="582"/>
      <c r="OJ163" s="582"/>
      <c r="OK163" s="582"/>
      <c r="OL163" s="582"/>
      <c r="OM163" s="582"/>
      <c r="PD163" s="1127"/>
      <c r="PE163" s="1127"/>
      <c r="PF163" s="1127"/>
      <c r="PH163" s="1127"/>
      <c r="PI163" s="1127"/>
      <c r="PJ163" s="1127"/>
      <c r="PK163" s="1127"/>
      <c r="PL163" s="1127"/>
      <c r="PM163" s="1127"/>
    </row>
    <row r="164" spans="88:429">
      <c r="CJ164" s="288"/>
      <c r="CK164" s="383"/>
      <c r="CL164" s="1127"/>
      <c r="CM164" s="1127"/>
      <c r="CN164" s="1127"/>
      <c r="CO164" s="1127"/>
      <c r="CQ164" s="383"/>
      <c r="CR164" s="383"/>
      <c r="CS164" s="383"/>
      <c r="CT164" s="288"/>
      <c r="CU164" s="383"/>
      <c r="CV164" s="383"/>
      <c r="DJ164" s="383"/>
      <c r="DK164" s="383"/>
      <c r="DL164" s="1127"/>
      <c r="DM164" s="1127"/>
      <c r="DN164" s="1127"/>
      <c r="DO164" s="1127"/>
      <c r="DQ164" s="383"/>
      <c r="DR164" s="383"/>
      <c r="DS164" s="383"/>
      <c r="DT164" s="383"/>
      <c r="DU164" s="383"/>
      <c r="DV164" s="383"/>
      <c r="ED164" s="269"/>
      <c r="EE164" s="288"/>
      <c r="EF164" s="383"/>
      <c r="EG164" s="383"/>
      <c r="EH164" s="383"/>
      <c r="EI164" s="1107"/>
      <c r="EJ164" s="1107"/>
      <c r="EK164" s="288"/>
      <c r="EL164" s="1107"/>
      <c r="EM164" s="383"/>
      <c r="EN164" s="383"/>
      <c r="EO164" s="383"/>
      <c r="EP164" s="422"/>
      <c r="EQ164" s="269"/>
      <c r="FD164" s="383"/>
      <c r="FE164" s="383"/>
      <c r="FF164" s="383"/>
      <c r="FG164" s="383"/>
      <c r="FH164" s="383"/>
      <c r="FI164" s="1127"/>
      <c r="FJ164" s="1127"/>
      <c r="FK164" s="383"/>
      <c r="FL164" s="1127"/>
      <c r="FM164" s="383"/>
      <c r="FN164" s="383"/>
      <c r="FO164" s="383"/>
      <c r="FP164" s="1127"/>
      <c r="FQ164" s="383"/>
      <c r="GD164" s="1127"/>
      <c r="GE164" s="1127"/>
      <c r="GF164" s="1127"/>
      <c r="GG164" s="1127"/>
      <c r="GH164" s="1127"/>
      <c r="GI164" s="1127"/>
      <c r="GJ164" s="1127"/>
      <c r="GK164" s="1127"/>
      <c r="GL164" s="1127"/>
      <c r="GM164" s="1127"/>
      <c r="GN164" s="1127"/>
      <c r="GO164" s="1127"/>
      <c r="GP164" s="422"/>
      <c r="GQ164" s="1127"/>
      <c r="HD164" s="1127"/>
      <c r="HE164" s="1127"/>
      <c r="HF164" s="1127"/>
      <c r="HG164" s="1127"/>
      <c r="HH164" s="1127"/>
      <c r="HI164" s="1127"/>
      <c r="HJ164" s="1127"/>
      <c r="HK164" s="1127"/>
      <c r="HL164" s="1127"/>
      <c r="HM164" s="1127"/>
      <c r="HN164" s="1127"/>
      <c r="HO164" s="1127"/>
      <c r="HP164" s="422"/>
      <c r="HQ164" s="1127"/>
      <c r="ID164" s="383"/>
      <c r="IE164" s="383"/>
      <c r="IF164" s="383"/>
      <c r="IH164" s="383"/>
      <c r="II164" s="383"/>
      <c r="IJ164" s="383"/>
      <c r="IK164" s="383"/>
      <c r="IL164" s="383"/>
      <c r="IM164" s="383"/>
      <c r="JD164" s="383"/>
      <c r="JE164" s="383"/>
      <c r="JF164" s="383"/>
      <c r="JH164" s="383"/>
      <c r="JI164" s="383"/>
      <c r="JJ164" s="383"/>
      <c r="JK164" s="383"/>
      <c r="JL164" s="383"/>
      <c r="JM164" s="383"/>
      <c r="KD164" s="383"/>
      <c r="KE164" s="383"/>
      <c r="KF164" s="383"/>
      <c r="KH164" s="383"/>
      <c r="KI164" s="383"/>
      <c r="KJ164" s="383"/>
      <c r="KK164" s="383"/>
      <c r="KL164" s="383"/>
      <c r="KM164" s="383"/>
      <c r="LD164" s="383"/>
      <c r="LE164" s="383"/>
      <c r="LF164" s="383"/>
      <c r="LH164" s="383"/>
      <c r="LI164" s="383"/>
      <c r="LJ164" s="383"/>
      <c r="LK164" s="383"/>
      <c r="LL164" s="383"/>
      <c r="LM164" s="383"/>
      <c r="MD164" s="383"/>
      <c r="ME164" s="383"/>
      <c r="MF164" s="383"/>
      <c r="MH164" s="383"/>
      <c r="MI164" s="383"/>
      <c r="MJ164" s="383"/>
      <c r="MK164" s="383"/>
      <c r="ML164" s="383"/>
      <c r="MM164" s="383"/>
      <c r="ND164" s="383"/>
      <c r="NE164" s="383"/>
      <c r="NF164" s="383"/>
      <c r="NH164" s="383"/>
      <c r="NI164" s="383"/>
      <c r="NJ164" s="383"/>
      <c r="NK164" s="383"/>
      <c r="NL164" s="383"/>
      <c r="NM164" s="383"/>
      <c r="OD164" s="582"/>
      <c r="OE164" s="582"/>
      <c r="OF164" s="582"/>
      <c r="OH164" s="582"/>
      <c r="OI164" s="582"/>
      <c r="OJ164" s="582"/>
      <c r="OK164" s="582"/>
      <c r="OL164" s="582"/>
      <c r="OM164" s="582"/>
      <c r="PD164" s="1127"/>
      <c r="PE164" s="1127"/>
      <c r="PF164" s="1127"/>
      <c r="PH164" s="1127"/>
      <c r="PI164" s="1127"/>
      <c r="PJ164" s="1127"/>
      <c r="PK164" s="1127"/>
      <c r="PL164" s="1127"/>
      <c r="PM164" s="1127"/>
    </row>
    <row r="165" spans="88:429">
      <c r="CJ165" s="288"/>
      <c r="CK165" s="383"/>
      <c r="CL165" s="1127"/>
      <c r="CM165" s="1127"/>
      <c r="CN165" s="1127"/>
      <c r="CO165" s="1127"/>
      <c r="CQ165" s="383"/>
      <c r="CR165" s="383"/>
      <c r="CS165" s="383"/>
      <c r="CT165" s="288"/>
      <c r="CU165" s="383"/>
      <c r="CV165" s="383"/>
      <c r="DJ165" s="383"/>
      <c r="DK165" s="383"/>
      <c r="DL165" s="1127"/>
      <c r="DM165" s="1127"/>
      <c r="DN165" s="1127"/>
      <c r="DO165" s="1127"/>
      <c r="DQ165" s="383"/>
      <c r="DR165" s="383"/>
      <c r="DS165" s="383"/>
      <c r="DT165" s="383"/>
      <c r="DU165" s="383"/>
      <c r="DV165" s="383"/>
      <c r="ED165" s="269"/>
      <c r="EE165" s="288"/>
      <c r="EF165" s="383"/>
      <c r="EG165" s="383"/>
      <c r="EH165" s="383"/>
      <c r="EI165" s="1107"/>
      <c r="EJ165" s="1107"/>
      <c r="EK165" s="288"/>
      <c r="EL165" s="1107"/>
      <c r="EM165" s="383"/>
      <c r="EN165" s="383"/>
      <c r="EO165" s="383"/>
      <c r="EP165" s="422"/>
      <c r="EQ165" s="269"/>
      <c r="FD165" s="383"/>
      <c r="FE165" s="383"/>
      <c r="FF165" s="383"/>
      <c r="FG165" s="383"/>
      <c r="FH165" s="383"/>
      <c r="FI165" s="1127"/>
      <c r="FJ165" s="1127"/>
      <c r="FK165" s="383"/>
      <c r="FL165" s="1127"/>
      <c r="FM165" s="383"/>
      <c r="FN165" s="383"/>
      <c r="FO165" s="383"/>
      <c r="FP165" s="1127"/>
      <c r="FQ165" s="383"/>
      <c r="GD165" s="1127"/>
      <c r="GE165" s="1127"/>
      <c r="GF165" s="1127"/>
      <c r="GG165" s="1127"/>
      <c r="GH165" s="1127"/>
      <c r="GI165" s="1127"/>
      <c r="GJ165" s="1127"/>
      <c r="GK165" s="1127"/>
      <c r="GL165" s="1127"/>
      <c r="GM165" s="1127"/>
      <c r="GN165" s="1127"/>
      <c r="GO165" s="1127"/>
      <c r="GP165" s="422"/>
      <c r="GQ165" s="1127"/>
      <c r="HD165" s="1127"/>
      <c r="HE165" s="1127"/>
      <c r="HF165" s="1127"/>
      <c r="HG165" s="1127"/>
      <c r="HH165" s="1127"/>
      <c r="HI165" s="1127"/>
      <c r="HJ165" s="1127"/>
      <c r="HK165" s="1127"/>
      <c r="HL165" s="1127"/>
      <c r="HM165" s="1127"/>
      <c r="HN165" s="1127"/>
      <c r="HO165" s="1127"/>
      <c r="HP165" s="422"/>
      <c r="HQ165" s="1127"/>
      <c r="ID165" s="383"/>
      <c r="IE165" s="383"/>
      <c r="IF165" s="383"/>
      <c r="IH165" s="383"/>
      <c r="II165" s="383"/>
      <c r="IJ165" s="383"/>
      <c r="IK165" s="383"/>
      <c r="IL165" s="383"/>
      <c r="IM165" s="383"/>
      <c r="JD165" s="383"/>
      <c r="JE165" s="383"/>
      <c r="JF165" s="383"/>
      <c r="JH165" s="383"/>
      <c r="JI165" s="383"/>
      <c r="JJ165" s="383"/>
      <c r="JK165" s="383"/>
      <c r="JL165" s="383"/>
      <c r="JM165" s="383"/>
      <c r="KD165" s="383"/>
      <c r="KE165" s="383"/>
      <c r="KF165" s="383"/>
      <c r="KH165" s="383"/>
      <c r="KI165" s="383"/>
      <c r="KJ165" s="383"/>
      <c r="KK165" s="383"/>
      <c r="KL165" s="383"/>
      <c r="KM165" s="383"/>
      <c r="LD165" s="383"/>
      <c r="LE165" s="383"/>
      <c r="LF165" s="383"/>
      <c r="LH165" s="383"/>
      <c r="LI165" s="383"/>
      <c r="LJ165" s="383"/>
      <c r="LK165" s="383"/>
      <c r="LL165" s="383"/>
      <c r="LM165" s="383"/>
      <c r="MD165" s="383"/>
      <c r="ME165" s="383"/>
      <c r="MF165" s="383"/>
      <c r="MH165" s="383"/>
      <c r="MI165" s="383"/>
      <c r="MJ165" s="383"/>
      <c r="MK165" s="383"/>
      <c r="ML165" s="383"/>
      <c r="MM165" s="383"/>
      <c r="ND165" s="383"/>
      <c r="NE165" s="383"/>
      <c r="NF165" s="383"/>
      <c r="NH165" s="383"/>
      <c r="NI165" s="383"/>
      <c r="NJ165" s="383"/>
      <c r="NK165" s="383"/>
      <c r="NL165" s="383"/>
      <c r="NM165" s="383"/>
      <c r="OD165" s="582"/>
      <c r="OE165" s="582"/>
      <c r="OF165" s="582"/>
      <c r="OH165" s="582"/>
      <c r="OI165" s="582"/>
      <c r="OJ165" s="582"/>
      <c r="OK165" s="582"/>
      <c r="OL165" s="582"/>
      <c r="OM165" s="582"/>
      <c r="PD165" s="1127"/>
      <c r="PE165" s="1127"/>
      <c r="PF165" s="1127"/>
      <c r="PH165" s="1127"/>
      <c r="PI165" s="1127"/>
      <c r="PJ165" s="1127"/>
      <c r="PK165" s="1127"/>
      <c r="PL165" s="1127"/>
      <c r="PM165" s="1127"/>
    </row>
    <row r="166" spans="88:429">
      <c r="CJ166" s="288"/>
      <c r="CK166" s="383"/>
      <c r="CL166" s="1127"/>
      <c r="CM166" s="1127"/>
      <c r="CN166" s="1127"/>
      <c r="CO166" s="1127"/>
      <c r="CQ166" s="383"/>
      <c r="CR166" s="383"/>
      <c r="CS166" s="383"/>
      <c r="CT166" s="288"/>
      <c r="CU166" s="383"/>
      <c r="CV166" s="383"/>
      <c r="DJ166" s="383"/>
      <c r="DK166" s="383"/>
      <c r="DL166" s="1127"/>
      <c r="DM166" s="1127"/>
      <c r="DN166" s="1127"/>
      <c r="DO166" s="1127"/>
      <c r="DQ166" s="383"/>
      <c r="DR166" s="383"/>
      <c r="DS166" s="383"/>
      <c r="DT166" s="383"/>
      <c r="DU166" s="383"/>
      <c r="DV166" s="383"/>
      <c r="ED166" s="269"/>
      <c r="EE166" s="288"/>
      <c r="EF166" s="383"/>
      <c r="EG166" s="383"/>
      <c r="EH166" s="383"/>
      <c r="EI166" s="1107"/>
      <c r="EJ166" s="1107"/>
      <c r="EK166" s="288"/>
      <c r="EL166" s="1107"/>
      <c r="EM166" s="383"/>
      <c r="EN166" s="383"/>
      <c r="EO166" s="383"/>
      <c r="EP166" s="422"/>
      <c r="EQ166" s="269"/>
      <c r="FD166" s="383"/>
      <c r="FE166" s="383"/>
      <c r="FF166" s="383"/>
      <c r="FG166" s="383"/>
      <c r="FH166" s="383"/>
      <c r="FI166" s="1127"/>
      <c r="FJ166" s="1127"/>
      <c r="FK166" s="383"/>
      <c r="FL166" s="1127"/>
      <c r="FM166" s="383"/>
      <c r="FN166" s="383"/>
      <c r="FO166" s="383"/>
      <c r="FP166" s="1127"/>
      <c r="FQ166" s="383"/>
      <c r="GD166" s="1127"/>
      <c r="GE166" s="1127"/>
      <c r="GF166" s="1127"/>
      <c r="GG166" s="1127"/>
      <c r="GH166" s="1127"/>
      <c r="GI166" s="1127"/>
      <c r="GJ166" s="1127"/>
      <c r="GK166" s="1127"/>
      <c r="GL166" s="1127"/>
      <c r="GM166" s="1127"/>
      <c r="GN166" s="1127"/>
      <c r="GO166" s="1127"/>
      <c r="GP166" s="422"/>
      <c r="GQ166" s="1127"/>
      <c r="HD166" s="1127"/>
      <c r="HE166" s="1127"/>
      <c r="HF166" s="1127"/>
      <c r="HG166" s="1127"/>
      <c r="HH166" s="1127"/>
      <c r="HI166" s="1127"/>
      <c r="HJ166" s="1127"/>
      <c r="HK166" s="1127"/>
      <c r="HL166" s="1127"/>
      <c r="HM166" s="1127"/>
      <c r="HN166" s="1127"/>
      <c r="HO166" s="1127"/>
      <c r="HP166" s="422"/>
      <c r="HQ166" s="1127"/>
      <c r="ID166" s="383"/>
      <c r="IE166" s="383"/>
      <c r="IF166" s="383"/>
      <c r="IH166" s="383"/>
      <c r="II166" s="383"/>
      <c r="IJ166" s="383"/>
      <c r="IK166" s="383"/>
      <c r="IL166" s="383"/>
      <c r="IM166" s="383"/>
      <c r="JD166" s="383"/>
      <c r="JE166" s="383"/>
      <c r="JF166" s="383"/>
      <c r="JH166" s="383"/>
      <c r="JI166" s="383"/>
      <c r="JJ166" s="383"/>
      <c r="JK166" s="383"/>
      <c r="JL166" s="383"/>
      <c r="JM166" s="383"/>
      <c r="KD166" s="383"/>
      <c r="KE166" s="383"/>
      <c r="KF166" s="383"/>
      <c r="KH166" s="383"/>
      <c r="KI166" s="383"/>
      <c r="KJ166" s="383"/>
      <c r="KK166" s="383"/>
      <c r="KL166" s="383"/>
      <c r="KM166" s="383"/>
      <c r="LD166" s="383"/>
      <c r="LE166" s="383"/>
      <c r="LF166" s="383"/>
      <c r="LH166" s="383"/>
      <c r="LI166" s="383"/>
      <c r="LJ166" s="383"/>
      <c r="LK166" s="383"/>
      <c r="LL166" s="383"/>
      <c r="LM166" s="383"/>
      <c r="MD166" s="383"/>
      <c r="ME166" s="383"/>
      <c r="MF166" s="383"/>
      <c r="MH166" s="383"/>
      <c r="MI166" s="383"/>
      <c r="MJ166" s="383"/>
      <c r="MK166" s="383"/>
      <c r="ML166" s="383"/>
      <c r="MM166" s="383"/>
      <c r="ND166" s="383"/>
      <c r="NE166" s="383"/>
      <c r="NF166" s="383"/>
      <c r="NH166" s="383"/>
      <c r="NI166" s="383"/>
      <c r="NJ166" s="383"/>
      <c r="NK166" s="383"/>
      <c r="NL166" s="383"/>
      <c r="NM166" s="383"/>
      <c r="OD166" s="582"/>
      <c r="OE166" s="582"/>
      <c r="OF166" s="582"/>
      <c r="OH166" s="582"/>
      <c r="OI166" s="582"/>
      <c r="OJ166" s="582"/>
      <c r="OK166" s="582"/>
      <c r="OL166" s="582"/>
      <c r="OM166" s="582"/>
      <c r="PD166" s="1127"/>
      <c r="PE166" s="1127"/>
      <c r="PF166" s="1127"/>
      <c r="PH166" s="1127"/>
      <c r="PI166" s="1127"/>
      <c r="PJ166" s="1127"/>
      <c r="PK166" s="1127"/>
      <c r="PL166" s="1127"/>
      <c r="PM166" s="1127"/>
    </row>
    <row r="167" spans="88:429">
      <c r="CJ167" s="288"/>
      <c r="CK167" s="383"/>
      <c r="CL167" s="1127"/>
      <c r="CM167" s="1127"/>
      <c r="CN167" s="1127"/>
      <c r="CO167" s="1127"/>
      <c r="CQ167" s="383"/>
      <c r="CR167" s="383"/>
      <c r="CS167" s="383"/>
      <c r="CT167" s="288"/>
      <c r="CU167" s="383"/>
      <c r="CV167" s="383"/>
      <c r="DJ167" s="383"/>
      <c r="DK167" s="383"/>
      <c r="DL167" s="1127"/>
      <c r="DM167" s="1127"/>
      <c r="DN167" s="1127"/>
      <c r="DO167" s="1127"/>
      <c r="DQ167" s="383"/>
      <c r="DR167" s="383"/>
      <c r="DS167" s="383"/>
      <c r="DT167" s="383"/>
      <c r="DU167" s="383"/>
      <c r="DV167" s="383"/>
      <c r="ED167" s="269"/>
      <c r="EE167" s="288"/>
      <c r="EF167" s="383"/>
      <c r="EG167" s="383"/>
      <c r="EH167" s="383"/>
      <c r="EI167" s="1107"/>
      <c r="EJ167" s="1107"/>
      <c r="EK167" s="288"/>
      <c r="EL167" s="1107"/>
      <c r="EM167" s="383"/>
      <c r="EN167" s="383"/>
      <c r="EO167" s="383"/>
      <c r="EP167" s="422"/>
      <c r="EQ167" s="269"/>
      <c r="FD167" s="383"/>
      <c r="FE167" s="383"/>
      <c r="FF167" s="383"/>
      <c r="FG167" s="383"/>
      <c r="FH167" s="383"/>
      <c r="FI167" s="1127"/>
      <c r="FJ167" s="1127"/>
      <c r="FK167" s="383"/>
      <c r="FL167" s="1127"/>
      <c r="FM167" s="383"/>
      <c r="FN167" s="383"/>
      <c r="FO167" s="383"/>
      <c r="FP167" s="1127"/>
      <c r="FQ167" s="383"/>
      <c r="GD167" s="1127"/>
      <c r="GE167" s="1127"/>
      <c r="GF167" s="1127"/>
      <c r="GG167" s="1127"/>
      <c r="GH167" s="1127"/>
      <c r="GI167" s="1127"/>
      <c r="GJ167" s="1127"/>
      <c r="GK167" s="1127"/>
      <c r="GL167" s="1127"/>
      <c r="GM167" s="1127"/>
      <c r="GN167" s="1127"/>
      <c r="GO167" s="1127"/>
      <c r="GP167" s="422"/>
      <c r="GQ167" s="1127"/>
      <c r="HD167" s="1127"/>
      <c r="HE167" s="1127"/>
      <c r="HF167" s="1127"/>
      <c r="HG167" s="1127"/>
      <c r="HH167" s="1127"/>
      <c r="HI167" s="1127"/>
      <c r="HJ167" s="1127"/>
      <c r="HK167" s="1127"/>
      <c r="HL167" s="1127"/>
      <c r="HM167" s="1127"/>
      <c r="HN167" s="1127"/>
      <c r="HO167" s="1127"/>
      <c r="HP167" s="422"/>
      <c r="HQ167" s="1127"/>
      <c r="ID167" s="383"/>
      <c r="IE167" s="383"/>
      <c r="IF167" s="383"/>
      <c r="IH167" s="383"/>
      <c r="II167" s="383"/>
      <c r="IJ167" s="383"/>
      <c r="IK167" s="383"/>
      <c r="IL167" s="383"/>
      <c r="IM167" s="383"/>
      <c r="JD167" s="383"/>
      <c r="JE167" s="383"/>
      <c r="JF167" s="383"/>
      <c r="JH167" s="383"/>
      <c r="JI167" s="383"/>
      <c r="JJ167" s="383"/>
      <c r="JK167" s="383"/>
      <c r="JL167" s="383"/>
      <c r="JM167" s="383"/>
      <c r="KD167" s="383"/>
      <c r="KE167" s="383"/>
      <c r="KF167" s="383"/>
      <c r="KH167" s="383"/>
      <c r="KI167" s="383"/>
      <c r="KJ167" s="383"/>
      <c r="KK167" s="383"/>
      <c r="KL167" s="383"/>
      <c r="KM167" s="383"/>
      <c r="LD167" s="383"/>
      <c r="LE167" s="383"/>
      <c r="LF167" s="383"/>
      <c r="LH167" s="383"/>
      <c r="LI167" s="383"/>
      <c r="LJ167" s="383"/>
      <c r="LK167" s="383"/>
      <c r="LL167" s="383"/>
      <c r="LM167" s="383"/>
      <c r="MD167" s="383"/>
      <c r="ME167" s="383"/>
      <c r="MF167" s="383"/>
      <c r="MH167" s="383"/>
      <c r="MI167" s="383"/>
      <c r="MJ167" s="383"/>
      <c r="MK167" s="383"/>
      <c r="ML167" s="383"/>
      <c r="MM167" s="383"/>
      <c r="ND167" s="383"/>
      <c r="NE167" s="383"/>
      <c r="NF167" s="383"/>
      <c r="NH167" s="383"/>
      <c r="NI167" s="383"/>
      <c r="NJ167" s="383"/>
      <c r="NK167" s="383"/>
      <c r="NL167" s="383"/>
      <c r="NM167" s="383"/>
      <c r="OD167" s="582"/>
      <c r="OE167" s="582"/>
      <c r="OF167" s="582"/>
      <c r="OH167" s="582"/>
      <c r="OI167" s="582"/>
      <c r="OJ167" s="582"/>
      <c r="OK167" s="582"/>
      <c r="OL167" s="582"/>
      <c r="OM167" s="582"/>
      <c r="PD167" s="1127"/>
      <c r="PE167" s="1127"/>
      <c r="PF167" s="1127"/>
      <c r="PH167" s="1127"/>
      <c r="PI167" s="1127"/>
      <c r="PJ167" s="1127"/>
      <c r="PK167" s="1127"/>
      <c r="PL167" s="1127"/>
      <c r="PM167" s="1127"/>
    </row>
    <row r="168" spans="88:429">
      <c r="CJ168" s="288"/>
      <c r="CK168" s="383"/>
      <c r="CL168" s="1127"/>
      <c r="CM168" s="1127"/>
      <c r="CN168" s="1127"/>
      <c r="CO168" s="1127"/>
      <c r="CQ168" s="383"/>
      <c r="CR168" s="383"/>
      <c r="CS168" s="383"/>
      <c r="CT168" s="288"/>
      <c r="CU168" s="383"/>
      <c r="CV168" s="383"/>
      <c r="DJ168" s="383"/>
      <c r="DK168" s="383"/>
      <c r="DL168" s="1127"/>
      <c r="DM168" s="1127"/>
      <c r="DN168" s="1127"/>
      <c r="DO168" s="1127"/>
      <c r="DQ168" s="383"/>
      <c r="DR168" s="383"/>
      <c r="DS168" s="383"/>
      <c r="DT168" s="383"/>
      <c r="DU168" s="383"/>
      <c r="DV168" s="383"/>
      <c r="ED168" s="269"/>
      <c r="EE168" s="288"/>
      <c r="EF168" s="383"/>
      <c r="EG168" s="383"/>
      <c r="EH168" s="383"/>
      <c r="EI168" s="1107"/>
      <c r="EJ168" s="1107"/>
      <c r="EK168" s="288"/>
      <c r="EL168" s="1107"/>
      <c r="EM168" s="383"/>
      <c r="EN168" s="383"/>
      <c r="EO168" s="383"/>
      <c r="EP168" s="422"/>
      <c r="EQ168" s="269"/>
      <c r="FD168" s="383"/>
      <c r="FE168" s="383"/>
      <c r="FF168" s="383"/>
      <c r="FG168" s="383"/>
      <c r="FH168" s="383"/>
      <c r="FI168" s="1127"/>
      <c r="FJ168" s="1127"/>
      <c r="FK168" s="383"/>
      <c r="FL168" s="1127"/>
      <c r="FM168" s="383"/>
      <c r="FN168" s="383"/>
      <c r="FO168" s="383"/>
      <c r="FP168" s="1127"/>
      <c r="FQ168" s="383"/>
      <c r="GD168" s="1127"/>
      <c r="GE168" s="1127"/>
      <c r="GF168" s="1127"/>
      <c r="GG168" s="1127"/>
      <c r="GH168" s="1127"/>
      <c r="GI168" s="1127"/>
      <c r="GJ168" s="1127"/>
      <c r="GK168" s="1127"/>
      <c r="GL168" s="1127"/>
      <c r="GM168" s="1127"/>
      <c r="GN168" s="1127"/>
      <c r="GO168" s="1127"/>
      <c r="GP168" s="422"/>
      <c r="GQ168" s="1127"/>
      <c r="HD168" s="1127"/>
      <c r="HE168" s="1127"/>
      <c r="HF168" s="1127"/>
      <c r="HG168" s="1127"/>
      <c r="HH168" s="1127"/>
      <c r="HI168" s="1127"/>
      <c r="HJ168" s="1127"/>
      <c r="HK168" s="1127"/>
      <c r="HL168" s="1127"/>
      <c r="HM168" s="1127"/>
      <c r="HN168" s="1127"/>
      <c r="HO168" s="1127"/>
      <c r="HP168" s="422"/>
      <c r="HQ168" s="1127"/>
      <c r="ID168" s="383"/>
      <c r="IE168" s="383"/>
      <c r="IF168" s="383"/>
      <c r="IH168" s="383"/>
      <c r="II168" s="383"/>
      <c r="IJ168" s="383"/>
      <c r="IK168" s="383"/>
      <c r="IL168" s="383"/>
      <c r="IM168" s="383"/>
      <c r="JD168" s="383"/>
      <c r="JE168" s="383"/>
      <c r="JF168" s="383"/>
      <c r="JH168" s="383"/>
      <c r="JI168" s="383"/>
      <c r="JJ168" s="383"/>
      <c r="JK168" s="383"/>
      <c r="JL168" s="383"/>
      <c r="JM168" s="383"/>
      <c r="KD168" s="383"/>
      <c r="KE168" s="383"/>
      <c r="KF168" s="383"/>
      <c r="KH168" s="383"/>
      <c r="KI168" s="383"/>
      <c r="KJ168" s="383"/>
      <c r="KK168" s="383"/>
      <c r="KL168" s="383"/>
      <c r="KM168" s="383"/>
      <c r="LD168" s="383"/>
      <c r="LE168" s="383"/>
      <c r="LF168" s="383"/>
      <c r="LH168" s="383"/>
      <c r="LI168" s="383"/>
      <c r="LJ168" s="383"/>
      <c r="LK168" s="383"/>
      <c r="LL168" s="383"/>
      <c r="LM168" s="383"/>
      <c r="MD168" s="383"/>
      <c r="ME168" s="383"/>
      <c r="MF168" s="383"/>
      <c r="MH168" s="383"/>
      <c r="MI168" s="383"/>
      <c r="MJ168" s="383"/>
      <c r="MK168" s="383"/>
      <c r="ML168" s="383"/>
      <c r="MM168" s="383"/>
      <c r="ND168" s="383"/>
      <c r="NE168" s="383"/>
      <c r="NF168" s="383"/>
      <c r="NH168" s="383"/>
      <c r="NI168" s="383"/>
      <c r="NJ168" s="383"/>
      <c r="NK168" s="383"/>
      <c r="NL168" s="383"/>
      <c r="NM168" s="383"/>
      <c r="OD168" s="582"/>
      <c r="OE168" s="582"/>
      <c r="OF168" s="582"/>
      <c r="OH168" s="582"/>
      <c r="OI168" s="582"/>
      <c r="OJ168" s="582"/>
      <c r="OK168" s="582"/>
      <c r="OL168" s="582"/>
      <c r="OM168" s="582"/>
      <c r="PD168" s="1127"/>
      <c r="PE168" s="1127"/>
      <c r="PF168" s="1127"/>
      <c r="PH168" s="1127"/>
      <c r="PI168" s="1127"/>
      <c r="PJ168" s="1127"/>
      <c r="PK168" s="1127"/>
      <c r="PL168" s="1127"/>
      <c r="PM168" s="1127"/>
    </row>
    <row r="169" spans="88:429">
      <c r="CJ169" s="288"/>
      <c r="CK169" s="383"/>
      <c r="CL169" s="1127"/>
      <c r="CM169" s="1127"/>
      <c r="CN169" s="1127"/>
      <c r="CO169" s="1127"/>
      <c r="CQ169" s="383"/>
      <c r="CR169" s="383"/>
      <c r="CS169" s="383"/>
      <c r="CT169" s="288"/>
      <c r="CU169" s="383"/>
      <c r="CV169" s="383"/>
      <c r="DJ169" s="383"/>
      <c r="DK169" s="383"/>
      <c r="DL169" s="1127"/>
      <c r="DM169" s="1127"/>
      <c r="DN169" s="1127"/>
      <c r="DO169" s="1127"/>
      <c r="DQ169" s="383"/>
      <c r="DR169" s="383"/>
      <c r="DS169" s="383"/>
      <c r="DT169" s="383"/>
      <c r="DU169" s="383"/>
      <c r="DV169" s="383"/>
      <c r="ED169" s="269"/>
      <c r="EE169" s="288"/>
      <c r="EF169" s="383"/>
      <c r="EG169" s="383"/>
      <c r="EH169" s="383"/>
      <c r="EI169" s="1107"/>
      <c r="EJ169" s="1107"/>
      <c r="EK169" s="288"/>
      <c r="EL169" s="1107"/>
      <c r="EM169" s="383"/>
      <c r="EN169" s="383"/>
      <c r="EO169" s="383"/>
      <c r="EP169" s="422"/>
      <c r="EQ169" s="269"/>
      <c r="FD169" s="383"/>
      <c r="FE169" s="383"/>
      <c r="FF169" s="383"/>
      <c r="FG169" s="383"/>
      <c r="FH169" s="383"/>
      <c r="FI169" s="1127"/>
      <c r="FJ169" s="1127"/>
      <c r="FK169" s="383"/>
      <c r="FL169" s="1127"/>
      <c r="FM169" s="383"/>
      <c r="FN169" s="383"/>
      <c r="FO169" s="383"/>
      <c r="FP169" s="1127"/>
      <c r="FQ169" s="383"/>
      <c r="GD169" s="1127"/>
      <c r="GE169" s="1127"/>
      <c r="GF169" s="1127"/>
      <c r="GG169" s="1127"/>
      <c r="GH169" s="1127"/>
      <c r="GI169" s="1127"/>
      <c r="GJ169" s="1127"/>
      <c r="GK169" s="1127"/>
      <c r="GL169" s="1127"/>
      <c r="GM169" s="1127"/>
      <c r="GN169" s="1127"/>
      <c r="GO169" s="1127"/>
      <c r="GP169" s="422"/>
      <c r="GQ169" s="1127"/>
      <c r="HD169" s="1127"/>
      <c r="HE169" s="1127"/>
      <c r="HF169" s="1127"/>
      <c r="HG169" s="1127"/>
      <c r="HH169" s="1127"/>
      <c r="HI169" s="1127"/>
      <c r="HJ169" s="1127"/>
      <c r="HK169" s="1127"/>
      <c r="HL169" s="1127"/>
      <c r="HM169" s="1127"/>
      <c r="HN169" s="1127"/>
      <c r="HO169" s="1127"/>
      <c r="HP169" s="422"/>
      <c r="HQ169" s="1127"/>
      <c r="ID169" s="383"/>
      <c r="IE169" s="383"/>
      <c r="IF169" s="383"/>
      <c r="IH169" s="383"/>
      <c r="II169" s="383"/>
      <c r="IJ169" s="383"/>
      <c r="IK169" s="383"/>
      <c r="IL169" s="383"/>
      <c r="IM169" s="383"/>
      <c r="JD169" s="383"/>
      <c r="JE169" s="383"/>
      <c r="JF169" s="383"/>
      <c r="JH169" s="383"/>
      <c r="JI169" s="383"/>
      <c r="JJ169" s="383"/>
      <c r="JK169" s="383"/>
      <c r="JL169" s="383"/>
      <c r="JM169" s="383"/>
      <c r="KD169" s="383"/>
      <c r="KE169" s="383"/>
      <c r="KF169" s="383"/>
      <c r="KH169" s="383"/>
      <c r="KI169" s="383"/>
      <c r="KJ169" s="383"/>
      <c r="KK169" s="383"/>
      <c r="KL169" s="383"/>
      <c r="KM169" s="383"/>
      <c r="LD169" s="383"/>
      <c r="LE169" s="383"/>
      <c r="LF169" s="383"/>
      <c r="LH169" s="383"/>
      <c r="LI169" s="383"/>
      <c r="LJ169" s="383"/>
      <c r="LK169" s="383"/>
      <c r="LL169" s="383"/>
      <c r="LM169" s="383"/>
      <c r="MD169" s="383"/>
      <c r="ME169" s="383"/>
      <c r="MF169" s="383"/>
      <c r="MH169" s="383"/>
      <c r="MI169" s="383"/>
      <c r="MJ169" s="383"/>
      <c r="MK169" s="383"/>
      <c r="ML169" s="383"/>
      <c r="MM169" s="383"/>
      <c r="ND169" s="383"/>
      <c r="NE169" s="383"/>
      <c r="NF169" s="383"/>
      <c r="NH169" s="383"/>
      <c r="NI169" s="383"/>
      <c r="NJ169" s="383"/>
      <c r="NK169" s="383"/>
      <c r="NL169" s="383"/>
      <c r="NM169" s="383"/>
      <c r="OD169" s="582"/>
      <c r="OE169" s="582"/>
      <c r="OF169" s="582"/>
      <c r="OH169" s="582"/>
      <c r="OI169" s="582"/>
      <c r="OJ169" s="582"/>
      <c r="OK169" s="582"/>
      <c r="OL169" s="582"/>
      <c r="OM169" s="582"/>
      <c r="PD169" s="1127"/>
      <c r="PE169" s="1127"/>
      <c r="PF169" s="1127"/>
      <c r="PH169" s="1127"/>
      <c r="PI169" s="1127"/>
      <c r="PJ169" s="1127"/>
      <c r="PK169" s="1127"/>
      <c r="PL169" s="1127"/>
      <c r="PM169" s="1127"/>
    </row>
    <row r="170" spans="88:429">
      <c r="CJ170" s="288"/>
      <c r="CK170" s="383"/>
      <c r="CL170" s="1127"/>
      <c r="CM170" s="1127"/>
      <c r="CN170" s="1127"/>
      <c r="CO170" s="1127"/>
      <c r="CQ170" s="383"/>
      <c r="CR170" s="383"/>
      <c r="CS170" s="383"/>
      <c r="CT170" s="288"/>
      <c r="CU170" s="383"/>
      <c r="CV170" s="383"/>
      <c r="DJ170" s="383"/>
      <c r="DK170" s="383"/>
      <c r="DL170" s="1127"/>
      <c r="DM170" s="1127"/>
      <c r="DN170" s="1127"/>
      <c r="DO170" s="1127"/>
      <c r="DQ170" s="383"/>
      <c r="DR170" s="383"/>
      <c r="DS170" s="383"/>
      <c r="DT170" s="383"/>
      <c r="DU170" s="383"/>
      <c r="DV170" s="383"/>
      <c r="ED170" s="269"/>
      <c r="EE170" s="288"/>
      <c r="EF170" s="383"/>
      <c r="EG170" s="383"/>
      <c r="EH170" s="383"/>
      <c r="EI170" s="1107"/>
      <c r="EJ170" s="1107"/>
      <c r="EK170" s="288"/>
      <c r="EL170" s="1107"/>
      <c r="EM170" s="383"/>
      <c r="EN170" s="383"/>
      <c r="EO170" s="383"/>
      <c r="EP170" s="422"/>
      <c r="EQ170" s="269"/>
      <c r="FD170" s="383"/>
      <c r="FE170" s="383"/>
      <c r="FF170" s="383"/>
      <c r="FG170" s="383"/>
      <c r="FH170" s="383"/>
      <c r="FI170" s="1127"/>
      <c r="FJ170" s="1127"/>
      <c r="FK170" s="383"/>
      <c r="FL170" s="1127"/>
      <c r="FM170" s="383"/>
      <c r="FN170" s="383"/>
      <c r="FO170" s="383"/>
      <c r="FP170" s="1127"/>
      <c r="FQ170" s="383"/>
      <c r="GD170" s="1127"/>
      <c r="GE170" s="1127"/>
      <c r="GF170" s="1127"/>
      <c r="GG170" s="1127"/>
      <c r="GH170" s="1127"/>
      <c r="GI170" s="1127"/>
      <c r="GJ170" s="1127"/>
      <c r="GK170" s="1127"/>
      <c r="GL170" s="1127"/>
      <c r="GM170" s="1127"/>
      <c r="GN170" s="1127"/>
      <c r="GO170" s="1127"/>
      <c r="GP170" s="422"/>
      <c r="GQ170" s="1127"/>
      <c r="HD170" s="1127"/>
      <c r="HE170" s="1127"/>
      <c r="HF170" s="1127"/>
      <c r="HG170" s="1127"/>
      <c r="HH170" s="1127"/>
      <c r="HI170" s="1127"/>
      <c r="HJ170" s="1127"/>
      <c r="HK170" s="1127"/>
      <c r="HL170" s="1127"/>
      <c r="HM170" s="1127"/>
      <c r="HN170" s="1127"/>
      <c r="HO170" s="1127"/>
      <c r="HP170" s="422"/>
      <c r="HQ170" s="1127"/>
      <c r="ID170" s="383"/>
      <c r="IE170" s="383"/>
      <c r="IF170" s="383"/>
      <c r="IH170" s="383"/>
      <c r="II170" s="383"/>
      <c r="IJ170" s="383"/>
      <c r="IK170" s="383"/>
      <c r="IL170" s="383"/>
      <c r="IM170" s="383"/>
      <c r="JD170" s="383"/>
      <c r="JE170" s="383"/>
      <c r="JF170" s="383"/>
      <c r="JH170" s="383"/>
      <c r="JI170" s="383"/>
      <c r="JJ170" s="383"/>
      <c r="JK170" s="383"/>
      <c r="JL170" s="383"/>
      <c r="JM170" s="383"/>
      <c r="KD170" s="383"/>
      <c r="KE170" s="383"/>
      <c r="KF170" s="383"/>
      <c r="KH170" s="383"/>
      <c r="KI170" s="383"/>
      <c r="KJ170" s="383"/>
      <c r="KK170" s="383"/>
      <c r="KL170" s="383"/>
      <c r="KM170" s="383"/>
      <c r="LD170" s="383"/>
      <c r="LE170" s="383"/>
      <c r="LF170" s="383"/>
      <c r="LH170" s="383"/>
      <c r="LI170" s="383"/>
      <c r="LJ170" s="383"/>
      <c r="LK170" s="383"/>
      <c r="LL170" s="383"/>
      <c r="LM170" s="383"/>
      <c r="MD170" s="383"/>
      <c r="ME170" s="383"/>
      <c r="MF170" s="383"/>
      <c r="MH170" s="383"/>
      <c r="MI170" s="383"/>
      <c r="MJ170" s="383"/>
      <c r="MK170" s="383"/>
      <c r="ML170" s="383"/>
      <c r="MM170" s="383"/>
      <c r="ND170" s="383"/>
      <c r="NE170" s="383"/>
      <c r="NF170" s="383"/>
      <c r="NH170" s="383"/>
      <c r="NI170" s="383"/>
      <c r="NJ170" s="383"/>
      <c r="NK170" s="383"/>
      <c r="NL170" s="383"/>
      <c r="NM170" s="383"/>
      <c r="OD170" s="582"/>
      <c r="OE170" s="582"/>
      <c r="OF170" s="582"/>
      <c r="OH170" s="582"/>
      <c r="OI170" s="582"/>
      <c r="OJ170" s="582"/>
      <c r="OK170" s="582"/>
      <c r="OL170" s="582"/>
      <c r="OM170" s="582"/>
      <c r="PD170" s="1127"/>
      <c r="PE170" s="1127"/>
      <c r="PF170" s="1127"/>
      <c r="PH170" s="1127"/>
      <c r="PI170" s="1127"/>
      <c r="PJ170" s="1127"/>
      <c r="PK170" s="1127"/>
      <c r="PL170" s="1127"/>
      <c r="PM170" s="1127"/>
    </row>
    <row r="171" spans="88:429">
      <c r="CJ171" s="288"/>
      <c r="CK171" s="383"/>
      <c r="CL171" s="1127"/>
      <c r="CM171" s="1127"/>
      <c r="CN171" s="1127"/>
      <c r="CO171" s="1127"/>
      <c r="CQ171" s="383"/>
      <c r="CR171" s="383"/>
      <c r="CS171" s="383"/>
      <c r="CT171" s="288"/>
      <c r="CU171" s="383"/>
      <c r="CV171" s="383"/>
      <c r="DJ171" s="383"/>
      <c r="DK171" s="383"/>
      <c r="DL171" s="1127"/>
      <c r="DM171" s="1127"/>
      <c r="DN171" s="1127"/>
      <c r="DO171" s="1127"/>
      <c r="DQ171" s="383"/>
      <c r="DR171" s="383"/>
      <c r="DS171" s="383"/>
      <c r="DT171" s="383"/>
      <c r="DU171" s="383"/>
      <c r="DV171" s="383"/>
      <c r="ED171" s="269"/>
      <c r="EE171" s="288"/>
      <c r="EF171" s="383"/>
      <c r="EG171" s="383"/>
      <c r="EH171" s="383"/>
      <c r="EI171" s="1107"/>
      <c r="EJ171" s="1107"/>
      <c r="EK171" s="288"/>
      <c r="EL171" s="1107"/>
      <c r="EM171" s="383"/>
      <c r="EN171" s="383"/>
      <c r="EO171" s="383"/>
      <c r="EP171" s="422"/>
      <c r="EQ171" s="269"/>
      <c r="FD171" s="383"/>
      <c r="FE171" s="383"/>
      <c r="FF171" s="383"/>
      <c r="FG171" s="383"/>
      <c r="FH171" s="383"/>
      <c r="FI171" s="1127"/>
      <c r="FJ171" s="1127"/>
      <c r="FK171" s="383"/>
      <c r="FL171" s="1127"/>
      <c r="FM171" s="383"/>
      <c r="FN171" s="383"/>
      <c r="FO171" s="383"/>
      <c r="FP171" s="1127"/>
      <c r="FQ171" s="383"/>
      <c r="GD171" s="1127"/>
      <c r="GE171" s="1127"/>
      <c r="GF171" s="1127"/>
      <c r="GG171" s="1127"/>
      <c r="GH171" s="1127"/>
      <c r="GI171" s="1127"/>
      <c r="GJ171" s="1127"/>
      <c r="GK171" s="1127"/>
      <c r="GL171" s="1127"/>
      <c r="GM171" s="1127"/>
      <c r="GN171" s="1127"/>
      <c r="GO171" s="1127"/>
      <c r="GP171" s="422"/>
      <c r="GQ171" s="1127"/>
      <c r="HD171" s="1127"/>
      <c r="HE171" s="1127"/>
      <c r="HF171" s="1127"/>
      <c r="HG171" s="1127"/>
      <c r="HH171" s="1127"/>
      <c r="HI171" s="1127"/>
      <c r="HJ171" s="1127"/>
      <c r="HK171" s="1127"/>
      <c r="HL171" s="1127"/>
      <c r="HM171" s="1127"/>
      <c r="HN171" s="1127"/>
      <c r="HO171" s="1127"/>
      <c r="HP171" s="422"/>
      <c r="HQ171" s="1127"/>
      <c r="ID171" s="383"/>
      <c r="IE171" s="383"/>
      <c r="IF171" s="383"/>
      <c r="IH171" s="383"/>
      <c r="II171" s="383"/>
      <c r="IJ171" s="383"/>
      <c r="IK171" s="383"/>
      <c r="IL171" s="383"/>
      <c r="IM171" s="383"/>
      <c r="JD171" s="383"/>
      <c r="JE171" s="383"/>
      <c r="JF171" s="383"/>
      <c r="JH171" s="383"/>
      <c r="JI171" s="383"/>
      <c r="JJ171" s="383"/>
      <c r="JK171" s="383"/>
      <c r="JL171" s="383"/>
      <c r="JM171" s="383"/>
      <c r="KD171" s="383"/>
      <c r="KE171" s="383"/>
      <c r="KF171" s="383"/>
      <c r="KH171" s="383"/>
      <c r="KI171" s="383"/>
      <c r="KJ171" s="383"/>
      <c r="KK171" s="383"/>
      <c r="KL171" s="383"/>
      <c r="KM171" s="383"/>
      <c r="LD171" s="383"/>
      <c r="LE171" s="383"/>
      <c r="LF171" s="383"/>
      <c r="LH171" s="383"/>
      <c r="LI171" s="383"/>
      <c r="LJ171" s="383"/>
      <c r="LK171" s="383"/>
      <c r="LL171" s="383"/>
      <c r="LM171" s="383"/>
      <c r="MD171" s="383"/>
      <c r="ME171" s="383"/>
      <c r="MF171" s="383"/>
      <c r="MH171" s="383"/>
      <c r="MI171" s="383"/>
      <c r="MJ171" s="383"/>
      <c r="MK171" s="383"/>
      <c r="ML171" s="383"/>
      <c r="MM171" s="383"/>
      <c r="ND171" s="383"/>
      <c r="NE171" s="383"/>
      <c r="NF171" s="383"/>
      <c r="NH171" s="383"/>
      <c r="NI171" s="383"/>
      <c r="NJ171" s="383"/>
      <c r="NK171" s="383"/>
      <c r="NL171" s="383"/>
      <c r="NM171" s="383"/>
      <c r="OD171" s="582"/>
      <c r="OE171" s="582"/>
      <c r="OF171" s="582"/>
      <c r="OH171" s="582"/>
      <c r="OI171" s="582"/>
      <c r="OJ171" s="582"/>
      <c r="OK171" s="582"/>
      <c r="OL171" s="582"/>
      <c r="OM171" s="582"/>
      <c r="PD171" s="1127"/>
      <c r="PE171" s="1127"/>
      <c r="PF171" s="1127"/>
      <c r="PH171" s="1127"/>
      <c r="PI171" s="1127"/>
      <c r="PJ171" s="1127"/>
      <c r="PK171" s="1127"/>
      <c r="PL171" s="1127"/>
      <c r="PM171" s="1127"/>
    </row>
    <row r="172" spans="88:429">
      <c r="CJ172" s="288"/>
      <c r="CK172" s="383"/>
      <c r="CL172" s="1127"/>
      <c r="CM172" s="1127"/>
      <c r="CN172" s="1127"/>
      <c r="CO172" s="1127"/>
      <c r="CQ172" s="383"/>
      <c r="CR172" s="383"/>
      <c r="CS172" s="383"/>
      <c r="CT172" s="288"/>
      <c r="CU172" s="383"/>
      <c r="CV172" s="383"/>
      <c r="DJ172" s="383"/>
      <c r="DK172" s="383"/>
      <c r="DL172" s="1127"/>
      <c r="DM172" s="1127"/>
      <c r="DN172" s="1127"/>
      <c r="DO172" s="1127"/>
      <c r="DQ172" s="383"/>
      <c r="DR172" s="383"/>
      <c r="DS172" s="383"/>
      <c r="DT172" s="383"/>
      <c r="DU172" s="383"/>
      <c r="DV172" s="383"/>
      <c r="ED172" s="269"/>
      <c r="EE172" s="288"/>
      <c r="EF172" s="383"/>
      <c r="EG172" s="383"/>
      <c r="EH172" s="383"/>
      <c r="EI172" s="1107"/>
      <c r="EJ172" s="1107"/>
      <c r="EK172" s="288"/>
      <c r="EL172" s="1107"/>
      <c r="EM172" s="383"/>
      <c r="EN172" s="383"/>
      <c r="EO172" s="383"/>
      <c r="EP172" s="422"/>
      <c r="EQ172" s="269"/>
      <c r="FD172" s="383"/>
      <c r="FE172" s="383"/>
      <c r="FF172" s="383"/>
      <c r="FG172" s="383"/>
      <c r="FH172" s="383"/>
      <c r="FI172" s="1127"/>
      <c r="FJ172" s="1127"/>
      <c r="FK172" s="383"/>
      <c r="FL172" s="1127"/>
      <c r="FM172" s="383"/>
      <c r="FN172" s="383"/>
      <c r="FO172" s="383"/>
      <c r="FP172" s="1127"/>
      <c r="FQ172" s="383"/>
      <c r="GD172" s="1127"/>
      <c r="GE172" s="1127"/>
      <c r="GF172" s="1127"/>
      <c r="GG172" s="1127"/>
      <c r="GH172" s="1127"/>
      <c r="GI172" s="1127"/>
      <c r="GJ172" s="1127"/>
      <c r="GK172" s="1127"/>
      <c r="GL172" s="1127"/>
      <c r="GM172" s="1127"/>
      <c r="GN172" s="1127"/>
      <c r="GO172" s="1127"/>
      <c r="GP172" s="422"/>
      <c r="GQ172" s="1127"/>
      <c r="HD172" s="1127"/>
      <c r="HE172" s="1127"/>
      <c r="HF172" s="1127"/>
      <c r="HG172" s="1127"/>
      <c r="HH172" s="1127"/>
      <c r="HI172" s="1127"/>
      <c r="HJ172" s="1127"/>
      <c r="HK172" s="1127"/>
      <c r="HL172" s="1127"/>
      <c r="HM172" s="1127"/>
      <c r="HN172" s="1127"/>
      <c r="HO172" s="1127"/>
      <c r="HP172" s="422"/>
      <c r="HQ172" s="1127"/>
      <c r="ID172" s="383"/>
      <c r="IE172" s="383"/>
      <c r="IF172" s="383"/>
      <c r="IH172" s="383"/>
      <c r="II172" s="383"/>
      <c r="IJ172" s="383"/>
      <c r="IK172" s="383"/>
      <c r="IL172" s="383"/>
      <c r="IM172" s="383"/>
      <c r="JD172" s="383"/>
      <c r="JE172" s="383"/>
      <c r="JF172" s="383"/>
      <c r="JH172" s="383"/>
      <c r="JI172" s="383"/>
      <c r="JJ172" s="383"/>
      <c r="JK172" s="383"/>
      <c r="JL172" s="383"/>
      <c r="JM172" s="383"/>
      <c r="KD172" s="383"/>
      <c r="KE172" s="383"/>
      <c r="KF172" s="383"/>
      <c r="KH172" s="383"/>
      <c r="KI172" s="383"/>
      <c r="KJ172" s="383"/>
      <c r="KK172" s="383"/>
      <c r="KL172" s="383"/>
      <c r="KM172" s="383"/>
      <c r="LD172" s="383"/>
      <c r="LE172" s="383"/>
      <c r="LF172" s="383"/>
      <c r="LH172" s="383"/>
      <c r="LI172" s="383"/>
      <c r="LJ172" s="383"/>
      <c r="LK172" s="383"/>
      <c r="LL172" s="383"/>
      <c r="LM172" s="383"/>
      <c r="MD172" s="383"/>
      <c r="ME172" s="383"/>
      <c r="MF172" s="383"/>
      <c r="MH172" s="383"/>
      <c r="MI172" s="383"/>
      <c r="MJ172" s="383"/>
      <c r="MK172" s="383"/>
      <c r="ML172" s="383"/>
      <c r="MM172" s="383"/>
      <c r="ND172" s="383"/>
      <c r="NE172" s="383"/>
      <c r="NF172" s="383"/>
      <c r="NH172" s="383"/>
      <c r="NI172" s="383"/>
      <c r="NJ172" s="383"/>
      <c r="NK172" s="383"/>
      <c r="NL172" s="383"/>
      <c r="NM172" s="383"/>
      <c r="OD172" s="582"/>
      <c r="OE172" s="582"/>
      <c r="OF172" s="582"/>
      <c r="OH172" s="582"/>
      <c r="OI172" s="582"/>
      <c r="OJ172" s="582"/>
      <c r="OK172" s="582"/>
      <c r="OL172" s="582"/>
      <c r="OM172" s="582"/>
      <c r="PD172" s="1127"/>
      <c r="PE172" s="1127"/>
      <c r="PF172" s="1127"/>
      <c r="PH172" s="1127"/>
      <c r="PI172" s="1127"/>
      <c r="PJ172" s="1127"/>
      <c r="PK172" s="1127"/>
      <c r="PL172" s="1127"/>
      <c r="PM172" s="1127"/>
    </row>
    <row r="173" spans="88:429">
      <c r="CJ173" s="288"/>
      <c r="CK173" s="383"/>
      <c r="CL173" s="1127"/>
      <c r="CM173" s="1127"/>
      <c r="CN173" s="1127"/>
      <c r="CO173" s="1127"/>
      <c r="CQ173" s="383"/>
      <c r="CR173" s="383"/>
      <c r="CS173" s="383"/>
      <c r="CT173" s="288"/>
      <c r="CU173" s="383"/>
      <c r="CV173" s="383"/>
      <c r="DJ173" s="383"/>
      <c r="DK173" s="383"/>
      <c r="DL173" s="1127"/>
      <c r="DM173" s="1127"/>
      <c r="DN173" s="1127"/>
      <c r="DO173" s="1127"/>
      <c r="DQ173" s="383"/>
      <c r="DR173" s="383"/>
      <c r="DS173" s="383"/>
      <c r="DT173" s="383"/>
      <c r="DU173" s="383"/>
      <c r="DV173" s="383"/>
      <c r="ED173" s="269"/>
      <c r="EE173" s="288"/>
      <c r="EF173" s="383"/>
      <c r="EG173" s="383"/>
      <c r="EH173" s="383"/>
      <c r="EI173" s="1107"/>
      <c r="EJ173" s="1107"/>
      <c r="EK173" s="288"/>
      <c r="EL173" s="1107"/>
      <c r="EM173" s="383"/>
      <c r="EN173" s="383"/>
      <c r="EO173" s="383"/>
      <c r="EP173" s="422"/>
      <c r="EQ173" s="269"/>
      <c r="FD173" s="383"/>
      <c r="FE173" s="383"/>
      <c r="FF173" s="383"/>
      <c r="FG173" s="383"/>
      <c r="FH173" s="383"/>
      <c r="FI173" s="1127"/>
      <c r="FJ173" s="1127"/>
      <c r="FK173" s="383"/>
      <c r="FL173" s="1127"/>
      <c r="FM173" s="383"/>
      <c r="FN173" s="383"/>
      <c r="FO173" s="383"/>
      <c r="FP173" s="1127"/>
      <c r="FQ173" s="383"/>
      <c r="GD173" s="1127"/>
      <c r="GE173" s="1127"/>
      <c r="GF173" s="1127"/>
      <c r="GG173" s="1127"/>
      <c r="GH173" s="1127"/>
      <c r="GI173" s="1127"/>
      <c r="GJ173" s="1127"/>
      <c r="GK173" s="1127"/>
      <c r="GL173" s="1127"/>
      <c r="GM173" s="1127"/>
      <c r="GN173" s="1127"/>
      <c r="GO173" s="1127"/>
      <c r="GP173" s="422"/>
      <c r="GQ173" s="1127"/>
      <c r="HD173" s="1127"/>
      <c r="HE173" s="1127"/>
      <c r="HF173" s="1127"/>
      <c r="HG173" s="1127"/>
      <c r="HH173" s="1127"/>
      <c r="HI173" s="1127"/>
      <c r="HJ173" s="1127"/>
      <c r="HK173" s="1127"/>
      <c r="HL173" s="1127"/>
      <c r="HM173" s="1127"/>
      <c r="HN173" s="1127"/>
      <c r="HO173" s="1127"/>
      <c r="HP173" s="422"/>
      <c r="HQ173" s="1127"/>
      <c r="ID173" s="383"/>
      <c r="IE173" s="383"/>
      <c r="IF173" s="383"/>
      <c r="IH173" s="383"/>
      <c r="II173" s="383"/>
      <c r="IJ173" s="383"/>
      <c r="IK173" s="383"/>
      <c r="IL173" s="383"/>
      <c r="IM173" s="383"/>
      <c r="JD173" s="383"/>
      <c r="JE173" s="383"/>
      <c r="JF173" s="383"/>
      <c r="JH173" s="383"/>
      <c r="JI173" s="383"/>
      <c r="JJ173" s="383"/>
      <c r="JK173" s="383"/>
      <c r="JL173" s="383"/>
      <c r="JM173" s="383"/>
      <c r="KD173" s="383"/>
      <c r="KE173" s="383"/>
      <c r="KF173" s="383"/>
      <c r="KH173" s="383"/>
      <c r="KI173" s="383"/>
      <c r="KJ173" s="383"/>
      <c r="KK173" s="383"/>
      <c r="KL173" s="383"/>
      <c r="KM173" s="383"/>
      <c r="LD173" s="383"/>
      <c r="LE173" s="383"/>
      <c r="LF173" s="383"/>
      <c r="LH173" s="383"/>
      <c r="LI173" s="383"/>
      <c r="LJ173" s="383"/>
      <c r="LK173" s="383"/>
      <c r="LL173" s="383"/>
      <c r="LM173" s="383"/>
      <c r="MD173" s="383"/>
      <c r="ME173" s="383"/>
      <c r="MF173" s="383"/>
      <c r="MH173" s="383"/>
      <c r="MI173" s="383"/>
      <c r="MJ173" s="383"/>
      <c r="MK173" s="383"/>
      <c r="ML173" s="383"/>
      <c r="MM173" s="383"/>
      <c r="ND173" s="383"/>
      <c r="NE173" s="383"/>
      <c r="NF173" s="383"/>
      <c r="NH173" s="383"/>
      <c r="NI173" s="383"/>
      <c r="NJ173" s="383"/>
      <c r="NK173" s="383"/>
      <c r="NL173" s="383"/>
      <c r="NM173" s="383"/>
      <c r="OD173" s="582"/>
      <c r="OE173" s="582"/>
      <c r="OF173" s="582"/>
      <c r="OH173" s="582"/>
      <c r="OI173" s="582"/>
      <c r="OJ173" s="582"/>
      <c r="OK173" s="582"/>
      <c r="OL173" s="582"/>
      <c r="OM173" s="582"/>
      <c r="PD173" s="1127"/>
      <c r="PE173" s="1127"/>
      <c r="PF173" s="1127"/>
      <c r="PH173" s="1127"/>
      <c r="PI173" s="1127"/>
      <c r="PJ173" s="1127"/>
      <c r="PK173" s="1127"/>
      <c r="PL173" s="1127"/>
      <c r="PM173" s="1127"/>
    </row>
    <row r="174" spans="88:429">
      <c r="CJ174" s="288"/>
      <c r="CK174" s="383"/>
      <c r="CL174" s="1127"/>
      <c r="CM174" s="1127"/>
      <c r="CN174" s="1127"/>
      <c r="CO174" s="1127"/>
      <c r="CQ174" s="383"/>
      <c r="CR174" s="383"/>
      <c r="CS174" s="383"/>
      <c r="CT174" s="288"/>
      <c r="CU174" s="383"/>
      <c r="CV174" s="383"/>
      <c r="DJ174" s="383"/>
      <c r="DK174" s="383"/>
      <c r="DL174" s="1127"/>
      <c r="DM174" s="1127"/>
      <c r="DN174" s="1127"/>
      <c r="DO174" s="1127"/>
      <c r="DQ174" s="383"/>
      <c r="DR174" s="383"/>
      <c r="DS174" s="383"/>
      <c r="DT174" s="383"/>
      <c r="DU174" s="383"/>
      <c r="DV174" s="383"/>
      <c r="ED174" s="269"/>
      <c r="EE174" s="288"/>
      <c r="EF174" s="383"/>
      <c r="EG174" s="383"/>
      <c r="EH174" s="383"/>
      <c r="EI174" s="1107"/>
      <c r="EJ174" s="1107"/>
      <c r="EK174" s="288"/>
      <c r="EL174" s="1107"/>
      <c r="EM174" s="383"/>
      <c r="EN174" s="383"/>
      <c r="EO174" s="383"/>
      <c r="EP174" s="422"/>
      <c r="EQ174" s="269"/>
      <c r="FD174" s="383"/>
      <c r="FE174" s="383"/>
      <c r="FF174" s="383"/>
      <c r="FG174" s="383"/>
      <c r="FH174" s="383"/>
      <c r="FI174" s="1127"/>
      <c r="FJ174" s="1127"/>
      <c r="FK174" s="383"/>
      <c r="FL174" s="1127"/>
      <c r="FM174" s="383"/>
      <c r="FN174" s="383"/>
      <c r="FO174" s="383"/>
      <c r="FP174" s="1127"/>
      <c r="FQ174" s="383"/>
      <c r="GD174" s="1127"/>
      <c r="GE174" s="1127"/>
      <c r="GF174" s="1127"/>
      <c r="GG174" s="1127"/>
      <c r="GH174" s="1127"/>
      <c r="GI174" s="1127"/>
      <c r="GJ174" s="1127"/>
      <c r="GK174" s="1127"/>
      <c r="GL174" s="1127"/>
      <c r="GM174" s="1127"/>
      <c r="GN174" s="1127"/>
      <c r="GO174" s="1127"/>
      <c r="GP174" s="422"/>
      <c r="GQ174" s="1127"/>
      <c r="HD174" s="1127"/>
      <c r="HE174" s="1127"/>
      <c r="HF174" s="1127"/>
      <c r="HG174" s="1127"/>
      <c r="HH174" s="1127"/>
      <c r="HI174" s="1127"/>
      <c r="HJ174" s="1127"/>
      <c r="HK174" s="1127"/>
      <c r="HL174" s="1127"/>
      <c r="HM174" s="1127"/>
      <c r="HN174" s="1127"/>
      <c r="HO174" s="1127"/>
      <c r="HP174" s="422"/>
      <c r="HQ174" s="1127"/>
      <c r="ID174" s="383"/>
      <c r="IE174" s="383"/>
      <c r="IF174" s="383"/>
      <c r="IH174" s="383"/>
      <c r="II174" s="383"/>
      <c r="IJ174" s="383"/>
      <c r="IK174" s="383"/>
      <c r="IL174" s="383"/>
      <c r="IM174" s="383"/>
      <c r="JD174" s="383"/>
      <c r="JE174" s="383"/>
      <c r="JF174" s="383"/>
      <c r="JH174" s="383"/>
      <c r="JI174" s="383"/>
      <c r="JJ174" s="383"/>
      <c r="JK174" s="383"/>
      <c r="JL174" s="383"/>
      <c r="JM174" s="383"/>
      <c r="KD174" s="383"/>
      <c r="KE174" s="383"/>
      <c r="KF174" s="383"/>
      <c r="KH174" s="383"/>
      <c r="KI174" s="383"/>
      <c r="KJ174" s="383"/>
      <c r="KK174" s="383"/>
      <c r="KL174" s="383"/>
      <c r="KM174" s="383"/>
      <c r="LD174" s="383"/>
      <c r="LE174" s="383"/>
      <c r="LF174" s="383"/>
      <c r="LH174" s="383"/>
      <c r="LI174" s="383"/>
      <c r="LJ174" s="383"/>
      <c r="LK174" s="383"/>
      <c r="LL174" s="383"/>
      <c r="LM174" s="383"/>
      <c r="MD174" s="383"/>
      <c r="ME174" s="383"/>
      <c r="MF174" s="383"/>
      <c r="MH174" s="383"/>
      <c r="MI174" s="383"/>
      <c r="MJ174" s="383"/>
      <c r="MK174" s="383"/>
      <c r="ML174" s="383"/>
      <c r="MM174" s="383"/>
      <c r="ND174" s="383"/>
      <c r="NE174" s="383"/>
      <c r="NF174" s="383"/>
      <c r="NH174" s="383"/>
      <c r="NI174" s="383"/>
      <c r="NJ174" s="383"/>
      <c r="NK174" s="383"/>
      <c r="NL174" s="383"/>
      <c r="NM174" s="383"/>
      <c r="OD174" s="582"/>
      <c r="OE174" s="582"/>
      <c r="OF174" s="582"/>
      <c r="OH174" s="582"/>
      <c r="OI174" s="582"/>
      <c r="OJ174" s="582"/>
      <c r="OK174" s="582"/>
      <c r="OL174" s="582"/>
      <c r="OM174" s="582"/>
      <c r="PD174" s="1127"/>
      <c r="PE174" s="1127"/>
      <c r="PF174" s="1127"/>
      <c r="PH174" s="1127"/>
      <c r="PI174" s="1127"/>
      <c r="PJ174" s="1127"/>
      <c r="PK174" s="1127"/>
      <c r="PL174" s="1127"/>
      <c r="PM174" s="1127"/>
    </row>
    <row r="175" spans="88:429">
      <c r="CJ175" s="288"/>
      <c r="CK175" s="383"/>
      <c r="CL175" s="1127"/>
      <c r="CM175" s="1127"/>
      <c r="CN175" s="1127"/>
      <c r="CO175" s="1127"/>
      <c r="CQ175" s="383"/>
      <c r="CR175" s="383"/>
      <c r="CS175" s="383"/>
      <c r="CT175" s="288"/>
      <c r="CU175" s="383"/>
      <c r="CV175" s="383"/>
      <c r="DJ175" s="383"/>
      <c r="DK175" s="383"/>
      <c r="DL175" s="1127"/>
      <c r="DM175" s="1127"/>
      <c r="DN175" s="1127"/>
      <c r="DO175" s="1127"/>
      <c r="DQ175" s="383"/>
      <c r="DR175" s="383"/>
      <c r="DS175" s="383"/>
      <c r="DT175" s="383"/>
      <c r="DU175" s="383"/>
      <c r="DV175" s="383"/>
      <c r="ED175" s="269"/>
      <c r="EE175" s="288"/>
      <c r="EF175" s="383"/>
      <c r="EG175" s="383"/>
      <c r="EH175" s="383"/>
      <c r="EI175" s="1107"/>
      <c r="EJ175" s="1107"/>
      <c r="EK175" s="288"/>
      <c r="EL175" s="1107"/>
      <c r="EM175" s="383"/>
      <c r="EN175" s="383"/>
      <c r="EO175" s="383"/>
      <c r="EP175" s="422"/>
      <c r="EQ175" s="269"/>
      <c r="FD175" s="383"/>
      <c r="FE175" s="383"/>
      <c r="FF175" s="383"/>
      <c r="FG175" s="383"/>
      <c r="FH175" s="383"/>
      <c r="FI175" s="1127"/>
      <c r="FJ175" s="1127"/>
      <c r="FK175" s="383"/>
      <c r="FL175" s="1127"/>
      <c r="FM175" s="383"/>
      <c r="FN175" s="383"/>
      <c r="FO175" s="383"/>
      <c r="FP175" s="1127"/>
      <c r="FQ175" s="383"/>
      <c r="GD175" s="1127"/>
      <c r="GE175" s="1127"/>
      <c r="GF175" s="1127"/>
      <c r="GG175" s="1127"/>
      <c r="GH175" s="1127"/>
      <c r="GI175" s="1127"/>
      <c r="GJ175" s="1127"/>
      <c r="GK175" s="1127"/>
      <c r="GL175" s="1127"/>
      <c r="GM175" s="1127"/>
      <c r="GN175" s="1127"/>
      <c r="GO175" s="1127"/>
      <c r="GP175" s="422"/>
      <c r="GQ175" s="1127"/>
      <c r="HD175" s="1127"/>
      <c r="HE175" s="1127"/>
      <c r="HF175" s="1127"/>
      <c r="HG175" s="1127"/>
      <c r="HH175" s="1127"/>
      <c r="HI175" s="1127"/>
      <c r="HJ175" s="1127"/>
      <c r="HK175" s="1127"/>
      <c r="HL175" s="1127"/>
      <c r="HM175" s="1127"/>
      <c r="HN175" s="1127"/>
      <c r="HO175" s="1127"/>
      <c r="HP175" s="422"/>
      <c r="HQ175" s="1127"/>
      <c r="ID175" s="383"/>
      <c r="IE175" s="383"/>
      <c r="IF175" s="383"/>
      <c r="IH175" s="383"/>
      <c r="II175" s="383"/>
      <c r="IJ175" s="383"/>
      <c r="IK175" s="383"/>
      <c r="IL175" s="383"/>
      <c r="IM175" s="383"/>
      <c r="JD175" s="383"/>
      <c r="JE175" s="383"/>
      <c r="JF175" s="383"/>
      <c r="JH175" s="383"/>
      <c r="JI175" s="383"/>
      <c r="JJ175" s="383"/>
      <c r="JK175" s="383"/>
      <c r="JL175" s="383"/>
      <c r="JM175" s="383"/>
      <c r="KD175" s="383"/>
      <c r="KE175" s="383"/>
      <c r="KF175" s="383"/>
      <c r="KH175" s="383"/>
      <c r="KI175" s="383"/>
      <c r="KJ175" s="383"/>
      <c r="KK175" s="383"/>
      <c r="KL175" s="383"/>
      <c r="KM175" s="383"/>
      <c r="LD175" s="383"/>
      <c r="LE175" s="383"/>
      <c r="LF175" s="383"/>
      <c r="LH175" s="383"/>
      <c r="LI175" s="383"/>
      <c r="LJ175" s="383"/>
      <c r="LK175" s="383"/>
      <c r="LL175" s="383"/>
      <c r="LM175" s="383"/>
      <c r="MD175" s="383"/>
      <c r="ME175" s="383"/>
      <c r="MF175" s="383"/>
      <c r="MH175" s="383"/>
      <c r="MI175" s="383"/>
      <c r="MJ175" s="383"/>
      <c r="MK175" s="383"/>
      <c r="ML175" s="383"/>
      <c r="MM175" s="383"/>
      <c r="ND175" s="383"/>
      <c r="NE175" s="383"/>
      <c r="NF175" s="383"/>
      <c r="NH175" s="383"/>
      <c r="NI175" s="383"/>
      <c r="NJ175" s="383"/>
      <c r="NK175" s="383"/>
      <c r="NL175" s="383"/>
      <c r="NM175" s="383"/>
      <c r="OD175" s="582"/>
      <c r="OE175" s="582"/>
      <c r="OF175" s="582"/>
      <c r="OH175" s="582"/>
      <c r="OI175" s="582"/>
      <c r="OJ175" s="582"/>
      <c r="OK175" s="582"/>
      <c r="OL175" s="582"/>
      <c r="OM175" s="582"/>
      <c r="PD175" s="1127"/>
      <c r="PE175" s="1127"/>
      <c r="PF175" s="1127"/>
      <c r="PH175" s="1127"/>
      <c r="PI175" s="1127"/>
      <c r="PJ175" s="1127"/>
      <c r="PK175" s="1127"/>
      <c r="PL175" s="1127"/>
      <c r="PM175" s="1127"/>
    </row>
    <row r="176" spans="88:429">
      <c r="CJ176" s="288"/>
      <c r="CK176" s="383"/>
      <c r="CL176" s="1127"/>
      <c r="CM176" s="1127"/>
      <c r="CN176" s="1127"/>
      <c r="CO176" s="1127"/>
      <c r="CQ176" s="383"/>
      <c r="CR176" s="383"/>
      <c r="CS176" s="383"/>
      <c r="CT176" s="288"/>
      <c r="CU176" s="383"/>
      <c r="CV176" s="383"/>
      <c r="DJ176" s="383"/>
      <c r="DK176" s="383"/>
      <c r="DL176" s="1127"/>
      <c r="DM176" s="1127"/>
      <c r="DN176" s="1127"/>
      <c r="DO176" s="1127"/>
      <c r="DQ176" s="383"/>
      <c r="DR176" s="383"/>
      <c r="DS176" s="383"/>
      <c r="DT176" s="383"/>
      <c r="DU176" s="383"/>
      <c r="DV176" s="383"/>
      <c r="ED176" s="269"/>
      <c r="EE176" s="288"/>
      <c r="EF176" s="383"/>
      <c r="EG176" s="383"/>
      <c r="EH176" s="383"/>
      <c r="EI176" s="1107"/>
      <c r="EJ176" s="1107"/>
      <c r="EK176" s="288"/>
      <c r="EL176" s="1107"/>
      <c r="EM176" s="383"/>
      <c r="EN176" s="383"/>
      <c r="EO176" s="383"/>
      <c r="EP176" s="422"/>
      <c r="EQ176" s="269"/>
      <c r="FD176" s="383"/>
      <c r="FE176" s="383"/>
      <c r="FF176" s="383"/>
      <c r="FG176" s="383"/>
      <c r="FH176" s="383"/>
      <c r="FI176" s="1127"/>
      <c r="FJ176" s="1127"/>
      <c r="FK176" s="383"/>
      <c r="FL176" s="1127"/>
      <c r="FM176" s="383"/>
      <c r="FN176" s="383"/>
      <c r="FO176" s="383"/>
      <c r="FP176" s="1127"/>
      <c r="FQ176" s="383"/>
      <c r="GD176" s="1127"/>
      <c r="GE176" s="1127"/>
      <c r="GF176" s="1127"/>
      <c r="GG176" s="1127"/>
      <c r="GH176" s="1127"/>
      <c r="GI176" s="1127"/>
      <c r="GJ176" s="1127"/>
      <c r="GK176" s="1127"/>
      <c r="GL176" s="1127"/>
      <c r="GM176" s="1127"/>
      <c r="GN176" s="1127"/>
      <c r="GO176" s="1127"/>
      <c r="GP176" s="422"/>
      <c r="GQ176" s="1127"/>
      <c r="HD176" s="1127"/>
      <c r="HE176" s="1127"/>
      <c r="HF176" s="1127"/>
      <c r="HG176" s="1127"/>
      <c r="HH176" s="1127"/>
      <c r="HI176" s="1127"/>
      <c r="HJ176" s="1127"/>
      <c r="HK176" s="1127"/>
      <c r="HL176" s="1127"/>
      <c r="HM176" s="1127"/>
      <c r="HN176" s="1127"/>
      <c r="HO176" s="1127"/>
      <c r="HP176" s="422"/>
      <c r="HQ176" s="1127"/>
      <c r="ID176" s="383"/>
      <c r="IE176" s="383"/>
      <c r="IF176" s="383"/>
      <c r="IH176" s="383"/>
      <c r="II176" s="383"/>
      <c r="IJ176" s="383"/>
      <c r="IK176" s="383"/>
      <c r="IL176" s="383"/>
      <c r="IM176" s="383"/>
      <c r="JD176" s="383"/>
      <c r="JE176" s="383"/>
      <c r="JF176" s="383"/>
      <c r="JH176" s="383"/>
      <c r="JI176" s="383"/>
      <c r="JJ176" s="383"/>
      <c r="JK176" s="383"/>
      <c r="JL176" s="383"/>
      <c r="JM176" s="383"/>
      <c r="KD176" s="383"/>
      <c r="KE176" s="383"/>
      <c r="KF176" s="383"/>
      <c r="KH176" s="383"/>
      <c r="KI176" s="383"/>
      <c r="KJ176" s="383"/>
      <c r="KK176" s="383"/>
      <c r="KL176" s="383"/>
      <c r="KM176" s="383"/>
      <c r="LD176" s="383"/>
      <c r="LE176" s="383"/>
      <c r="LF176" s="383"/>
      <c r="LH176" s="383"/>
      <c r="LI176" s="383"/>
      <c r="LJ176" s="383"/>
      <c r="LK176" s="383"/>
      <c r="LL176" s="383"/>
      <c r="LM176" s="383"/>
      <c r="MD176" s="383"/>
      <c r="ME176" s="383"/>
      <c r="MF176" s="383"/>
      <c r="MH176" s="383"/>
      <c r="MI176" s="383"/>
      <c r="MJ176" s="383"/>
      <c r="MK176" s="383"/>
      <c r="ML176" s="383"/>
      <c r="MM176" s="383"/>
      <c r="ND176" s="383"/>
      <c r="NE176" s="383"/>
      <c r="NF176" s="383"/>
      <c r="NH176" s="383"/>
      <c r="NI176" s="383"/>
      <c r="NJ176" s="383"/>
      <c r="NK176" s="383"/>
      <c r="NL176" s="383"/>
      <c r="NM176" s="383"/>
      <c r="OD176" s="582"/>
      <c r="OE176" s="582"/>
      <c r="OF176" s="582"/>
      <c r="OH176" s="582"/>
      <c r="OI176" s="582"/>
      <c r="OJ176" s="582"/>
      <c r="OK176" s="582"/>
      <c r="OL176" s="582"/>
      <c r="OM176" s="582"/>
      <c r="PD176" s="1127"/>
      <c r="PE176" s="1127"/>
      <c r="PF176" s="1127"/>
      <c r="PH176" s="1127"/>
      <c r="PI176" s="1127"/>
      <c r="PJ176" s="1127"/>
      <c r="PK176" s="1127"/>
      <c r="PL176" s="1127"/>
      <c r="PM176" s="1127"/>
    </row>
    <row r="177" spans="88:429">
      <c r="CJ177" s="288"/>
      <c r="CK177" s="383"/>
      <c r="CL177" s="1127"/>
      <c r="CM177" s="1127"/>
      <c r="CN177" s="1127"/>
      <c r="CO177" s="1127"/>
      <c r="CQ177" s="383"/>
      <c r="CR177" s="383"/>
      <c r="CS177" s="383"/>
      <c r="CT177" s="288"/>
      <c r="CU177" s="383"/>
      <c r="CV177" s="383"/>
      <c r="DJ177" s="383"/>
      <c r="DK177" s="383"/>
      <c r="DL177" s="1127"/>
      <c r="DM177" s="1127"/>
      <c r="DN177" s="1127"/>
      <c r="DO177" s="1127"/>
      <c r="DQ177" s="383"/>
      <c r="DR177" s="383"/>
      <c r="DS177" s="383"/>
      <c r="DT177" s="383"/>
      <c r="DU177" s="383"/>
      <c r="DV177" s="383"/>
      <c r="ED177" s="269"/>
      <c r="EE177" s="288"/>
      <c r="EF177" s="383"/>
      <c r="EG177" s="383"/>
      <c r="EH177" s="383"/>
      <c r="EI177" s="1107"/>
      <c r="EJ177" s="1107"/>
      <c r="EK177" s="288"/>
      <c r="EL177" s="1107"/>
      <c r="EM177" s="383"/>
      <c r="EN177" s="383"/>
      <c r="EO177" s="383"/>
      <c r="EP177" s="422"/>
      <c r="EQ177" s="269"/>
      <c r="FD177" s="383"/>
      <c r="FE177" s="383"/>
      <c r="FF177" s="383"/>
      <c r="FG177" s="383"/>
      <c r="FH177" s="383"/>
      <c r="FI177" s="1127"/>
      <c r="FJ177" s="1127"/>
      <c r="FK177" s="383"/>
      <c r="FL177" s="1127"/>
      <c r="FM177" s="383"/>
      <c r="FN177" s="383"/>
      <c r="FO177" s="383"/>
      <c r="FP177" s="1127"/>
      <c r="FQ177" s="383"/>
      <c r="GD177" s="1127"/>
      <c r="GE177" s="1127"/>
      <c r="GF177" s="1127"/>
      <c r="GG177" s="1127"/>
      <c r="GH177" s="1127"/>
      <c r="GI177" s="1127"/>
      <c r="GJ177" s="1127"/>
      <c r="GK177" s="1127"/>
      <c r="GL177" s="1127"/>
      <c r="GM177" s="1127"/>
      <c r="GN177" s="1127"/>
      <c r="GO177" s="1127"/>
      <c r="GP177" s="422"/>
      <c r="GQ177" s="1127"/>
      <c r="HD177" s="1127"/>
      <c r="HE177" s="1127"/>
      <c r="HF177" s="1127"/>
      <c r="HG177" s="1127"/>
      <c r="HH177" s="1127"/>
      <c r="HI177" s="1127"/>
      <c r="HJ177" s="1127"/>
      <c r="HK177" s="1127"/>
      <c r="HL177" s="1127"/>
      <c r="HM177" s="1127"/>
      <c r="HN177" s="1127"/>
      <c r="HO177" s="1127"/>
      <c r="HP177" s="422"/>
      <c r="HQ177" s="1127"/>
      <c r="ID177" s="383"/>
      <c r="IE177" s="383"/>
      <c r="IF177" s="383"/>
      <c r="IH177" s="383"/>
      <c r="II177" s="383"/>
      <c r="IJ177" s="383"/>
      <c r="IK177" s="383"/>
      <c r="IL177" s="383"/>
      <c r="IM177" s="383"/>
      <c r="JD177" s="383"/>
      <c r="JE177" s="383"/>
      <c r="JF177" s="383"/>
      <c r="JH177" s="383"/>
      <c r="JI177" s="383"/>
      <c r="JJ177" s="383"/>
      <c r="JK177" s="383"/>
      <c r="JL177" s="383"/>
      <c r="JM177" s="383"/>
      <c r="KD177" s="383"/>
      <c r="KE177" s="383"/>
      <c r="KF177" s="383"/>
      <c r="KH177" s="383"/>
      <c r="KI177" s="383"/>
      <c r="KJ177" s="383"/>
      <c r="KK177" s="383"/>
      <c r="KL177" s="383"/>
      <c r="KM177" s="383"/>
      <c r="LD177" s="383"/>
      <c r="LE177" s="383"/>
      <c r="LF177" s="383"/>
      <c r="LH177" s="383"/>
      <c r="LI177" s="383"/>
      <c r="LJ177" s="383"/>
      <c r="LK177" s="383"/>
      <c r="LL177" s="383"/>
      <c r="LM177" s="383"/>
      <c r="MD177" s="383"/>
      <c r="ME177" s="383"/>
      <c r="MF177" s="383"/>
      <c r="MH177" s="383"/>
      <c r="MI177" s="383"/>
      <c r="MJ177" s="383"/>
      <c r="MK177" s="383"/>
      <c r="ML177" s="383"/>
      <c r="MM177" s="383"/>
      <c r="ND177" s="383"/>
      <c r="NE177" s="383"/>
      <c r="NF177" s="383"/>
      <c r="NH177" s="383"/>
      <c r="NI177" s="383"/>
      <c r="NJ177" s="383"/>
      <c r="NK177" s="383"/>
      <c r="NL177" s="383"/>
      <c r="NM177" s="383"/>
      <c r="OD177" s="582"/>
      <c r="OE177" s="582"/>
      <c r="OF177" s="582"/>
      <c r="OH177" s="582"/>
      <c r="OI177" s="582"/>
      <c r="OJ177" s="582"/>
      <c r="OK177" s="582"/>
      <c r="OL177" s="582"/>
      <c r="OM177" s="582"/>
      <c r="PD177" s="1127"/>
      <c r="PE177" s="1127"/>
      <c r="PF177" s="1127"/>
      <c r="PH177" s="1127"/>
      <c r="PI177" s="1127"/>
      <c r="PJ177" s="1127"/>
      <c r="PK177" s="1127"/>
      <c r="PL177" s="1127"/>
      <c r="PM177" s="1127"/>
    </row>
    <row r="178" spans="88:429">
      <c r="CJ178" s="288"/>
      <c r="CK178" s="383"/>
      <c r="CL178" s="1127"/>
      <c r="CM178" s="1127"/>
      <c r="CN178" s="1127"/>
      <c r="CO178" s="1127"/>
      <c r="CQ178" s="383"/>
      <c r="CR178" s="383"/>
      <c r="CS178" s="383"/>
      <c r="CT178" s="288"/>
      <c r="CU178" s="383"/>
      <c r="CV178" s="383"/>
      <c r="DJ178" s="383"/>
      <c r="DK178" s="383"/>
      <c r="DL178" s="1127"/>
      <c r="DM178" s="1127"/>
      <c r="DN178" s="1127"/>
      <c r="DO178" s="1127"/>
      <c r="DQ178" s="383"/>
      <c r="DR178" s="383"/>
      <c r="DS178" s="383"/>
      <c r="DT178" s="383"/>
      <c r="DU178" s="383"/>
      <c r="DV178" s="383"/>
      <c r="ED178" s="269"/>
      <c r="EE178" s="288"/>
      <c r="EF178" s="383"/>
      <c r="EG178" s="383"/>
      <c r="EH178" s="383"/>
      <c r="EI178" s="1107"/>
      <c r="EJ178" s="1107"/>
      <c r="EK178" s="288"/>
      <c r="EL178" s="1107"/>
      <c r="EM178" s="383"/>
      <c r="EN178" s="383"/>
      <c r="EO178" s="383"/>
      <c r="EP178" s="422"/>
      <c r="EQ178" s="269"/>
      <c r="FD178" s="383"/>
      <c r="FE178" s="383"/>
      <c r="FF178" s="383"/>
      <c r="FG178" s="383"/>
      <c r="FH178" s="383"/>
      <c r="FI178" s="1127"/>
      <c r="FJ178" s="1127"/>
      <c r="FK178" s="383"/>
      <c r="FL178" s="1127"/>
      <c r="FM178" s="383"/>
      <c r="FN178" s="383"/>
      <c r="FO178" s="383"/>
      <c r="FP178" s="1127"/>
      <c r="FQ178" s="383"/>
      <c r="GD178" s="1127"/>
      <c r="GE178" s="1127"/>
      <c r="GF178" s="1127"/>
      <c r="GG178" s="1127"/>
      <c r="GH178" s="1127"/>
      <c r="GI178" s="1127"/>
      <c r="GJ178" s="1127"/>
      <c r="GK178" s="1127"/>
      <c r="GL178" s="1127"/>
      <c r="GM178" s="1127"/>
      <c r="GN178" s="1127"/>
      <c r="GO178" s="1127"/>
      <c r="GP178" s="422"/>
      <c r="GQ178" s="1127"/>
      <c r="HD178" s="1127"/>
      <c r="HE178" s="1127"/>
      <c r="HF178" s="1127"/>
      <c r="HG178" s="1127"/>
      <c r="HH178" s="1127"/>
      <c r="HI178" s="1127"/>
      <c r="HJ178" s="1127"/>
      <c r="HK178" s="1127"/>
      <c r="HL178" s="1127"/>
      <c r="HM178" s="1127"/>
      <c r="HN178" s="1127"/>
      <c r="HO178" s="1127"/>
      <c r="HP178" s="422"/>
      <c r="HQ178" s="1127"/>
      <c r="ID178" s="383"/>
      <c r="IE178" s="383"/>
      <c r="IF178" s="383"/>
      <c r="IH178" s="383"/>
      <c r="II178" s="383"/>
      <c r="IJ178" s="383"/>
      <c r="IK178" s="383"/>
      <c r="IL178" s="383"/>
      <c r="IM178" s="383"/>
      <c r="JD178" s="383"/>
      <c r="JE178" s="383"/>
      <c r="JF178" s="383"/>
      <c r="JH178" s="383"/>
      <c r="JI178" s="383"/>
      <c r="JJ178" s="383"/>
      <c r="JK178" s="383"/>
      <c r="JL178" s="383"/>
      <c r="JM178" s="383"/>
      <c r="KD178" s="383"/>
      <c r="KE178" s="383"/>
      <c r="KF178" s="383"/>
      <c r="KH178" s="383"/>
      <c r="KI178" s="383"/>
      <c r="KJ178" s="383"/>
      <c r="KK178" s="383"/>
      <c r="KL178" s="383"/>
      <c r="KM178" s="383"/>
      <c r="LD178" s="383"/>
      <c r="LE178" s="383"/>
      <c r="LF178" s="383"/>
      <c r="LH178" s="383"/>
      <c r="LI178" s="383"/>
      <c r="LJ178" s="383"/>
      <c r="LK178" s="383"/>
      <c r="LL178" s="383"/>
      <c r="LM178" s="383"/>
      <c r="MD178" s="383"/>
      <c r="ME178" s="383"/>
      <c r="MF178" s="383"/>
      <c r="MH178" s="383"/>
      <c r="MI178" s="383"/>
      <c r="MJ178" s="383"/>
      <c r="MK178" s="383"/>
      <c r="ML178" s="383"/>
      <c r="MM178" s="383"/>
      <c r="ND178" s="383"/>
      <c r="NE178" s="383"/>
      <c r="NF178" s="383"/>
      <c r="NH178" s="383"/>
      <c r="NI178" s="383"/>
      <c r="NJ178" s="383"/>
      <c r="NK178" s="383"/>
      <c r="NL178" s="383"/>
      <c r="NM178" s="383"/>
      <c r="OD178" s="582"/>
      <c r="OE178" s="582"/>
      <c r="OF178" s="582"/>
      <c r="OH178" s="582"/>
      <c r="OI178" s="582"/>
      <c r="OJ178" s="582"/>
      <c r="OK178" s="582"/>
      <c r="OL178" s="582"/>
      <c r="OM178" s="582"/>
      <c r="PD178" s="1127"/>
      <c r="PE178" s="1127"/>
      <c r="PF178" s="1127"/>
      <c r="PH178" s="1127"/>
      <c r="PI178" s="1127"/>
      <c r="PJ178" s="1127"/>
      <c r="PK178" s="1127"/>
      <c r="PL178" s="1127"/>
      <c r="PM178" s="1127"/>
    </row>
    <row r="179" spans="88:429">
      <c r="CJ179" s="288"/>
      <c r="CK179" s="383"/>
      <c r="CL179" s="1127"/>
      <c r="CM179" s="1127"/>
      <c r="CN179" s="1127"/>
      <c r="CO179" s="1127"/>
      <c r="CQ179" s="383"/>
      <c r="CR179" s="383"/>
      <c r="CS179" s="383"/>
      <c r="CT179" s="288"/>
      <c r="CU179" s="383"/>
      <c r="CV179" s="383"/>
      <c r="DJ179" s="383"/>
      <c r="DK179" s="383"/>
      <c r="DL179" s="1127"/>
      <c r="DM179" s="1127"/>
      <c r="DN179" s="1127"/>
      <c r="DO179" s="1127"/>
      <c r="DQ179" s="383"/>
      <c r="DR179" s="383"/>
      <c r="DS179" s="383"/>
      <c r="DT179" s="383"/>
      <c r="DU179" s="383"/>
      <c r="DV179" s="383"/>
      <c r="ED179" s="269"/>
      <c r="EE179" s="288"/>
      <c r="EF179" s="383"/>
      <c r="EG179" s="383"/>
      <c r="EH179" s="383"/>
      <c r="EI179" s="1107"/>
      <c r="EJ179" s="1107"/>
      <c r="EK179" s="288"/>
      <c r="EL179" s="1107"/>
      <c r="EM179" s="383"/>
      <c r="EN179" s="383"/>
      <c r="EO179" s="383"/>
      <c r="EP179" s="422"/>
      <c r="EQ179" s="269"/>
      <c r="FD179" s="383"/>
      <c r="FE179" s="383"/>
      <c r="FF179" s="383"/>
      <c r="FG179" s="383"/>
      <c r="FH179" s="383"/>
      <c r="FI179" s="1127"/>
      <c r="FJ179" s="1127"/>
      <c r="FK179" s="383"/>
      <c r="FL179" s="1127"/>
      <c r="FM179" s="383"/>
      <c r="FN179" s="383"/>
      <c r="FO179" s="383"/>
      <c r="FP179" s="1127"/>
      <c r="FQ179" s="383"/>
      <c r="GD179" s="1127"/>
      <c r="GE179" s="1127"/>
      <c r="GF179" s="1127"/>
      <c r="GG179" s="1127"/>
      <c r="GH179" s="1127"/>
      <c r="GI179" s="1127"/>
      <c r="GJ179" s="1127"/>
      <c r="GK179" s="1127"/>
      <c r="GL179" s="1127"/>
      <c r="GM179" s="1127"/>
      <c r="GN179" s="1127"/>
      <c r="GO179" s="1127"/>
      <c r="GP179" s="422"/>
      <c r="GQ179" s="1127"/>
      <c r="HD179" s="1127"/>
      <c r="HE179" s="1127"/>
      <c r="HF179" s="1127"/>
      <c r="HG179" s="1127"/>
      <c r="HH179" s="1127"/>
      <c r="HI179" s="1127"/>
      <c r="HJ179" s="1127"/>
      <c r="HK179" s="1127"/>
      <c r="HL179" s="1127"/>
      <c r="HM179" s="1127"/>
      <c r="HN179" s="1127"/>
      <c r="HO179" s="1127"/>
      <c r="HP179" s="422"/>
      <c r="HQ179" s="1127"/>
      <c r="ID179" s="383"/>
      <c r="IE179" s="383"/>
      <c r="IF179" s="383"/>
      <c r="IH179" s="383"/>
      <c r="II179" s="383"/>
      <c r="IJ179" s="383"/>
      <c r="IK179" s="383"/>
      <c r="IL179" s="383"/>
      <c r="IM179" s="383"/>
      <c r="JD179" s="383"/>
      <c r="JE179" s="383"/>
      <c r="JF179" s="383"/>
      <c r="JH179" s="383"/>
      <c r="JI179" s="383"/>
      <c r="JJ179" s="383"/>
      <c r="JK179" s="383"/>
      <c r="JL179" s="383"/>
      <c r="JM179" s="383"/>
      <c r="KD179" s="383"/>
      <c r="KE179" s="383"/>
      <c r="KF179" s="383"/>
      <c r="KH179" s="383"/>
      <c r="KI179" s="383"/>
      <c r="KJ179" s="383"/>
      <c r="KK179" s="383"/>
      <c r="KL179" s="383"/>
      <c r="KM179" s="383"/>
      <c r="LD179" s="383"/>
      <c r="LE179" s="383"/>
      <c r="LF179" s="383"/>
      <c r="LH179" s="383"/>
      <c r="LI179" s="383"/>
      <c r="LJ179" s="383"/>
      <c r="LK179" s="383"/>
      <c r="LL179" s="383"/>
      <c r="LM179" s="383"/>
      <c r="MD179" s="383"/>
      <c r="ME179" s="383"/>
      <c r="MF179" s="383"/>
      <c r="MH179" s="383"/>
      <c r="MI179" s="383"/>
      <c r="MJ179" s="383"/>
      <c r="MK179" s="383"/>
      <c r="ML179" s="383"/>
      <c r="MM179" s="383"/>
      <c r="ND179" s="383"/>
      <c r="NE179" s="383"/>
      <c r="NF179" s="383"/>
      <c r="NH179" s="383"/>
      <c r="NI179" s="383"/>
      <c r="NJ179" s="383"/>
      <c r="NK179" s="383"/>
      <c r="NL179" s="383"/>
      <c r="NM179" s="383"/>
      <c r="OD179" s="582"/>
      <c r="OE179" s="582"/>
      <c r="OF179" s="582"/>
      <c r="OH179" s="582"/>
      <c r="OI179" s="582"/>
      <c r="OJ179" s="582"/>
      <c r="OK179" s="582"/>
      <c r="OL179" s="582"/>
      <c r="OM179" s="582"/>
      <c r="PD179" s="1127"/>
      <c r="PE179" s="1127"/>
      <c r="PF179" s="1127"/>
      <c r="PH179" s="1127"/>
      <c r="PI179" s="1127"/>
      <c r="PJ179" s="1127"/>
      <c r="PK179" s="1127"/>
      <c r="PL179" s="1127"/>
      <c r="PM179" s="1127"/>
    </row>
    <row r="180" spans="88:429">
      <c r="CJ180" s="288"/>
      <c r="CK180" s="383"/>
      <c r="CL180" s="1127"/>
      <c r="CM180" s="1127"/>
      <c r="CN180" s="1127"/>
      <c r="CO180" s="1127"/>
      <c r="CQ180" s="383"/>
      <c r="CR180" s="383"/>
      <c r="CS180" s="383"/>
      <c r="CT180" s="288"/>
      <c r="CU180" s="383"/>
      <c r="CV180" s="383"/>
      <c r="DJ180" s="383"/>
      <c r="DK180" s="383"/>
      <c r="DL180" s="1127"/>
      <c r="DM180" s="1127"/>
      <c r="DN180" s="1127"/>
      <c r="DO180" s="1127"/>
      <c r="DQ180" s="383"/>
      <c r="DR180" s="383"/>
      <c r="DS180" s="383"/>
      <c r="DT180" s="383"/>
      <c r="DU180" s="383"/>
      <c r="DV180" s="383"/>
      <c r="ED180" s="269"/>
      <c r="EE180" s="288"/>
      <c r="EF180" s="383"/>
      <c r="EG180" s="383"/>
      <c r="EH180" s="383"/>
      <c r="EI180" s="1107"/>
      <c r="EJ180" s="1107"/>
      <c r="EK180" s="288"/>
      <c r="EL180" s="1107"/>
      <c r="EM180" s="383"/>
      <c r="EN180" s="383"/>
      <c r="EO180" s="383"/>
      <c r="EP180" s="422"/>
      <c r="EQ180" s="269"/>
      <c r="FD180" s="383"/>
      <c r="FE180" s="383"/>
      <c r="FF180" s="383"/>
      <c r="FG180" s="383"/>
      <c r="FH180" s="383"/>
      <c r="FI180" s="1127"/>
      <c r="FJ180" s="1127"/>
      <c r="FK180" s="383"/>
      <c r="FL180" s="1127"/>
      <c r="FM180" s="383"/>
      <c r="FN180" s="383"/>
      <c r="FO180" s="383"/>
      <c r="FP180" s="1127"/>
      <c r="FQ180" s="383"/>
      <c r="GD180" s="1127"/>
      <c r="GE180" s="1127"/>
      <c r="GF180" s="1127"/>
      <c r="GG180" s="1127"/>
      <c r="GH180" s="1127"/>
      <c r="GI180" s="1127"/>
      <c r="GJ180" s="1127"/>
      <c r="GK180" s="1127"/>
      <c r="GL180" s="1127"/>
      <c r="GM180" s="1127"/>
      <c r="GN180" s="1127"/>
      <c r="GO180" s="1127"/>
      <c r="GP180" s="422"/>
      <c r="GQ180" s="1127"/>
      <c r="HD180" s="1127"/>
      <c r="HE180" s="1127"/>
      <c r="HF180" s="1127"/>
      <c r="HG180" s="1127"/>
      <c r="HH180" s="1127"/>
      <c r="HI180" s="1127"/>
      <c r="HJ180" s="1127"/>
      <c r="HK180" s="1127"/>
      <c r="HL180" s="1127"/>
      <c r="HM180" s="1127"/>
      <c r="HN180" s="1127"/>
      <c r="HO180" s="1127"/>
      <c r="HP180" s="422"/>
      <c r="HQ180" s="1127"/>
      <c r="ID180" s="383"/>
      <c r="IE180" s="383"/>
      <c r="IF180" s="383"/>
      <c r="IH180" s="383"/>
      <c r="II180" s="383"/>
      <c r="IJ180" s="383"/>
      <c r="IK180" s="383"/>
      <c r="IL180" s="383"/>
      <c r="IM180" s="383"/>
      <c r="JD180" s="383"/>
      <c r="JE180" s="383"/>
      <c r="JF180" s="383"/>
      <c r="JH180" s="383"/>
      <c r="JI180" s="383"/>
      <c r="JJ180" s="383"/>
      <c r="JK180" s="383"/>
      <c r="JL180" s="383"/>
      <c r="JM180" s="383"/>
      <c r="KD180" s="383"/>
      <c r="KE180" s="383"/>
      <c r="KF180" s="383"/>
      <c r="KH180" s="383"/>
      <c r="KI180" s="383"/>
      <c r="KJ180" s="383"/>
      <c r="KK180" s="383"/>
      <c r="KL180" s="383"/>
      <c r="KM180" s="383"/>
      <c r="LD180" s="383"/>
      <c r="LE180" s="383"/>
      <c r="LF180" s="383"/>
      <c r="LH180" s="383"/>
      <c r="LI180" s="383"/>
      <c r="LJ180" s="383"/>
      <c r="LK180" s="383"/>
      <c r="LL180" s="383"/>
      <c r="LM180" s="383"/>
      <c r="MD180" s="383"/>
      <c r="ME180" s="383"/>
      <c r="MF180" s="383"/>
      <c r="MH180" s="383"/>
      <c r="MI180" s="383"/>
      <c r="MJ180" s="383"/>
      <c r="MK180" s="383"/>
      <c r="ML180" s="383"/>
      <c r="MM180" s="383"/>
      <c r="ND180" s="383"/>
      <c r="NE180" s="383"/>
      <c r="NF180" s="383"/>
      <c r="NH180" s="383"/>
      <c r="NI180" s="383"/>
      <c r="NJ180" s="383"/>
      <c r="NK180" s="383"/>
      <c r="NL180" s="383"/>
      <c r="NM180" s="383"/>
      <c r="OD180" s="582"/>
      <c r="OE180" s="582"/>
      <c r="OF180" s="582"/>
      <c r="OH180" s="582"/>
      <c r="OI180" s="582"/>
      <c r="OJ180" s="582"/>
      <c r="OK180" s="582"/>
      <c r="OL180" s="582"/>
      <c r="OM180" s="582"/>
      <c r="PD180" s="1127"/>
      <c r="PE180" s="1127"/>
      <c r="PF180" s="1127"/>
      <c r="PH180" s="1127"/>
      <c r="PI180" s="1127"/>
      <c r="PJ180" s="1127"/>
      <c r="PK180" s="1127"/>
      <c r="PL180" s="1127"/>
      <c r="PM180" s="1127"/>
    </row>
    <row r="181" spans="88:429">
      <c r="CJ181" s="288"/>
      <c r="CK181" s="383"/>
      <c r="CL181" s="1127"/>
      <c r="CM181" s="1127"/>
      <c r="CN181" s="1127"/>
      <c r="CO181" s="1127"/>
      <c r="CQ181" s="383"/>
      <c r="CR181" s="383"/>
      <c r="CS181" s="383"/>
      <c r="CT181" s="288"/>
      <c r="CU181" s="383"/>
      <c r="CV181" s="383"/>
      <c r="DJ181" s="383"/>
      <c r="DK181" s="383"/>
      <c r="DL181" s="1127"/>
      <c r="DM181" s="1127"/>
      <c r="DN181" s="1127"/>
      <c r="DO181" s="1127"/>
      <c r="DQ181" s="383"/>
      <c r="DR181" s="383"/>
      <c r="DS181" s="383"/>
      <c r="DT181" s="383"/>
      <c r="DU181" s="383"/>
      <c r="DV181" s="383"/>
      <c r="ED181" s="269"/>
      <c r="EE181" s="288"/>
      <c r="EF181" s="383"/>
      <c r="EG181" s="383"/>
      <c r="EH181" s="383"/>
      <c r="EI181" s="1107"/>
      <c r="EJ181" s="1107"/>
      <c r="EK181" s="288"/>
      <c r="EL181" s="1107"/>
      <c r="EM181" s="383"/>
      <c r="EN181" s="383"/>
      <c r="EO181" s="383"/>
      <c r="EP181" s="422"/>
      <c r="EQ181" s="269"/>
      <c r="FD181" s="383"/>
      <c r="FE181" s="383"/>
      <c r="FF181" s="383"/>
      <c r="FG181" s="383"/>
      <c r="FH181" s="383"/>
      <c r="FI181" s="1127"/>
      <c r="FJ181" s="1127"/>
      <c r="FK181" s="383"/>
      <c r="FL181" s="1127"/>
      <c r="FM181" s="383"/>
      <c r="FN181" s="383"/>
      <c r="FO181" s="383"/>
      <c r="FP181" s="1127"/>
      <c r="FQ181" s="383"/>
      <c r="GD181" s="1127"/>
      <c r="GE181" s="1127"/>
      <c r="GF181" s="1127"/>
      <c r="GG181" s="1127"/>
      <c r="GH181" s="1127"/>
      <c r="GI181" s="1127"/>
      <c r="GJ181" s="1127"/>
      <c r="GK181" s="1127"/>
      <c r="GL181" s="1127"/>
      <c r="GM181" s="1127"/>
      <c r="GN181" s="1127"/>
      <c r="GO181" s="1127"/>
      <c r="GP181" s="422"/>
      <c r="GQ181" s="1127"/>
      <c r="HD181" s="1127"/>
      <c r="HE181" s="1127"/>
      <c r="HF181" s="1127"/>
      <c r="HG181" s="1127"/>
      <c r="HH181" s="1127"/>
      <c r="HI181" s="1127"/>
      <c r="HJ181" s="1127"/>
      <c r="HK181" s="1127"/>
      <c r="HL181" s="1127"/>
      <c r="HM181" s="1127"/>
      <c r="HN181" s="1127"/>
      <c r="HO181" s="1127"/>
      <c r="HP181" s="422"/>
      <c r="HQ181" s="1127"/>
      <c r="ID181" s="383"/>
      <c r="IE181" s="383"/>
      <c r="IF181" s="383"/>
      <c r="IH181" s="383"/>
      <c r="II181" s="383"/>
      <c r="IJ181" s="383"/>
      <c r="IK181" s="383"/>
      <c r="IL181" s="383"/>
      <c r="IM181" s="383"/>
      <c r="JD181" s="383"/>
      <c r="JE181" s="383"/>
      <c r="JF181" s="383"/>
      <c r="JH181" s="383"/>
      <c r="JI181" s="383"/>
      <c r="JJ181" s="383"/>
      <c r="JK181" s="383"/>
      <c r="JL181" s="383"/>
      <c r="JM181" s="383"/>
      <c r="KD181" s="383"/>
      <c r="KE181" s="383"/>
      <c r="KF181" s="383"/>
      <c r="KH181" s="383"/>
      <c r="KI181" s="383"/>
      <c r="KJ181" s="383"/>
      <c r="KK181" s="383"/>
      <c r="KL181" s="383"/>
      <c r="KM181" s="383"/>
      <c r="LD181" s="383"/>
      <c r="LE181" s="383"/>
      <c r="LF181" s="383"/>
      <c r="LH181" s="383"/>
      <c r="LI181" s="383"/>
      <c r="LJ181" s="383"/>
      <c r="LK181" s="383"/>
      <c r="LL181" s="383"/>
      <c r="LM181" s="383"/>
      <c r="MD181" s="383"/>
      <c r="ME181" s="383"/>
      <c r="MF181" s="383"/>
      <c r="MH181" s="383"/>
      <c r="MI181" s="383"/>
      <c r="MJ181" s="383"/>
      <c r="MK181" s="383"/>
      <c r="ML181" s="383"/>
      <c r="MM181" s="383"/>
      <c r="ND181" s="383"/>
      <c r="NE181" s="383"/>
      <c r="NF181" s="383"/>
      <c r="NH181" s="383"/>
      <c r="NI181" s="383"/>
      <c r="NJ181" s="383"/>
      <c r="NK181" s="383"/>
      <c r="NL181" s="383"/>
      <c r="NM181" s="383"/>
      <c r="OD181" s="582"/>
      <c r="OE181" s="582"/>
      <c r="OF181" s="582"/>
      <c r="OH181" s="582"/>
      <c r="OI181" s="582"/>
      <c r="OJ181" s="582"/>
      <c r="OK181" s="582"/>
      <c r="OL181" s="582"/>
      <c r="OM181" s="582"/>
      <c r="PD181" s="1127"/>
      <c r="PE181" s="1127"/>
      <c r="PF181" s="1127"/>
      <c r="PH181" s="1127"/>
      <c r="PI181" s="1127"/>
      <c r="PJ181" s="1127"/>
      <c r="PK181" s="1127"/>
      <c r="PL181" s="1127"/>
      <c r="PM181" s="1127"/>
    </row>
    <row r="182" spans="88:429">
      <c r="CJ182" s="288"/>
      <c r="CK182" s="383"/>
      <c r="CL182" s="1127"/>
      <c r="CM182" s="1127"/>
      <c r="CN182" s="1127"/>
      <c r="CO182" s="1127"/>
      <c r="CQ182" s="383"/>
      <c r="CR182" s="383"/>
      <c r="CS182" s="383"/>
      <c r="CT182" s="288"/>
      <c r="CU182" s="383"/>
      <c r="CV182" s="383"/>
      <c r="DJ182" s="383"/>
      <c r="DK182" s="383"/>
      <c r="DL182" s="1127"/>
      <c r="DM182" s="1127"/>
      <c r="DN182" s="1127"/>
      <c r="DO182" s="1127"/>
      <c r="DQ182" s="383"/>
      <c r="DR182" s="383"/>
      <c r="DS182" s="383"/>
      <c r="DT182" s="383"/>
      <c r="DU182" s="383"/>
      <c r="DV182" s="383"/>
      <c r="ED182" s="269"/>
      <c r="EE182" s="288"/>
      <c r="EF182" s="383"/>
      <c r="EG182" s="383"/>
      <c r="EH182" s="383"/>
      <c r="EI182" s="1107"/>
      <c r="EJ182" s="1107"/>
      <c r="EK182" s="288"/>
      <c r="EL182" s="1107"/>
      <c r="EM182" s="383"/>
      <c r="EN182" s="383"/>
      <c r="EO182" s="383"/>
      <c r="EP182" s="1107"/>
      <c r="EQ182" s="269"/>
      <c r="FD182" s="383"/>
      <c r="FE182" s="383"/>
      <c r="FF182" s="383"/>
      <c r="FG182" s="383"/>
      <c r="FH182" s="383"/>
      <c r="FI182" s="1127"/>
      <c r="FJ182" s="1127"/>
      <c r="FK182" s="383"/>
      <c r="FL182" s="1127"/>
      <c r="FM182" s="383"/>
      <c r="FN182" s="383"/>
      <c r="FO182" s="383"/>
      <c r="FP182" s="1127"/>
      <c r="FQ182" s="383"/>
      <c r="GD182" s="1127"/>
      <c r="GE182" s="1127"/>
      <c r="GF182" s="1127"/>
      <c r="GG182" s="1127"/>
      <c r="GH182" s="1127"/>
      <c r="GI182" s="1127"/>
      <c r="GJ182" s="1127"/>
      <c r="GK182" s="1127"/>
      <c r="GL182" s="1127"/>
      <c r="GM182" s="1127"/>
      <c r="GN182" s="1127"/>
      <c r="GO182" s="1127"/>
      <c r="GP182" s="1127"/>
      <c r="GQ182" s="1127"/>
      <c r="HD182" s="1127"/>
      <c r="HE182" s="1127"/>
      <c r="HF182" s="1127"/>
      <c r="HG182" s="1127"/>
      <c r="HH182" s="1127"/>
      <c r="HI182" s="1127"/>
      <c r="HJ182" s="1127"/>
      <c r="HK182" s="1127"/>
      <c r="HL182" s="1127"/>
      <c r="HM182" s="1127"/>
      <c r="HN182" s="1127"/>
      <c r="HO182" s="1127"/>
      <c r="HP182" s="1127"/>
      <c r="HQ182" s="1127"/>
      <c r="ID182" s="383"/>
      <c r="IE182" s="383"/>
      <c r="IF182" s="383"/>
      <c r="IH182" s="383"/>
      <c r="II182" s="383"/>
      <c r="IJ182" s="383"/>
      <c r="IK182" s="383"/>
      <c r="IL182" s="383"/>
      <c r="IM182" s="383"/>
      <c r="JD182" s="383"/>
      <c r="JE182" s="383"/>
      <c r="JF182" s="383"/>
      <c r="JH182" s="383"/>
      <c r="JI182" s="383"/>
      <c r="JJ182" s="383"/>
      <c r="JK182" s="383"/>
      <c r="JL182" s="383"/>
      <c r="JM182" s="383"/>
      <c r="KD182" s="383"/>
      <c r="KE182" s="383"/>
      <c r="KF182" s="383"/>
      <c r="KH182" s="383"/>
      <c r="KI182" s="383"/>
      <c r="KJ182" s="383"/>
      <c r="KK182" s="383"/>
      <c r="KL182" s="383"/>
      <c r="KM182" s="383"/>
      <c r="LD182" s="383"/>
      <c r="LE182" s="383"/>
      <c r="LF182" s="383"/>
      <c r="LH182" s="383"/>
      <c r="LI182" s="383"/>
      <c r="LJ182" s="383"/>
      <c r="LK182" s="383"/>
      <c r="LL182" s="383"/>
      <c r="LM182" s="383"/>
      <c r="MD182" s="383"/>
      <c r="ME182" s="383"/>
      <c r="MF182" s="383"/>
      <c r="MH182" s="383"/>
      <c r="MI182" s="383"/>
      <c r="MJ182" s="383"/>
      <c r="MK182" s="383"/>
      <c r="ML182" s="383"/>
      <c r="MM182" s="383"/>
      <c r="ND182" s="383"/>
      <c r="NE182" s="383"/>
      <c r="NF182" s="383"/>
      <c r="NH182" s="383"/>
      <c r="NI182" s="383"/>
      <c r="NJ182" s="383"/>
      <c r="NK182" s="383"/>
      <c r="NL182" s="383"/>
      <c r="NM182" s="383"/>
      <c r="OD182" s="582"/>
      <c r="OE182" s="582"/>
      <c r="OF182" s="582"/>
      <c r="OH182" s="582"/>
      <c r="OI182" s="582"/>
      <c r="OJ182" s="582"/>
      <c r="OK182" s="582"/>
      <c r="OL182" s="582"/>
      <c r="OM182" s="582"/>
      <c r="PD182" s="1127"/>
      <c r="PE182" s="1127"/>
      <c r="PF182" s="1127"/>
      <c r="PH182" s="1127"/>
      <c r="PI182" s="1127"/>
      <c r="PJ182" s="1127"/>
      <c r="PK182" s="1127"/>
      <c r="PL182" s="1127"/>
      <c r="PM182" s="1127"/>
    </row>
    <row r="183" spans="88:429">
      <c r="CJ183" s="288"/>
      <c r="CK183" s="383"/>
      <c r="CL183" s="1127"/>
      <c r="CM183" s="1127"/>
      <c r="CN183" s="1127"/>
      <c r="CO183" s="1127"/>
      <c r="CQ183" s="383"/>
      <c r="CR183" s="383"/>
      <c r="CS183" s="383"/>
      <c r="CT183" s="288"/>
      <c r="CU183" s="383"/>
      <c r="CV183" s="383"/>
      <c r="DJ183" s="383"/>
      <c r="DK183" s="383"/>
      <c r="DL183" s="1127"/>
      <c r="DM183" s="1127"/>
      <c r="DN183" s="1127"/>
      <c r="DO183" s="1127"/>
      <c r="DQ183" s="383"/>
      <c r="DR183" s="383"/>
      <c r="DS183" s="383"/>
      <c r="DT183" s="383"/>
      <c r="DU183" s="383"/>
      <c r="DV183" s="383"/>
      <c r="ED183" s="269"/>
      <c r="EE183" s="288"/>
      <c r="EF183" s="383"/>
      <c r="EG183" s="383"/>
      <c r="EH183" s="383"/>
      <c r="EI183" s="1107"/>
      <c r="EJ183" s="1107"/>
      <c r="EK183" s="288"/>
      <c r="EL183" s="1107"/>
      <c r="EM183" s="383"/>
      <c r="EN183" s="383"/>
      <c r="EO183" s="383"/>
      <c r="EP183" s="1107"/>
      <c r="EQ183" s="269"/>
      <c r="FD183" s="383"/>
      <c r="FE183" s="383"/>
      <c r="FF183" s="383"/>
      <c r="FG183" s="383"/>
      <c r="FH183" s="383"/>
      <c r="FI183" s="1127"/>
      <c r="FJ183" s="1127"/>
      <c r="FK183" s="383"/>
      <c r="FL183" s="1127"/>
      <c r="FM183" s="383"/>
      <c r="FN183" s="383"/>
      <c r="FO183" s="383"/>
      <c r="FP183" s="1127"/>
      <c r="FQ183" s="383"/>
      <c r="GD183" s="1127"/>
      <c r="GE183" s="1127"/>
      <c r="GF183" s="1127"/>
      <c r="GG183" s="1127"/>
      <c r="GH183" s="1127"/>
      <c r="GI183" s="1127"/>
      <c r="GJ183" s="1127"/>
      <c r="GK183" s="1127"/>
      <c r="GL183" s="1127"/>
      <c r="GM183" s="1127"/>
      <c r="GN183" s="1127"/>
      <c r="GO183" s="1127"/>
      <c r="GP183" s="1127"/>
      <c r="GQ183" s="1127"/>
      <c r="HD183" s="1127"/>
      <c r="HE183" s="1127"/>
      <c r="HF183" s="1127"/>
      <c r="HG183" s="1127"/>
      <c r="HH183" s="1127"/>
      <c r="HI183" s="1127"/>
      <c r="HJ183" s="1127"/>
      <c r="HK183" s="1127"/>
      <c r="HL183" s="1127"/>
      <c r="HM183" s="1127"/>
      <c r="HN183" s="1127"/>
      <c r="HO183" s="1127"/>
      <c r="HP183" s="1127"/>
      <c r="HQ183" s="1127"/>
      <c r="ID183" s="383"/>
      <c r="IE183" s="383"/>
      <c r="IF183" s="383"/>
      <c r="IH183" s="383"/>
      <c r="II183" s="383"/>
      <c r="IJ183" s="383"/>
      <c r="IK183" s="383"/>
      <c r="IL183" s="383"/>
      <c r="IM183" s="383"/>
      <c r="JD183" s="383"/>
      <c r="JE183" s="383"/>
      <c r="JF183" s="383"/>
      <c r="JH183" s="383"/>
      <c r="JI183" s="383"/>
      <c r="JJ183" s="383"/>
      <c r="JK183" s="383"/>
      <c r="JL183" s="383"/>
      <c r="JM183" s="383"/>
      <c r="KD183" s="383"/>
      <c r="KE183" s="383"/>
      <c r="KF183" s="383"/>
      <c r="KH183" s="383"/>
      <c r="KI183" s="383"/>
      <c r="KJ183" s="383"/>
      <c r="KK183" s="383"/>
      <c r="KL183" s="383"/>
      <c r="KM183" s="383"/>
      <c r="LD183" s="383"/>
      <c r="LE183" s="383"/>
      <c r="LF183" s="383"/>
      <c r="LH183" s="383"/>
      <c r="LI183" s="383"/>
      <c r="LJ183" s="383"/>
      <c r="LK183" s="383"/>
      <c r="LL183" s="383"/>
      <c r="LM183" s="383"/>
      <c r="MD183" s="383"/>
      <c r="ME183" s="383"/>
      <c r="MF183" s="383"/>
      <c r="MH183" s="383"/>
      <c r="MI183" s="383"/>
      <c r="MJ183" s="383"/>
      <c r="MK183" s="383"/>
      <c r="ML183" s="383"/>
      <c r="MM183" s="383"/>
      <c r="ND183" s="383"/>
      <c r="NE183" s="383"/>
      <c r="NF183" s="383"/>
      <c r="NH183" s="383"/>
      <c r="NI183" s="383"/>
      <c r="NJ183" s="383"/>
      <c r="NK183" s="383"/>
      <c r="NL183" s="383"/>
      <c r="NM183" s="383"/>
      <c r="OD183" s="582"/>
      <c r="OE183" s="582"/>
      <c r="OF183" s="582"/>
      <c r="OH183" s="582"/>
      <c r="OI183" s="582"/>
      <c r="OJ183" s="582"/>
      <c r="OK183" s="582"/>
      <c r="OL183" s="582"/>
      <c r="OM183" s="582"/>
      <c r="PD183" s="1127"/>
      <c r="PE183" s="1127"/>
      <c r="PF183" s="1127"/>
      <c r="PH183" s="1127"/>
      <c r="PI183" s="1127"/>
      <c r="PJ183" s="1127"/>
      <c r="PK183" s="1127"/>
      <c r="PL183" s="1127"/>
      <c r="PM183" s="1127"/>
    </row>
    <row r="184" spans="88:429">
      <c r="CJ184" s="288"/>
      <c r="CK184" s="383"/>
      <c r="CL184" s="1127"/>
      <c r="CM184" s="1127"/>
      <c r="CN184" s="1127"/>
      <c r="CO184" s="1127"/>
      <c r="CQ184" s="383"/>
      <c r="CR184" s="383"/>
      <c r="CS184" s="383"/>
      <c r="CT184" s="288"/>
      <c r="CU184" s="383"/>
      <c r="CV184" s="383"/>
      <c r="DJ184" s="383"/>
      <c r="DK184" s="383"/>
      <c r="DL184" s="1127"/>
      <c r="DM184" s="1127"/>
      <c r="DN184" s="1127"/>
      <c r="DO184" s="1127"/>
      <c r="DQ184" s="383"/>
      <c r="DR184" s="383"/>
      <c r="DS184" s="383"/>
      <c r="DT184" s="383"/>
      <c r="DU184" s="383"/>
      <c r="DV184" s="383"/>
      <c r="ED184" s="269"/>
      <c r="EE184" s="288"/>
      <c r="EF184" s="383"/>
      <c r="EG184" s="383"/>
      <c r="EH184" s="383"/>
      <c r="EI184" s="1107"/>
      <c r="EJ184" s="1107"/>
      <c r="EK184" s="288"/>
      <c r="EL184" s="1107"/>
      <c r="EM184" s="383"/>
      <c r="EN184" s="383"/>
      <c r="EO184" s="383"/>
      <c r="EP184" s="1107"/>
      <c r="EQ184" s="269"/>
      <c r="FD184" s="383"/>
      <c r="FE184" s="383"/>
      <c r="FF184" s="383"/>
      <c r="FG184" s="383"/>
      <c r="FH184" s="383"/>
      <c r="FI184" s="1127"/>
      <c r="FJ184" s="1127"/>
      <c r="FK184" s="383"/>
      <c r="FL184" s="1127"/>
      <c r="FM184" s="383"/>
      <c r="FN184" s="383"/>
      <c r="FO184" s="383"/>
      <c r="FP184" s="1127"/>
      <c r="FQ184" s="383"/>
      <c r="GD184" s="1127"/>
      <c r="GE184" s="1127"/>
      <c r="GF184" s="1127"/>
      <c r="GG184" s="1127"/>
      <c r="GH184" s="1127"/>
      <c r="GI184" s="1127"/>
      <c r="GJ184" s="1127"/>
      <c r="GK184" s="1127"/>
      <c r="GL184" s="1127"/>
      <c r="GM184" s="1127"/>
      <c r="GN184" s="1127"/>
      <c r="GO184" s="1127"/>
      <c r="GP184" s="1127"/>
      <c r="GQ184" s="1127"/>
      <c r="HD184" s="1127"/>
      <c r="HE184" s="1127"/>
      <c r="HF184" s="1127"/>
      <c r="HG184" s="1127"/>
      <c r="HH184" s="1127"/>
      <c r="HI184" s="1127"/>
      <c r="HJ184" s="1127"/>
      <c r="HK184" s="1127"/>
      <c r="HL184" s="1127"/>
      <c r="HM184" s="1127"/>
      <c r="HN184" s="1127"/>
      <c r="HO184" s="1127"/>
      <c r="HP184" s="1127"/>
      <c r="HQ184" s="1127"/>
      <c r="ID184" s="383"/>
      <c r="IE184" s="383"/>
      <c r="IF184" s="383"/>
      <c r="IH184" s="383"/>
      <c r="II184" s="383"/>
      <c r="IJ184" s="383"/>
      <c r="IK184" s="383"/>
      <c r="IL184" s="383"/>
      <c r="IM184" s="383"/>
      <c r="JD184" s="383"/>
      <c r="JE184" s="383"/>
      <c r="JF184" s="383"/>
      <c r="JH184" s="383"/>
      <c r="JI184" s="383"/>
      <c r="JJ184" s="383"/>
      <c r="JK184" s="383"/>
      <c r="JL184" s="383"/>
      <c r="JM184" s="383"/>
      <c r="KD184" s="383"/>
      <c r="KE184" s="383"/>
      <c r="KF184" s="383"/>
      <c r="KH184" s="383"/>
      <c r="KI184" s="383"/>
      <c r="KJ184" s="383"/>
      <c r="KK184" s="383"/>
      <c r="KL184" s="383"/>
      <c r="KM184" s="383"/>
      <c r="LD184" s="383"/>
      <c r="LE184" s="383"/>
      <c r="LF184" s="383"/>
      <c r="LH184" s="383"/>
      <c r="LI184" s="383"/>
      <c r="LJ184" s="383"/>
      <c r="LK184" s="383"/>
      <c r="LL184" s="383"/>
      <c r="LM184" s="383"/>
      <c r="MD184" s="383"/>
      <c r="ME184" s="383"/>
      <c r="MF184" s="383"/>
      <c r="MH184" s="383"/>
      <c r="MI184" s="383"/>
      <c r="MJ184" s="383"/>
      <c r="MK184" s="383"/>
      <c r="ML184" s="383"/>
      <c r="MM184" s="383"/>
      <c r="ND184" s="383"/>
      <c r="NE184" s="383"/>
      <c r="NF184" s="383"/>
      <c r="NH184" s="383"/>
      <c r="NI184" s="383"/>
      <c r="NJ184" s="383"/>
      <c r="NK184" s="383"/>
      <c r="NL184" s="383"/>
      <c r="NM184" s="383"/>
      <c r="OD184" s="582"/>
      <c r="OE184" s="582"/>
      <c r="OF184" s="582"/>
      <c r="OH184" s="582"/>
      <c r="OI184" s="582"/>
      <c r="OJ184" s="582"/>
      <c r="OK184" s="582"/>
      <c r="OL184" s="582"/>
      <c r="OM184" s="582"/>
      <c r="PD184" s="1127"/>
      <c r="PE184" s="1127"/>
      <c r="PF184" s="1127"/>
      <c r="PH184" s="1127"/>
      <c r="PI184" s="1127"/>
      <c r="PJ184" s="1127"/>
      <c r="PK184" s="1127"/>
      <c r="PL184" s="1127"/>
      <c r="PM184" s="1127"/>
    </row>
    <row r="185" spans="88:429">
      <c r="CJ185" s="288"/>
      <c r="CK185" s="383"/>
      <c r="CL185" s="1127"/>
      <c r="CM185" s="1127"/>
      <c r="CN185" s="1127"/>
      <c r="CO185" s="1127"/>
      <c r="CQ185" s="383"/>
      <c r="CR185" s="383"/>
      <c r="CS185" s="383"/>
      <c r="CT185" s="288"/>
      <c r="CU185" s="383"/>
      <c r="CV185" s="383"/>
      <c r="DJ185" s="383"/>
      <c r="DK185" s="383"/>
      <c r="DL185" s="1127"/>
      <c r="DM185" s="1127"/>
      <c r="DN185" s="1127"/>
      <c r="DO185" s="1127"/>
      <c r="DQ185" s="383"/>
      <c r="DR185" s="383"/>
      <c r="DS185" s="383"/>
      <c r="DT185" s="383"/>
      <c r="DU185" s="383"/>
      <c r="DV185" s="383"/>
      <c r="ED185" s="269"/>
      <c r="EE185" s="288"/>
      <c r="EF185" s="383"/>
      <c r="EG185" s="383"/>
      <c r="EH185" s="383"/>
      <c r="EI185" s="1107"/>
      <c r="EJ185" s="1107"/>
      <c r="EK185" s="288"/>
      <c r="EL185" s="1107"/>
      <c r="EM185" s="383"/>
      <c r="EN185" s="383"/>
      <c r="EO185" s="383"/>
      <c r="EP185" s="1107"/>
      <c r="EQ185" s="269"/>
      <c r="FD185" s="383"/>
      <c r="FE185" s="383"/>
      <c r="FF185" s="383"/>
      <c r="FG185" s="383"/>
      <c r="FH185" s="383"/>
      <c r="FI185" s="1127"/>
      <c r="FJ185" s="1127"/>
      <c r="FK185" s="383"/>
      <c r="FL185" s="1127"/>
      <c r="FM185" s="383"/>
      <c r="FN185" s="383"/>
      <c r="FO185" s="383"/>
      <c r="FP185" s="1127"/>
      <c r="FQ185" s="383"/>
      <c r="GD185" s="1127"/>
      <c r="GE185" s="1127"/>
      <c r="GF185" s="1127"/>
      <c r="GG185" s="1127"/>
      <c r="GH185" s="1127"/>
      <c r="GI185" s="1127"/>
      <c r="GJ185" s="1127"/>
      <c r="GK185" s="1127"/>
      <c r="GL185" s="1127"/>
      <c r="GM185" s="1127"/>
      <c r="GN185" s="1127"/>
      <c r="GO185" s="1127"/>
      <c r="GP185" s="1127"/>
      <c r="GQ185" s="1127"/>
      <c r="HD185" s="1127"/>
      <c r="HE185" s="1127"/>
      <c r="HF185" s="1127"/>
      <c r="HG185" s="1127"/>
      <c r="HH185" s="1127"/>
      <c r="HI185" s="1127"/>
      <c r="HJ185" s="1127"/>
      <c r="HK185" s="1127"/>
      <c r="HL185" s="1127"/>
      <c r="HM185" s="1127"/>
      <c r="HN185" s="1127"/>
      <c r="HO185" s="1127"/>
      <c r="HP185" s="1127"/>
      <c r="HQ185" s="1127"/>
      <c r="ID185" s="383"/>
      <c r="IE185" s="383"/>
      <c r="IF185" s="383"/>
      <c r="IH185" s="383"/>
      <c r="II185" s="383"/>
      <c r="IJ185" s="383"/>
      <c r="IK185" s="383"/>
      <c r="IL185" s="383"/>
      <c r="IM185" s="383"/>
      <c r="JD185" s="383"/>
      <c r="JE185" s="383"/>
      <c r="JF185" s="383"/>
      <c r="JH185" s="383"/>
      <c r="JI185" s="383"/>
      <c r="JJ185" s="383"/>
      <c r="JK185" s="383"/>
      <c r="JL185" s="383"/>
      <c r="JM185" s="383"/>
      <c r="KD185" s="383"/>
      <c r="KE185" s="383"/>
      <c r="KF185" s="383"/>
      <c r="KH185" s="383"/>
      <c r="KI185" s="383"/>
      <c r="KJ185" s="383"/>
      <c r="KK185" s="383"/>
      <c r="KL185" s="383"/>
      <c r="KM185" s="383"/>
      <c r="LD185" s="383"/>
      <c r="LE185" s="383"/>
      <c r="LF185" s="383"/>
      <c r="LH185" s="383"/>
      <c r="LI185" s="383"/>
      <c r="LJ185" s="383"/>
      <c r="LK185" s="383"/>
      <c r="LL185" s="383"/>
      <c r="LM185" s="383"/>
      <c r="MD185" s="383"/>
      <c r="ME185" s="383"/>
      <c r="MF185" s="383"/>
      <c r="MH185" s="383"/>
      <c r="MI185" s="383"/>
      <c r="MJ185" s="383"/>
      <c r="MK185" s="383"/>
      <c r="ML185" s="383"/>
      <c r="MM185" s="383"/>
      <c r="ND185" s="383"/>
      <c r="NE185" s="383"/>
      <c r="NF185" s="383"/>
      <c r="NH185" s="383"/>
      <c r="NI185" s="383"/>
      <c r="NJ185" s="383"/>
      <c r="NK185" s="383"/>
      <c r="NL185" s="383"/>
      <c r="NM185" s="383"/>
      <c r="OD185" s="582"/>
      <c r="OE185" s="582"/>
      <c r="OF185" s="582"/>
      <c r="OH185" s="582"/>
      <c r="OI185" s="582"/>
      <c r="OJ185" s="582"/>
      <c r="OK185" s="582"/>
      <c r="OL185" s="582"/>
      <c r="OM185" s="582"/>
      <c r="PD185" s="1127"/>
      <c r="PE185" s="1127"/>
      <c r="PF185" s="1127"/>
      <c r="PH185" s="1127"/>
      <c r="PI185" s="1127"/>
      <c r="PJ185" s="1127"/>
      <c r="PK185" s="1127"/>
      <c r="PL185" s="1127"/>
      <c r="PM185" s="1127"/>
    </row>
    <row r="186" spans="88:429">
      <c r="CJ186" s="288"/>
      <c r="CK186" s="383"/>
      <c r="CL186" s="1127"/>
      <c r="CM186" s="1127"/>
      <c r="CN186" s="1127"/>
      <c r="CO186" s="1127"/>
      <c r="CQ186" s="383"/>
      <c r="CR186" s="383"/>
      <c r="CS186" s="383"/>
      <c r="CT186" s="288"/>
      <c r="CU186" s="383"/>
      <c r="CV186" s="383"/>
      <c r="DJ186" s="383"/>
      <c r="DK186" s="383"/>
      <c r="DL186" s="1127"/>
      <c r="DM186" s="1127"/>
      <c r="DN186" s="1127"/>
      <c r="DO186" s="1127"/>
      <c r="DQ186" s="383"/>
      <c r="DR186" s="383"/>
      <c r="DS186" s="383"/>
      <c r="DT186" s="383"/>
      <c r="DU186" s="383"/>
      <c r="DV186" s="383"/>
      <c r="ED186" s="269"/>
      <c r="EE186" s="288"/>
      <c r="EF186" s="383"/>
      <c r="EG186" s="383"/>
      <c r="EH186" s="383"/>
      <c r="EI186" s="1107"/>
      <c r="EJ186" s="1107"/>
      <c r="EK186" s="288"/>
      <c r="EL186" s="1107"/>
      <c r="EM186" s="383"/>
      <c r="EN186" s="383"/>
      <c r="EO186" s="383"/>
      <c r="EP186" s="1107"/>
      <c r="EQ186" s="269"/>
      <c r="FD186" s="383"/>
      <c r="FE186" s="383"/>
      <c r="FF186" s="383"/>
      <c r="FG186" s="383"/>
      <c r="FH186" s="383"/>
      <c r="FI186" s="1127"/>
      <c r="FJ186" s="1127"/>
      <c r="FK186" s="383"/>
      <c r="FL186" s="1127"/>
      <c r="FM186" s="383"/>
      <c r="FN186" s="383"/>
      <c r="FO186" s="383"/>
      <c r="FP186" s="1127"/>
      <c r="FQ186" s="383"/>
      <c r="GD186" s="1127"/>
      <c r="GE186" s="1127"/>
      <c r="GF186" s="1127"/>
      <c r="GG186" s="1127"/>
      <c r="GH186" s="1127"/>
      <c r="GI186" s="1127"/>
      <c r="GJ186" s="1127"/>
      <c r="GK186" s="1127"/>
      <c r="GL186" s="1127"/>
      <c r="GM186" s="1127"/>
      <c r="GN186" s="1127"/>
      <c r="GO186" s="1127"/>
      <c r="GP186" s="1127"/>
      <c r="GQ186" s="1127"/>
      <c r="HD186" s="1127"/>
      <c r="HE186" s="1127"/>
      <c r="HF186" s="1127"/>
      <c r="HG186" s="1127"/>
      <c r="HH186" s="1127"/>
      <c r="HI186" s="1127"/>
      <c r="HJ186" s="1127"/>
      <c r="HK186" s="1127"/>
      <c r="HL186" s="1127"/>
      <c r="HM186" s="1127"/>
      <c r="HN186" s="1127"/>
      <c r="HO186" s="1127"/>
      <c r="HP186" s="1127"/>
      <c r="HQ186" s="1127"/>
      <c r="ID186" s="383"/>
      <c r="IE186" s="383"/>
      <c r="IF186" s="383"/>
      <c r="IH186" s="383"/>
      <c r="II186" s="383"/>
      <c r="IJ186" s="383"/>
      <c r="IK186" s="383"/>
      <c r="IL186" s="383"/>
      <c r="IM186" s="383"/>
      <c r="JD186" s="383"/>
      <c r="JE186" s="383"/>
      <c r="JF186" s="383"/>
      <c r="JH186" s="383"/>
      <c r="JI186" s="383"/>
      <c r="JJ186" s="383"/>
      <c r="JK186" s="383"/>
      <c r="JL186" s="383"/>
      <c r="JM186" s="383"/>
      <c r="KD186" s="383"/>
      <c r="KE186" s="383"/>
      <c r="KF186" s="383"/>
      <c r="KH186" s="383"/>
      <c r="KI186" s="383"/>
      <c r="KJ186" s="383"/>
      <c r="KK186" s="383"/>
      <c r="KL186" s="383"/>
      <c r="KM186" s="383"/>
      <c r="LD186" s="383"/>
      <c r="LE186" s="383"/>
      <c r="LF186" s="383"/>
      <c r="LH186" s="383"/>
      <c r="LI186" s="383"/>
      <c r="LJ186" s="383"/>
      <c r="LK186" s="383"/>
      <c r="LL186" s="383"/>
      <c r="LM186" s="383"/>
      <c r="MD186" s="383"/>
      <c r="ME186" s="383"/>
      <c r="MF186" s="383"/>
      <c r="MH186" s="383"/>
      <c r="MI186" s="383"/>
      <c r="MJ186" s="383"/>
      <c r="MK186" s="383"/>
      <c r="ML186" s="383"/>
      <c r="MM186" s="383"/>
      <c r="ND186" s="383"/>
      <c r="NE186" s="383"/>
      <c r="NF186" s="383"/>
      <c r="NH186" s="383"/>
      <c r="NI186" s="383"/>
      <c r="NJ186" s="383"/>
      <c r="NK186" s="383"/>
      <c r="NL186" s="383"/>
      <c r="NM186" s="383"/>
      <c r="OD186" s="582"/>
      <c r="OE186" s="582"/>
      <c r="OF186" s="582"/>
      <c r="OH186" s="582"/>
      <c r="OI186" s="582"/>
      <c r="OJ186" s="582"/>
      <c r="OK186" s="582"/>
      <c r="OL186" s="582"/>
      <c r="OM186" s="582"/>
      <c r="PD186" s="1127"/>
      <c r="PE186" s="1127"/>
      <c r="PF186" s="1127"/>
      <c r="PH186" s="1127"/>
      <c r="PI186" s="1127"/>
      <c r="PJ186" s="1127"/>
      <c r="PK186" s="1127"/>
      <c r="PL186" s="1127"/>
      <c r="PM186" s="1127"/>
    </row>
  </sheetData>
  <mergeCells count="203">
    <mergeCell ref="BO2:BX2"/>
    <mergeCell ref="BC2:BN2"/>
    <mergeCell ref="AI2:BB2"/>
    <mergeCell ref="CA2:CV2"/>
    <mergeCell ref="DA2:DV2"/>
    <mergeCell ref="BO11:BO12"/>
    <mergeCell ref="JJ8:JM8"/>
    <mergeCell ref="KJ8:KM8"/>
    <mergeCell ref="LJ8:LM8"/>
    <mergeCell ref="BK11:BK12"/>
    <mergeCell ref="BL11:BL12"/>
    <mergeCell ref="BF11:BF12"/>
    <mergeCell ref="BR11:BR12"/>
    <mergeCell ref="BS11:BS12"/>
    <mergeCell ref="BM11:BM12"/>
    <mergeCell ref="BN11:BN12"/>
    <mergeCell ref="FF8:FK8"/>
    <mergeCell ref="BS9:BV9"/>
    <mergeCell ref="BQ9:BR9"/>
    <mergeCell ref="BE9:BF9"/>
    <mergeCell ref="BI9:BL9"/>
    <mergeCell ref="BM9:BN9"/>
    <mergeCell ref="BG8:BH8"/>
    <mergeCell ref="BG9:BH9"/>
    <mergeCell ref="NA8:NE8"/>
    <mergeCell ref="NF8:NI8"/>
    <mergeCell ref="LA8:LE8"/>
    <mergeCell ref="LF8:LI8"/>
    <mergeCell ref="NJ7:NM7"/>
    <mergeCell ref="NF7:NI7"/>
    <mergeCell ref="MJ8:MM8"/>
    <mergeCell ref="NJ8:NM8"/>
    <mergeCell ref="JA8:JE8"/>
    <mergeCell ref="JF8:JI8"/>
    <mergeCell ref="JJ7:JM7"/>
    <mergeCell ref="KA8:KE8"/>
    <mergeCell ref="KA7:KE7"/>
    <mergeCell ref="OC1:OC2"/>
    <mergeCell ref="OA7:OE7"/>
    <mergeCell ref="OA8:OE8"/>
    <mergeCell ref="OF8:OI8"/>
    <mergeCell ref="OJ8:OM8"/>
    <mergeCell ref="OF7:OM7"/>
    <mergeCell ref="PC1:PC2"/>
    <mergeCell ref="PA7:PE7"/>
    <mergeCell ref="PF7:PM7"/>
    <mergeCell ref="PA8:PE8"/>
    <mergeCell ref="PF8:PI8"/>
    <mergeCell ref="PJ8:PM8"/>
    <mergeCell ref="LC1:LC2"/>
    <mergeCell ref="EC1:EC2"/>
    <mergeCell ref="JF7:JI7"/>
    <mergeCell ref="KC1:KC2"/>
    <mergeCell ref="KJ7:KM7"/>
    <mergeCell ref="JA7:JE7"/>
    <mergeCell ref="EF7:EL7"/>
    <mergeCell ref="IC1:IC2"/>
    <mergeCell ref="JC1:JC2"/>
    <mergeCell ref="HC1:HC2"/>
    <mergeCell ref="HA7:HE7"/>
    <mergeCell ref="HF7:HL7"/>
    <mergeCell ref="HM7:HQ7"/>
    <mergeCell ref="GA7:GE7"/>
    <mergeCell ref="KF7:KI7"/>
    <mergeCell ref="LA7:LE7"/>
    <mergeCell ref="IA7:IE7"/>
    <mergeCell ref="IF7:II7"/>
    <mergeCell ref="AP11:AQ12"/>
    <mergeCell ref="AN11:AN12"/>
    <mergeCell ref="BW8:BX8"/>
    <mergeCell ref="EF5:EG5"/>
    <mergeCell ref="EF4:EG4"/>
    <mergeCell ref="FC1:FC2"/>
    <mergeCell ref="FA7:FE7"/>
    <mergeCell ref="EA7:EE7"/>
    <mergeCell ref="EM7:EQ7"/>
    <mergeCell ref="BM8:BN8"/>
    <mergeCell ref="BQ8:BR8"/>
    <mergeCell ref="BS8:BV8"/>
    <mergeCell ref="BD11:BD12"/>
    <mergeCell ref="BE11:BE12"/>
    <mergeCell ref="BI11:BI12"/>
    <mergeCell ref="BP11:BP12"/>
    <mergeCell ref="BQ11:BQ12"/>
    <mergeCell ref="BU11:BU12"/>
    <mergeCell ref="BV11:BV12"/>
    <mergeCell ref="BG11:BG12"/>
    <mergeCell ref="BH11:BH12"/>
    <mergeCell ref="EF8:EL8"/>
    <mergeCell ref="BW9:BX9"/>
    <mergeCell ref="BE8:BF8"/>
    <mergeCell ref="I1:J1"/>
    <mergeCell ref="I2:J2"/>
    <mergeCell ref="L7:O7"/>
    <mergeCell ref="P7:S7"/>
    <mergeCell ref="AI7:BB7"/>
    <mergeCell ref="AU9:AV9"/>
    <mergeCell ref="AW9:AZ9"/>
    <mergeCell ref="BA9:BB9"/>
    <mergeCell ref="AU8:AV8"/>
    <mergeCell ref="AW8:AZ8"/>
    <mergeCell ref="BA8:BB8"/>
    <mergeCell ref="I8:I9"/>
    <mergeCell ref="I7:K7"/>
    <mergeCell ref="P8:P9"/>
    <mergeCell ref="S8:S9"/>
    <mergeCell ref="L8:M8"/>
    <mergeCell ref="J8:J9"/>
    <mergeCell ref="K8:K9"/>
    <mergeCell ref="N8:N9"/>
    <mergeCell ref="AJ11:AJ12"/>
    <mergeCell ref="AK11:AK12"/>
    <mergeCell ref="FM8:FR8"/>
    <mergeCell ref="FM7:FR7"/>
    <mergeCell ref="W8:W9"/>
    <mergeCell ref="AL11:AL12"/>
    <mergeCell ref="BT11:BT12"/>
    <mergeCell ref="BW11:BW12"/>
    <mergeCell ref="BX11:BX12"/>
    <mergeCell ref="AR11:AR12"/>
    <mergeCell ref="AV11:AV12"/>
    <mergeCell ref="AW11:AW12"/>
    <mergeCell ref="AX11:AX12"/>
    <mergeCell ref="AY11:AY12"/>
    <mergeCell ref="AZ11:AZ12"/>
    <mergeCell ref="BA11:BA12"/>
    <mergeCell ref="BB11:BB12"/>
    <mergeCell ref="AU11:AU12"/>
    <mergeCell ref="Y8:Y9"/>
    <mergeCell ref="AI11:AI12"/>
    <mergeCell ref="AO11:AO12"/>
    <mergeCell ref="BC11:BC12"/>
    <mergeCell ref="AM11:AM12"/>
    <mergeCell ref="BJ11:BJ12"/>
    <mergeCell ref="DQ9:DS9"/>
    <mergeCell ref="LF7:LI7"/>
    <mergeCell ref="LJ7:LM7"/>
    <mergeCell ref="T7:AH7"/>
    <mergeCell ref="AH8:AH9"/>
    <mergeCell ref="MA8:ME8"/>
    <mergeCell ref="AF8:AF9"/>
    <mergeCell ref="AG8:AG9"/>
    <mergeCell ref="BI8:BL8"/>
    <mergeCell ref="HA8:HE8"/>
    <mergeCell ref="HF8:HL8"/>
    <mergeCell ref="IF8:II8"/>
    <mergeCell ref="EA8:EE8"/>
    <mergeCell ref="T8:T9"/>
    <mergeCell ref="U8:U9"/>
    <mergeCell ref="V8:V9"/>
    <mergeCell ref="AA8:AA9"/>
    <mergeCell ref="AB8:AB9"/>
    <mergeCell ref="AC8:AC9"/>
    <mergeCell ref="AD8:AD9"/>
    <mergeCell ref="AE8:AE9"/>
    <mergeCell ref="T13:U13"/>
    <mergeCell ref="V13:W13"/>
    <mergeCell ref="O8:O9"/>
    <mergeCell ref="FF7:FK7"/>
    <mergeCell ref="BC7:BN7"/>
    <mergeCell ref="BO7:BX7"/>
    <mergeCell ref="KF8:KI8"/>
    <mergeCell ref="R8:R9"/>
    <mergeCell ref="Q8:Q9"/>
    <mergeCell ref="X8:X9"/>
    <mergeCell ref="CB8:CH8"/>
    <mergeCell ref="CB7:CH7"/>
    <mergeCell ref="CI8:CO8"/>
    <mergeCell ref="CI7:CO7"/>
    <mergeCell ref="CP7:CV7"/>
    <mergeCell ref="CP8:CT8"/>
    <mergeCell ref="DB7:DH7"/>
    <mergeCell ref="DI7:DO7"/>
    <mergeCell ref="HM8:HQ8"/>
    <mergeCell ref="IJ8:IM8"/>
    <mergeCell ref="AS9:AT9"/>
    <mergeCell ref="AS8:AT8"/>
    <mergeCell ref="Z8:Z9"/>
    <mergeCell ref="CQ9:CS9"/>
    <mergeCell ref="NC1:NC2"/>
    <mergeCell ref="NA7:NE7"/>
    <mergeCell ref="MC1:MC2"/>
    <mergeCell ref="AJ8:AK8"/>
    <mergeCell ref="GC1:GC2"/>
    <mergeCell ref="GF7:GL7"/>
    <mergeCell ref="GM7:GQ7"/>
    <mergeCell ref="GA8:GE8"/>
    <mergeCell ref="GF8:GL8"/>
    <mergeCell ref="GM8:GQ8"/>
    <mergeCell ref="MA7:ME7"/>
    <mergeCell ref="MF7:MI7"/>
    <mergeCell ref="MJ7:MM7"/>
    <mergeCell ref="IA8:IE8"/>
    <mergeCell ref="FA8:FE8"/>
    <mergeCell ref="CU8:CV8"/>
    <mergeCell ref="EM8:EQ8"/>
    <mergeCell ref="MF8:MI8"/>
    <mergeCell ref="DB8:DH8"/>
    <mergeCell ref="DI8:DO8"/>
    <mergeCell ref="DP7:DV7"/>
    <mergeCell ref="DP8:DT8"/>
    <mergeCell ref="IJ7:IM7"/>
    <mergeCell ref="DU8:DV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7" tint="0.59999389629810485"/>
  </sheetPr>
  <dimension ref="A1:CE275"/>
  <sheetViews>
    <sheetView view="pageBreakPreview" topLeftCell="M1" zoomScaleSheetLayoutView="100" workbookViewId="0">
      <selection activeCell="AW223" sqref="AW222:AW223"/>
    </sheetView>
  </sheetViews>
  <sheetFormatPr baseColWidth="10" defaultColWidth="11.42578125" defaultRowHeight="15"/>
  <cols>
    <col min="1" max="1" width="10.140625" customWidth="1"/>
    <col min="2" max="2" width="8.42578125" style="375" customWidth="1"/>
    <col min="3" max="3" width="9.42578125" style="375" customWidth="1"/>
    <col min="4" max="4" width="12" customWidth="1"/>
    <col min="5" max="5" width="61.85546875" style="375" customWidth="1"/>
    <col min="6" max="6" width="56.85546875" style="1150" customWidth="1"/>
    <col min="7" max="7" width="7.28515625" style="1150" customWidth="1"/>
    <col min="8" max="8" width="11.5703125" style="1150" customWidth="1"/>
    <col min="9" max="9" width="4.42578125" style="1150" customWidth="1"/>
    <col min="10" max="10" width="70.42578125" style="1150" customWidth="1"/>
    <col min="11" max="11" width="72.85546875" style="1150" customWidth="1"/>
    <col min="12" max="12" width="26.140625" customWidth="1"/>
    <col min="13" max="13" width="28.85546875" customWidth="1"/>
    <col min="14" max="14" width="7.42578125" customWidth="1"/>
    <col min="15" max="15" width="8.140625" customWidth="1"/>
    <col min="16" max="16" width="7.5703125" customWidth="1"/>
    <col min="17" max="17" width="10.28515625" style="527" customWidth="1"/>
    <col min="18" max="19" width="11.42578125" customWidth="1"/>
    <col min="23" max="23" width="11.42578125" style="1150"/>
    <col min="24" max="24" width="18.42578125" customWidth="1"/>
    <col min="26" max="26" width="11.42578125" style="447"/>
    <col min="28" max="28" width="11.42578125" style="1107"/>
    <col min="29" max="30" width="11.42578125" style="1105"/>
    <col min="32" max="32" width="11.42578125" style="458"/>
    <col min="34" max="36" width="11.42578125" style="1150"/>
    <col min="37" max="37" width="11" style="1150" customWidth="1"/>
    <col min="38" max="38" width="8.42578125" style="1150" customWidth="1"/>
    <col min="39" max="39" width="10" style="1150" customWidth="1"/>
    <col min="40" max="40" width="11.42578125" style="1150"/>
    <col min="41" max="41" width="10.28515625" style="1150" customWidth="1"/>
    <col min="42" max="42" width="9.140625" style="1150" customWidth="1"/>
    <col min="43" max="43" width="10.5703125" style="458" customWidth="1"/>
    <col min="44" max="44" width="30.140625" style="1150" customWidth="1"/>
    <col min="45" max="45" width="12.28515625" style="1150" customWidth="1"/>
    <col min="46" max="46" width="9.5703125" style="1150" customWidth="1"/>
    <col min="47" max="47" width="10.28515625" style="1150" customWidth="1"/>
    <col min="48" max="48" width="10.140625" style="1150" customWidth="1"/>
    <col min="49" max="49" width="10" style="1150" customWidth="1"/>
    <col min="50" max="50" width="9.7109375" style="1150" customWidth="1"/>
    <col min="51" max="51" width="8.42578125" style="1150" customWidth="1"/>
    <col min="52" max="52" width="8.5703125" style="1150" customWidth="1"/>
    <col min="53" max="53" width="10.5703125" style="1150" customWidth="1"/>
    <col min="54" max="54" width="21.140625" style="1150" customWidth="1"/>
    <col min="55" max="55" width="14.5703125" style="1150" customWidth="1"/>
    <col min="56" max="56" width="8.5703125" style="1150" customWidth="1"/>
    <col min="57" max="57" width="14.5703125" style="1150" customWidth="1"/>
    <col min="58" max="58" width="10.140625" style="1150" customWidth="1"/>
    <col min="59" max="59" width="10" style="1150" customWidth="1"/>
    <col min="60" max="60" width="9.7109375" style="1150" customWidth="1"/>
    <col min="61" max="61" width="8.42578125" style="1150" customWidth="1"/>
    <col min="62" max="62" width="8.5703125" style="1150" customWidth="1"/>
    <col min="63" max="63" width="10.5703125" style="1150" customWidth="1"/>
    <col min="64" max="64" width="46.5703125" customWidth="1"/>
    <col min="74" max="74" width="45" customWidth="1"/>
  </cols>
  <sheetData>
    <row r="1" spans="1:83">
      <c r="A1" s="258"/>
      <c r="B1" s="384"/>
      <c r="C1" s="384"/>
      <c r="D1" s="384"/>
      <c r="E1" s="385"/>
      <c r="F1" s="1109"/>
      <c r="G1" s="1151"/>
      <c r="H1" s="1151"/>
      <c r="I1" s="1151"/>
      <c r="J1" s="1151"/>
      <c r="K1" s="1151"/>
      <c r="L1" s="384"/>
      <c r="M1" s="1151"/>
      <c r="N1" s="384"/>
      <c r="O1" s="384"/>
      <c r="P1" s="384"/>
      <c r="Q1" s="1151"/>
      <c r="R1" s="1151"/>
      <c r="S1" s="1151"/>
      <c r="T1" s="1151"/>
      <c r="U1" s="1151"/>
      <c r="V1" s="1151"/>
      <c r="W1" s="1194"/>
      <c r="X1" s="1151"/>
      <c r="Y1" s="1151"/>
      <c r="Z1" s="1151"/>
      <c r="AA1" s="1151"/>
      <c r="AB1" s="1151"/>
      <c r="AC1" s="1151"/>
      <c r="AD1" s="1151"/>
      <c r="AE1" s="1151"/>
      <c r="AF1" s="1151"/>
      <c r="AG1" s="1151"/>
      <c r="AH1" s="1151"/>
      <c r="AI1" s="1151"/>
      <c r="AJ1" s="1151"/>
      <c r="AK1" s="1151"/>
      <c r="AL1" s="1151"/>
      <c r="AM1" s="1151"/>
      <c r="AN1" s="1151"/>
      <c r="AO1" s="1151"/>
      <c r="AP1" s="1151"/>
      <c r="AQ1" s="1151"/>
      <c r="AR1" s="1151"/>
      <c r="AS1" s="1151"/>
      <c r="AT1" s="1151"/>
      <c r="AU1" s="1151"/>
      <c r="AV1" s="1151"/>
      <c r="AW1" s="1151"/>
      <c r="AX1" s="1151"/>
      <c r="AY1" s="1151"/>
      <c r="AZ1" s="1151"/>
      <c r="BA1" s="1151"/>
      <c r="BB1" s="1151"/>
      <c r="BC1" s="1151"/>
      <c r="BD1" s="1151"/>
      <c r="BE1" s="1151"/>
      <c r="BF1" s="1151"/>
      <c r="BG1" s="1151"/>
      <c r="BH1" s="1151"/>
      <c r="BI1" s="1151"/>
      <c r="BJ1" s="1151"/>
      <c r="BK1" s="1151"/>
    </row>
    <row r="2" spans="1:83" ht="15.75" thickBot="1">
      <c r="A2" s="291"/>
      <c r="B2" s="390"/>
      <c r="C2" s="390"/>
      <c r="D2" s="390"/>
      <c r="E2" s="1109"/>
      <c r="F2" s="1109"/>
      <c r="G2" s="1151"/>
      <c r="H2" s="1151"/>
      <c r="I2" s="1151"/>
      <c r="J2" s="1151"/>
      <c r="K2" s="1151"/>
      <c r="L2" s="392"/>
      <c r="M2" s="1151"/>
      <c r="N2" s="390"/>
      <c r="O2" s="390"/>
      <c r="P2" s="390"/>
      <c r="Q2" s="1151"/>
      <c r="R2" s="1151"/>
      <c r="S2" s="1151"/>
      <c r="T2" s="1151"/>
      <c r="U2" s="1151"/>
      <c r="V2" s="1151"/>
      <c r="W2" s="1194"/>
      <c r="X2" s="1151"/>
      <c r="Y2" s="1151"/>
      <c r="Z2" s="1151"/>
      <c r="AA2" s="1151"/>
      <c r="AB2" s="1151"/>
      <c r="AC2" s="1151"/>
      <c r="AD2" s="1151"/>
      <c r="AE2" s="1151"/>
      <c r="AF2" s="1151"/>
      <c r="AG2" s="1151"/>
      <c r="AH2" s="1151"/>
      <c r="AI2" s="1151"/>
      <c r="AJ2" s="1151"/>
      <c r="AK2" s="1151"/>
      <c r="AL2" s="1151"/>
      <c r="AM2" s="1151"/>
      <c r="AN2" s="1151"/>
      <c r="AO2" s="1151"/>
      <c r="AP2" s="1151"/>
      <c r="AQ2" s="1151"/>
      <c r="AR2" s="1151"/>
      <c r="AS2" s="1151"/>
      <c r="AT2" s="1151"/>
      <c r="AU2" s="1151"/>
      <c r="AV2" s="1151"/>
      <c r="AW2" s="1151"/>
      <c r="AX2" s="1151"/>
      <c r="AY2" s="1151"/>
      <c r="AZ2" s="1151"/>
      <c r="BA2" s="1151"/>
      <c r="BB2" s="1151"/>
      <c r="BC2" s="1151"/>
      <c r="BD2" s="1151"/>
      <c r="BE2" s="1151"/>
      <c r="BF2" s="1151"/>
      <c r="BG2" s="1151"/>
      <c r="BH2" s="1151"/>
      <c r="BI2" s="1151"/>
      <c r="BJ2" s="1151"/>
      <c r="BK2" s="1151"/>
    </row>
    <row r="3" spans="1:83">
      <c r="A3" s="1186" t="b">
        <v>1</v>
      </c>
      <c r="B3" s="1813" t="s">
        <v>2809</v>
      </c>
      <c r="C3" s="1814"/>
      <c r="D3" s="1814"/>
      <c r="E3" s="1815"/>
      <c r="F3" s="1242" t="s">
        <v>2804</v>
      </c>
      <c r="G3" s="1242" t="s">
        <v>2805</v>
      </c>
      <c r="H3" s="1242" t="s">
        <v>2806</v>
      </c>
      <c r="I3" s="1242" t="s">
        <v>2807</v>
      </c>
      <c r="J3" s="1242" t="s">
        <v>2810</v>
      </c>
      <c r="K3" s="1242" t="s">
        <v>2811</v>
      </c>
      <c r="L3" s="1816" t="s">
        <v>2803</v>
      </c>
      <c r="M3" s="1817"/>
      <c r="N3" s="1817"/>
      <c r="O3" s="1817"/>
      <c r="P3" s="1817"/>
      <c r="Q3" s="1817"/>
      <c r="R3" s="1817"/>
      <c r="S3" s="1817"/>
      <c r="T3" s="1817"/>
      <c r="U3" s="1817"/>
      <c r="V3" s="1818"/>
      <c r="W3" s="1225"/>
      <c r="X3" s="1819" t="s">
        <v>2804</v>
      </c>
      <c r="Y3" s="1819"/>
      <c r="Z3" s="1819"/>
      <c r="AA3" s="1819"/>
      <c r="AB3" s="1819"/>
      <c r="AC3" s="1819"/>
      <c r="AD3" s="1819"/>
      <c r="AE3" s="1819"/>
      <c r="AF3" s="1819"/>
      <c r="AG3" s="1820"/>
      <c r="AH3" s="1821" t="s">
        <v>2805</v>
      </c>
      <c r="AI3" s="1822"/>
      <c r="AJ3" s="1822"/>
      <c r="AK3" s="1822"/>
      <c r="AL3" s="1822"/>
      <c r="AM3" s="1822"/>
      <c r="AN3" s="1822"/>
      <c r="AO3" s="1822"/>
      <c r="AP3" s="1822"/>
      <c r="AQ3" s="1823"/>
      <c r="AR3" s="1810" t="s">
        <v>2806</v>
      </c>
      <c r="AS3" s="1811"/>
      <c r="AT3" s="1811"/>
      <c r="AU3" s="1811"/>
      <c r="AV3" s="1811"/>
      <c r="AW3" s="1811"/>
      <c r="AX3" s="1811"/>
      <c r="AY3" s="1811"/>
      <c r="AZ3" s="1811"/>
      <c r="BA3" s="1812"/>
      <c r="BB3" s="1810" t="s">
        <v>2807</v>
      </c>
      <c r="BC3" s="1811"/>
      <c r="BD3" s="1811"/>
      <c r="BE3" s="1811"/>
      <c r="BF3" s="1811"/>
      <c r="BG3" s="1811"/>
      <c r="BH3" s="1811"/>
      <c r="BI3" s="1811"/>
      <c r="BJ3" s="1811"/>
      <c r="BK3" s="1812"/>
      <c r="BL3" s="1810" t="s">
        <v>2810</v>
      </c>
      <c r="BM3" s="1811"/>
      <c r="BN3" s="1811"/>
      <c r="BO3" s="1811"/>
      <c r="BP3" s="1811"/>
      <c r="BQ3" s="1811"/>
      <c r="BR3" s="1811"/>
      <c r="BS3" s="1811"/>
      <c r="BT3" s="1811"/>
      <c r="BU3" s="1812"/>
      <c r="BV3" s="1810" t="s">
        <v>2811</v>
      </c>
      <c r="BW3" s="1811"/>
      <c r="BX3" s="1811"/>
      <c r="BY3" s="1811"/>
      <c r="BZ3" s="1811"/>
      <c r="CA3" s="1811"/>
      <c r="CB3" s="1811"/>
      <c r="CC3" s="1811"/>
      <c r="CD3" s="1811"/>
      <c r="CE3" s="1812"/>
    </row>
    <row r="4" spans="1:83" ht="105.75" thickBot="1">
      <c r="A4" s="1186"/>
      <c r="B4" s="1186"/>
      <c r="C4" s="1186"/>
      <c r="D4" s="1187" t="s">
        <v>2823</v>
      </c>
      <c r="E4" s="1187" t="s">
        <v>2822</v>
      </c>
      <c r="F4" s="1243" t="s">
        <v>2818</v>
      </c>
      <c r="G4" s="1243" t="s">
        <v>2819</v>
      </c>
      <c r="H4" s="1243" t="s">
        <v>2820</v>
      </c>
      <c r="I4" s="1243" t="s">
        <v>2821</v>
      </c>
      <c r="J4" s="1243" t="s">
        <v>2723</v>
      </c>
      <c r="K4" s="1243" t="s">
        <v>2240</v>
      </c>
      <c r="L4" s="1183" t="s">
        <v>2158</v>
      </c>
      <c r="M4" s="1184" t="s">
        <v>2226</v>
      </c>
      <c r="N4" s="1185" t="s">
        <v>2112</v>
      </c>
      <c r="O4" s="1184" t="s">
        <v>2228</v>
      </c>
      <c r="P4" s="1184" t="s">
        <v>2230</v>
      </c>
      <c r="Q4" s="1184" t="s">
        <v>2495</v>
      </c>
      <c r="R4" s="1185" t="s">
        <v>2242</v>
      </c>
      <c r="S4" s="1184" t="s">
        <v>2212</v>
      </c>
      <c r="T4" s="1184" t="s">
        <v>1148</v>
      </c>
      <c r="U4" s="1185" t="s">
        <v>2227</v>
      </c>
      <c r="V4" s="1219" t="s">
        <v>2107</v>
      </c>
      <c r="W4" s="1219" t="s">
        <v>2812</v>
      </c>
      <c r="X4" s="1241" t="s">
        <v>2111</v>
      </c>
      <c r="Y4" s="1237" t="s">
        <v>2222</v>
      </c>
      <c r="Z4" s="1238" t="s">
        <v>2322</v>
      </c>
      <c r="AA4" s="1238" t="s">
        <v>2223</v>
      </c>
      <c r="AB4" s="1238" t="s">
        <v>23</v>
      </c>
      <c r="AC4" s="1238" t="s">
        <v>2774</v>
      </c>
      <c r="AD4" s="1238" t="s">
        <v>2775</v>
      </c>
      <c r="AE4" s="1238" t="s">
        <v>2773</v>
      </c>
      <c r="AF4" s="1238" t="s">
        <v>2225</v>
      </c>
      <c r="AG4" s="1239" t="s">
        <v>2229</v>
      </c>
      <c r="AH4" s="1200" t="s">
        <v>2111</v>
      </c>
      <c r="AI4" s="1172" t="s">
        <v>2222</v>
      </c>
      <c r="AJ4" s="1173" t="s">
        <v>2322</v>
      </c>
      <c r="AK4" s="1173" t="s">
        <v>2223</v>
      </c>
      <c r="AL4" s="1173" t="s">
        <v>23</v>
      </c>
      <c r="AM4" s="1173" t="s">
        <v>2774</v>
      </c>
      <c r="AN4" s="1173" t="s">
        <v>2775</v>
      </c>
      <c r="AO4" s="1173" t="s">
        <v>2773</v>
      </c>
      <c r="AP4" s="1173" t="s">
        <v>2225</v>
      </c>
      <c r="AQ4" s="1201" t="s">
        <v>2229</v>
      </c>
      <c r="AR4" s="1200" t="s">
        <v>2111</v>
      </c>
      <c r="AS4" s="1172" t="s">
        <v>2222</v>
      </c>
      <c r="AT4" s="1173" t="s">
        <v>2808</v>
      </c>
      <c r="AU4" s="1173" t="s">
        <v>2223</v>
      </c>
      <c r="AV4" s="1173" t="s">
        <v>23</v>
      </c>
      <c r="AW4" s="1173" t="s">
        <v>2774</v>
      </c>
      <c r="AX4" s="1173" t="s">
        <v>2775</v>
      </c>
      <c r="AY4" s="1173" t="s">
        <v>2773</v>
      </c>
      <c r="AZ4" s="1173" t="s">
        <v>2225</v>
      </c>
      <c r="BA4" s="1201" t="s">
        <v>2229</v>
      </c>
      <c r="BB4" s="1200" t="s">
        <v>2111</v>
      </c>
      <c r="BC4" s="1172" t="s">
        <v>2222</v>
      </c>
      <c r="BD4" s="1173" t="s">
        <v>2808</v>
      </c>
      <c r="BE4" s="1173" t="s">
        <v>2223</v>
      </c>
      <c r="BF4" s="1173" t="s">
        <v>23</v>
      </c>
      <c r="BG4" s="1173" t="s">
        <v>2774</v>
      </c>
      <c r="BH4" s="1173" t="s">
        <v>2775</v>
      </c>
      <c r="BI4" s="1173" t="s">
        <v>2773</v>
      </c>
      <c r="BJ4" s="1173" t="s">
        <v>2225</v>
      </c>
      <c r="BK4" s="1201" t="s">
        <v>2229</v>
      </c>
      <c r="BL4" s="1200" t="s">
        <v>2111</v>
      </c>
      <c r="BM4" s="1172" t="s">
        <v>2222</v>
      </c>
      <c r="BN4" s="1173" t="s">
        <v>2808</v>
      </c>
      <c r="BO4" s="1173" t="s">
        <v>2223</v>
      </c>
      <c r="BP4" s="1173" t="s">
        <v>23</v>
      </c>
      <c r="BQ4" s="1173" t="s">
        <v>2774</v>
      </c>
      <c r="BR4" s="1173" t="s">
        <v>2775</v>
      </c>
      <c r="BS4" s="1173" t="s">
        <v>2773</v>
      </c>
      <c r="BT4" s="1173" t="s">
        <v>2225</v>
      </c>
      <c r="BU4" s="1201" t="s">
        <v>2229</v>
      </c>
      <c r="BV4" s="1200" t="s">
        <v>2111</v>
      </c>
      <c r="BW4" s="1172" t="s">
        <v>2222</v>
      </c>
      <c r="BX4" s="1173" t="s">
        <v>2808</v>
      </c>
      <c r="BY4" s="1173" t="s">
        <v>2223</v>
      </c>
      <c r="BZ4" s="1173" t="s">
        <v>23</v>
      </c>
      <c r="CA4" s="1173" t="s">
        <v>2774</v>
      </c>
      <c r="CB4" s="1173" t="s">
        <v>2775</v>
      </c>
      <c r="CC4" s="1173" t="s">
        <v>2773</v>
      </c>
      <c r="CD4" s="1173" t="s">
        <v>2225</v>
      </c>
      <c r="CE4" s="1201" t="s">
        <v>2229</v>
      </c>
    </row>
    <row r="5" spans="1:83" s="1127" customFormat="1">
      <c r="A5" s="291" t="b">
        <v>0</v>
      </c>
      <c r="B5" s="291" t="s">
        <v>2243</v>
      </c>
      <c r="C5" s="291" t="b">
        <f t="shared" ref="C5" si="0">IF(B5="N/A","",IF(B5="newRates",FALSE,TRUE))</f>
        <v>0</v>
      </c>
      <c r="D5" s="388" t="str">
        <f>IF(C5=FALSE=NAMES!$B$8,"",IF(L5="N/A","N/A",O5&amp;N5&amp;L5&amp;"-"&amp;M5))</f>
        <v>N/A</v>
      </c>
      <c r="E5" s="392" t="str">
        <f t="shared" ref="E5:E38" si="1">IF(L5="N/A","N/A",O5&amp;N5&amp;L5&amp;"-"&amp;M5)</f>
        <v>N/A</v>
      </c>
      <c r="F5" s="1236" t="str">
        <f t="shared" ref="F5:F42" si="2">IF(X5="N/A","N/A",O5&amp;N5&amp;L5&amp;"-"&amp;X5&amp;M5)</f>
        <v>N/A</v>
      </c>
      <c r="G5" s="1240" t="str">
        <f t="shared" ref="G5:G42" si="3">IF(AH5="N/A","N/A",O5&amp;N5&amp;L5&amp;"-"&amp;AH5&amp;M5)</f>
        <v>N/A</v>
      </c>
      <c r="H5" s="1240" t="str">
        <f t="shared" ref="H5:H42" si="4">IF(AR5="N/A","N/A",O5&amp;N5&amp;L5&amp;"-"&amp;AR5&amp;M5)</f>
        <v>N/A</v>
      </c>
      <c r="I5" s="1240" t="str">
        <f t="shared" ref="I5:I42" si="5">IF(BB5="N/A","N/A",O5&amp;N5&amp;L5&amp;"-"&amp;BB5&amp;M5)</f>
        <v>N/A</v>
      </c>
      <c r="J5" s="1240" t="str">
        <f t="shared" ref="J5:J42" si="6">IF(BL5="N/A","N/A",O5&amp;N5&amp;L5&amp;"-"&amp;BL5&amp;M5)</f>
        <v>N/A</v>
      </c>
      <c r="K5" s="1240" t="str">
        <f t="shared" ref="K5:K42" si="7">IF(BV5="N/A","N/A",O5&amp;N5&amp;L5&amp;"-"&amp;BV5&amp;M5)</f>
        <v>N/A</v>
      </c>
      <c r="L5" s="389" t="s">
        <v>2224</v>
      </c>
      <c r="M5" s="389"/>
      <c r="N5" s="389"/>
      <c r="O5" s="1151"/>
      <c r="P5" s="1151"/>
      <c r="Q5" s="1151"/>
      <c r="R5" s="1151"/>
      <c r="S5" s="389"/>
      <c r="T5" s="389"/>
      <c r="U5" s="389"/>
      <c r="V5" s="1151"/>
      <c r="W5" s="1194" t="str">
        <f t="shared" ref="W5:W42" si="8">IF(X5="N/A","",AA5+AK5+AU5+BE5)</f>
        <v/>
      </c>
      <c r="X5" s="388" t="s">
        <v>2224</v>
      </c>
      <c r="Y5" s="1188" t="str">
        <f t="shared" ref="Y5:Y38" si="9">IF(X5="N/A","",AA5*(1-Z5))</f>
        <v/>
      </c>
      <c r="Z5" s="1151"/>
      <c r="AA5" s="1189" t="str">
        <f t="shared" ref="AA5:AA38" si="10">IF(X5="N/A","",AG5/1.04)</f>
        <v/>
      </c>
      <c r="AB5" s="377" t="str">
        <f>IF(E5="N/A","",$AB$2)</f>
        <v/>
      </c>
      <c r="AC5" s="391"/>
      <c r="AD5" s="391"/>
      <c r="AE5" s="1151"/>
      <c r="AF5" s="1151"/>
      <c r="AG5" s="183"/>
      <c r="AH5" s="1202" t="s">
        <v>2224</v>
      </c>
      <c r="AI5" s="1151"/>
      <c r="AJ5" s="1151"/>
      <c r="AK5" s="1179" t="str">
        <f t="shared" ref="AK5:AK38" si="11">IF(AH5="N/A","",IF(AQ5="",0,AQ5/1.04))</f>
        <v/>
      </c>
      <c r="AL5" s="1151"/>
      <c r="AM5" s="1151"/>
      <c r="AN5" s="1151"/>
      <c r="AO5" s="1151"/>
      <c r="AP5" s="1151"/>
      <c r="AQ5" s="183"/>
      <c r="AR5" s="1202" t="s">
        <v>2224</v>
      </c>
      <c r="AS5" s="1177">
        <f>IF(AR5="N/A",0,AU5*(1-AT5))</f>
        <v>0</v>
      </c>
      <c r="AT5" s="1151"/>
      <c r="AU5" s="1179">
        <f>IF(BA5="",0,BA5/1.04)</f>
        <v>0</v>
      </c>
      <c r="AV5" s="1151"/>
      <c r="AW5" s="1151"/>
      <c r="AX5" s="1151"/>
      <c r="AY5" s="1151"/>
      <c r="AZ5" s="1151"/>
      <c r="BA5" s="183"/>
      <c r="BB5" s="1202" t="s">
        <v>2224</v>
      </c>
      <c r="BC5" s="1177">
        <f>IF(BB5="N/A",0,BE5*(1-BD5))</f>
        <v>0</v>
      </c>
      <c r="BD5" s="1151"/>
      <c r="BE5" s="1179">
        <f>IF(BB5="N/A",0,IF(BK5="",0,BK5/1.04))</f>
        <v>0</v>
      </c>
      <c r="BF5" s="1151"/>
      <c r="BG5" s="1151"/>
      <c r="BH5" s="1151"/>
      <c r="BI5" s="1151"/>
      <c r="BJ5" s="1151"/>
      <c r="BK5" s="183"/>
      <c r="BL5" s="1202" t="s">
        <v>2224</v>
      </c>
      <c r="BM5" s="1109"/>
      <c r="BN5" s="1109"/>
      <c r="BO5" s="1109"/>
      <c r="BP5" s="1109"/>
      <c r="BQ5" s="1109"/>
      <c r="BR5" s="1109"/>
      <c r="BS5" s="1109"/>
      <c r="BT5" s="1109"/>
      <c r="BU5" s="380"/>
      <c r="BV5" s="1202" t="s">
        <v>2224</v>
      </c>
      <c r="BW5" s="1109"/>
      <c r="BX5" s="1109"/>
      <c r="BY5" s="1109"/>
      <c r="BZ5" s="1109"/>
      <c r="CA5" s="1109"/>
      <c r="CB5" s="1109"/>
      <c r="CC5" s="1109"/>
      <c r="CD5" s="1109"/>
      <c r="CE5" s="380"/>
    </row>
    <row r="6" spans="1:83" s="1127" customFormat="1">
      <c r="A6" s="291" t="b">
        <v>0</v>
      </c>
      <c r="B6" s="291" t="s">
        <v>2243</v>
      </c>
      <c r="C6" s="291" t="b">
        <f t="shared" ref="C6:C38" si="12">IF(B6="N/A","",IF(B6="newRates",FALSE,TRUE))</f>
        <v>0</v>
      </c>
      <c r="D6" s="388" t="str">
        <f>IF(C6=FALSE=NAMES!$B$8,"",IF(L6="N/A","N/A",O6&amp;N6&amp;L6&amp;"-"&amp;M6))</f>
        <v>2017EURAIG Luxembourg-Perfect</v>
      </c>
      <c r="E6" s="392" t="str">
        <f t="shared" si="1"/>
        <v>2017EURAIG Luxembourg-Perfect</v>
      </c>
      <c r="F6" s="1236" t="str">
        <f t="shared" ref="F6:F38" si="13">IF(X6="N/A","N/A",O6&amp;N6&amp;L6&amp;"-"&amp;X6&amp;M6)</f>
        <v>2017EURAIG Luxembourg-Healthcare PlanPerfect</v>
      </c>
      <c r="G6" s="1240" t="str">
        <f t="shared" ref="G6:G38" si="14">IF(AH6="N/A","N/A",O6&amp;N6&amp;L6&amp;"-"&amp;AH6&amp;M6)</f>
        <v>2017EURAIG Luxembourg-Assistance and RepatriationPerfect</v>
      </c>
      <c r="H6" s="1240" t="str">
        <f t="shared" ref="H6:H38" si="15">IF(AR6="N/A","N/A",O6&amp;N6&amp;L6&amp;"-"&amp;AR6&amp;M6)</f>
        <v>N/A</v>
      </c>
      <c r="I6" s="1240" t="str">
        <f t="shared" ref="I6:I38" si="16">IF(BB6="N/A","N/A",O6&amp;N6&amp;L6&amp;"-"&amp;BB6&amp;M6)</f>
        <v>N/A</v>
      </c>
      <c r="J6" s="1240" t="str">
        <f t="shared" ref="J6:J38" si="17">IF(BL6="N/A","N/A",O6&amp;N6&amp;L6&amp;"-"&amp;BL6&amp;M6)</f>
        <v>N/A</v>
      </c>
      <c r="K6" s="1240" t="str">
        <f t="shared" ref="K6:K38" si="18">IF(BV6="N/A","N/A",O6&amp;N6&amp;L6&amp;"-"&amp;BV6&amp;M6)</f>
        <v>N/A</v>
      </c>
      <c r="L6" s="392" t="s">
        <v>4</v>
      </c>
      <c r="M6" s="392" t="s">
        <v>2580</v>
      </c>
      <c r="N6" s="392" t="s">
        <v>32</v>
      </c>
      <c r="O6" s="376">
        <v>2017</v>
      </c>
      <c r="P6" s="376" t="s">
        <v>26</v>
      </c>
      <c r="Q6" s="376" t="s">
        <v>1</v>
      </c>
      <c r="R6" s="378">
        <v>36.200000000000003</v>
      </c>
      <c r="S6" s="392" t="s">
        <v>2213</v>
      </c>
      <c r="T6" s="392"/>
      <c r="U6" s="392"/>
      <c r="V6" s="1109">
        <v>365</v>
      </c>
      <c r="W6" s="1228">
        <f t="shared" ref="W6:W38" si="19">IF(X6="N/A","",AA6+AK6+AU6+BE6)</f>
        <v>1355.7692307692307</v>
      </c>
      <c r="X6" s="197" t="s">
        <v>3</v>
      </c>
      <c r="Y6" s="1188">
        <f t="shared" si="9"/>
        <v>874.03846153846143</v>
      </c>
      <c r="Z6" s="377">
        <v>0.25</v>
      </c>
      <c r="AA6" s="1189">
        <f t="shared" si="10"/>
        <v>1165.3846153846152</v>
      </c>
      <c r="AB6" s="377">
        <v>0</v>
      </c>
      <c r="AC6" s="378">
        <v>0</v>
      </c>
      <c r="AD6" s="374">
        <f t="shared" ref="AD6:AD38" si="20">IF(E6="N/A","",AA6+AC6)</f>
        <v>1165.3846153846152</v>
      </c>
      <c r="AE6" s="377">
        <v>0.04</v>
      </c>
      <c r="AF6" s="370">
        <f t="shared" ref="AF6:AF38" si="21">IF(L6="N/A","",AA6*AE6)</f>
        <v>46.615384615384613</v>
      </c>
      <c r="AG6" s="1216">
        <v>1212</v>
      </c>
      <c r="AH6" s="1215" t="s">
        <v>5</v>
      </c>
      <c r="AI6" s="1177">
        <f t="shared" ref="AI6:AI38" si="22">IF(AH6="N/A","",AK6*(1-AJ6))</f>
        <v>142.78846153846155</v>
      </c>
      <c r="AJ6" s="1175">
        <v>0.25</v>
      </c>
      <c r="AK6" s="1179">
        <f t="shared" si="11"/>
        <v>190.38461538461539</v>
      </c>
      <c r="AL6" s="1175">
        <v>0</v>
      </c>
      <c r="AM6" s="1174">
        <v>0</v>
      </c>
      <c r="AN6" s="1178"/>
      <c r="AO6" s="1175">
        <v>0.04</v>
      </c>
      <c r="AP6" s="1175"/>
      <c r="AQ6" s="1204">
        <v>198</v>
      </c>
      <c r="AR6" s="1202" t="s">
        <v>2224</v>
      </c>
      <c r="AS6" s="1177">
        <f t="shared" ref="AS6:AS25" si="23">IF(AR6="N/A",0,AU6*(1-AT6))</f>
        <v>0</v>
      </c>
      <c r="AT6" s="1175">
        <v>0.25</v>
      </c>
      <c r="AU6" s="1179">
        <f t="shared" ref="AU6:AU67" si="24">IF(BA6="",0,BA6/1.04)</f>
        <v>0</v>
      </c>
      <c r="AV6" s="1175">
        <v>0</v>
      </c>
      <c r="AW6" s="1174">
        <v>0</v>
      </c>
      <c r="AX6" s="1176"/>
      <c r="AY6" s="1175">
        <v>0.04</v>
      </c>
      <c r="AZ6" s="1175"/>
      <c r="BA6" s="1204"/>
      <c r="BB6" s="1202" t="s">
        <v>2224</v>
      </c>
      <c r="BC6" s="1177">
        <f t="shared" ref="BC6:BC66" si="25">IF(BB6="N/A",0,BE6*(1-BD6))</f>
        <v>0</v>
      </c>
      <c r="BD6" s="1175">
        <v>0.25</v>
      </c>
      <c r="BE6" s="1179">
        <f t="shared" ref="BE6:BE67" si="26">IF(BB6="N/A",0,IF(BK6="",0,BK6/1.04))</f>
        <v>0</v>
      </c>
      <c r="BF6" s="1175">
        <v>0</v>
      </c>
      <c r="BG6" s="1174">
        <v>0</v>
      </c>
      <c r="BH6" s="1176"/>
      <c r="BI6" s="1175">
        <v>0.04</v>
      </c>
      <c r="BJ6" s="1175"/>
      <c r="BK6" s="1204">
        <v>52</v>
      </c>
      <c r="BL6" s="1202" t="s">
        <v>2224</v>
      </c>
      <c r="BM6" s="1109"/>
      <c r="BN6" s="1109"/>
      <c r="BO6" s="1109"/>
      <c r="BP6" s="1109"/>
      <c r="BQ6" s="1109"/>
      <c r="BR6" s="1109"/>
      <c r="BS6" s="1109"/>
      <c r="BT6" s="1109"/>
      <c r="BU6" s="380"/>
      <c r="BV6" s="1202" t="s">
        <v>2224</v>
      </c>
      <c r="BW6" s="1109"/>
      <c r="BX6" s="1109"/>
      <c r="BY6" s="1109"/>
      <c r="BZ6" s="1109"/>
      <c r="CA6" s="1109"/>
      <c r="CB6" s="1109"/>
      <c r="CC6" s="1109"/>
      <c r="CD6" s="1109"/>
      <c r="CE6" s="380"/>
    </row>
    <row r="7" spans="1:83" s="1127" customFormat="1">
      <c r="A7" s="291" t="b">
        <v>0</v>
      </c>
      <c r="B7" s="291" t="s">
        <v>2243</v>
      </c>
      <c r="C7" s="291" t="b">
        <f t="shared" si="12"/>
        <v>0</v>
      </c>
      <c r="D7" s="388" t="str">
        <f>IF(C7=FALSE=NAMES!$B$8,"",IF(L7="N/A","N/A",O7&amp;N7&amp;L7&amp;"-"&amp;M7))</f>
        <v>2017EURAIG Luxembourg-Perfect S</v>
      </c>
      <c r="E7" s="392" t="str">
        <f t="shared" si="1"/>
        <v>2017EURAIG Luxembourg-Perfect S</v>
      </c>
      <c r="F7" s="1236" t="str">
        <f t="shared" si="13"/>
        <v>2017EURAIG Luxembourg-Healthcare PlanPerfect S</v>
      </c>
      <c r="G7" s="1240" t="str">
        <f t="shared" si="14"/>
        <v>2017EURAIG Luxembourg-Assistance and RepatriationPerfect S</v>
      </c>
      <c r="H7" s="1240" t="str">
        <f t="shared" si="15"/>
        <v>N/A</v>
      </c>
      <c r="I7" s="1240" t="str">
        <f t="shared" si="16"/>
        <v>N/A</v>
      </c>
      <c r="J7" s="1240" t="str">
        <f t="shared" si="17"/>
        <v>N/A</v>
      </c>
      <c r="K7" s="1240" t="str">
        <f t="shared" si="18"/>
        <v>N/A</v>
      </c>
      <c r="L7" s="392" t="s">
        <v>4</v>
      </c>
      <c r="M7" s="392" t="s">
        <v>2583</v>
      </c>
      <c r="N7" s="392" t="s">
        <v>32</v>
      </c>
      <c r="O7" s="376">
        <v>2017</v>
      </c>
      <c r="P7" s="376" t="s">
        <v>26</v>
      </c>
      <c r="Q7" s="376" t="s">
        <v>1</v>
      </c>
      <c r="R7" s="378">
        <v>13.2</v>
      </c>
      <c r="S7" s="392" t="s">
        <v>2213</v>
      </c>
      <c r="T7" s="392"/>
      <c r="U7" s="392"/>
      <c r="V7" s="1109">
        <v>365</v>
      </c>
      <c r="W7" s="1228">
        <f t="shared" si="19"/>
        <v>1355.7692307692307</v>
      </c>
      <c r="X7" s="197" t="s">
        <v>3</v>
      </c>
      <c r="Y7" s="1188">
        <f t="shared" si="9"/>
        <v>874.03846153846143</v>
      </c>
      <c r="Z7" s="377">
        <v>0.25</v>
      </c>
      <c r="AA7" s="1189">
        <f t="shared" si="10"/>
        <v>1165.3846153846152</v>
      </c>
      <c r="AB7" s="377">
        <v>0</v>
      </c>
      <c r="AC7" s="378">
        <v>0</v>
      </c>
      <c r="AD7" s="374">
        <f t="shared" si="20"/>
        <v>1165.3846153846152</v>
      </c>
      <c r="AE7" s="377">
        <v>0.04</v>
      </c>
      <c r="AF7" s="370">
        <f t="shared" si="21"/>
        <v>46.615384615384613</v>
      </c>
      <c r="AG7" s="1216">
        <v>1212</v>
      </c>
      <c r="AH7" s="1215" t="s">
        <v>5</v>
      </c>
      <c r="AI7" s="1177">
        <f t="shared" si="22"/>
        <v>142.78846153846155</v>
      </c>
      <c r="AJ7" s="1175">
        <v>0.25</v>
      </c>
      <c r="AK7" s="1179">
        <f t="shared" si="11"/>
        <v>190.38461538461539</v>
      </c>
      <c r="AL7" s="1175">
        <v>0</v>
      </c>
      <c r="AM7" s="1174">
        <v>0</v>
      </c>
      <c r="AN7" s="1178"/>
      <c r="AO7" s="1175">
        <v>0.04</v>
      </c>
      <c r="AP7" s="1175"/>
      <c r="AQ7" s="1204">
        <v>198</v>
      </c>
      <c r="AR7" s="1202" t="s">
        <v>2224</v>
      </c>
      <c r="AS7" s="1177">
        <f t="shared" si="23"/>
        <v>0</v>
      </c>
      <c r="AT7" s="1175">
        <v>0.25</v>
      </c>
      <c r="AU7" s="1179">
        <f t="shared" si="24"/>
        <v>0</v>
      </c>
      <c r="AV7" s="1175">
        <v>0</v>
      </c>
      <c r="AW7" s="1174">
        <v>0</v>
      </c>
      <c r="AX7" s="1176"/>
      <c r="AY7" s="1175">
        <v>0.04</v>
      </c>
      <c r="AZ7" s="1175"/>
      <c r="BA7" s="1204"/>
      <c r="BB7" s="1202" t="s">
        <v>2224</v>
      </c>
      <c r="BC7" s="1177">
        <f t="shared" si="25"/>
        <v>0</v>
      </c>
      <c r="BD7" s="1175">
        <v>0.25</v>
      </c>
      <c r="BE7" s="1179">
        <f t="shared" si="26"/>
        <v>0</v>
      </c>
      <c r="BF7" s="1175">
        <v>0</v>
      </c>
      <c r="BG7" s="1174">
        <v>0</v>
      </c>
      <c r="BH7" s="1176"/>
      <c r="BI7" s="1175">
        <v>0.04</v>
      </c>
      <c r="BJ7" s="1175"/>
      <c r="BK7" s="1204">
        <v>52</v>
      </c>
      <c r="BL7" s="1202" t="s">
        <v>2224</v>
      </c>
      <c r="BM7" s="1109"/>
      <c r="BN7" s="1109"/>
      <c r="BO7" s="1109"/>
      <c r="BP7" s="1109"/>
      <c r="BQ7" s="1109"/>
      <c r="BR7" s="1109"/>
      <c r="BS7" s="1109"/>
      <c r="BT7" s="1109"/>
      <c r="BU7" s="380"/>
      <c r="BV7" s="1202" t="s">
        <v>2224</v>
      </c>
      <c r="BW7" s="1109"/>
      <c r="BX7" s="1109"/>
      <c r="BY7" s="1109"/>
      <c r="BZ7" s="1109"/>
      <c r="CA7" s="1109"/>
      <c r="CB7" s="1109"/>
      <c r="CC7" s="1109"/>
      <c r="CD7" s="1109"/>
      <c r="CE7" s="380"/>
    </row>
    <row r="8" spans="1:83" s="486" customFormat="1">
      <c r="A8" s="291" t="b">
        <v>0</v>
      </c>
      <c r="B8" s="291" t="s">
        <v>2243</v>
      </c>
      <c r="C8" s="291" t="b">
        <f t="shared" si="12"/>
        <v>0</v>
      </c>
      <c r="D8" s="388" t="str">
        <f>IF(C8=FALSE=NAMES!$B$8,"",IF(L8="N/A","N/A",O8&amp;N8&amp;L8&amp;"-"&amp;M8))</f>
        <v>2017EURAIG Luxembourg-Standard</v>
      </c>
      <c r="E8" s="392" t="str">
        <f t="shared" si="1"/>
        <v>2017EURAIG Luxembourg-Standard</v>
      </c>
      <c r="F8" s="1236" t="str">
        <f t="shared" si="13"/>
        <v>2017EURAIG Luxembourg-Healthcare PlanStandard</v>
      </c>
      <c r="G8" s="1240" t="str">
        <f t="shared" si="14"/>
        <v>2017EURAIG Luxembourg-Assistance and RepatriationStandard</v>
      </c>
      <c r="H8" s="1240" t="str">
        <f t="shared" si="15"/>
        <v>N/A</v>
      </c>
      <c r="I8" s="1240" t="str">
        <f t="shared" si="16"/>
        <v>N/A</v>
      </c>
      <c r="J8" s="1240" t="str">
        <f t="shared" si="17"/>
        <v>N/A</v>
      </c>
      <c r="K8" s="1240" t="str">
        <f t="shared" si="18"/>
        <v>N/A</v>
      </c>
      <c r="L8" s="392" t="s">
        <v>4</v>
      </c>
      <c r="M8" s="392" t="s">
        <v>2578</v>
      </c>
      <c r="N8" s="392" t="s">
        <v>32</v>
      </c>
      <c r="O8" s="376">
        <v>2017</v>
      </c>
      <c r="P8" s="376" t="s">
        <v>26</v>
      </c>
      <c r="Q8" s="376" t="s">
        <v>1</v>
      </c>
      <c r="R8" s="378">
        <v>63.2</v>
      </c>
      <c r="S8" s="392" t="s">
        <v>2213</v>
      </c>
      <c r="T8" s="392"/>
      <c r="U8" s="392"/>
      <c r="V8" s="1109">
        <v>365</v>
      </c>
      <c r="W8" s="1228">
        <f t="shared" si="19"/>
        <v>569.03846153846143</v>
      </c>
      <c r="X8" s="197" t="s">
        <v>3</v>
      </c>
      <c r="Y8" s="1188">
        <f t="shared" si="9"/>
        <v>426.77884615384608</v>
      </c>
      <c r="Z8" s="377">
        <v>0.25</v>
      </c>
      <c r="AA8" s="1189">
        <f t="shared" si="10"/>
        <v>569.03846153846143</v>
      </c>
      <c r="AB8" s="377">
        <v>0</v>
      </c>
      <c r="AC8" s="378">
        <v>0</v>
      </c>
      <c r="AD8" s="374">
        <f t="shared" si="20"/>
        <v>569.03846153846143</v>
      </c>
      <c r="AE8" s="377">
        <v>0.04</v>
      </c>
      <c r="AF8" s="370">
        <f t="shared" si="21"/>
        <v>22.761538461538457</v>
      </c>
      <c r="AG8" s="1216">
        <v>591.79999999999995</v>
      </c>
      <c r="AH8" s="1215" t="s">
        <v>5</v>
      </c>
      <c r="AI8" s="1177">
        <f t="shared" si="22"/>
        <v>0</v>
      </c>
      <c r="AJ8" s="378"/>
      <c r="AK8" s="1179">
        <f t="shared" si="11"/>
        <v>0</v>
      </c>
      <c r="AL8" s="378"/>
      <c r="AM8" s="378"/>
      <c r="AN8" s="378"/>
      <c r="AO8" s="378"/>
      <c r="AP8" s="378"/>
      <c r="AQ8" s="1216"/>
      <c r="AR8" s="1202" t="s">
        <v>2224</v>
      </c>
      <c r="AS8" s="1177">
        <f t="shared" si="23"/>
        <v>0</v>
      </c>
      <c r="AT8" s="1175">
        <v>0.25</v>
      </c>
      <c r="AU8" s="1179">
        <f t="shared" si="24"/>
        <v>0</v>
      </c>
      <c r="AV8" s="1175">
        <v>0</v>
      </c>
      <c r="AW8" s="1174">
        <v>0</v>
      </c>
      <c r="AX8" s="1176"/>
      <c r="AY8" s="1175">
        <v>0.04</v>
      </c>
      <c r="AZ8" s="1175"/>
      <c r="BA8" s="1204"/>
      <c r="BB8" s="1202" t="s">
        <v>2224</v>
      </c>
      <c r="BC8" s="1177">
        <f t="shared" si="25"/>
        <v>0</v>
      </c>
      <c r="BD8" s="1175">
        <v>0.25</v>
      </c>
      <c r="BE8" s="1179">
        <f t="shared" si="26"/>
        <v>0</v>
      </c>
      <c r="BF8" s="1175">
        <v>0</v>
      </c>
      <c r="BG8" s="1174">
        <v>0</v>
      </c>
      <c r="BH8" s="1176"/>
      <c r="BI8" s="1175">
        <v>0.04</v>
      </c>
      <c r="BJ8" s="1175"/>
      <c r="BK8" s="1204">
        <v>52</v>
      </c>
      <c r="BL8" s="1202" t="s">
        <v>2224</v>
      </c>
      <c r="BM8" s="1109"/>
      <c r="BN8" s="1109"/>
      <c r="BO8" s="1109"/>
      <c r="BP8" s="1109"/>
      <c r="BQ8" s="1109"/>
      <c r="BR8" s="1109"/>
      <c r="BS8" s="1109"/>
      <c r="BT8" s="1109"/>
      <c r="BU8" s="380"/>
      <c r="BV8" s="1202" t="s">
        <v>2224</v>
      </c>
      <c r="BW8" s="1109"/>
      <c r="BX8" s="1109"/>
      <c r="BY8" s="1109"/>
      <c r="BZ8" s="1109"/>
      <c r="CA8" s="1109"/>
      <c r="CB8" s="1109"/>
      <c r="CC8" s="1109"/>
      <c r="CD8" s="1109"/>
      <c r="CE8" s="380"/>
    </row>
    <row r="9" spans="1:83" s="1127" customFormat="1">
      <c r="A9" s="291" t="b">
        <v>0</v>
      </c>
      <c r="B9" s="291" t="s">
        <v>2243</v>
      </c>
      <c r="C9" s="291" t="b">
        <f t="shared" si="12"/>
        <v>0</v>
      </c>
      <c r="D9" s="388" t="str">
        <f>IF(C9=FALSE=NAMES!$B$8,"",IF(L9="N/A","N/A",O9&amp;N9&amp;L9&amp;"-"&amp;M9))</f>
        <v>2017EURAIG Luxembourg-Standard S</v>
      </c>
      <c r="E9" s="392" t="str">
        <f t="shared" si="1"/>
        <v>2017EURAIG Luxembourg-Standard S</v>
      </c>
      <c r="F9" s="1236" t="str">
        <f t="shared" si="13"/>
        <v>2017EURAIG Luxembourg-Healthcare PlanStandard S</v>
      </c>
      <c r="G9" s="1240" t="str">
        <f t="shared" si="14"/>
        <v>2017EURAIG Luxembourg-Assistance and RepatriationStandard S</v>
      </c>
      <c r="H9" s="1240" t="str">
        <f t="shared" si="15"/>
        <v>N/A</v>
      </c>
      <c r="I9" s="1240" t="str">
        <f t="shared" si="16"/>
        <v>N/A</v>
      </c>
      <c r="J9" s="1240" t="str">
        <f t="shared" si="17"/>
        <v>N/A</v>
      </c>
      <c r="K9" s="1240" t="str">
        <f t="shared" si="18"/>
        <v>N/A</v>
      </c>
      <c r="L9" s="392" t="s">
        <v>4</v>
      </c>
      <c r="M9" s="392" t="s">
        <v>2581</v>
      </c>
      <c r="N9" s="392" t="s">
        <v>32</v>
      </c>
      <c r="O9" s="376">
        <v>2017</v>
      </c>
      <c r="P9" s="376" t="s">
        <v>26</v>
      </c>
      <c r="Q9" s="376" t="s">
        <v>1</v>
      </c>
      <c r="R9" s="378">
        <v>15.2</v>
      </c>
      <c r="S9" s="392" t="s">
        <v>2213</v>
      </c>
      <c r="T9" s="392"/>
      <c r="U9" s="392"/>
      <c r="V9" s="1109">
        <v>365</v>
      </c>
      <c r="W9" s="1228">
        <f t="shared" si="19"/>
        <v>569.03846153846143</v>
      </c>
      <c r="X9" s="197" t="s">
        <v>3</v>
      </c>
      <c r="Y9" s="1188">
        <f t="shared" si="9"/>
        <v>426.77884615384608</v>
      </c>
      <c r="Z9" s="377">
        <v>0.25</v>
      </c>
      <c r="AA9" s="1189">
        <f t="shared" si="10"/>
        <v>569.03846153846143</v>
      </c>
      <c r="AB9" s="377">
        <v>0</v>
      </c>
      <c r="AC9" s="378">
        <v>0</v>
      </c>
      <c r="AD9" s="374">
        <f t="shared" si="20"/>
        <v>569.03846153846143</v>
      </c>
      <c r="AE9" s="377">
        <v>0.04</v>
      </c>
      <c r="AF9" s="370">
        <f t="shared" si="21"/>
        <v>22.761538461538457</v>
      </c>
      <c r="AG9" s="1216">
        <v>591.79999999999995</v>
      </c>
      <c r="AH9" s="1215" t="s">
        <v>5</v>
      </c>
      <c r="AI9" s="1177">
        <f t="shared" si="22"/>
        <v>0</v>
      </c>
      <c r="AJ9" s="378"/>
      <c r="AK9" s="1179">
        <f t="shared" si="11"/>
        <v>0</v>
      </c>
      <c r="AL9" s="378"/>
      <c r="AM9" s="378"/>
      <c r="AN9" s="378"/>
      <c r="AO9" s="378"/>
      <c r="AP9" s="378"/>
      <c r="AQ9" s="1216"/>
      <c r="AR9" s="1202" t="s">
        <v>2224</v>
      </c>
      <c r="AS9" s="1177">
        <f t="shared" si="23"/>
        <v>0</v>
      </c>
      <c r="AT9" s="1175">
        <v>0.25</v>
      </c>
      <c r="AU9" s="1179">
        <f t="shared" si="24"/>
        <v>0</v>
      </c>
      <c r="AV9" s="1175">
        <v>0</v>
      </c>
      <c r="AW9" s="1174">
        <v>0</v>
      </c>
      <c r="AX9" s="1176"/>
      <c r="AY9" s="1175">
        <v>0.04</v>
      </c>
      <c r="AZ9" s="1175"/>
      <c r="BA9" s="1204"/>
      <c r="BB9" s="1202" t="s">
        <v>2224</v>
      </c>
      <c r="BC9" s="1177">
        <f t="shared" si="25"/>
        <v>0</v>
      </c>
      <c r="BD9" s="1175">
        <v>0.25</v>
      </c>
      <c r="BE9" s="1179">
        <f t="shared" si="26"/>
        <v>0</v>
      </c>
      <c r="BF9" s="1175">
        <v>0</v>
      </c>
      <c r="BG9" s="1174">
        <v>0</v>
      </c>
      <c r="BH9" s="1176"/>
      <c r="BI9" s="1175">
        <v>0.04</v>
      </c>
      <c r="BJ9" s="1175"/>
      <c r="BK9" s="1204">
        <v>52</v>
      </c>
      <c r="BL9" s="1202" t="s">
        <v>2224</v>
      </c>
      <c r="BM9" s="1109"/>
      <c r="BN9" s="1109"/>
      <c r="BO9" s="1109"/>
      <c r="BP9" s="1109"/>
      <c r="BQ9" s="1109"/>
      <c r="BR9" s="1109"/>
      <c r="BS9" s="1109"/>
      <c r="BT9" s="1109"/>
      <c r="BU9" s="380"/>
      <c r="BV9" s="1202" t="s">
        <v>2224</v>
      </c>
      <c r="BW9" s="1109"/>
      <c r="BX9" s="1109"/>
      <c r="BY9" s="1109"/>
      <c r="BZ9" s="1109"/>
      <c r="CA9" s="1109"/>
      <c r="CB9" s="1109"/>
      <c r="CC9" s="1109"/>
      <c r="CD9" s="1109"/>
      <c r="CE9" s="380"/>
    </row>
    <row r="10" spans="1:83" s="1127" customFormat="1">
      <c r="A10" s="291" t="b">
        <v>0</v>
      </c>
      <c r="B10" s="291" t="s">
        <v>2243</v>
      </c>
      <c r="C10" s="291" t="b">
        <f t="shared" si="12"/>
        <v>0</v>
      </c>
      <c r="D10" s="388" t="str">
        <f>IF(C10=FALSE=NAMES!$B$8,"",IF(L10="N/A","N/A",O10&amp;N10&amp;L10&amp;"-"&amp;M10))</f>
        <v>2017EURAIG Luxembourg-StandardMLC</v>
      </c>
      <c r="E10" s="392" t="str">
        <f t="shared" si="1"/>
        <v>2017EURAIG Luxembourg-StandardMLC</v>
      </c>
      <c r="F10" s="1236" t="str">
        <f t="shared" si="13"/>
        <v>2017EURAIG Luxembourg-Healthcare PlanStandardMLC</v>
      </c>
      <c r="G10" s="1240" t="str">
        <f t="shared" si="14"/>
        <v>2017EURAIG Luxembourg-Assistance and RepatriationStandardMLC</v>
      </c>
      <c r="H10" s="1240" t="str">
        <f t="shared" si="15"/>
        <v>N/A</v>
      </c>
      <c r="I10" s="1240" t="str">
        <f t="shared" si="16"/>
        <v>N/A</v>
      </c>
      <c r="J10" s="1240" t="str">
        <f t="shared" si="17"/>
        <v>N/A</v>
      </c>
      <c r="K10" s="1240" t="str">
        <f t="shared" si="18"/>
        <v>N/A</v>
      </c>
      <c r="L10" s="392" t="s">
        <v>4</v>
      </c>
      <c r="M10" s="392" t="s">
        <v>2579</v>
      </c>
      <c r="N10" s="392" t="s">
        <v>32</v>
      </c>
      <c r="O10" s="376">
        <v>2017</v>
      </c>
      <c r="P10" s="376" t="s">
        <v>26</v>
      </c>
      <c r="Q10" s="376" t="s">
        <v>1</v>
      </c>
      <c r="R10" s="378">
        <v>63.2</v>
      </c>
      <c r="S10" s="392" t="s">
        <v>2213</v>
      </c>
      <c r="T10" s="392"/>
      <c r="U10" s="392"/>
      <c r="V10" s="1109">
        <v>365</v>
      </c>
      <c r="W10" s="1228">
        <f t="shared" si="19"/>
        <v>695.96153846153834</v>
      </c>
      <c r="X10" s="197" t="s">
        <v>3</v>
      </c>
      <c r="Y10" s="1188">
        <f t="shared" si="9"/>
        <v>426.77884615384608</v>
      </c>
      <c r="Z10" s="377">
        <v>0.25</v>
      </c>
      <c r="AA10" s="1189">
        <f t="shared" si="10"/>
        <v>569.03846153846143</v>
      </c>
      <c r="AB10" s="377">
        <v>0</v>
      </c>
      <c r="AC10" s="378">
        <v>0</v>
      </c>
      <c r="AD10" s="374">
        <f t="shared" si="20"/>
        <v>569.03846153846143</v>
      </c>
      <c r="AE10" s="377">
        <v>0.04</v>
      </c>
      <c r="AF10" s="370">
        <f t="shared" si="21"/>
        <v>22.761538461538457</v>
      </c>
      <c r="AG10" s="1216">
        <v>591.79999999999995</v>
      </c>
      <c r="AH10" s="1215" t="s">
        <v>5</v>
      </c>
      <c r="AI10" s="1177">
        <f t="shared" si="22"/>
        <v>95.192307692307693</v>
      </c>
      <c r="AJ10" s="1175">
        <v>0.25</v>
      </c>
      <c r="AK10" s="1179">
        <f t="shared" si="11"/>
        <v>126.92307692307692</v>
      </c>
      <c r="AL10" s="1175">
        <v>0</v>
      </c>
      <c r="AM10" s="1174">
        <v>0</v>
      </c>
      <c r="AN10" s="1178"/>
      <c r="AO10" s="1175">
        <v>0.04</v>
      </c>
      <c r="AP10" s="1175"/>
      <c r="AQ10" s="1204">
        <v>132</v>
      </c>
      <c r="AR10" s="1202" t="s">
        <v>2224</v>
      </c>
      <c r="AS10" s="1177">
        <f t="shared" si="23"/>
        <v>0</v>
      </c>
      <c r="AT10" s="1175">
        <v>0.25</v>
      </c>
      <c r="AU10" s="1179">
        <f t="shared" si="24"/>
        <v>0</v>
      </c>
      <c r="AV10" s="1175">
        <v>0</v>
      </c>
      <c r="AW10" s="1174">
        <v>0</v>
      </c>
      <c r="AX10" s="1176"/>
      <c r="AY10" s="1175">
        <v>0.04</v>
      </c>
      <c r="AZ10" s="1175"/>
      <c r="BA10" s="1204"/>
      <c r="BB10" s="1202" t="s">
        <v>2224</v>
      </c>
      <c r="BC10" s="1177">
        <f t="shared" si="25"/>
        <v>0</v>
      </c>
      <c r="BD10" s="1175">
        <v>0.25</v>
      </c>
      <c r="BE10" s="1179">
        <f t="shared" si="26"/>
        <v>0</v>
      </c>
      <c r="BF10" s="1175">
        <v>0</v>
      </c>
      <c r="BG10" s="1174">
        <v>0</v>
      </c>
      <c r="BH10" s="1176"/>
      <c r="BI10" s="1175">
        <v>0.04</v>
      </c>
      <c r="BJ10" s="1175"/>
      <c r="BK10" s="1204">
        <v>52</v>
      </c>
      <c r="BL10" s="1202" t="s">
        <v>2224</v>
      </c>
      <c r="BM10" s="1109"/>
      <c r="BN10" s="1109"/>
      <c r="BO10" s="1109"/>
      <c r="BP10" s="1109"/>
      <c r="BQ10" s="1109"/>
      <c r="BR10" s="1109"/>
      <c r="BS10" s="1109"/>
      <c r="BT10" s="1109"/>
      <c r="BU10" s="380"/>
      <c r="BV10" s="1202" t="s">
        <v>2224</v>
      </c>
      <c r="BW10" s="1109"/>
      <c r="BX10" s="1109"/>
      <c r="BY10" s="1109"/>
      <c r="BZ10" s="1109"/>
      <c r="CA10" s="1109"/>
      <c r="CB10" s="1109"/>
      <c r="CC10" s="1109"/>
      <c r="CD10" s="1109"/>
      <c r="CE10" s="380"/>
    </row>
    <row r="11" spans="1:83" s="1127" customFormat="1">
      <c r="A11" s="291" t="b">
        <v>0</v>
      </c>
      <c r="B11" s="291" t="s">
        <v>2243</v>
      </c>
      <c r="C11" s="291" t="b">
        <f t="shared" si="12"/>
        <v>0</v>
      </c>
      <c r="D11" s="388" t="str">
        <f>IF(C11=FALSE=NAMES!$B$8,"",IF(L11="N/A","N/A",O11&amp;N11&amp;L11&amp;"-"&amp;M11))</f>
        <v>2017EURAIG Luxembourg-StandardMLC S</v>
      </c>
      <c r="E11" s="392" t="str">
        <f t="shared" si="1"/>
        <v>2017EURAIG Luxembourg-StandardMLC S</v>
      </c>
      <c r="F11" s="1236" t="str">
        <f t="shared" si="13"/>
        <v>2017EURAIG Luxembourg-Healthcare PlanStandardMLC S</v>
      </c>
      <c r="G11" s="1240" t="str">
        <f t="shared" si="14"/>
        <v>2017EURAIG Luxembourg-Assistance and RepatriationStandardMLC S</v>
      </c>
      <c r="H11" s="1240" t="str">
        <f t="shared" si="15"/>
        <v>N/A</v>
      </c>
      <c r="I11" s="1240" t="str">
        <f t="shared" si="16"/>
        <v>N/A</v>
      </c>
      <c r="J11" s="1240" t="str">
        <f t="shared" si="17"/>
        <v>N/A</v>
      </c>
      <c r="K11" s="1240" t="str">
        <f t="shared" si="18"/>
        <v>N/A</v>
      </c>
      <c r="L11" s="392" t="s">
        <v>4</v>
      </c>
      <c r="M11" s="392" t="s">
        <v>2582</v>
      </c>
      <c r="N11" s="392" t="s">
        <v>32</v>
      </c>
      <c r="O11" s="376">
        <v>2017</v>
      </c>
      <c r="P11" s="376" t="s">
        <v>26</v>
      </c>
      <c r="Q11" s="376" t="s">
        <v>1</v>
      </c>
      <c r="R11" s="378">
        <v>15.2</v>
      </c>
      <c r="S11" s="392" t="s">
        <v>2213</v>
      </c>
      <c r="T11" s="392"/>
      <c r="U11" s="392"/>
      <c r="V11" s="1109">
        <v>365</v>
      </c>
      <c r="W11" s="1228">
        <f t="shared" si="19"/>
        <v>695.96153846153834</v>
      </c>
      <c r="X11" s="197" t="s">
        <v>3</v>
      </c>
      <c r="Y11" s="1188">
        <f t="shared" si="9"/>
        <v>426.77884615384608</v>
      </c>
      <c r="Z11" s="377">
        <v>0.25</v>
      </c>
      <c r="AA11" s="1189">
        <f t="shared" si="10"/>
        <v>569.03846153846143</v>
      </c>
      <c r="AB11" s="377">
        <v>0</v>
      </c>
      <c r="AC11" s="378">
        <v>0</v>
      </c>
      <c r="AD11" s="374">
        <f t="shared" si="20"/>
        <v>569.03846153846143</v>
      </c>
      <c r="AE11" s="377">
        <v>0.04</v>
      </c>
      <c r="AF11" s="370">
        <f t="shared" si="21"/>
        <v>22.761538461538457</v>
      </c>
      <c r="AG11" s="1216">
        <v>591.79999999999995</v>
      </c>
      <c r="AH11" s="1215" t="s">
        <v>5</v>
      </c>
      <c r="AI11" s="1177">
        <f t="shared" si="22"/>
        <v>95.192307692307693</v>
      </c>
      <c r="AJ11" s="1175">
        <v>0.25</v>
      </c>
      <c r="AK11" s="1179">
        <f t="shared" si="11"/>
        <v>126.92307692307692</v>
      </c>
      <c r="AL11" s="1175">
        <v>0</v>
      </c>
      <c r="AM11" s="1174">
        <v>0</v>
      </c>
      <c r="AN11" s="1178"/>
      <c r="AO11" s="1175">
        <v>0.04</v>
      </c>
      <c r="AP11" s="1175"/>
      <c r="AQ11" s="1204">
        <v>132</v>
      </c>
      <c r="AR11" s="1202" t="s">
        <v>2224</v>
      </c>
      <c r="AS11" s="1177">
        <f t="shared" si="23"/>
        <v>0</v>
      </c>
      <c r="AT11" s="1175">
        <v>0.25</v>
      </c>
      <c r="AU11" s="1179">
        <f t="shared" si="24"/>
        <v>0</v>
      </c>
      <c r="AV11" s="1175">
        <v>0</v>
      </c>
      <c r="AW11" s="1174">
        <v>0</v>
      </c>
      <c r="AX11" s="1176"/>
      <c r="AY11" s="1175">
        <v>0.04</v>
      </c>
      <c r="AZ11" s="1175"/>
      <c r="BA11" s="1204"/>
      <c r="BB11" s="1202" t="s">
        <v>2224</v>
      </c>
      <c r="BC11" s="1177">
        <f t="shared" si="25"/>
        <v>0</v>
      </c>
      <c r="BD11" s="1175">
        <v>0.25</v>
      </c>
      <c r="BE11" s="1179">
        <f t="shared" si="26"/>
        <v>0</v>
      </c>
      <c r="BF11" s="1175">
        <v>0</v>
      </c>
      <c r="BG11" s="1174">
        <v>0</v>
      </c>
      <c r="BH11" s="1176"/>
      <c r="BI11" s="1175">
        <v>0.04</v>
      </c>
      <c r="BJ11" s="1175"/>
      <c r="BK11" s="1204">
        <v>52</v>
      </c>
      <c r="BL11" s="1202" t="s">
        <v>2224</v>
      </c>
      <c r="BM11" s="1109"/>
      <c r="BN11" s="1109"/>
      <c r="BO11" s="1109"/>
      <c r="BP11" s="1109"/>
      <c r="BQ11" s="1109"/>
      <c r="BR11" s="1109"/>
      <c r="BS11" s="1109"/>
      <c r="BT11" s="1109"/>
      <c r="BU11" s="380"/>
      <c r="BV11" s="1202" t="s">
        <v>2224</v>
      </c>
      <c r="BW11" s="1109"/>
      <c r="BX11" s="1109"/>
      <c r="BY11" s="1109"/>
      <c r="BZ11" s="1109"/>
      <c r="CA11" s="1109"/>
      <c r="CB11" s="1109"/>
      <c r="CC11" s="1109"/>
      <c r="CD11" s="1109"/>
      <c r="CE11" s="380"/>
    </row>
    <row r="12" spans="1:83" s="1127" customFormat="1">
      <c r="A12" s="291" t="b">
        <v>0</v>
      </c>
      <c r="B12" s="291" t="s">
        <v>2243</v>
      </c>
      <c r="C12" s="291" t="b">
        <f t="shared" si="12"/>
        <v>0</v>
      </c>
      <c r="D12" s="388" t="str">
        <f>IF(C12=FALSE=NAMES!$B$8,"",IF(L12="N/A","N/A",O12&amp;N12&amp;L12&amp;"-"&amp;M12))</f>
        <v>2017EURAIG Luxembourg-Perfect with options</v>
      </c>
      <c r="E12" s="392" t="str">
        <f t="shared" si="1"/>
        <v>2017EURAIG Luxembourg-Perfect with options</v>
      </c>
      <c r="F12" s="1236" t="str">
        <f t="shared" si="13"/>
        <v>2017EURAIG Luxembourg-Healthcare PlanPerfect with options</v>
      </c>
      <c r="G12" s="1240" t="str">
        <f t="shared" si="14"/>
        <v>2017EURAIG Luxembourg-Assistance and RepatriationPerfect with options</v>
      </c>
      <c r="H12" s="1240" t="str">
        <f t="shared" si="15"/>
        <v>2017EURAIG Luxembourg-Legal AssistancePerfect with options</v>
      </c>
      <c r="I12" s="1240" t="str">
        <f t="shared" si="16"/>
        <v>2017EURAIG Luxembourg-Third party liabilityPerfect with options</v>
      </c>
      <c r="J12" s="1240" t="str">
        <f t="shared" si="17"/>
        <v>N/A</v>
      </c>
      <c r="K12" s="1240" t="str">
        <f t="shared" si="18"/>
        <v>N/A</v>
      </c>
      <c r="L12" s="392" t="s">
        <v>4</v>
      </c>
      <c r="M12" s="392" t="s">
        <v>2878</v>
      </c>
      <c r="N12" s="392" t="s">
        <v>32</v>
      </c>
      <c r="O12" s="376">
        <v>2017</v>
      </c>
      <c r="P12" s="376" t="s">
        <v>26</v>
      </c>
      <c r="Q12" s="376" t="s">
        <v>1</v>
      </c>
      <c r="R12" s="378">
        <v>36.200000000000003</v>
      </c>
      <c r="S12" s="392" t="s">
        <v>2213</v>
      </c>
      <c r="T12" s="392"/>
      <c r="U12" s="392"/>
      <c r="V12" s="1109">
        <v>365</v>
      </c>
      <c r="W12" s="1228">
        <f t="shared" si="19"/>
        <v>1419.2307692307693</v>
      </c>
      <c r="X12" s="197" t="s">
        <v>3</v>
      </c>
      <c r="Y12" s="1188">
        <f t="shared" si="9"/>
        <v>874.03846153846143</v>
      </c>
      <c r="Z12" s="377">
        <v>0.25</v>
      </c>
      <c r="AA12" s="1189">
        <f t="shared" si="10"/>
        <v>1165.3846153846152</v>
      </c>
      <c r="AB12" s="377">
        <v>0</v>
      </c>
      <c r="AC12" s="378">
        <v>0</v>
      </c>
      <c r="AD12" s="374">
        <f t="shared" si="20"/>
        <v>1165.3846153846152</v>
      </c>
      <c r="AE12" s="377">
        <v>0.04</v>
      </c>
      <c r="AF12" s="370">
        <f t="shared" si="21"/>
        <v>46.615384615384613</v>
      </c>
      <c r="AG12" s="1216">
        <v>1212</v>
      </c>
      <c r="AH12" s="1215" t="s">
        <v>5</v>
      </c>
      <c r="AI12" s="1177">
        <f t="shared" si="22"/>
        <v>142.78846153846155</v>
      </c>
      <c r="AJ12" s="1175">
        <v>0.25</v>
      </c>
      <c r="AK12" s="1179">
        <f t="shared" si="11"/>
        <v>190.38461538461539</v>
      </c>
      <c r="AL12" s="1175">
        <v>0</v>
      </c>
      <c r="AM12" s="1174">
        <v>0</v>
      </c>
      <c r="AN12" s="1178"/>
      <c r="AO12" s="1175">
        <v>0.04</v>
      </c>
      <c r="AP12" s="1175"/>
      <c r="AQ12" s="1204">
        <v>198</v>
      </c>
      <c r="AR12" s="1203" t="s">
        <v>2630</v>
      </c>
      <c r="AS12" s="1177">
        <f t="shared" si="23"/>
        <v>10.096153846153847</v>
      </c>
      <c r="AT12" s="1175">
        <v>0.25</v>
      </c>
      <c r="AU12" s="1179">
        <f t="shared" si="24"/>
        <v>13.461538461538462</v>
      </c>
      <c r="AV12" s="1175">
        <v>0</v>
      </c>
      <c r="AW12" s="1174">
        <v>0</v>
      </c>
      <c r="AX12" s="1176"/>
      <c r="AY12" s="1175">
        <v>0.04</v>
      </c>
      <c r="AZ12" s="1175"/>
      <c r="BA12" s="1204">
        <v>14</v>
      </c>
      <c r="BB12" s="1212" t="s">
        <v>2631</v>
      </c>
      <c r="BC12" s="1177">
        <f t="shared" si="25"/>
        <v>37.5</v>
      </c>
      <c r="BD12" s="1175">
        <v>0.25</v>
      </c>
      <c r="BE12" s="1179">
        <f t="shared" si="26"/>
        <v>50</v>
      </c>
      <c r="BF12" s="1175">
        <v>0</v>
      </c>
      <c r="BG12" s="1174">
        <v>0</v>
      </c>
      <c r="BH12" s="1176"/>
      <c r="BI12" s="1175">
        <v>0.04</v>
      </c>
      <c r="BJ12" s="1175"/>
      <c r="BK12" s="1204">
        <v>52</v>
      </c>
      <c r="BL12" s="1202" t="s">
        <v>2224</v>
      </c>
      <c r="BM12" s="1109"/>
      <c r="BN12" s="1109"/>
      <c r="BO12" s="1109"/>
      <c r="BP12" s="1109"/>
      <c r="BQ12" s="1109"/>
      <c r="BR12" s="1109"/>
      <c r="BS12" s="1109"/>
      <c r="BT12" s="1109"/>
      <c r="BU12" s="380"/>
      <c r="BV12" s="1202" t="s">
        <v>2224</v>
      </c>
      <c r="BW12" s="1109"/>
      <c r="BX12" s="1109"/>
      <c r="BY12" s="1109"/>
      <c r="BZ12" s="1109"/>
      <c r="CA12" s="1109"/>
      <c r="CB12" s="1109"/>
      <c r="CC12" s="1109"/>
      <c r="CD12" s="1109"/>
      <c r="CE12" s="380"/>
    </row>
    <row r="13" spans="1:83" s="1127" customFormat="1">
      <c r="A13" s="291" t="b">
        <v>0</v>
      </c>
      <c r="B13" s="291" t="s">
        <v>2243</v>
      </c>
      <c r="C13" s="291" t="b">
        <f t="shared" si="12"/>
        <v>0</v>
      </c>
      <c r="D13" s="388" t="str">
        <f>IF(C13=FALSE=NAMES!$B$8,"",IF(L13="N/A","N/A",O13&amp;N13&amp;L13&amp;"-"&amp;M13))</f>
        <v>2017EURAIG Luxembourg-Perfect S with options</v>
      </c>
      <c r="E13" s="392" t="str">
        <f t="shared" si="1"/>
        <v>2017EURAIG Luxembourg-Perfect S with options</v>
      </c>
      <c r="F13" s="1236" t="str">
        <f t="shared" si="13"/>
        <v>2017EURAIG Luxembourg-Healthcare PlanPerfect S with options</v>
      </c>
      <c r="G13" s="1240" t="str">
        <f t="shared" si="14"/>
        <v>2017EURAIG Luxembourg-Assistance and RepatriationPerfect S with options</v>
      </c>
      <c r="H13" s="1240" t="str">
        <f t="shared" si="15"/>
        <v>2017EURAIG Luxembourg-Legal AssistancePerfect S with options</v>
      </c>
      <c r="I13" s="1240" t="str">
        <f t="shared" si="16"/>
        <v>2017EURAIG Luxembourg-Third party liabilityPerfect S with options</v>
      </c>
      <c r="J13" s="1240" t="str">
        <f t="shared" si="17"/>
        <v>N/A</v>
      </c>
      <c r="K13" s="1240" t="str">
        <f t="shared" si="18"/>
        <v>N/A</v>
      </c>
      <c r="L13" s="392" t="s">
        <v>4</v>
      </c>
      <c r="M13" s="392" t="s">
        <v>2879</v>
      </c>
      <c r="N13" s="392" t="s">
        <v>32</v>
      </c>
      <c r="O13" s="376">
        <v>2017</v>
      </c>
      <c r="P13" s="376" t="s">
        <v>26</v>
      </c>
      <c r="Q13" s="376" t="s">
        <v>1</v>
      </c>
      <c r="R13" s="378">
        <v>13.2</v>
      </c>
      <c r="S13" s="392" t="s">
        <v>2213</v>
      </c>
      <c r="T13" s="392"/>
      <c r="U13" s="392"/>
      <c r="V13" s="1109">
        <v>365</v>
      </c>
      <c r="W13" s="1228">
        <f t="shared" si="19"/>
        <v>1419.2307692307693</v>
      </c>
      <c r="X13" s="197" t="s">
        <v>3</v>
      </c>
      <c r="Y13" s="1188">
        <f t="shared" si="9"/>
        <v>874.03846153846143</v>
      </c>
      <c r="Z13" s="377">
        <v>0.25</v>
      </c>
      <c r="AA13" s="1189">
        <f t="shared" si="10"/>
        <v>1165.3846153846152</v>
      </c>
      <c r="AB13" s="377">
        <v>0</v>
      </c>
      <c r="AC13" s="378">
        <v>0</v>
      </c>
      <c r="AD13" s="374">
        <f t="shared" si="20"/>
        <v>1165.3846153846152</v>
      </c>
      <c r="AE13" s="377">
        <v>0.04</v>
      </c>
      <c r="AF13" s="370">
        <f t="shared" si="21"/>
        <v>46.615384615384613</v>
      </c>
      <c r="AG13" s="1216">
        <v>1212</v>
      </c>
      <c r="AH13" s="1215" t="s">
        <v>5</v>
      </c>
      <c r="AI13" s="1177">
        <f t="shared" si="22"/>
        <v>142.78846153846155</v>
      </c>
      <c r="AJ13" s="1175">
        <v>0.25</v>
      </c>
      <c r="AK13" s="1179">
        <f t="shared" si="11"/>
        <v>190.38461538461539</v>
      </c>
      <c r="AL13" s="1175">
        <v>0</v>
      </c>
      <c r="AM13" s="1174">
        <v>0</v>
      </c>
      <c r="AN13" s="1178"/>
      <c r="AO13" s="1175">
        <v>0.04</v>
      </c>
      <c r="AP13" s="1175"/>
      <c r="AQ13" s="1204">
        <v>198</v>
      </c>
      <c r="AR13" s="1203" t="s">
        <v>2630</v>
      </c>
      <c r="AS13" s="1177">
        <f t="shared" si="23"/>
        <v>10.096153846153847</v>
      </c>
      <c r="AT13" s="1175">
        <v>0.25</v>
      </c>
      <c r="AU13" s="1179">
        <f t="shared" si="24"/>
        <v>13.461538461538462</v>
      </c>
      <c r="AV13" s="1175">
        <v>0</v>
      </c>
      <c r="AW13" s="1174">
        <v>0</v>
      </c>
      <c r="AX13" s="1176"/>
      <c r="AY13" s="1175">
        <v>0.04</v>
      </c>
      <c r="AZ13" s="1175"/>
      <c r="BA13" s="1204">
        <v>14</v>
      </c>
      <c r="BB13" s="1212" t="s">
        <v>2631</v>
      </c>
      <c r="BC13" s="1177">
        <f t="shared" si="25"/>
        <v>37.5</v>
      </c>
      <c r="BD13" s="1175">
        <v>0.25</v>
      </c>
      <c r="BE13" s="1179">
        <f t="shared" si="26"/>
        <v>50</v>
      </c>
      <c r="BF13" s="1175">
        <v>0</v>
      </c>
      <c r="BG13" s="1174">
        <v>0</v>
      </c>
      <c r="BH13" s="1176"/>
      <c r="BI13" s="1175">
        <v>0.04</v>
      </c>
      <c r="BJ13" s="1175"/>
      <c r="BK13" s="1204">
        <v>52</v>
      </c>
      <c r="BL13" s="1202" t="s">
        <v>2224</v>
      </c>
      <c r="BM13" s="1109"/>
      <c r="BN13" s="1109"/>
      <c r="BO13" s="1109"/>
      <c r="BP13" s="1109"/>
      <c r="BQ13" s="1109"/>
      <c r="BR13" s="1109"/>
      <c r="BS13" s="1109"/>
      <c r="BT13" s="1109"/>
      <c r="BU13" s="380"/>
      <c r="BV13" s="1202" t="s">
        <v>2224</v>
      </c>
      <c r="BW13" s="1109"/>
      <c r="BX13" s="1109"/>
      <c r="BY13" s="1109"/>
      <c r="BZ13" s="1109"/>
      <c r="CA13" s="1109"/>
      <c r="CB13" s="1109"/>
      <c r="CC13" s="1109"/>
      <c r="CD13" s="1109"/>
      <c r="CE13" s="380"/>
    </row>
    <row r="14" spans="1:83" s="1127" customFormat="1">
      <c r="A14" s="291" t="b">
        <v>0</v>
      </c>
      <c r="B14" s="291" t="s">
        <v>2243</v>
      </c>
      <c r="C14" s="291" t="b">
        <f t="shared" si="12"/>
        <v>0</v>
      </c>
      <c r="D14" s="388" t="str">
        <f>IF(C14=FALSE=NAMES!$B$8,"",IF(L14="N/A","N/A",O14&amp;N14&amp;L14&amp;"-"&amp;M14))</f>
        <v>2017EURAIG Luxembourg-Standard with options</v>
      </c>
      <c r="E14" s="392" t="str">
        <f t="shared" si="1"/>
        <v>2017EURAIG Luxembourg-Standard with options</v>
      </c>
      <c r="F14" s="1236" t="str">
        <f t="shared" si="13"/>
        <v>2017EURAIG Luxembourg-Healthcare PlanStandard with options</v>
      </c>
      <c r="G14" s="1240" t="str">
        <f t="shared" si="14"/>
        <v>2017EURAIG Luxembourg-Assistance and RepatriationStandard with options</v>
      </c>
      <c r="H14" s="1240" t="str">
        <f t="shared" si="15"/>
        <v>2017EURAIG Luxembourg-Legal AssistanceStandard with options</v>
      </c>
      <c r="I14" s="1240" t="str">
        <f t="shared" si="16"/>
        <v>2017EURAIG Luxembourg-Third party liabilityStandard with options</v>
      </c>
      <c r="J14" s="1240" t="str">
        <f t="shared" si="17"/>
        <v>N/A</v>
      </c>
      <c r="K14" s="1240" t="str">
        <f t="shared" si="18"/>
        <v>N/A</v>
      </c>
      <c r="L14" s="392" t="s">
        <v>4</v>
      </c>
      <c r="M14" s="392" t="s">
        <v>2880</v>
      </c>
      <c r="N14" s="392" t="s">
        <v>32</v>
      </c>
      <c r="O14" s="376">
        <v>2017</v>
      </c>
      <c r="P14" s="376" t="s">
        <v>26</v>
      </c>
      <c r="Q14" s="376" t="s">
        <v>1</v>
      </c>
      <c r="R14" s="378">
        <v>63.2</v>
      </c>
      <c r="S14" s="392" t="s">
        <v>2213</v>
      </c>
      <c r="T14" s="392"/>
      <c r="U14" s="392"/>
      <c r="V14" s="1109">
        <v>365</v>
      </c>
      <c r="W14" s="1228">
        <f t="shared" si="19"/>
        <v>632.49999999999989</v>
      </c>
      <c r="X14" s="197" t="s">
        <v>3</v>
      </c>
      <c r="Y14" s="1188">
        <f t="shared" si="9"/>
        <v>426.77884615384608</v>
      </c>
      <c r="Z14" s="377">
        <v>0.25</v>
      </c>
      <c r="AA14" s="1189">
        <f t="shared" si="10"/>
        <v>569.03846153846143</v>
      </c>
      <c r="AB14" s="377">
        <v>0</v>
      </c>
      <c r="AC14" s="378">
        <v>0</v>
      </c>
      <c r="AD14" s="374">
        <f t="shared" si="20"/>
        <v>569.03846153846143</v>
      </c>
      <c r="AE14" s="377">
        <v>0.04</v>
      </c>
      <c r="AF14" s="370">
        <f t="shared" si="21"/>
        <v>22.761538461538457</v>
      </c>
      <c r="AG14" s="1216">
        <v>591.79999999999995</v>
      </c>
      <c r="AH14" s="1215" t="s">
        <v>5</v>
      </c>
      <c r="AI14" s="1177">
        <f t="shared" si="22"/>
        <v>0</v>
      </c>
      <c r="AJ14" s="378"/>
      <c r="AK14" s="1179">
        <f t="shared" si="11"/>
        <v>0</v>
      </c>
      <c r="AL14" s="378"/>
      <c r="AM14" s="378"/>
      <c r="AN14" s="378"/>
      <c r="AO14" s="378"/>
      <c r="AP14" s="378"/>
      <c r="AQ14" s="1216"/>
      <c r="AR14" s="1203" t="s">
        <v>2630</v>
      </c>
      <c r="AS14" s="1177">
        <f t="shared" si="23"/>
        <v>10.096153846153847</v>
      </c>
      <c r="AT14" s="1175">
        <v>0.25</v>
      </c>
      <c r="AU14" s="1179">
        <f t="shared" si="24"/>
        <v>13.461538461538462</v>
      </c>
      <c r="AV14" s="1175">
        <v>0</v>
      </c>
      <c r="AW14" s="1174">
        <v>0</v>
      </c>
      <c r="AX14" s="1176"/>
      <c r="AY14" s="1175">
        <v>0.04</v>
      </c>
      <c r="AZ14" s="1175"/>
      <c r="BA14" s="1204">
        <v>14</v>
      </c>
      <c r="BB14" s="1212" t="s">
        <v>2631</v>
      </c>
      <c r="BC14" s="1177">
        <f t="shared" si="25"/>
        <v>37.5</v>
      </c>
      <c r="BD14" s="1175">
        <v>0.25</v>
      </c>
      <c r="BE14" s="1179">
        <f t="shared" si="26"/>
        <v>50</v>
      </c>
      <c r="BF14" s="1175">
        <v>0</v>
      </c>
      <c r="BG14" s="1174">
        <v>0</v>
      </c>
      <c r="BH14" s="1176"/>
      <c r="BI14" s="1175">
        <v>0.04</v>
      </c>
      <c r="BJ14" s="1175"/>
      <c r="BK14" s="1204">
        <v>52</v>
      </c>
      <c r="BL14" s="1202" t="s">
        <v>2224</v>
      </c>
      <c r="BM14" s="1109"/>
      <c r="BN14" s="1109"/>
      <c r="BO14" s="1109"/>
      <c r="BP14" s="1109"/>
      <c r="BQ14" s="1109"/>
      <c r="BR14" s="1109"/>
      <c r="BS14" s="1109"/>
      <c r="BT14" s="1109"/>
      <c r="BU14" s="380"/>
      <c r="BV14" s="1202" t="s">
        <v>2224</v>
      </c>
      <c r="BW14" s="1109"/>
      <c r="BX14" s="1109"/>
      <c r="BY14" s="1109"/>
      <c r="BZ14" s="1109"/>
      <c r="CA14" s="1109"/>
      <c r="CB14" s="1109"/>
      <c r="CC14" s="1109"/>
      <c r="CD14" s="1109"/>
      <c r="CE14" s="380"/>
    </row>
    <row r="15" spans="1:83" s="1127" customFormat="1">
      <c r="A15" s="291" t="b">
        <v>0</v>
      </c>
      <c r="B15" s="291" t="s">
        <v>2243</v>
      </c>
      <c r="C15" s="291" t="b">
        <f t="shared" si="12"/>
        <v>0</v>
      </c>
      <c r="D15" s="388" t="str">
        <f>IF(C15=FALSE=NAMES!$B$8,"",IF(L15="N/A","N/A",O15&amp;N15&amp;L15&amp;"-"&amp;M15))</f>
        <v>2017EURAIG Luxembourg-Standard S with options</v>
      </c>
      <c r="E15" s="392" t="str">
        <f t="shared" si="1"/>
        <v>2017EURAIG Luxembourg-Standard S with options</v>
      </c>
      <c r="F15" s="1236" t="str">
        <f t="shared" si="13"/>
        <v>2017EURAIG Luxembourg-Healthcare PlanStandard S with options</v>
      </c>
      <c r="G15" s="1240" t="str">
        <f t="shared" si="14"/>
        <v>2017EURAIG Luxembourg-Assistance and RepatriationStandard S with options</v>
      </c>
      <c r="H15" s="1240" t="str">
        <f t="shared" si="15"/>
        <v>2017EURAIG Luxembourg-Legal AssistanceStandard S with options</v>
      </c>
      <c r="I15" s="1240" t="str">
        <f t="shared" si="16"/>
        <v>2017EURAIG Luxembourg-Third party liabilityStandard S with options</v>
      </c>
      <c r="J15" s="1240" t="str">
        <f t="shared" si="17"/>
        <v>N/A</v>
      </c>
      <c r="K15" s="1240" t="str">
        <f t="shared" si="18"/>
        <v>N/A</v>
      </c>
      <c r="L15" s="392" t="s">
        <v>4</v>
      </c>
      <c r="M15" s="392" t="s">
        <v>2881</v>
      </c>
      <c r="N15" s="392" t="s">
        <v>32</v>
      </c>
      <c r="O15" s="376">
        <v>2017</v>
      </c>
      <c r="P15" s="376" t="s">
        <v>26</v>
      </c>
      <c r="Q15" s="376" t="s">
        <v>1</v>
      </c>
      <c r="R15" s="378">
        <v>15.2</v>
      </c>
      <c r="S15" s="392" t="s">
        <v>2213</v>
      </c>
      <c r="T15" s="392"/>
      <c r="U15" s="392"/>
      <c r="V15" s="1109">
        <v>365</v>
      </c>
      <c r="W15" s="1228">
        <f t="shared" si="19"/>
        <v>632.49999999999989</v>
      </c>
      <c r="X15" s="197" t="s">
        <v>3</v>
      </c>
      <c r="Y15" s="1188">
        <f t="shared" si="9"/>
        <v>426.77884615384608</v>
      </c>
      <c r="Z15" s="377">
        <v>0.25</v>
      </c>
      <c r="AA15" s="1189">
        <f t="shared" si="10"/>
        <v>569.03846153846143</v>
      </c>
      <c r="AB15" s="377">
        <v>0</v>
      </c>
      <c r="AC15" s="378">
        <v>0</v>
      </c>
      <c r="AD15" s="374">
        <f t="shared" si="20"/>
        <v>569.03846153846143</v>
      </c>
      <c r="AE15" s="377">
        <v>0.04</v>
      </c>
      <c r="AF15" s="370">
        <f t="shared" si="21"/>
        <v>22.761538461538457</v>
      </c>
      <c r="AG15" s="1216">
        <v>591.79999999999995</v>
      </c>
      <c r="AH15" s="1215" t="s">
        <v>5</v>
      </c>
      <c r="AI15" s="1177">
        <f t="shared" si="22"/>
        <v>0</v>
      </c>
      <c r="AJ15" s="378"/>
      <c r="AK15" s="1179">
        <f t="shared" si="11"/>
        <v>0</v>
      </c>
      <c r="AL15" s="378"/>
      <c r="AM15" s="378"/>
      <c r="AN15" s="378"/>
      <c r="AO15" s="378"/>
      <c r="AP15" s="378"/>
      <c r="AQ15" s="1216"/>
      <c r="AR15" s="1203" t="s">
        <v>2630</v>
      </c>
      <c r="AS15" s="1177">
        <f t="shared" si="23"/>
        <v>10.096153846153847</v>
      </c>
      <c r="AT15" s="1175">
        <v>0.25</v>
      </c>
      <c r="AU15" s="1179">
        <f t="shared" si="24"/>
        <v>13.461538461538462</v>
      </c>
      <c r="AV15" s="1175">
        <v>0</v>
      </c>
      <c r="AW15" s="1174">
        <v>0</v>
      </c>
      <c r="AX15" s="1176"/>
      <c r="AY15" s="1175">
        <v>0.04</v>
      </c>
      <c r="AZ15" s="1175"/>
      <c r="BA15" s="1204">
        <v>14</v>
      </c>
      <c r="BB15" s="1212" t="s">
        <v>2631</v>
      </c>
      <c r="BC15" s="1177">
        <f t="shared" si="25"/>
        <v>37.5</v>
      </c>
      <c r="BD15" s="1175">
        <v>0.25</v>
      </c>
      <c r="BE15" s="1179">
        <f t="shared" si="26"/>
        <v>50</v>
      </c>
      <c r="BF15" s="1175">
        <v>0</v>
      </c>
      <c r="BG15" s="1174">
        <v>0</v>
      </c>
      <c r="BH15" s="1176"/>
      <c r="BI15" s="1175">
        <v>0.04</v>
      </c>
      <c r="BJ15" s="1175"/>
      <c r="BK15" s="1204">
        <v>52</v>
      </c>
      <c r="BL15" s="1202" t="s">
        <v>2224</v>
      </c>
      <c r="BM15" s="1109"/>
      <c r="BN15" s="1109"/>
      <c r="BO15" s="1109"/>
      <c r="BP15" s="1109"/>
      <c r="BQ15" s="1109"/>
      <c r="BR15" s="1109"/>
      <c r="BS15" s="1109"/>
      <c r="BT15" s="1109"/>
      <c r="BU15" s="380"/>
      <c r="BV15" s="1202" t="s">
        <v>2224</v>
      </c>
      <c r="BW15" s="1109"/>
      <c r="BX15" s="1109"/>
      <c r="BY15" s="1109"/>
      <c r="BZ15" s="1109"/>
      <c r="CA15" s="1109"/>
      <c r="CB15" s="1109"/>
      <c r="CC15" s="1109"/>
      <c r="CD15" s="1109"/>
      <c r="CE15" s="380"/>
    </row>
    <row r="16" spans="1:83" s="1127" customFormat="1">
      <c r="A16" s="291" t="b">
        <v>0</v>
      </c>
      <c r="B16" s="291" t="s">
        <v>2243</v>
      </c>
      <c r="C16" s="291" t="b">
        <f t="shared" si="12"/>
        <v>0</v>
      </c>
      <c r="D16" s="388" t="str">
        <f>IF(C16=FALSE=NAMES!$B$8,"",IF(L16="N/A","N/A",O16&amp;N16&amp;L16&amp;"-"&amp;M16))</f>
        <v>2017EURAIG Luxembourg-StandardMLC with options</v>
      </c>
      <c r="E16" s="392" t="str">
        <f t="shared" si="1"/>
        <v>2017EURAIG Luxembourg-StandardMLC with options</v>
      </c>
      <c r="F16" s="1236" t="str">
        <f t="shared" si="13"/>
        <v>2017EURAIG Luxembourg-Healthcare PlanStandardMLC with options</v>
      </c>
      <c r="G16" s="1240" t="str">
        <f t="shared" si="14"/>
        <v>2017EURAIG Luxembourg-Assistance and RepatriationStandardMLC with options</v>
      </c>
      <c r="H16" s="1240" t="str">
        <f t="shared" si="15"/>
        <v>2017EURAIG Luxembourg-Legal AssistanceStandardMLC with options</v>
      </c>
      <c r="I16" s="1240" t="str">
        <f t="shared" si="16"/>
        <v>2017EURAIG Luxembourg-Third party liabilityStandardMLC with options</v>
      </c>
      <c r="J16" s="1240" t="str">
        <f t="shared" si="17"/>
        <v>N/A</v>
      </c>
      <c r="K16" s="1240" t="str">
        <f t="shared" si="18"/>
        <v>N/A</v>
      </c>
      <c r="L16" s="392" t="s">
        <v>4</v>
      </c>
      <c r="M16" s="392" t="s">
        <v>2882</v>
      </c>
      <c r="N16" s="392" t="s">
        <v>32</v>
      </c>
      <c r="O16" s="376">
        <v>2017</v>
      </c>
      <c r="P16" s="376" t="s">
        <v>26</v>
      </c>
      <c r="Q16" s="376" t="s">
        <v>1</v>
      </c>
      <c r="R16" s="378">
        <v>63.2</v>
      </c>
      <c r="S16" s="392" t="s">
        <v>2213</v>
      </c>
      <c r="T16" s="392"/>
      <c r="U16" s="392"/>
      <c r="V16" s="1109">
        <v>365</v>
      </c>
      <c r="W16" s="1228">
        <f t="shared" si="19"/>
        <v>759.42307692307679</v>
      </c>
      <c r="X16" s="197" t="s">
        <v>3</v>
      </c>
      <c r="Y16" s="1188">
        <f t="shared" si="9"/>
        <v>426.77884615384608</v>
      </c>
      <c r="Z16" s="377">
        <v>0.25</v>
      </c>
      <c r="AA16" s="1189">
        <f t="shared" si="10"/>
        <v>569.03846153846143</v>
      </c>
      <c r="AB16" s="377">
        <v>0</v>
      </c>
      <c r="AC16" s="378">
        <v>0</v>
      </c>
      <c r="AD16" s="374">
        <f t="shared" si="20"/>
        <v>569.03846153846143</v>
      </c>
      <c r="AE16" s="377">
        <v>0.04</v>
      </c>
      <c r="AF16" s="370">
        <f t="shared" si="21"/>
        <v>22.761538461538457</v>
      </c>
      <c r="AG16" s="1216">
        <v>591.79999999999995</v>
      </c>
      <c r="AH16" s="1215" t="s">
        <v>5</v>
      </c>
      <c r="AI16" s="1177">
        <f t="shared" si="22"/>
        <v>95.192307692307693</v>
      </c>
      <c r="AJ16" s="1175">
        <v>0.25</v>
      </c>
      <c r="AK16" s="1179">
        <f t="shared" si="11"/>
        <v>126.92307692307692</v>
      </c>
      <c r="AL16" s="1175">
        <v>0</v>
      </c>
      <c r="AM16" s="1174">
        <v>0</v>
      </c>
      <c r="AN16" s="1178"/>
      <c r="AO16" s="1175">
        <v>0.04</v>
      </c>
      <c r="AP16" s="1175"/>
      <c r="AQ16" s="1204">
        <v>132</v>
      </c>
      <c r="AR16" s="1203" t="s">
        <v>2630</v>
      </c>
      <c r="AS16" s="1177">
        <f t="shared" si="23"/>
        <v>10.096153846153847</v>
      </c>
      <c r="AT16" s="1175">
        <v>0.25</v>
      </c>
      <c r="AU16" s="1179">
        <f t="shared" si="24"/>
        <v>13.461538461538462</v>
      </c>
      <c r="AV16" s="1175">
        <v>0</v>
      </c>
      <c r="AW16" s="1174">
        <v>0</v>
      </c>
      <c r="AX16" s="1176"/>
      <c r="AY16" s="1175">
        <v>0.04</v>
      </c>
      <c r="AZ16" s="1175"/>
      <c r="BA16" s="1204">
        <v>14</v>
      </c>
      <c r="BB16" s="1212" t="s">
        <v>2631</v>
      </c>
      <c r="BC16" s="1177">
        <f t="shared" si="25"/>
        <v>37.5</v>
      </c>
      <c r="BD16" s="1175">
        <v>0.25</v>
      </c>
      <c r="BE16" s="1179">
        <f t="shared" si="26"/>
        <v>50</v>
      </c>
      <c r="BF16" s="1175">
        <v>0</v>
      </c>
      <c r="BG16" s="1174">
        <v>0</v>
      </c>
      <c r="BH16" s="1176"/>
      <c r="BI16" s="1175">
        <v>0.04</v>
      </c>
      <c r="BJ16" s="1175"/>
      <c r="BK16" s="1204">
        <v>52</v>
      </c>
      <c r="BL16" s="1202" t="s">
        <v>2224</v>
      </c>
      <c r="BM16" s="1109"/>
      <c r="BN16" s="1109"/>
      <c r="BO16" s="1109"/>
      <c r="BP16" s="1109"/>
      <c r="BQ16" s="1109"/>
      <c r="BR16" s="1109"/>
      <c r="BS16" s="1109"/>
      <c r="BT16" s="1109"/>
      <c r="BU16" s="380"/>
      <c r="BV16" s="1202" t="s">
        <v>2224</v>
      </c>
      <c r="BW16" s="1109"/>
      <c r="BX16" s="1109"/>
      <c r="BY16" s="1109"/>
      <c r="BZ16" s="1109"/>
      <c r="CA16" s="1109"/>
      <c r="CB16" s="1109"/>
      <c r="CC16" s="1109"/>
      <c r="CD16" s="1109"/>
      <c r="CE16" s="380"/>
    </row>
    <row r="17" spans="1:83" s="1127" customFormat="1">
      <c r="A17" s="291" t="b">
        <v>0</v>
      </c>
      <c r="B17" s="291" t="s">
        <v>2243</v>
      </c>
      <c r="C17" s="291" t="b">
        <f t="shared" si="12"/>
        <v>0</v>
      </c>
      <c r="D17" s="388" t="str">
        <f>IF(C17=FALSE=NAMES!$B$8,"",IF(L17="N/A","N/A",O17&amp;N17&amp;L17&amp;"-"&amp;M17))</f>
        <v>2017EURAIG Luxembourg-StandardMLC S with options</v>
      </c>
      <c r="E17" s="392" t="str">
        <f t="shared" si="1"/>
        <v>2017EURAIG Luxembourg-StandardMLC S with options</v>
      </c>
      <c r="F17" s="1236" t="str">
        <f t="shared" si="13"/>
        <v>2017EURAIG Luxembourg-Healthcare PlanStandardMLC S with options</v>
      </c>
      <c r="G17" s="1240" t="str">
        <f t="shared" si="14"/>
        <v>2017EURAIG Luxembourg-Assistance and RepatriationStandardMLC S with options</v>
      </c>
      <c r="H17" s="1240" t="str">
        <f t="shared" si="15"/>
        <v>2017EURAIG Luxembourg-Legal AssistanceStandardMLC S with options</v>
      </c>
      <c r="I17" s="1240" t="str">
        <f t="shared" si="16"/>
        <v>2017EURAIG Luxembourg-Third party liabilityStandardMLC S with options</v>
      </c>
      <c r="J17" s="1240" t="str">
        <f t="shared" si="17"/>
        <v>N/A</v>
      </c>
      <c r="K17" s="1240" t="str">
        <f t="shared" si="18"/>
        <v>N/A</v>
      </c>
      <c r="L17" s="392" t="s">
        <v>4</v>
      </c>
      <c r="M17" s="392" t="s">
        <v>2883</v>
      </c>
      <c r="N17" s="392" t="s">
        <v>32</v>
      </c>
      <c r="O17" s="376">
        <v>2017</v>
      </c>
      <c r="P17" s="376" t="s">
        <v>26</v>
      </c>
      <c r="Q17" s="376" t="s">
        <v>1</v>
      </c>
      <c r="R17" s="378">
        <v>15.2</v>
      </c>
      <c r="S17" s="392" t="s">
        <v>2213</v>
      </c>
      <c r="T17" s="392"/>
      <c r="U17" s="392"/>
      <c r="V17" s="1109">
        <v>365</v>
      </c>
      <c r="W17" s="1228">
        <f t="shared" si="19"/>
        <v>759.42307692307679</v>
      </c>
      <c r="X17" s="197" t="s">
        <v>3</v>
      </c>
      <c r="Y17" s="1188">
        <f t="shared" si="9"/>
        <v>426.77884615384608</v>
      </c>
      <c r="Z17" s="377">
        <v>0.25</v>
      </c>
      <c r="AA17" s="1189">
        <f t="shared" si="10"/>
        <v>569.03846153846143</v>
      </c>
      <c r="AB17" s="377">
        <v>0</v>
      </c>
      <c r="AC17" s="378">
        <v>0</v>
      </c>
      <c r="AD17" s="374">
        <f t="shared" si="20"/>
        <v>569.03846153846143</v>
      </c>
      <c r="AE17" s="377">
        <v>0.04</v>
      </c>
      <c r="AF17" s="370">
        <f t="shared" si="21"/>
        <v>22.761538461538457</v>
      </c>
      <c r="AG17" s="1216">
        <v>591.79999999999995</v>
      </c>
      <c r="AH17" s="1215" t="s">
        <v>5</v>
      </c>
      <c r="AI17" s="1177">
        <f t="shared" si="22"/>
        <v>95.192307692307693</v>
      </c>
      <c r="AJ17" s="1175">
        <v>0.25</v>
      </c>
      <c r="AK17" s="1179">
        <f t="shared" si="11"/>
        <v>126.92307692307692</v>
      </c>
      <c r="AL17" s="1175">
        <v>0</v>
      </c>
      <c r="AM17" s="1174">
        <v>0</v>
      </c>
      <c r="AN17" s="1178"/>
      <c r="AO17" s="1175">
        <v>0.04</v>
      </c>
      <c r="AP17" s="1175"/>
      <c r="AQ17" s="1204">
        <v>132</v>
      </c>
      <c r="AR17" s="1203" t="s">
        <v>2630</v>
      </c>
      <c r="AS17" s="1177">
        <f t="shared" si="23"/>
        <v>10.096153846153847</v>
      </c>
      <c r="AT17" s="1175">
        <v>0.25</v>
      </c>
      <c r="AU17" s="1179">
        <f t="shared" si="24"/>
        <v>13.461538461538462</v>
      </c>
      <c r="AV17" s="1175">
        <v>0</v>
      </c>
      <c r="AW17" s="1174">
        <v>0</v>
      </c>
      <c r="AX17" s="1176"/>
      <c r="AY17" s="1175">
        <v>0.04</v>
      </c>
      <c r="AZ17" s="1175"/>
      <c r="BA17" s="1204">
        <v>14</v>
      </c>
      <c r="BB17" s="1212" t="s">
        <v>2631</v>
      </c>
      <c r="BC17" s="1177">
        <f t="shared" si="25"/>
        <v>37.5</v>
      </c>
      <c r="BD17" s="1175">
        <v>0.25</v>
      </c>
      <c r="BE17" s="1179">
        <f t="shared" si="26"/>
        <v>50</v>
      </c>
      <c r="BF17" s="1175">
        <v>0</v>
      </c>
      <c r="BG17" s="1174">
        <v>0</v>
      </c>
      <c r="BH17" s="1176"/>
      <c r="BI17" s="1175">
        <v>0.04</v>
      </c>
      <c r="BJ17" s="1175"/>
      <c r="BK17" s="1204">
        <v>52</v>
      </c>
      <c r="BL17" s="1202" t="s">
        <v>2224</v>
      </c>
      <c r="BM17" s="1109"/>
      <c r="BN17" s="1109"/>
      <c r="BO17" s="1109"/>
      <c r="BP17" s="1109"/>
      <c r="BQ17" s="1109"/>
      <c r="BR17" s="1109"/>
      <c r="BS17" s="1109"/>
      <c r="BT17" s="1109"/>
      <c r="BU17" s="380"/>
      <c r="BV17" s="1202" t="s">
        <v>2224</v>
      </c>
      <c r="BW17" s="1109"/>
      <c r="BX17" s="1109"/>
      <c r="BY17" s="1109"/>
      <c r="BZ17" s="1109"/>
      <c r="CA17" s="1109"/>
      <c r="CB17" s="1109"/>
      <c r="CC17" s="1109"/>
      <c r="CD17" s="1109"/>
      <c r="CE17" s="380"/>
    </row>
    <row r="18" spans="1:83" s="1127" customFormat="1">
      <c r="A18" s="291" t="b">
        <v>0</v>
      </c>
      <c r="B18" s="291" t="s">
        <v>2243</v>
      </c>
      <c r="C18" s="291" t="b">
        <f t="shared" si="12"/>
        <v>0</v>
      </c>
      <c r="D18" s="388" t="str">
        <f>IF(C18=FALSE=NAMES!$B$8,"",IF(L18="N/A","N/A",O18&amp;N18&amp;L18&amp;"-"&amp;M18))</f>
        <v>2017EURAnker Verzekeringen n.v.-Medical Excellent and Homeland</v>
      </c>
      <c r="E18" s="392" t="str">
        <f t="shared" si="1"/>
        <v>2017EURAnker Verzekeringen n.v.-Medical Excellent and Homeland</v>
      </c>
      <c r="F18" s="1236" t="str">
        <f t="shared" si="13"/>
        <v>2017EURAnker Verzekeringen n.v.-Healthcare PlanMedical Excellent and Homeland</v>
      </c>
      <c r="G18" s="1240" t="str">
        <f t="shared" si="14"/>
        <v>2017EURAnker Verzekeringen n.v.-Assistance and RepatriationMedical Excellent and Homeland</v>
      </c>
      <c r="H18" s="1240" t="str">
        <f t="shared" si="15"/>
        <v>2017EURAnker Verzekeringen n.v.-Legal AssistanceMedical Excellent and Homeland</v>
      </c>
      <c r="I18" s="1240" t="str">
        <f t="shared" si="16"/>
        <v>2017EURAnker Verzekeringen n.v.-Third party liabilityMedical Excellent and Homeland</v>
      </c>
      <c r="J18" s="1240" t="str">
        <f t="shared" si="17"/>
        <v>N/A</v>
      </c>
      <c r="K18" s="1240" t="str">
        <f t="shared" si="18"/>
        <v>N/A</v>
      </c>
      <c r="L18" s="392" t="s">
        <v>7</v>
      </c>
      <c r="M18" s="392" t="s">
        <v>2121</v>
      </c>
      <c r="N18" s="392" t="s">
        <v>32</v>
      </c>
      <c r="O18" s="376">
        <v>2017</v>
      </c>
      <c r="P18" s="376" t="s">
        <v>2234</v>
      </c>
      <c r="Q18" s="376" t="s">
        <v>1</v>
      </c>
      <c r="R18" s="378">
        <v>547.5</v>
      </c>
      <c r="S18" s="392" t="s">
        <v>2213</v>
      </c>
      <c r="T18" s="392"/>
      <c r="U18" s="392"/>
      <c r="V18" s="1109">
        <v>365</v>
      </c>
      <c r="W18" s="1228">
        <f t="shared" si="19"/>
        <v>1008.0288461538461</v>
      </c>
      <c r="X18" s="197" t="s">
        <v>3</v>
      </c>
      <c r="Y18" s="1188">
        <f t="shared" si="9"/>
        <v>647.16706730769226</v>
      </c>
      <c r="Z18" s="377">
        <v>0.27500000000000002</v>
      </c>
      <c r="AA18" s="1189">
        <f t="shared" si="10"/>
        <v>892.64423076923072</v>
      </c>
      <c r="AB18" s="377">
        <v>0</v>
      </c>
      <c r="AC18" s="378">
        <v>0</v>
      </c>
      <c r="AD18" s="374">
        <f t="shared" si="20"/>
        <v>892.64423076923072</v>
      </c>
      <c r="AE18" s="377">
        <v>0.04</v>
      </c>
      <c r="AF18" s="370">
        <f t="shared" si="21"/>
        <v>35.705769230769228</v>
      </c>
      <c r="AG18" s="1216">
        <v>928.35</v>
      </c>
      <c r="AH18" s="1215" t="s">
        <v>5</v>
      </c>
      <c r="AI18" s="1177">
        <f t="shared" si="22"/>
        <v>83.653846153846146</v>
      </c>
      <c r="AJ18" s="1175">
        <v>0.27500000000000002</v>
      </c>
      <c r="AK18" s="1179">
        <f t="shared" si="11"/>
        <v>115.38461538461539</v>
      </c>
      <c r="AL18" s="1175">
        <v>0</v>
      </c>
      <c r="AM18" s="1174">
        <v>0</v>
      </c>
      <c r="AN18" s="1178"/>
      <c r="AO18" s="1175">
        <v>0.04</v>
      </c>
      <c r="AP18" s="1175"/>
      <c r="AQ18" s="1204">
        <v>120</v>
      </c>
      <c r="AR18" s="1203" t="s">
        <v>2630</v>
      </c>
      <c r="AS18" s="1177">
        <f t="shared" si="23"/>
        <v>0</v>
      </c>
      <c r="AT18" s="1151"/>
      <c r="AU18" s="1179">
        <f t="shared" si="24"/>
        <v>0</v>
      </c>
      <c r="AV18" s="1151"/>
      <c r="AW18" s="1151"/>
      <c r="AX18" s="1151"/>
      <c r="AY18" s="1151"/>
      <c r="AZ18" s="1151"/>
      <c r="BA18" s="183"/>
      <c r="BB18" s="1212" t="s">
        <v>2631</v>
      </c>
      <c r="BC18" s="1177">
        <f t="shared" si="25"/>
        <v>0</v>
      </c>
      <c r="BD18" s="1151"/>
      <c r="BE18" s="1179">
        <f t="shared" si="26"/>
        <v>0</v>
      </c>
      <c r="BF18" s="1151"/>
      <c r="BG18" s="1151"/>
      <c r="BH18" s="1151"/>
      <c r="BI18" s="1151"/>
      <c r="BJ18" s="1151"/>
      <c r="BK18" s="183"/>
      <c r="BL18" s="1202" t="s">
        <v>2224</v>
      </c>
      <c r="BM18" s="1109"/>
      <c r="BN18" s="1109"/>
      <c r="BO18" s="1109"/>
      <c r="BP18" s="1109"/>
      <c r="BQ18" s="1109"/>
      <c r="BR18" s="1109"/>
      <c r="BS18" s="1109"/>
      <c r="BT18" s="1109"/>
      <c r="BU18" s="380"/>
      <c r="BV18" s="1202" t="s">
        <v>2224</v>
      </c>
      <c r="BW18" s="1109"/>
      <c r="BX18" s="1109"/>
      <c r="BY18" s="1109"/>
      <c r="BZ18" s="1109"/>
      <c r="CA18" s="1109"/>
      <c r="CB18" s="1109"/>
      <c r="CC18" s="1109"/>
      <c r="CD18" s="1109"/>
      <c r="CE18" s="380"/>
    </row>
    <row r="19" spans="1:83" s="1127" customFormat="1">
      <c r="A19" s="291" t="b">
        <v>0</v>
      </c>
      <c r="B19" s="291" t="s">
        <v>2243</v>
      </c>
      <c r="C19" s="291" t="b">
        <f t="shared" si="12"/>
        <v>0</v>
      </c>
      <c r="D19" s="388" t="str">
        <f>IF(C19=FALSE=NAMES!$B$8,"",IF(L19="N/A","N/A",O19&amp;N19&amp;L19&amp;"-"&amp;M19))</f>
        <v>2017EURAIG Luxembourg-PRESTIGE</v>
      </c>
      <c r="E19" s="392" t="str">
        <f t="shared" si="1"/>
        <v>2017EURAIG Luxembourg-PRESTIGE</v>
      </c>
      <c r="F19" s="1236" t="str">
        <f t="shared" si="13"/>
        <v>2017EURAIG Luxembourg-Healthcare PlanPRESTIGE</v>
      </c>
      <c r="G19" s="1240" t="str">
        <f t="shared" si="14"/>
        <v>2017EURAIG Luxembourg-Assistance and RepatriationPRESTIGE</v>
      </c>
      <c r="H19" s="1240" t="str">
        <f t="shared" si="15"/>
        <v>2017EURAIG Luxembourg-Legal AssistancePRESTIGE</v>
      </c>
      <c r="I19" s="1240" t="str">
        <f t="shared" si="16"/>
        <v>2017EURAIG Luxembourg-Third party liabilityPRESTIGE</v>
      </c>
      <c r="J19" s="1240" t="str">
        <f t="shared" si="17"/>
        <v>N/A</v>
      </c>
      <c r="K19" s="1240" t="str">
        <f t="shared" si="18"/>
        <v>N/A</v>
      </c>
      <c r="L19" s="392" t="s">
        <v>4</v>
      </c>
      <c r="M19" s="392" t="s">
        <v>86</v>
      </c>
      <c r="N19" s="392" t="s">
        <v>32</v>
      </c>
      <c r="O19" s="376">
        <v>2017</v>
      </c>
      <c r="P19" s="376" t="s">
        <v>26</v>
      </c>
      <c r="Q19" s="376" t="s">
        <v>1</v>
      </c>
      <c r="R19" s="378">
        <v>36.200000000000003</v>
      </c>
      <c r="S19" s="392" t="s">
        <v>2213</v>
      </c>
      <c r="T19" s="392"/>
      <c r="U19" s="392"/>
      <c r="V19" s="1109">
        <v>365</v>
      </c>
      <c r="W19" s="1228">
        <f t="shared" si="19"/>
        <v>1351.7307692307693</v>
      </c>
      <c r="X19" s="197" t="s">
        <v>3</v>
      </c>
      <c r="Y19" s="1188">
        <f t="shared" si="9"/>
        <v>871.00961538461536</v>
      </c>
      <c r="Z19" s="377">
        <v>0.25</v>
      </c>
      <c r="AA19" s="1189">
        <f t="shared" si="10"/>
        <v>1161.3461538461538</v>
      </c>
      <c r="AB19" s="377">
        <v>0</v>
      </c>
      <c r="AC19" s="378">
        <v>0</v>
      </c>
      <c r="AD19" s="374">
        <f t="shared" si="20"/>
        <v>1161.3461538461538</v>
      </c>
      <c r="AE19" s="377">
        <v>0.04</v>
      </c>
      <c r="AF19" s="370">
        <f t="shared" si="21"/>
        <v>46.45384615384615</v>
      </c>
      <c r="AG19" s="1216">
        <v>1207.8</v>
      </c>
      <c r="AH19" s="1215" t="s">
        <v>5</v>
      </c>
      <c r="AI19" s="1177">
        <f t="shared" si="22"/>
        <v>142.78846153846155</v>
      </c>
      <c r="AJ19" s="1175">
        <v>0.25</v>
      </c>
      <c r="AK19" s="1179">
        <f t="shared" si="11"/>
        <v>190.38461538461539</v>
      </c>
      <c r="AL19" s="1175">
        <v>0</v>
      </c>
      <c r="AM19" s="1174">
        <v>0</v>
      </c>
      <c r="AN19" s="1176"/>
      <c r="AO19" s="1175">
        <v>0.04</v>
      </c>
      <c r="AP19" s="1175"/>
      <c r="AQ19" s="1204">
        <v>198</v>
      </c>
      <c r="AR19" s="1203" t="s">
        <v>2630</v>
      </c>
      <c r="AS19" s="1177">
        <f t="shared" si="23"/>
        <v>0</v>
      </c>
      <c r="AT19" s="1151"/>
      <c r="AU19" s="1179">
        <f t="shared" si="24"/>
        <v>0</v>
      </c>
      <c r="AV19" s="1151"/>
      <c r="AW19" s="1151"/>
      <c r="AX19" s="1151"/>
      <c r="AY19" s="1151"/>
      <c r="AZ19" s="1151"/>
      <c r="BA19" s="183"/>
      <c r="BB19" s="1212" t="s">
        <v>2631</v>
      </c>
      <c r="BC19" s="1177">
        <f t="shared" si="25"/>
        <v>0</v>
      </c>
      <c r="BD19" s="1151"/>
      <c r="BE19" s="1179">
        <f t="shared" si="26"/>
        <v>0</v>
      </c>
      <c r="BF19" s="1151"/>
      <c r="BG19" s="1151"/>
      <c r="BH19" s="1151"/>
      <c r="BI19" s="1151"/>
      <c r="BJ19" s="1151"/>
      <c r="BK19" s="183"/>
      <c r="BL19" s="1202" t="s">
        <v>2224</v>
      </c>
      <c r="BM19" s="1109"/>
      <c r="BN19" s="1109"/>
      <c r="BO19" s="1109"/>
      <c r="BP19" s="1109"/>
      <c r="BQ19" s="1109"/>
      <c r="BR19" s="1109"/>
      <c r="BS19" s="1109"/>
      <c r="BT19" s="1109"/>
      <c r="BU19" s="380"/>
      <c r="BV19" s="1202" t="s">
        <v>2224</v>
      </c>
      <c r="BW19" s="1109"/>
      <c r="BX19" s="1109"/>
      <c r="BY19" s="1109"/>
      <c r="BZ19" s="1109"/>
      <c r="CA19" s="1109"/>
      <c r="CB19" s="1109"/>
      <c r="CC19" s="1109"/>
      <c r="CD19" s="1109"/>
      <c r="CE19" s="380"/>
    </row>
    <row r="20" spans="1:83" s="1127" customFormat="1">
      <c r="A20" s="478" t="b">
        <v>0</v>
      </c>
      <c r="B20" s="478" t="s">
        <v>2243</v>
      </c>
      <c r="C20" s="478" t="b">
        <f t="shared" si="12"/>
        <v>0</v>
      </c>
      <c r="D20" s="388" t="str">
        <f>IF(C20=FALSE=NAMES!$B$8,"",IF(L20="N/A","N/A",O20&amp;N20&amp;L20&amp;"-"&amp;M20))</f>
        <v>2017EURAIG Luxembourg-PRESTIGE-Family</v>
      </c>
      <c r="E20" s="479" t="str">
        <f t="shared" si="1"/>
        <v>2017EURAIG Luxembourg-PRESTIGE-Family</v>
      </c>
      <c r="F20" s="1245" t="str">
        <f t="shared" si="13"/>
        <v>2017EURAIG Luxembourg-Healthcare PlanPRESTIGE-Family</v>
      </c>
      <c r="G20" s="480" t="str">
        <f t="shared" si="14"/>
        <v>2017EURAIG Luxembourg-Assistance and RepatriationPRESTIGE-Family</v>
      </c>
      <c r="H20" s="480" t="str">
        <f t="shared" si="15"/>
        <v>2017EURAIG Luxembourg-Legal AssistancePRESTIGE-Family</v>
      </c>
      <c r="I20" s="480" t="str">
        <f t="shared" si="16"/>
        <v>2017EURAIG Luxembourg-Third party liabilityPRESTIGE-Family</v>
      </c>
      <c r="J20" s="480" t="str">
        <f t="shared" si="17"/>
        <v>N/A</v>
      </c>
      <c r="K20" s="480" t="str">
        <f t="shared" si="18"/>
        <v>N/A</v>
      </c>
      <c r="L20" s="479" t="s">
        <v>4</v>
      </c>
      <c r="M20" s="392" t="s">
        <v>2824</v>
      </c>
      <c r="N20" s="479" t="s">
        <v>32</v>
      </c>
      <c r="O20" s="485">
        <v>2017</v>
      </c>
      <c r="P20" s="485" t="s">
        <v>26</v>
      </c>
      <c r="Q20" s="485" t="s">
        <v>1</v>
      </c>
      <c r="R20" s="484">
        <v>35</v>
      </c>
      <c r="S20" s="479" t="s">
        <v>2214</v>
      </c>
      <c r="T20" s="479"/>
      <c r="U20" s="479"/>
      <c r="V20" s="480">
        <v>365</v>
      </c>
      <c r="W20" s="1245">
        <f t="shared" si="19"/>
        <v>1444.278846153846</v>
      </c>
      <c r="X20" s="478" t="s">
        <v>3</v>
      </c>
      <c r="Y20" s="1246">
        <f t="shared" si="9"/>
        <v>1083.2091346153845</v>
      </c>
      <c r="Z20" s="482">
        <v>0.25</v>
      </c>
      <c r="AA20" s="483">
        <f t="shared" si="10"/>
        <v>1444.278846153846</v>
      </c>
      <c r="AB20" s="482">
        <v>0</v>
      </c>
      <c r="AC20" s="484">
        <v>0</v>
      </c>
      <c r="AD20" s="1245">
        <f t="shared" si="20"/>
        <v>1444.278846153846</v>
      </c>
      <c r="AE20" s="482">
        <v>0.04</v>
      </c>
      <c r="AF20" s="483">
        <f t="shared" si="21"/>
        <v>57.771153846153837</v>
      </c>
      <c r="AG20" s="1221">
        <v>1502.05</v>
      </c>
      <c r="AH20" s="1247" t="s">
        <v>5</v>
      </c>
      <c r="AI20" s="1248">
        <f t="shared" si="22"/>
        <v>0</v>
      </c>
      <c r="AJ20" s="481"/>
      <c r="AK20" s="1249">
        <f t="shared" si="11"/>
        <v>0</v>
      </c>
      <c r="AL20" s="481"/>
      <c r="AM20" s="481"/>
      <c r="AN20" s="481"/>
      <c r="AO20" s="481"/>
      <c r="AP20" s="481"/>
      <c r="AQ20" s="1218"/>
      <c r="AR20" s="1250" t="s">
        <v>2630</v>
      </c>
      <c r="AS20" s="1177">
        <f t="shared" si="23"/>
        <v>0</v>
      </c>
      <c r="AT20" s="480"/>
      <c r="AU20" s="1179">
        <f t="shared" si="24"/>
        <v>0</v>
      </c>
      <c r="AV20" s="480"/>
      <c r="AW20" s="480"/>
      <c r="AX20" s="480"/>
      <c r="AY20" s="480"/>
      <c r="AZ20" s="480"/>
      <c r="BA20" s="487"/>
      <c r="BB20" s="1251" t="s">
        <v>2631</v>
      </c>
      <c r="BC20" s="1177">
        <f t="shared" si="25"/>
        <v>0</v>
      </c>
      <c r="BD20" s="480"/>
      <c r="BE20" s="1179">
        <f t="shared" si="26"/>
        <v>0</v>
      </c>
      <c r="BF20" s="480"/>
      <c r="BG20" s="480"/>
      <c r="BH20" s="480"/>
      <c r="BI20" s="480"/>
      <c r="BJ20" s="480"/>
      <c r="BK20" s="487"/>
      <c r="BL20" s="1252" t="s">
        <v>2224</v>
      </c>
      <c r="BM20" s="480"/>
      <c r="BN20" s="480"/>
      <c r="BO20" s="480"/>
      <c r="BP20" s="480"/>
      <c r="BQ20" s="480"/>
      <c r="BR20" s="480"/>
      <c r="BS20" s="480"/>
      <c r="BT20" s="480"/>
      <c r="BU20" s="487"/>
      <c r="BV20" s="1252" t="s">
        <v>2224</v>
      </c>
      <c r="BW20" s="480"/>
      <c r="BX20" s="480"/>
      <c r="BY20" s="480"/>
      <c r="BZ20" s="480"/>
      <c r="CA20" s="480"/>
      <c r="CB20" s="480"/>
      <c r="CC20" s="480"/>
      <c r="CD20" s="480"/>
      <c r="CE20" s="487"/>
    </row>
    <row r="21" spans="1:83" s="1127" customFormat="1">
      <c r="A21" s="291" t="b">
        <v>0</v>
      </c>
      <c r="B21" s="291" t="s">
        <v>2243</v>
      </c>
      <c r="C21" s="291" t="b">
        <f t="shared" si="12"/>
        <v>0</v>
      </c>
      <c r="D21" s="388" t="str">
        <f>IF(C21=FALSE=NAMES!$B$8,"",IF(L21="N/A","N/A",O21&amp;N21&amp;L21&amp;"-"&amp;M21))</f>
        <v>2017EURAIG Luxembourg-Prestige Plus</v>
      </c>
      <c r="E21" s="392" t="str">
        <f t="shared" si="1"/>
        <v>2017EURAIG Luxembourg-Prestige Plus</v>
      </c>
      <c r="F21" s="1236" t="str">
        <f t="shared" si="13"/>
        <v>2017EURAIG Luxembourg-Healthcare PlanPrestige Plus</v>
      </c>
      <c r="G21" s="1240" t="str">
        <f t="shared" si="14"/>
        <v>2017EURAIG Luxembourg-Assistance and RepatriationPrestige Plus</v>
      </c>
      <c r="H21" s="1240" t="str">
        <f t="shared" si="15"/>
        <v>2017EURAIG Luxembourg-Legal AssistancePrestige Plus</v>
      </c>
      <c r="I21" s="1240" t="str">
        <f t="shared" si="16"/>
        <v>2017EURAIG Luxembourg-Third party liabilityPrestige Plus</v>
      </c>
      <c r="J21" s="1240" t="str">
        <f t="shared" si="17"/>
        <v>N/A</v>
      </c>
      <c r="K21" s="1240" t="str">
        <f t="shared" si="18"/>
        <v>N/A</v>
      </c>
      <c r="L21" s="392" t="s">
        <v>4</v>
      </c>
      <c r="M21" s="392" t="s">
        <v>2079</v>
      </c>
      <c r="N21" s="392" t="s">
        <v>32</v>
      </c>
      <c r="O21" s="376">
        <v>2017</v>
      </c>
      <c r="P21" s="376" t="s">
        <v>26</v>
      </c>
      <c r="Q21" s="376" t="s">
        <v>1</v>
      </c>
      <c r="R21" s="378">
        <v>36.200000000000003</v>
      </c>
      <c r="S21" s="392" t="s">
        <v>2213</v>
      </c>
      <c r="T21" s="392"/>
      <c r="U21" s="392"/>
      <c r="V21" s="1109">
        <v>365</v>
      </c>
      <c r="W21" s="1228">
        <f t="shared" si="19"/>
        <v>1489.2307692307691</v>
      </c>
      <c r="X21" s="197" t="s">
        <v>3</v>
      </c>
      <c r="Y21" s="1188">
        <f t="shared" si="9"/>
        <v>871.00961538461536</v>
      </c>
      <c r="Z21" s="377">
        <v>0.25</v>
      </c>
      <c r="AA21" s="1189">
        <f t="shared" si="10"/>
        <v>1161.3461538461538</v>
      </c>
      <c r="AB21" s="377">
        <v>0</v>
      </c>
      <c r="AC21" s="378">
        <v>0</v>
      </c>
      <c r="AD21" s="374">
        <f t="shared" si="20"/>
        <v>1161.3461538461538</v>
      </c>
      <c r="AE21" s="377">
        <v>0.04</v>
      </c>
      <c r="AF21" s="370">
        <f t="shared" si="21"/>
        <v>46.45384615384615</v>
      </c>
      <c r="AG21" s="1216">
        <v>1207.8</v>
      </c>
      <c r="AH21" s="1215" t="s">
        <v>5</v>
      </c>
      <c r="AI21" s="1177">
        <f t="shared" si="22"/>
        <v>245.91346153846152</v>
      </c>
      <c r="AJ21" s="1175">
        <v>0.25</v>
      </c>
      <c r="AK21" s="1179">
        <f t="shared" si="11"/>
        <v>327.88461538461536</v>
      </c>
      <c r="AL21" s="1175">
        <v>0</v>
      </c>
      <c r="AM21" s="1174">
        <v>0</v>
      </c>
      <c r="AN21" s="1178"/>
      <c r="AO21" s="1175">
        <v>0.04</v>
      </c>
      <c r="AP21" s="1175"/>
      <c r="AQ21" s="1204">
        <v>341</v>
      </c>
      <c r="AR21" s="1203" t="s">
        <v>2630</v>
      </c>
      <c r="AS21" s="1177">
        <f t="shared" si="23"/>
        <v>0</v>
      </c>
      <c r="AT21" s="1151"/>
      <c r="AU21" s="1179">
        <f t="shared" si="24"/>
        <v>0</v>
      </c>
      <c r="AV21" s="1151"/>
      <c r="AW21" s="1151"/>
      <c r="AX21" s="1151"/>
      <c r="AY21" s="1151"/>
      <c r="AZ21" s="1151"/>
      <c r="BA21" s="183"/>
      <c r="BB21" s="1212" t="s">
        <v>2631</v>
      </c>
      <c r="BC21" s="1177">
        <f t="shared" si="25"/>
        <v>0</v>
      </c>
      <c r="BD21" s="1151"/>
      <c r="BE21" s="1179">
        <f t="shared" si="26"/>
        <v>0</v>
      </c>
      <c r="BF21" s="1151"/>
      <c r="BG21" s="1151"/>
      <c r="BH21" s="1151"/>
      <c r="BI21" s="1151"/>
      <c r="BJ21" s="1151"/>
      <c r="BK21" s="183"/>
      <c r="BL21" s="1202" t="s">
        <v>2224</v>
      </c>
      <c r="BM21" s="1109"/>
      <c r="BN21" s="1109"/>
      <c r="BO21" s="1109"/>
      <c r="BP21" s="1109"/>
      <c r="BQ21" s="1109"/>
      <c r="BR21" s="1109"/>
      <c r="BS21" s="1109"/>
      <c r="BT21" s="1109"/>
      <c r="BU21" s="380"/>
      <c r="BV21" s="1202" t="s">
        <v>2224</v>
      </c>
      <c r="BW21" s="1109"/>
      <c r="BX21" s="1109"/>
      <c r="BY21" s="1109"/>
      <c r="BZ21" s="1109"/>
      <c r="CA21" s="1109"/>
      <c r="CB21" s="1109"/>
      <c r="CC21" s="1109"/>
      <c r="CD21" s="1109"/>
      <c r="CE21" s="380"/>
    </row>
    <row r="22" spans="1:83" s="1127" customFormat="1">
      <c r="A22" s="291" t="b">
        <v>0</v>
      </c>
      <c r="B22" s="291" t="s">
        <v>2243</v>
      </c>
      <c r="C22" s="291" t="b">
        <f t="shared" si="12"/>
        <v>0</v>
      </c>
      <c r="D22" s="388" t="str">
        <f>IF(C22=FALSE=NAMES!$B$8,"",IF(L22="N/A","N/A",O22&amp;N22&amp;L22&amp;"-"&amp;M22))</f>
        <v>2017EURAIG Luxembourg-PrivilegeFamily</v>
      </c>
      <c r="E22" s="392" t="str">
        <f t="shared" si="1"/>
        <v>2017EURAIG Luxembourg-PrivilegeFamily</v>
      </c>
      <c r="F22" s="1236" t="str">
        <f t="shared" si="13"/>
        <v>2017EURAIG Luxembourg-Healthcare PlanPrivilegeFamily</v>
      </c>
      <c r="G22" s="1240" t="str">
        <f t="shared" si="14"/>
        <v>2017EURAIG Luxembourg-Assistance and RepatriationPrivilegeFamily</v>
      </c>
      <c r="H22" s="1240" t="str">
        <f t="shared" si="15"/>
        <v>2017EURAIG Luxembourg-Legal AssistancePrivilegeFamily</v>
      </c>
      <c r="I22" s="1240" t="str">
        <f t="shared" si="16"/>
        <v>2017EURAIG Luxembourg-Third party liabilityPrivilegeFamily</v>
      </c>
      <c r="J22" s="1240" t="str">
        <f t="shared" si="17"/>
        <v>N/A</v>
      </c>
      <c r="K22" s="1240" t="str">
        <f t="shared" si="18"/>
        <v>N/A</v>
      </c>
      <c r="L22" s="392" t="s">
        <v>4</v>
      </c>
      <c r="M22" s="392" t="s">
        <v>2233</v>
      </c>
      <c r="N22" s="392" t="s">
        <v>32</v>
      </c>
      <c r="O22" s="376">
        <v>2017</v>
      </c>
      <c r="P22" s="376" t="s">
        <v>26</v>
      </c>
      <c r="Q22" s="376" t="s">
        <v>1</v>
      </c>
      <c r="R22" s="378">
        <v>293.52</v>
      </c>
      <c r="S22" s="392" t="s">
        <v>2214</v>
      </c>
      <c r="T22" s="392"/>
      <c r="U22" s="392"/>
      <c r="V22" s="1109">
        <v>365</v>
      </c>
      <c r="W22" s="1228">
        <f t="shared" si="19"/>
        <v>4889.8999999999996</v>
      </c>
      <c r="X22" s="197" t="s">
        <v>3</v>
      </c>
      <c r="Y22" s="1188">
        <f t="shared" si="9"/>
        <v>3667.4249999999997</v>
      </c>
      <c r="Z22" s="377">
        <v>0.25</v>
      </c>
      <c r="AA22" s="1189">
        <f t="shared" si="10"/>
        <v>4889.8999999999996</v>
      </c>
      <c r="AB22" s="377">
        <v>0</v>
      </c>
      <c r="AC22" s="378">
        <v>977.98</v>
      </c>
      <c r="AD22" s="374">
        <f t="shared" si="20"/>
        <v>5867.8799999999992</v>
      </c>
      <c r="AE22" s="377">
        <v>0.04</v>
      </c>
      <c r="AF22" s="370">
        <f t="shared" si="21"/>
        <v>195.596</v>
      </c>
      <c r="AG22" s="1216">
        <v>5085.4960000000001</v>
      </c>
      <c r="AH22" s="1215" t="s">
        <v>5</v>
      </c>
      <c r="AI22" s="1177">
        <f t="shared" si="22"/>
        <v>0</v>
      </c>
      <c r="AJ22" s="378"/>
      <c r="AK22" s="1179">
        <f t="shared" si="11"/>
        <v>0</v>
      </c>
      <c r="AL22" s="378"/>
      <c r="AM22" s="378"/>
      <c r="AN22" s="378"/>
      <c r="AO22" s="378"/>
      <c r="AP22" s="378"/>
      <c r="AQ22" s="1216"/>
      <c r="AR22" s="1203" t="s">
        <v>2630</v>
      </c>
      <c r="AS22" s="1177">
        <f t="shared" si="23"/>
        <v>0</v>
      </c>
      <c r="AT22" s="1151"/>
      <c r="AU22" s="1179">
        <f t="shared" si="24"/>
        <v>0</v>
      </c>
      <c r="AV22" s="1151"/>
      <c r="AW22" s="1151"/>
      <c r="AX22" s="1151"/>
      <c r="AY22" s="1151"/>
      <c r="AZ22" s="1151"/>
      <c r="BA22" s="183"/>
      <c r="BB22" s="1212" t="s">
        <v>2631</v>
      </c>
      <c r="BC22" s="1177">
        <f t="shared" si="25"/>
        <v>0</v>
      </c>
      <c r="BD22" s="1151"/>
      <c r="BE22" s="1179">
        <f t="shared" si="26"/>
        <v>0</v>
      </c>
      <c r="BF22" s="1151"/>
      <c r="BG22" s="1151"/>
      <c r="BH22" s="1151"/>
      <c r="BI22" s="1151"/>
      <c r="BJ22" s="1151"/>
      <c r="BK22" s="183"/>
      <c r="BL22" s="1202" t="s">
        <v>2224</v>
      </c>
      <c r="BM22" s="1109"/>
      <c r="BN22" s="1109"/>
      <c r="BO22" s="1109"/>
      <c r="BP22" s="1109"/>
      <c r="BQ22" s="1109"/>
      <c r="BR22" s="1109"/>
      <c r="BS22" s="1109"/>
      <c r="BT22" s="1109"/>
      <c r="BU22" s="380"/>
      <c r="BV22" s="1202" t="s">
        <v>2224</v>
      </c>
      <c r="BW22" s="1109"/>
      <c r="BX22" s="1109"/>
      <c r="BY22" s="1109"/>
      <c r="BZ22" s="1109"/>
      <c r="CA22" s="1109"/>
      <c r="CB22" s="1109"/>
      <c r="CC22" s="1109"/>
      <c r="CD22" s="1109"/>
      <c r="CE22" s="380"/>
    </row>
    <row r="23" spans="1:83" s="1127" customFormat="1">
      <c r="A23" s="291" t="b">
        <v>0</v>
      </c>
      <c r="B23" s="291" t="s">
        <v>2243</v>
      </c>
      <c r="C23" s="291" t="b">
        <f t="shared" si="12"/>
        <v>0</v>
      </c>
      <c r="D23" s="388" t="str">
        <f>IF(C23=FALSE=NAMES!$B$8,"",IF(L23="N/A","N/A",O23&amp;N23&amp;L23&amp;"-"&amp;M23))</f>
        <v>2017EURAIG Luxembourg-PrivilegeSingle</v>
      </c>
      <c r="E23" s="392" t="str">
        <f t="shared" si="1"/>
        <v>2017EURAIG Luxembourg-PrivilegeSingle</v>
      </c>
      <c r="F23" s="1236" t="str">
        <f t="shared" si="13"/>
        <v>2017EURAIG Luxembourg-Healthcare PlanPrivilegeSingle</v>
      </c>
      <c r="G23" s="1240" t="str">
        <f t="shared" si="14"/>
        <v>2017EURAIG Luxembourg-Assistance and RepatriationPrivilegeSingle</v>
      </c>
      <c r="H23" s="1240" t="str">
        <f t="shared" si="15"/>
        <v>2017EURAIG Luxembourg-Legal AssistancePrivilegeSingle</v>
      </c>
      <c r="I23" s="1240" t="str">
        <f t="shared" si="16"/>
        <v>2017EURAIG Luxembourg-Third party liabilityPrivilegeSingle</v>
      </c>
      <c r="J23" s="1240" t="str">
        <f t="shared" si="17"/>
        <v>N/A</v>
      </c>
      <c r="K23" s="1240" t="str">
        <f t="shared" si="18"/>
        <v>N/A</v>
      </c>
      <c r="L23" s="392" t="s">
        <v>4</v>
      </c>
      <c r="M23" s="392" t="s">
        <v>2232</v>
      </c>
      <c r="N23" s="392" t="s">
        <v>32</v>
      </c>
      <c r="O23" s="376">
        <v>2017</v>
      </c>
      <c r="P23" s="376" t="s">
        <v>26</v>
      </c>
      <c r="Q23" s="376" t="s">
        <v>1</v>
      </c>
      <c r="R23" s="378">
        <v>112.04</v>
      </c>
      <c r="S23" s="392" t="s">
        <v>2213</v>
      </c>
      <c r="T23" s="392"/>
      <c r="U23" s="392"/>
      <c r="V23" s="1109">
        <v>365</v>
      </c>
      <c r="W23" s="1228">
        <f t="shared" si="19"/>
        <v>1879.81</v>
      </c>
      <c r="X23" s="197" t="s">
        <v>3</v>
      </c>
      <c r="Y23" s="1188">
        <f t="shared" si="9"/>
        <v>1409.8575000000001</v>
      </c>
      <c r="Z23" s="377">
        <v>0.25</v>
      </c>
      <c r="AA23" s="1189">
        <f t="shared" si="10"/>
        <v>1879.81</v>
      </c>
      <c r="AB23" s="377">
        <v>0</v>
      </c>
      <c r="AC23" s="378">
        <v>375.96</v>
      </c>
      <c r="AD23" s="374">
        <f t="shared" si="20"/>
        <v>2255.77</v>
      </c>
      <c r="AE23" s="377">
        <v>0.04</v>
      </c>
      <c r="AF23" s="370">
        <f t="shared" si="21"/>
        <v>75.192400000000006</v>
      </c>
      <c r="AG23" s="1216">
        <v>1955.0024000000001</v>
      </c>
      <c r="AH23" s="1215" t="s">
        <v>5</v>
      </c>
      <c r="AI23" s="1177">
        <f t="shared" si="22"/>
        <v>0</v>
      </c>
      <c r="AJ23" s="378"/>
      <c r="AK23" s="1179">
        <f t="shared" si="11"/>
        <v>0</v>
      </c>
      <c r="AL23" s="378"/>
      <c r="AM23" s="378"/>
      <c r="AN23" s="378"/>
      <c r="AO23" s="378"/>
      <c r="AP23" s="378"/>
      <c r="AQ23" s="1216"/>
      <c r="AR23" s="1203" t="s">
        <v>2630</v>
      </c>
      <c r="AS23" s="1177">
        <f t="shared" si="23"/>
        <v>0</v>
      </c>
      <c r="AT23" s="1151"/>
      <c r="AU23" s="1179">
        <f t="shared" si="24"/>
        <v>0</v>
      </c>
      <c r="AV23" s="1151"/>
      <c r="AW23" s="1151"/>
      <c r="AX23" s="1151"/>
      <c r="AY23" s="1151"/>
      <c r="AZ23" s="1151"/>
      <c r="BA23" s="183"/>
      <c r="BB23" s="1212" t="s">
        <v>2631</v>
      </c>
      <c r="BC23" s="1177">
        <f t="shared" si="25"/>
        <v>0</v>
      </c>
      <c r="BD23" s="1151"/>
      <c r="BE23" s="1179">
        <f t="shared" si="26"/>
        <v>0</v>
      </c>
      <c r="BF23" s="1151"/>
      <c r="BG23" s="1151"/>
      <c r="BH23" s="1151"/>
      <c r="BI23" s="1151"/>
      <c r="BJ23" s="1151"/>
      <c r="BK23" s="183"/>
      <c r="BL23" s="1202" t="s">
        <v>2224</v>
      </c>
      <c r="BM23" s="1109"/>
      <c r="BN23" s="1109"/>
      <c r="BO23" s="1109"/>
      <c r="BP23" s="1109"/>
      <c r="BQ23" s="1109"/>
      <c r="BR23" s="1109"/>
      <c r="BS23" s="1109"/>
      <c r="BT23" s="1109"/>
      <c r="BU23" s="380"/>
      <c r="BV23" s="1202" t="s">
        <v>2224</v>
      </c>
      <c r="BW23" s="1109"/>
      <c r="BX23" s="1109"/>
      <c r="BY23" s="1109"/>
      <c r="BZ23" s="1109"/>
      <c r="CA23" s="1109"/>
      <c r="CB23" s="1109"/>
      <c r="CC23" s="1109"/>
      <c r="CD23" s="1109"/>
      <c r="CE23" s="380"/>
    </row>
    <row r="24" spans="1:83" s="1127" customFormat="1">
      <c r="A24" s="291" t="b">
        <v>0</v>
      </c>
      <c r="B24" s="291" t="s">
        <v>2243</v>
      </c>
      <c r="C24" s="291" t="b">
        <f t="shared" si="12"/>
        <v>0</v>
      </c>
      <c r="D24" s="388" t="str">
        <f>IF(C24=FALSE=NAMES!$B$8,"",IF(L24="N/A","N/A",O24&amp;N24&amp;L24&amp;"-"&amp;M24))</f>
        <v>2017EURAIG Luxembourg-Vitale-12months</v>
      </c>
      <c r="E24" s="392" t="str">
        <f t="shared" si="1"/>
        <v>2017EURAIG Luxembourg-Vitale-12months</v>
      </c>
      <c r="F24" s="1236" t="str">
        <f t="shared" si="13"/>
        <v>2017EURAIG Luxembourg-Healthcare PlanVitale-12months</v>
      </c>
      <c r="G24" s="1240" t="str">
        <f t="shared" si="14"/>
        <v>2017EURAIG Luxembourg-Assistance and RepatriationVitale-12months</v>
      </c>
      <c r="H24" s="1240" t="str">
        <f t="shared" si="15"/>
        <v>2017EURAIG Luxembourg-Legal AssistanceVitale-12months</v>
      </c>
      <c r="I24" s="1240" t="str">
        <f t="shared" si="16"/>
        <v>2017EURAIG Luxembourg-Third party liabilityVitale-12months</v>
      </c>
      <c r="J24" s="1240" t="str">
        <f t="shared" si="17"/>
        <v>N/A</v>
      </c>
      <c r="K24" s="1240" t="str">
        <f t="shared" si="18"/>
        <v>N/A</v>
      </c>
      <c r="L24" s="392" t="s">
        <v>4</v>
      </c>
      <c r="M24" s="392" t="s">
        <v>2540</v>
      </c>
      <c r="N24" s="392" t="s">
        <v>32</v>
      </c>
      <c r="O24" s="376">
        <v>2017</v>
      </c>
      <c r="P24" s="376" t="s">
        <v>26</v>
      </c>
      <c r="Q24" s="376" t="s">
        <v>1</v>
      </c>
      <c r="R24" s="378">
        <v>15</v>
      </c>
      <c r="S24" s="392" t="s">
        <v>2213</v>
      </c>
      <c r="T24" s="392"/>
      <c r="U24" s="392"/>
      <c r="V24" s="1109">
        <v>365</v>
      </c>
      <c r="W24" s="1228">
        <f t="shared" si="19"/>
        <v>152.4</v>
      </c>
      <c r="X24" s="197" t="s">
        <v>3</v>
      </c>
      <c r="Y24" s="1188">
        <f t="shared" si="9"/>
        <v>114.30000000000001</v>
      </c>
      <c r="Z24" s="377">
        <v>0.25</v>
      </c>
      <c r="AA24" s="1189">
        <f t="shared" si="10"/>
        <v>152.4</v>
      </c>
      <c r="AB24" s="377">
        <v>0</v>
      </c>
      <c r="AC24" s="378">
        <v>0</v>
      </c>
      <c r="AD24" s="374">
        <f t="shared" si="20"/>
        <v>152.4</v>
      </c>
      <c r="AE24" s="377">
        <v>0.04</v>
      </c>
      <c r="AF24" s="370">
        <f t="shared" si="21"/>
        <v>6.0960000000000001</v>
      </c>
      <c r="AG24" s="1216">
        <v>158.49600000000001</v>
      </c>
      <c r="AH24" s="1215" t="s">
        <v>5</v>
      </c>
      <c r="AI24" s="1177">
        <f t="shared" si="22"/>
        <v>0</v>
      </c>
      <c r="AJ24" s="378"/>
      <c r="AK24" s="1179">
        <f t="shared" si="11"/>
        <v>0</v>
      </c>
      <c r="AL24" s="378"/>
      <c r="AM24" s="378"/>
      <c r="AN24" s="378"/>
      <c r="AO24" s="378"/>
      <c r="AP24" s="378"/>
      <c r="AQ24" s="1216"/>
      <c r="AR24" s="1203" t="s">
        <v>2630</v>
      </c>
      <c r="AS24" s="1177">
        <f t="shared" si="23"/>
        <v>0</v>
      </c>
      <c r="AT24" s="1151"/>
      <c r="AU24" s="1179">
        <f t="shared" si="24"/>
        <v>0</v>
      </c>
      <c r="AV24" s="1151"/>
      <c r="AW24" s="1151"/>
      <c r="AX24" s="1151"/>
      <c r="AY24" s="1151"/>
      <c r="AZ24" s="1151"/>
      <c r="BA24" s="183"/>
      <c r="BB24" s="1212" t="s">
        <v>2631</v>
      </c>
      <c r="BC24" s="1177">
        <f t="shared" si="25"/>
        <v>0</v>
      </c>
      <c r="BD24" s="1151"/>
      <c r="BE24" s="1179">
        <f t="shared" si="26"/>
        <v>0</v>
      </c>
      <c r="BF24" s="1151"/>
      <c r="BG24" s="1151"/>
      <c r="BH24" s="1151"/>
      <c r="BI24" s="1151"/>
      <c r="BJ24" s="1151"/>
      <c r="BK24" s="183"/>
      <c r="BL24" s="1202" t="s">
        <v>2224</v>
      </c>
      <c r="BM24" s="1109"/>
      <c r="BN24" s="1109"/>
      <c r="BO24" s="1109"/>
      <c r="BP24" s="1109"/>
      <c r="BQ24" s="1109"/>
      <c r="BR24" s="1109"/>
      <c r="BS24" s="1109"/>
      <c r="BT24" s="1109"/>
      <c r="BU24" s="380"/>
      <c r="BV24" s="1202" t="s">
        <v>2224</v>
      </c>
      <c r="BW24" s="1109"/>
      <c r="BX24" s="1109"/>
      <c r="BY24" s="1109"/>
      <c r="BZ24" s="1109"/>
      <c r="CA24" s="1109"/>
      <c r="CB24" s="1109"/>
      <c r="CC24" s="1109"/>
      <c r="CD24" s="1109"/>
      <c r="CE24" s="380"/>
    </row>
    <row r="25" spans="1:83" s="1127" customFormat="1">
      <c r="A25" s="291" t="b">
        <v>0</v>
      </c>
      <c r="B25" s="291" t="s">
        <v>2243</v>
      </c>
      <c r="C25" s="291" t="b">
        <f t="shared" si="12"/>
        <v>0</v>
      </c>
      <c r="D25" s="388" t="str">
        <f>IF(C25=FALSE=NAMES!$B$8,"",IF(L25="N/A","N/A",O25&amp;N25&amp;L25&amp;"-"&amp;M25))</f>
        <v>2017EURAIG Luxembourg-Vitale-6months</v>
      </c>
      <c r="E25" s="392" t="str">
        <f t="shared" si="1"/>
        <v>2017EURAIG Luxembourg-Vitale-6months</v>
      </c>
      <c r="F25" s="1236" t="str">
        <f t="shared" si="13"/>
        <v>2017EURAIG Luxembourg-Healthcare PlanVitale-6months</v>
      </c>
      <c r="G25" s="1240" t="str">
        <f t="shared" si="14"/>
        <v>2017EURAIG Luxembourg-Assistance and RepatriationVitale-6months</v>
      </c>
      <c r="H25" s="1240" t="str">
        <f t="shared" si="15"/>
        <v>2017EURAIG Luxembourg-Legal AssistanceVitale-6months</v>
      </c>
      <c r="I25" s="1240" t="str">
        <f t="shared" si="16"/>
        <v>2017EURAIG Luxembourg-Third party liabilityVitale-6months</v>
      </c>
      <c r="J25" s="1240" t="str">
        <f t="shared" si="17"/>
        <v>N/A</v>
      </c>
      <c r="K25" s="1240" t="str">
        <f t="shared" si="18"/>
        <v>N/A</v>
      </c>
      <c r="L25" s="392" t="s">
        <v>4</v>
      </c>
      <c r="M25" s="392" t="s">
        <v>2541</v>
      </c>
      <c r="N25" s="392" t="s">
        <v>32</v>
      </c>
      <c r="O25" s="376">
        <v>2017</v>
      </c>
      <c r="P25" s="376" t="s">
        <v>26</v>
      </c>
      <c r="Q25" s="376" t="s">
        <v>1</v>
      </c>
      <c r="R25" s="378">
        <v>15</v>
      </c>
      <c r="S25" s="392" t="s">
        <v>2213</v>
      </c>
      <c r="T25" s="392"/>
      <c r="U25" s="392"/>
      <c r="V25" s="1109">
        <v>180</v>
      </c>
      <c r="W25" s="1228">
        <f t="shared" si="19"/>
        <v>100.24</v>
      </c>
      <c r="X25" s="197" t="s">
        <v>3</v>
      </c>
      <c r="Y25" s="1188">
        <f t="shared" si="9"/>
        <v>75.179999999999993</v>
      </c>
      <c r="Z25" s="377">
        <v>0.25</v>
      </c>
      <c r="AA25" s="1189">
        <f t="shared" si="10"/>
        <v>100.24</v>
      </c>
      <c r="AB25" s="377">
        <v>0</v>
      </c>
      <c r="AC25" s="378">
        <v>0</v>
      </c>
      <c r="AD25" s="374">
        <f t="shared" si="20"/>
        <v>100.24</v>
      </c>
      <c r="AE25" s="377">
        <v>0.04</v>
      </c>
      <c r="AF25" s="370">
        <f t="shared" si="21"/>
        <v>4.0095999999999998</v>
      </c>
      <c r="AG25" s="1216">
        <v>104.2496</v>
      </c>
      <c r="AH25" s="1215" t="s">
        <v>5</v>
      </c>
      <c r="AI25" s="1177">
        <f t="shared" si="22"/>
        <v>0</v>
      </c>
      <c r="AJ25" s="378"/>
      <c r="AK25" s="1179">
        <f t="shared" si="11"/>
        <v>0</v>
      </c>
      <c r="AL25" s="378"/>
      <c r="AM25" s="378"/>
      <c r="AN25" s="378"/>
      <c r="AO25" s="378"/>
      <c r="AP25" s="378"/>
      <c r="AQ25" s="1216"/>
      <c r="AR25" s="1203" t="s">
        <v>2630</v>
      </c>
      <c r="AS25" s="1177">
        <f t="shared" si="23"/>
        <v>0</v>
      </c>
      <c r="AT25" s="1151"/>
      <c r="AU25" s="1179">
        <f t="shared" si="24"/>
        <v>0</v>
      </c>
      <c r="AV25" s="1151"/>
      <c r="AW25" s="1151"/>
      <c r="AX25" s="1151"/>
      <c r="AY25" s="1151"/>
      <c r="AZ25" s="1151"/>
      <c r="BA25" s="183"/>
      <c r="BB25" s="1212" t="s">
        <v>2631</v>
      </c>
      <c r="BC25" s="1177">
        <f t="shared" si="25"/>
        <v>0</v>
      </c>
      <c r="BD25" s="1151"/>
      <c r="BE25" s="1179">
        <f t="shared" si="26"/>
        <v>0</v>
      </c>
      <c r="BF25" s="1151"/>
      <c r="BG25" s="1151"/>
      <c r="BH25" s="1151"/>
      <c r="BI25" s="1151"/>
      <c r="BJ25" s="1151"/>
      <c r="BK25" s="183"/>
      <c r="BL25" s="1202" t="s">
        <v>2224</v>
      </c>
      <c r="BM25" s="1109"/>
      <c r="BN25" s="1109"/>
      <c r="BO25" s="1109"/>
      <c r="BP25" s="1109"/>
      <c r="BQ25" s="1109"/>
      <c r="BR25" s="1109"/>
      <c r="BS25" s="1109"/>
      <c r="BT25" s="1109"/>
      <c r="BU25" s="380"/>
      <c r="BV25" s="1202" t="s">
        <v>2224</v>
      </c>
      <c r="BW25" s="1109"/>
      <c r="BX25" s="1109"/>
      <c r="BY25" s="1109"/>
      <c r="BZ25" s="1109"/>
      <c r="CA25" s="1109"/>
      <c r="CB25" s="1109"/>
      <c r="CC25" s="1109"/>
      <c r="CD25" s="1109"/>
      <c r="CE25" s="380"/>
    </row>
    <row r="26" spans="1:83" s="1127" customFormat="1">
      <c r="A26" s="291" t="b">
        <v>0</v>
      </c>
      <c r="B26" s="291" t="s">
        <v>2243</v>
      </c>
      <c r="C26" s="291" t="b">
        <f t="shared" si="12"/>
        <v>0</v>
      </c>
      <c r="D26" s="388" t="str">
        <f>IF(C26=FALSE=NAMES!$B$8,"",IF(L26="N/A","N/A",O26&amp;N26&amp;L26&amp;"-"&amp;M26))</f>
        <v>2017EURAIG Luxembourg-Perfect Plus</v>
      </c>
      <c r="E26" s="392" t="str">
        <f t="shared" si="1"/>
        <v>2017EURAIG Luxembourg-Perfect Plus</v>
      </c>
      <c r="F26" s="1236" t="str">
        <f t="shared" si="13"/>
        <v>2017EURAIG Luxembourg-Healthcare PlanPerfect Plus</v>
      </c>
      <c r="G26" s="1240" t="str">
        <f t="shared" si="14"/>
        <v>2017EURAIG Luxembourg-Assistance and RepatriationPerfect Plus</v>
      </c>
      <c r="H26" s="1240" t="str">
        <f t="shared" si="15"/>
        <v>2017EURAIG Luxembourg-Legal AssistancePerfect Plus</v>
      </c>
      <c r="I26" s="1240" t="str">
        <f t="shared" si="16"/>
        <v>2017EURAIG Luxembourg-Third party liabilityPerfect Plus</v>
      </c>
      <c r="J26" s="1240" t="str">
        <f t="shared" si="17"/>
        <v>N/A</v>
      </c>
      <c r="K26" s="1240" t="str">
        <f t="shared" si="18"/>
        <v>N/A</v>
      </c>
      <c r="L26" s="392" t="s">
        <v>4</v>
      </c>
      <c r="M26" s="392" t="s">
        <v>2584</v>
      </c>
      <c r="N26" s="392" t="s">
        <v>32</v>
      </c>
      <c r="O26" s="376">
        <v>2017</v>
      </c>
      <c r="P26" s="376" t="s">
        <v>26</v>
      </c>
      <c r="Q26" s="376" t="s">
        <v>1</v>
      </c>
      <c r="R26" s="378">
        <v>36.200000000000003</v>
      </c>
      <c r="S26" s="392" t="s">
        <v>2213</v>
      </c>
      <c r="T26" s="392"/>
      <c r="U26" s="392"/>
      <c r="V26" s="1109">
        <v>365</v>
      </c>
      <c r="W26" s="1228">
        <f t="shared" si="19"/>
        <v>1493.2692307692305</v>
      </c>
      <c r="X26" s="197" t="s">
        <v>3</v>
      </c>
      <c r="Y26" s="1188">
        <f t="shared" si="9"/>
        <v>874.03846153846143</v>
      </c>
      <c r="Z26" s="377">
        <v>0.25</v>
      </c>
      <c r="AA26" s="1189">
        <f t="shared" si="10"/>
        <v>1165.3846153846152</v>
      </c>
      <c r="AB26" s="377">
        <v>0</v>
      </c>
      <c r="AC26" s="378">
        <v>0</v>
      </c>
      <c r="AD26" s="374">
        <f t="shared" si="20"/>
        <v>1165.3846153846152</v>
      </c>
      <c r="AE26" s="377">
        <v>0.04</v>
      </c>
      <c r="AF26" s="370">
        <f t="shared" si="21"/>
        <v>46.615384615384613</v>
      </c>
      <c r="AG26" s="1216">
        <v>1212</v>
      </c>
      <c r="AH26" s="1215" t="s">
        <v>5</v>
      </c>
      <c r="AI26" s="1177">
        <f t="shared" si="22"/>
        <v>245.91346153846152</v>
      </c>
      <c r="AJ26" s="1175">
        <v>0.25</v>
      </c>
      <c r="AK26" s="1179">
        <f t="shared" si="11"/>
        <v>327.88461538461536</v>
      </c>
      <c r="AL26" s="1175">
        <v>0</v>
      </c>
      <c r="AM26" s="1174">
        <v>0</v>
      </c>
      <c r="AN26" s="1178"/>
      <c r="AO26" s="1175">
        <v>0.04</v>
      </c>
      <c r="AP26" s="1175"/>
      <c r="AQ26" s="1204">
        <v>341</v>
      </c>
      <c r="AR26" s="1203" t="s">
        <v>2630</v>
      </c>
      <c r="AS26" s="1177">
        <f t="shared" ref="AS26:AS39" si="27">IF(AR26="N/A","",AU26*(1-AT26))</f>
        <v>0</v>
      </c>
      <c r="AT26" s="1151"/>
      <c r="AU26" s="1179">
        <f t="shared" si="24"/>
        <v>0</v>
      </c>
      <c r="AV26" s="1151"/>
      <c r="AW26" s="1151"/>
      <c r="AX26" s="1151"/>
      <c r="AY26" s="1151"/>
      <c r="AZ26" s="1151"/>
      <c r="BA26" s="183"/>
      <c r="BB26" s="1212" t="s">
        <v>2631</v>
      </c>
      <c r="BC26" s="1177">
        <f t="shared" si="25"/>
        <v>0</v>
      </c>
      <c r="BD26" s="1151"/>
      <c r="BE26" s="1179">
        <f t="shared" si="26"/>
        <v>0</v>
      </c>
      <c r="BF26" s="1151"/>
      <c r="BG26" s="1151"/>
      <c r="BH26" s="1151"/>
      <c r="BI26" s="1151"/>
      <c r="BJ26" s="1151"/>
      <c r="BK26" s="183"/>
      <c r="BL26" s="1202" t="s">
        <v>2224</v>
      </c>
      <c r="BM26" s="1109"/>
      <c r="BN26" s="1109"/>
      <c r="BO26" s="1109"/>
      <c r="BP26" s="1109"/>
      <c r="BQ26" s="1109"/>
      <c r="BR26" s="1109"/>
      <c r="BS26" s="1109"/>
      <c r="BT26" s="1109"/>
      <c r="BU26" s="380"/>
      <c r="BV26" s="1202" t="s">
        <v>2224</v>
      </c>
      <c r="BW26" s="1109"/>
      <c r="BX26" s="1109"/>
      <c r="BY26" s="1109"/>
      <c r="BZ26" s="1109"/>
      <c r="CA26" s="1109"/>
      <c r="CB26" s="1109"/>
      <c r="CC26" s="1109"/>
      <c r="CD26" s="1109"/>
      <c r="CE26" s="380"/>
    </row>
    <row r="27" spans="1:83" s="1127" customFormat="1">
      <c r="A27" s="197" t="b">
        <v>0</v>
      </c>
      <c r="B27" s="291" t="s">
        <v>2243</v>
      </c>
      <c r="C27" s="197" t="b">
        <f t="shared" si="12"/>
        <v>0</v>
      </c>
      <c r="D27" s="388" t="str">
        <f>IF(C27=FALSE=NAMES!$B$8,"",IF(L27="N/A","N/A",O27&amp;N27&amp;L27&amp;"-"&amp;M27))</f>
        <v>2017EURAIG Luxembourg-Adulte AIG expat 100% excluding USA/Canada</v>
      </c>
      <c r="E27" s="392" t="str">
        <f t="shared" si="1"/>
        <v>2017EURAIG Luxembourg-Adulte AIG expat 100% excluding USA/Canada</v>
      </c>
      <c r="F27" s="1236" t="str">
        <f t="shared" si="13"/>
        <v>2017EURAIG Luxembourg-Healthcare PlanAdulte AIG expat 100% excluding USA/Canada</v>
      </c>
      <c r="G27" s="1240" t="str">
        <f t="shared" si="14"/>
        <v>2017EURAIG Luxembourg-Assistance and RepatriationAdulte AIG expat 100% excluding USA/Canada</v>
      </c>
      <c r="H27" s="1240" t="str">
        <f t="shared" si="15"/>
        <v>2017EURAIG Luxembourg-Legal AssistanceAdulte AIG expat 100% excluding USA/Canada</v>
      </c>
      <c r="I27" s="1240" t="str">
        <f t="shared" si="16"/>
        <v>2017EURAIG Luxembourg-Third party liabilityAdulte AIG expat 100% excluding USA/Canada</v>
      </c>
      <c r="J27" s="1240" t="str">
        <f t="shared" si="17"/>
        <v>N/A</v>
      </c>
      <c r="K27" s="1240" t="str">
        <f t="shared" si="18"/>
        <v>N/A</v>
      </c>
      <c r="L27" s="392" t="s">
        <v>4</v>
      </c>
      <c r="M27" s="1127" t="s">
        <v>2325</v>
      </c>
      <c r="N27" s="392" t="s">
        <v>32</v>
      </c>
      <c r="O27" s="376">
        <v>2017</v>
      </c>
      <c r="P27" s="376" t="s">
        <v>26</v>
      </c>
      <c r="Q27" s="376" t="s">
        <v>2169</v>
      </c>
      <c r="R27" s="378">
        <v>15</v>
      </c>
      <c r="S27" s="392" t="s">
        <v>2214</v>
      </c>
      <c r="T27" s="392"/>
      <c r="U27" s="392"/>
      <c r="V27" s="1109">
        <v>365</v>
      </c>
      <c r="W27" s="1228">
        <f t="shared" si="19"/>
        <v>2612.1799999999998</v>
      </c>
      <c r="X27" s="197" t="s">
        <v>3</v>
      </c>
      <c r="Y27" s="1188">
        <f t="shared" si="9"/>
        <v>2220.3529999999996</v>
      </c>
      <c r="Z27" s="377">
        <v>0.15</v>
      </c>
      <c r="AA27" s="1189">
        <f t="shared" si="10"/>
        <v>2612.1799999999998</v>
      </c>
      <c r="AB27" s="377">
        <v>0</v>
      </c>
      <c r="AC27" s="378">
        <v>261.21800000000002</v>
      </c>
      <c r="AD27" s="1100">
        <f t="shared" si="20"/>
        <v>2873.3979999999997</v>
      </c>
      <c r="AE27" s="377">
        <v>0.04</v>
      </c>
      <c r="AF27" s="370">
        <f t="shared" si="21"/>
        <v>104.4872</v>
      </c>
      <c r="AG27" s="1216">
        <v>2716.6671999999999</v>
      </c>
      <c r="AH27" s="1215" t="s">
        <v>5</v>
      </c>
      <c r="AI27" s="1177">
        <f t="shared" si="22"/>
        <v>0</v>
      </c>
      <c r="AJ27" s="378"/>
      <c r="AK27" s="1179">
        <f t="shared" si="11"/>
        <v>0</v>
      </c>
      <c r="AL27" s="378"/>
      <c r="AM27" s="378"/>
      <c r="AN27" s="378"/>
      <c r="AO27" s="378"/>
      <c r="AP27" s="378"/>
      <c r="AQ27" s="1216"/>
      <c r="AR27" s="1203" t="s">
        <v>2630</v>
      </c>
      <c r="AS27" s="1177">
        <f t="shared" si="27"/>
        <v>0</v>
      </c>
      <c r="AT27" s="1151"/>
      <c r="AU27" s="1179">
        <f t="shared" si="24"/>
        <v>0</v>
      </c>
      <c r="AV27" s="1151"/>
      <c r="AW27" s="1151"/>
      <c r="AX27" s="1151"/>
      <c r="AY27" s="1151"/>
      <c r="AZ27" s="1151"/>
      <c r="BA27" s="183"/>
      <c r="BB27" s="1212" t="s">
        <v>2631</v>
      </c>
      <c r="BC27" s="1177">
        <f t="shared" si="25"/>
        <v>0</v>
      </c>
      <c r="BD27" s="1151"/>
      <c r="BE27" s="1179">
        <f t="shared" si="26"/>
        <v>0</v>
      </c>
      <c r="BF27" s="1151"/>
      <c r="BG27" s="1151"/>
      <c r="BH27" s="1151"/>
      <c r="BI27" s="1151"/>
      <c r="BJ27" s="1151"/>
      <c r="BK27" s="183"/>
      <c r="BL27" s="1202" t="s">
        <v>2224</v>
      </c>
      <c r="BM27" s="1109"/>
      <c r="BN27" s="1109"/>
      <c r="BO27" s="1109"/>
      <c r="BP27" s="1109"/>
      <c r="BQ27" s="1109"/>
      <c r="BR27" s="1109"/>
      <c r="BS27" s="1109"/>
      <c r="BT27" s="1109"/>
      <c r="BU27" s="380"/>
      <c r="BV27" s="1202" t="s">
        <v>2224</v>
      </c>
      <c r="BW27" s="1109"/>
      <c r="BX27" s="1109"/>
      <c r="BY27" s="1109"/>
      <c r="BZ27" s="1109"/>
      <c r="CA27" s="1109"/>
      <c r="CB27" s="1109"/>
      <c r="CC27" s="1109"/>
      <c r="CD27" s="1109"/>
      <c r="CE27" s="380"/>
    </row>
    <row r="28" spans="1:83" s="1127" customFormat="1">
      <c r="A28" s="197" t="b">
        <v>0</v>
      </c>
      <c r="B28" s="291" t="s">
        <v>2243</v>
      </c>
      <c r="C28" s="197" t="b">
        <f t="shared" si="12"/>
        <v>0</v>
      </c>
      <c r="D28" s="388" t="str">
        <f>IF(C28=FALSE=NAMES!$B$8,"",IF(L28="N/A","N/A",O28&amp;N28&amp;L28&amp;"-"&amp;M28))</f>
        <v>2017EURAIG Luxembourg-Adulte AIG expat 100% including USA/Canada</v>
      </c>
      <c r="E28" s="392" t="str">
        <f t="shared" si="1"/>
        <v>2017EURAIG Luxembourg-Adulte AIG expat 100% including USA/Canada</v>
      </c>
      <c r="F28" s="1236" t="str">
        <f t="shared" si="13"/>
        <v>2017EURAIG Luxembourg-Healthcare PlanAdulte AIG expat 100% including USA/Canada</v>
      </c>
      <c r="G28" s="1240" t="str">
        <f t="shared" si="14"/>
        <v>2017EURAIG Luxembourg-Assistance and RepatriationAdulte AIG expat 100% including USA/Canada</v>
      </c>
      <c r="H28" s="1240" t="str">
        <f t="shared" si="15"/>
        <v>2017EURAIG Luxembourg-Legal AssistanceAdulte AIG expat 100% including USA/Canada</v>
      </c>
      <c r="I28" s="1240" t="str">
        <f t="shared" si="16"/>
        <v>2017EURAIG Luxembourg-Third party liabilityAdulte AIG expat 100% including USA/Canada</v>
      </c>
      <c r="J28" s="1240" t="str">
        <f t="shared" si="17"/>
        <v>N/A</v>
      </c>
      <c r="K28" s="1240" t="str">
        <f t="shared" si="18"/>
        <v>N/A</v>
      </c>
      <c r="L28" s="392" t="s">
        <v>4</v>
      </c>
      <c r="M28" s="1127" t="s">
        <v>2326</v>
      </c>
      <c r="N28" s="392" t="s">
        <v>32</v>
      </c>
      <c r="O28" s="376">
        <v>2017</v>
      </c>
      <c r="P28" s="376" t="s">
        <v>26</v>
      </c>
      <c r="Q28" s="376" t="s">
        <v>2169</v>
      </c>
      <c r="R28" s="378">
        <v>15</v>
      </c>
      <c r="S28" s="392" t="s">
        <v>2214</v>
      </c>
      <c r="T28" s="392"/>
      <c r="U28" s="392"/>
      <c r="V28" s="1109">
        <v>365</v>
      </c>
      <c r="W28" s="1228">
        <f t="shared" si="19"/>
        <v>6000</v>
      </c>
      <c r="X28" s="197" t="s">
        <v>3</v>
      </c>
      <c r="Y28" s="1188">
        <f t="shared" si="9"/>
        <v>5100</v>
      </c>
      <c r="Z28" s="377">
        <v>0.15</v>
      </c>
      <c r="AA28" s="1189">
        <f t="shared" si="10"/>
        <v>6000</v>
      </c>
      <c r="AB28" s="377">
        <v>0</v>
      </c>
      <c r="AC28" s="378">
        <v>600</v>
      </c>
      <c r="AD28" s="1100">
        <f t="shared" si="20"/>
        <v>6600</v>
      </c>
      <c r="AE28" s="377">
        <v>0.04</v>
      </c>
      <c r="AF28" s="370">
        <f t="shared" si="21"/>
        <v>240</v>
      </c>
      <c r="AG28" s="1216">
        <v>6240</v>
      </c>
      <c r="AH28" s="1215" t="s">
        <v>5</v>
      </c>
      <c r="AI28" s="1177">
        <f t="shared" si="22"/>
        <v>0</v>
      </c>
      <c r="AJ28" s="378"/>
      <c r="AK28" s="1179">
        <f t="shared" si="11"/>
        <v>0</v>
      </c>
      <c r="AL28" s="378"/>
      <c r="AM28" s="378"/>
      <c r="AN28" s="378"/>
      <c r="AO28" s="378"/>
      <c r="AP28" s="378"/>
      <c r="AQ28" s="1216"/>
      <c r="AR28" s="1203" t="s">
        <v>2630</v>
      </c>
      <c r="AS28" s="1177">
        <f t="shared" si="27"/>
        <v>0</v>
      </c>
      <c r="AT28" s="1151"/>
      <c r="AU28" s="1179">
        <f t="shared" si="24"/>
        <v>0</v>
      </c>
      <c r="AV28" s="1151"/>
      <c r="AW28" s="1151"/>
      <c r="AX28" s="1151"/>
      <c r="AY28" s="1151"/>
      <c r="AZ28" s="1151"/>
      <c r="BA28" s="183"/>
      <c r="BB28" s="1212" t="s">
        <v>2631</v>
      </c>
      <c r="BC28" s="1177">
        <f t="shared" si="25"/>
        <v>0</v>
      </c>
      <c r="BD28" s="1151"/>
      <c r="BE28" s="1179">
        <f t="shared" si="26"/>
        <v>0</v>
      </c>
      <c r="BF28" s="1151"/>
      <c r="BG28" s="1151"/>
      <c r="BH28" s="1151"/>
      <c r="BI28" s="1151"/>
      <c r="BJ28" s="1151"/>
      <c r="BK28" s="183"/>
      <c r="BL28" s="1202" t="s">
        <v>2224</v>
      </c>
      <c r="BM28" s="1109"/>
      <c r="BN28" s="1109"/>
      <c r="BO28" s="1109"/>
      <c r="BP28" s="1109"/>
      <c r="BQ28" s="1109"/>
      <c r="BR28" s="1109"/>
      <c r="BS28" s="1109"/>
      <c r="BT28" s="1109"/>
      <c r="BU28" s="380"/>
      <c r="BV28" s="1202" t="s">
        <v>2224</v>
      </c>
      <c r="BW28" s="1109"/>
      <c r="BX28" s="1109"/>
      <c r="BY28" s="1109"/>
      <c r="BZ28" s="1109"/>
      <c r="CA28" s="1109"/>
      <c r="CB28" s="1109"/>
      <c r="CC28" s="1109"/>
      <c r="CD28" s="1109"/>
      <c r="CE28" s="380"/>
    </row>
    <row r="29" spans="1:83" s="1127" customFormat="1">
      <c r="A29" s="197" t="b">
        <v>0</v>
      </c>
      <c r="B29" s="291" t="s">
        <v>2243</v>
      </c>
      <c r="C29" s="197" t="b">
        <f t="shared" si="12"/>
        <v>0</v>
      </c>
      <c r="D29" s="388" t="str">
        <f>IF(C29=FALSE=NAMES!$B$8,"",IF(L29="N/A","N/A",O29&amp;N29&amp;L29&amp;"-"&amp;M29))</f>
        <v>2017EURAIG Luxembourg-Adulte AIG expat 80% excluding USA/Canada</v>
      </c>
      <c r="E29" s="392" t="str">
        <f t="shared" si="1"/>
        <v>2017EURAIG Luxembourg-Adulte AIG expat 80% excluding USA/Canada</v>
      </c>
      <c r="F29" s="1236" t="str">
        <f t="shared" si="13"/>
        <v>2017EURAIG Luxembourg-Healthcare PlanAdulte AIG expat 80% excluding USA/Canada</v>
      </c>
      <c r="G29" s="1240" t="str">
        <f t="shared" si="14"/>
        <v>2017EURAIG Luxembourg-Assistance and RepatriationAdulte AIG expat 80% excluding USA/Canada</v>
      </c>
      <c r="H29" s="1240" t="str">
        <f t="shared" si="15"/>
        <v>2017EURAIG Luxembourg-Legal AssistanceAdulte AIG expat 80% excluding USA/Canada</v>
      </c>
      <c r="I29" s="1240" t="str">
        <f t="shared" si="16"/>
        <v>2017EURAIG Luxembourg-Third party liabilityAdulte AIG expat 80% excluding USA/Canada</v>
      </c>
      <c r="J29" s="1240" t="str">
        <f t="shared" si="17"/>
        <v>N/A</v>
      </c>
      <c r="K29" s="1240" t="str">
        <f t="shared" si="18"/>
        <v>N/A</v>
      </c>
      <c r="L29" s="392" t="s">
        <v>4</v>
      </c>
      <c r="M29" s="1127" t="s">
        <v>2327</v>
      </c>
      <c r="N29" s="392" t="s">
        <v>32</v>
      </c>
      <c r="O29" s="376">
        <v>2017</v>
      </c>
      <c r="P29" s="376" t="s">
        <v>26</v>
      </c>
      <c r="Q29" s="376" t="s">
        <v>2169</v>
      </c>
      <c r="R29" s="378">
        <v>15</v>
      </c>
      <c r="S29" s="392" t="s">
        <v>2214</v>
      </c>
      <c r="T29" s="392"/>
      <c r="U29" s="392"/>
      <c r="V29" s="1109">
        <v>365</v>
      </c>
      <c r="W29" s="1228">
        <f t="shared" si="19"/>
        <v>2148.9423076923076</v>
      </c>
      <c r="X29" s="197" t="s">
        <v>3</v>
      </c>
      <c r="Y29" s="1188">
        <f t="shared" si="9"/>
        <v>1826.6009615384614</v>
      </c>
      <c r="Z29" s="377">
        <v>0.15</v>
      </c>
      <c r="AA29" s="1189">
        <f t="shared" si="10"/>
        <v>2148.9423076923076</v>
      </c>
      <c r="AB29" s="377">
        <v>0</v>
      </c>
      <c r="AC29" s="378">
        <v>214.89400000000001</v>
      </c>
      <c r="AD29" s="1100">
        <f t="shared" si="20"/>
        <v>2363.8363076923079</v>
      </c>
      <c r="AE29" s="377">
        <v>0.04</v>
      </c>
      <c r="AF29" s="370">
        <f t="shared" si="21"/>
        <v>85.957692307692312</v>
      </c>
      <c r="AG29" s="1216">
        <v>2234.9</v>
      </c>
      <c r="AH29" s="1215" t="s">
        <v>5</v>
      </c>
      <c r="AI29" s="1177">
        <f t="shared" si="22"/>
        <v>0</v>
      </c>
      <c r="AJ29" s="378"/>
      <c r="AK29" s="1179">
        <f t="shared" si="11"/>
        <v>0</v>
      </c>
      <c r="AL29" s="378"/>
      <c r="AM29" s="378"/>
      <c r="AN29" s="378"/>
      <c r="AO29" s="378"/>
      <c r="AP29" s="378"/>
      <c r="AQ29" s="1216"/>
      <c r="AR29" s="1203" t="s">
        <v>2630</v>
      </c>
      <c r="AS29" s="1177">
        <f t="shared" si="27"/>
        <v>0</v>
      </c>
      <c r="AT29" s="1151"/>
      <c r="AU29" s="1179">
        <f t="shared" si="24"/>
        <v>0</v>
      </c>
      <c r="AV29" s="1151"/>
      <c r="AW29" s="1151"/>
      <c r="AX29" s="1151"/>
      <c r="AY29" s="1151"/>
      <c r="AZ29" s="1151"/>
      <c r="BA29" s="183"/>
      <c r="BB29" s="1212" t="s">
        <v>2631</v>
      </c>
      <c r="BC29" s="1177">
        <f t="shared" si="25"/>
        <v>0</v>
      </c>
      <c r="BD29" s="1151"/>
      <c r="BE29" s="1179">
        <f t="shared" si="26"/>
        <v>0</v>
      </c>
      <c r="BF29" s="1151"/>
      <c r="BG29" s="1151"/>
      <c r="BH29" s="1151"/>
      <c r="BI29" s="1151"/>
      <c r="BJ29" s="1151"/>
      <c r="BK29" s="183"/>
      <c r="BL29" s="1202" t="s">
        <v>2224</v>
      </c>
      <c r="BM29" s="1109"/>
      <c r="BN29" s="1109"/>
      <c r="BO29" s="1109"/>
      <c r="BP29" s="1109"/>
      <c r="BQ29" s="1109"/>
      <c r="BR29" s="1109"/>
      <c r="BS29" s="1109"/>
      <c r="BT29" s="1109"/>
      <c r="BU29" s="380"/>
      <c r="BV29" s="1202" t="s">
        <v>2224</v>
      </c>
      <c r="BW29" s="1109"/>
      <c r="BX29" s="1109"/>
      <c r="BY29" s="1109"/>
      <c r="BZ29" s="1109"/>
      <c r="CA29" s="1109"/>
      <c r="CB29" s="1109"/>
      <c r="CC29" s="1109"/>
      <c r="CD29" s="1109"/>
      <c r="CE29" s="380"/>
    </row>
    <row r="30" spans="1:83" s="1127" customFormat="1">
      <c r="A30" s="197" t="b">
        <v>0</v>
      </c>
      <c r="B30" s="291" t="s">
        <v>2243</v>
      </c>
      <c r="C30" s="197" t="b">
        <f t="shared" si="12"/>
        <v>0</v>
      </c>
      <c r="D30" s="388" t="str">
        <f>IF(C30=FALSE=NAMES!$B$8,"",IF(L30="N/A","N/A",O30&amp;N30&amp;L30&amp;"-"&amp;M30))</f>
        <v>2017EURAIG Luxembourg-Adulte AIG expat 80% including USA/Canada</v>
      </c>
      <c r="E30" s="392" t="str">
        <f t="shared" si="1"/>
        <v>2017EURAIG Luxembourg-Adulte AIG expat 80% including USA/Canada</v>
      </c>
      <c r="F30" s="1236" t="str">
        <f t="shared" si="13"/>
        <v>2017EURAIG Luxembourg-Healthcare PlanAdulte AIG expat 80% including USA/Canada</v>
      </c>
      <c r="G30" s="1240" t="str">
        <f t="shared" si="14"/>
        <v>2017EURAIG Luxembourg-Assistance and RepatriationAdulte AIG expat 80% including USA/Canada</v>
      </c>
      <c r="H30" s="1240" t="str">
        <f t="shared" si="15"/>
        <v>2017EURAIG Luxembourg-Legal AssistanceAdulte AIG expat 80% including USA/Canada</v>
      </c>
      <c r="I30" s="1240" t="str">
        <f t="shared" si="16"/>
        <v>2017EURAIG Luxembourg-Third party liabilityAdulte AIG expat 80% including USA/Canada</v>
      </c>
      <c r="J30" s="1240" t="str">
        <f t="shared" si="17"/>
        <v>N/A</v>
      </c>
      <c r="K30" s="1240" t="str">
        <f t="shared" si="18"/>
        <v>N/A</v>
      </c>
      <c r="L30" s="392" t="s">
        <v>4</v>
      </c>
      <c r="M30" s="1127" t="s">
        <v>2328</v>
      </c>
      <c r="N30" s="392" t="s">
        <v>32</v>
      </c>
      <c r="O30" s="376">
        <v>2017</v>
      </c>
      <c r="P30" s="376" t="s">
        <v>26</v>
      </c>
      <c r="Q30" s="376" t="s">
        <v>2169</v>
      </c>
      <c r="R30" s="378">
        <v>15</v>
      </c>
      <c r="S30" s="392" t="s">
        <v>2214</v>
      </c>
      <c r="T30" s="392"/>
      <c r="U30" s="392"/>
      <c r="V30" s="1109">
        <v>365</v>
      </c>
      <c r="W30" s="1228">
        <f t="shared" si="19"/>
        <v>4900</v>
      </c>
      <c r="X30" s="197" t="s">
        <v>3</v>
      </c>
      <c r="Y30" s="1188">
        <f t="shared" si="9"/>
        <v>4165</v>
      </c>
      <c r="Z30" s="377">
        <v>0.15</v>
      </c>
      <c r="AA30" s="1189">
        <f t="shared" si="10"/>
        <v>4900</v>
      </c>
      <c r="AB30" s="377">
        <v>0</v>
      </c>
      <c r="AC30" s="378">
        <v>490</v>
      </c>
      <c r="AD30" s="1100">
        <f t="shared" si="20"/>
        <v>5390</v>
      </c>
      <c r="AE30" s="377">
        <v>0.04</v>
      </c>
      <c r="AF30" s="370">
        <f t="shared" si="21"/>
        <v>196</v>
      </c>
      <c r="AG30" s="1216">
        <v>5096</v>
      </c>
      <c r="AH30" s="1215" t="s">
        <v>5</v>
      </c>
      <c r="AI30" s="1177">
        <f t="shared" si="22"/>
        <v>0</v>
      </c>
      <c r="AJ30" s="378"/>
      <c r="AK30" s="1179">
        <f t="shared" si="11"/>
        <v>0</v>
      </c>
      <c r="AL30" s="378"/>
      <c r="AM30" s="378"/>
      <c r="AN30" s="378"/>
      <c r="AO30" s="378"/>
      <c r="AP30" s="378"/>
      <c r="AQ30" s="1216"/>
      <c r="AR30" s="1203" t="s">
        <v>2630</v>
      </c>
      <c r="AS30" s="1177">
        <f t="shared" si="27"/>
        <v>0</v>
      </c>
      <c r="AT30" s="1151"/>
      <c r="AU30" s="1179">
        <f t="shared" si="24"/>
        <v>0</v>
      </c>
      <c r="AV30" s="1151"/>
      <c r="AW30" s="1151"/>
      <c r="AX30" s="1151"/>
      <c r="AY30" s="1151"/>
      <c r="AZ30" s="1151"/>
      <c r="BA30" s="183"/>
      <c r="BB30" s="1212" t="s">
        <v>2631</v>
      </c>
      <c r="BC30" s="1177">
        <f t="shared" si="25"/>
        <v>0</v>
      </c>
      <c r="BD30" s="1151"/>
      <c r="BE30" s="1179">
        <f t="shared" si="26"/>
        <v>0</v>
      </c>
      <c r="BF30" s="1151"/>
      <c r="BG30" s="1151"/>
      <c r="BH30" s="1151"/>
      <c r="BI30" s="1151"/>
      <c r="BJ30" s="1151"/>
      <c r="BK30" s="183"/>
      <c r="BL30" s="1202" t="s">
        <v>2224</v>
      </c>
      <c r="BM30" s="1109"/>
      <c r="BN30" s="1109"/>
      <c r="BO30" s="1109"/>
      <c r="BP30" s="1109"/>
      <c r="BQ30" s="1109"/>
      <c r="BR30" s="1109"/>
      <c r="BS30" s="1109"/>
      <c r="BT30" s="1109"/>
      <c r="BU30" s="380"/>
      <c r="BV30" s="1202" t="s">
        <v>2224</v>
      </c>
      <c r="BW30" s="1109"/>
      <c r="BX30" s="1109"/>
      <c r="BY30" s="1109"/>
      <c r="BZ30" s="1109"/>
      <c r="CA30" s="1109"/>
      <c r="CB30" s="1109"/>
      <c r="CC30" s="1109"/>
      <c r="CD30" s="1109"/>
      <c r="CE30" s="380"/>
    </row>
    <row r="31" spans="1:83" s="1127" customFormat="1">
      <c r="A31" s="197" t="b">
        <v>0</v>
      </c>
      <c r="B31" s="291" t="s">
        <v>2243</v>
      </c>
      <c r="C31" s="197" t="b">
        <f t="shared" si="12"/>
        <v>0</v>
      </c>
      <c r="D31" s="388" t="str">
        <f>IF(C31=FALSE=NAMES!$B$8,"",IF(L31="N/A","N/A",O31&amp;N31&amp;L31&amp;"-"&amp;M31))</f>
        <v>2017EURAIG Luxembourg-Adulte AIG expat 90% excluding USA/Canada</v>
      </c>
      <c r="E31" s="392" t="str">
        <f t="shared" si="1"/>
        <v>2017EURAIG Luxembourg-Adulte AIG expat 90% excluding USA/Canada</v>
      </c>
      <c r="F31" s="1236" t="str">
        <f t="shared" si="13"/>
        <v>2017EURAIG Luxembourg-Healthcare PlanAdulte AIG expat 90% excluding USA/Canada</v>
      </c>
      <c r="G31" s="1240" t="str">
        <f t="shared" si="14"/>
        <v>2017EURAIG Luxembourg-Assistance and RepatriationAdulte AIG expat 90% excluding USA/Canada</v>
      </c>
      <c r="H31" s="1240" t="str">
        <f t="shared" si="15"/>
        <v>2017EURAIG Luxembourg-Legal AssistanceAdulte AIG expat 90% excluding USA/Canada</v>
      </c>
      <c r="I31" s="1240" t="str">
        <f t="shared" si="16"/>
        <v>2017EURAIG Luxembourg-Third party liabilityAdulte AIG expat 90% excluding USA/Canada</v>
      </c>
      <c r="J31" s="1240" t="str">
        <f t="shared" si="17"/>
        <v>N/A</v>
      </c>
      <c r="K31" s="1240" t="str">
        <f t="shared" si="18"/>
        <v>N/A</v>
      </c>
      <c r="L31" s="392" t="s">
        <v>4</v>
      </c>
      <c r="M31" s="1127" t="s">
        <v>2329</v>
      </c>
      <c r="N31" s="392" t="s">
        <v>32</v>
      </c>
      <c r="O31" s="376">
        <v>2017</v>
      </c>
      <c r="P31" s="376" t="s">
        <v>26</v>
      </c>
      <c r="Q31" s="376" t="s">
        <v>2169</v>
      </c>
      <c r="R31" s="378">
        <v>15</v>
      </c>
      <c r="S31" s="392" t="s">
        <v>2214</v>
      </c>
      <c r="T31" s="392"/>
      <c r="U31" s="392"/>
      <c r="V31" s="1109">
        <v>365</v>
      </c>
      <c r="W31" s="1228">
        <f t="shared" si="19"/>
        <v>2380.5576923076924</v>
      </c>
      <c r="X31" s="197" t="s">
        <v>3</v>
      </c>
      <c r="Y31" s="1188">
        <f t="shared" si="9"/>
        <v>2023.4740384615384</v>
      </c>
      <c r="Z31" s="377">
        <v>0.15</v>
      </c>
      <c r="AA31" s="1189">
        <f t="shared" si="10"/>
        <v>2380.5576923076924</v>
      </c>
      <c r="AB31" s="377">
        <v>0</v>
      </c>
      <c r="AC31" s="378">
        <v>238.05600000000001</v>
      </c>
      <c r="AD31" s="1100">
        <f t="shared" si="20"/>
        <v>2618.6136923076924</v>
      </c>
      <c r="AE31" s="377">
        <v>0.04</v>
      </c>
      <c r="AF31" s="370">
        <f t="shared" si="21"/>
        <v>95.222307692307695</v>
      </c>
      <c r="AG31" s="1216">
        <v>2475.7800000000002</v>
      </c>
      <c r="AH31" s="1215" t="s">
        <v>5</v>
      </c>
      <c r="AI31" s="1177">
        <f t="shared" si="22"/>
        <v>0</v>
      </c>
      <c r="AJ31" s="378"/>
      <c r="AK31" s="1179">
        <f t="shared" si="11"/>
        <v>0</v>
      </c>
      <c r="AL31" s="378"/>
      <c r="AM31" s="378"/>
      <c r="AN31" s="378"/>
      <c r="AO31" s="378"/>
      <c r="AP31" s="378"/>
      <c r="AQ31" s="1216"/>
      <c r="AR31" s="1203" t="s">
        <v>2630</v>
      </c>
      <c r="AS31" s="1177">
        <f t="shared" si="27"/>
        <v>0</v>
      </c>
      <c r="AT31" s="1151"/>
      <c r="AU31" s="1179">
        <f t="shared" si="24"/>
        <v>0</v>
      </c>
      <c r="AV31" s="1151"/>
      <c r="AW31" s="1151"/>
      <c r="AX31" s="1151"/>
      <c r="AY31" s="1151"/>
      <c r="AZ31" s="1151"/>
      <c r="BA31" s="183"/>
      <c r="BB31" s="1212" t="s">
        <v>2631</v>
      </c>
      <c r="BC31" s="1177">
        <f t="shared" si="25"/>
        <v>0</v>
      </c>
      <c r="BD31" s="1151"/>
      <c r="BE31" s="1179">
        <f t="shared" si="26"/>
        <v>0</v>
      </c>
      <c r="BF31" s="1151"/>
      <c r="BG31" s="1151"/>
      <c r="BH31" s="1151"/>
      <c r="BI31" s="1151"/>
      <c r="BJ31" s="1151"/>
      <c r="BK31" s="183"/>
      <c r="BL31" s="1202" t="s">
        <v>2224</v>
      </c>
      <c r="BM31" s="1109"/>
      <c r="BN31" s="1109"/>
      <c r="BO31" s="1109"/>
      <c r="BP31" s="1109"/>
      <c r="BQ31" s="1109"/>
      <c r="BR31" s="1109"/>
      <c r="BS31" s="1109"/>
      <c r="BT31" s="1109"/>
      <c r="BU31" s="380"/>
      <c r="BV31" s="1202" t="s">
        <v>2224</v>
      </c>
      <c r="BW31" s="1109"/>
      <c r="BX31" s="1109"/>
      <c r="BY31" s="1109"/>
      <c r="BZ31" s="1109"/>
      <c r="CA31" s="1109"/>
      <c r="CB31" s="1109"/>
      <c r="CC31" s="1109"/>
      <c r="CD31" s="1109"/>
      <c r="CE31" s="380"/>
    </row>
    <row r="32" spans="1:83" s="1127" customFormat="1">
      <c r="A32" s="197" t="b">
        <v>0</v>
      </c>
      <c r="B32" s="291" t="s">
        <v>2243</v>
      </c>
      <c r="C32" s="197" t="b">
        <f t="shared" si="12"/>
        <v>0</v>
      </c>
      <c r="D32" s="388" t="str">
        <f>IF(C32=FALSE=NAMES!$B$8,"",IF(L32="N/A","N/A",O32&amp;N32&amp;L32&amp;"-"&amp;M32))</f>
        <v>2017EURAIG Luxembourg-Adulte AIG expat 90% including USA/Canada</v>
      </c>
      <c r="E32" s="392" t="str">
        <f t="shared" si="1"/>
        <v>2017EURAIG Luxembourg-Adulte AIG expat 90% including USA/Canada</v>
      </c>
      <c r="F32" s="1236" t="str">
        <f t="shared" si="13"/>
        <v>2017EURAIG Luxembourg-Healthcare PlanAdulte AIG expat 90% including USA/Canada</v>
      </c>
      <c r="G32" s="1240" t="str">
        <f t="shared" si="14"/>
        <v>2017EURAIG Luxembourg-Assistance and RepatriationAdulte AIG expat 90% including USA/Canada</v>
      </c>
      <c r="H32" s="1240" t="str">
        <f t="shared" si="15"/>
        <v>2017EURAIG Luxembourg-Legal AssistanceAdulte AIG expat 90% including USA/Canada</v>
      </c>
      <c r="I32" s="1240" t="str">
        <f t="shared" si="16"/>
        <v>2017EURAIG Luxembourg-Third party liabilityAdulte AIG expat 90% including USA/Canada</v>
      </c>
      <c r="J32" s="1240" t="str">
        <f t="shared" si="17"/>
        <v>N/A</v>
      </c>
      <c r="K32" s="1240" t="str">
        <f t="shared" si="18"/>
        <v>N/A</v>
      </c>
      <c r="L32" s="392" t="s">
        <v>4</v>
      </c>
      <c r="M32" s="1127" t="s">
        <v>2330</v>
      </c>
      <c r="N32" s="392" t="s">
        <v>32</v>
      </c>
      <c r="O32" s="376">
        <v>2017</v>
      </c>
      <c r="P32" s="376" t="s">
        <v>26</v>
      </c>
      <c r="Q32" s="376" t="s">
        <v>2169</v>
      </c>
      <c r="R32" s="378">
        <v>15</v>
      </c>
      <c r="S32" s="392" t="s">
        <v>2214</v>
      </c>
      <c r="T32" s="392"/>
      <c r="U32" s="392"/>
      <c r="V32" s="1109">
        <v>365</v>
      </c>
      <c r="W32" s="1228">
        <f t="shared" si="19"/>
        <v>5450</v>
      </c>
      <c r="X32" s="197" t="s">
        <v>3</v>
      </c>
      <c r="Y32" s="1188">
        <f t="shared" si="9"/>
        <v>4632.5</v>
      </c>
      <c r="Z32" s="377">
        <v>0.15</v>
      </c>
      <c r="AA32" s="1189">
        <f t="shared" si="10"/>
        <v>5450</v>
      </c>
      <c r="AB32" s="377">
        <v>0</v>
      </c>
      <c r="AC32" s="378">
        <v>545</v>
      </c>
      <c r="AD32" s="1100">
        <f t="shared" si="20"/>
        <v>5995</v>
      </c>
      <c r="AE32" s="377">
        <v>0.04</v>
      </c>
      <c r="AF32" s="370">
        <f t="shared" si="21"/>
        <v>218</v>
      </c>
      <c r="AG32" s="1216">
        <v>5668</v>
      </c>
      <c r="AH32" s="1215" t="s">
        <v>5</v>
      </c>
      <c r="AI32" s="1177">
        <f t="shared" si="22"/>
        <v>0</v>
      </c>
      <c r="AJ32" s="378"/>
      <c r="AK32" s="1179">
        <f t="shared" si="11"/>
        <v>0</v>
      </c>
      <c r="AL32" s="378"/>
      <c r="AM32" s="378"/>
      <c r="AN32" s="378"/>
      <c r="AO32" s="378"/>
      <c r="AP32" s="378"/>
      <c r="AQ32" s="1216"/>
      <c r="AR32" s="1203" t="s">
        <v>2630</v>
      </c>
      <c r="AS32" s="1177">
        <f t="shared" si="27"/>
        <v>0</v>
      </c>
      <c r="AT32" s="1151"/>
      <c r="AU32" s="1179">
        <f t="shared" si="24"/>
        <v>0</v>
      </c>
      <c r="AV32" s="1151"/>
      <c r="AW32" s="1151"/>
      <c r="AX32" s="1151"/>
      <c r="AY32" s="1151"/>
      <c r="AZ32" s="1151"/>
      <c r="BA32" s="183"/>
      <c r="BB32" s="1212" t="s">
        <v>2631</v>
      </c>
      <c r="BC32" s="1177">
        <f t="shared" si="25"/>
        <v>0</v>
      </c>
      <c r="BD32" s="1151"/>
      <c r="BE32" s="1179">
        <f t="shared" si="26"/>
        <v>0</v>
      </c>
      <c r="BF32" s="1151"/>
      <c r="BG32" s="1151"/>
      <c r="BH32" s="1151"/>
      <c r="BI32" s="1151"/>
      <c r="BJ32" s="1151"/>
      <c r="BK32" s="183"/>
      <c r="BL32" s="1202" t="s">
        <v>2224</v>
      </c>
      <c r="BM32" s="1109"/>
      <c r="BN32" s="1109"/>
      <c r="BO32" s="1109"/>
      <c r="BP32" s="1109"/>
      <c r="BQ32" s="1109"/>
      <c r="BR32" s="1109"/>
      <c r="BS32" s="1109"/>
      <c r="BT32" s="1109"/>
      <c r="BU32" s="380"/>
      <c r="BV32" s="1202" t="s">
        <v>2224</v>
      </c>
      <c r="BW32" s="1109"/>
      <c r="BX32" s="1109"/>
      <c r="BY32" s="1109"/>
      <c r="BZ32" s="1109"/>
      <c r="CA32" s="1109"/>
      <c r="CB32" s="1109"/>
      <c r="CC32" s="1109"/>
      <c r="CD32" s="1109"/>
      <c r="CE32" s="380"/>
    </row>
    <row r="33" spans="1:83" s="1127" customFormat="1">
      <c r="A33" s="197" t="b">
        <v>0</v>
      </c>
      <c r="B33" s="291" t="s">
        <v>2243</v>
      </c>
      <c r="C33" s="197" t="b">
        <f t="shared" si="12"/>
        <v>0</v>
      </c>
      <c r="D33" s="388" t="str">
        <f>IF(C33=FALSE=NAMES!$B$8,"",IF(L33="N/A","N/A",O33&amp;N33&amp;L33&amp;"-"&amp;M33))</f>
        <v>2017EURAIG Luxembourg-Child AIG expat 100% excluding USA/Canada</v>
      </c>
      <c r="E33" s="392" t="str">
        <f t="shared" si="1"/>
        <v>2017EURAIG Luxembourg-Child AIG expat 100% excluding USA/Canada</v>
      </c>
      <c r="F33" s="1236" t="str">
        <f t="shared" si="13"/>
        <v>2017EURAIG Luxembourg-Healthcare PlanChild AIG expat 100% excluding USA/Canada</v>
      </c>
      <c r="G33" s="1240" t="str">
        <f t="shared" si="14"/>
        <v>2017EURAIG Luxembourg-Assistance and RepatriationChild AIG expat 100% excluding USA/Canada</v>
      </c>
      <c r="H33" s="1240" t="str">
        <f t="shared" si="15"/>
        <v>2017EURAIG Luxembourg-Legal AssistanceChild AIG expat 100% excluding USA/Canada</v>
      </c>
      <c r="I33" s="1240" t="str">
        <f t="shared" si="16"/>
        <v>2017EURAIG Luxembourg-Third party liabilityChild AIG expat 100% excluding USA/Canada</v>
      </c>
      <c r="J33" s="1240" t="str">
        <f t="shared" si="17"/>
        <v>N/A</v>
      </c>
      <c r="K33" s="1240" t="str">
        <f t="shared" si="18"/>
        <v>N/A</v>
      </c>
      <c r="L33" s="392" t="s">
        <v>4</v>
      </c>
      <c r="M33" s="1127" t="s">
        <v>2331</v>
      </c>
      <c r="N33" s="392" t="s">
        <v>32</v>
      </c>
      <c r="O33" s="376">
        <v>2017</v>
      </c>
      <c r="P33" s="376" t="s">
        <v>26</v>
      </c>
      <c r="Q33" s="376" t="s">
        <v>2169</v>
      </c>
      <c r="R33" s="378">
        <v>15</v>
      </c>
      <c r="S33" s="392" t="s">
        <v>2214</v>
      </c>
      <c r="T33" s="392"/>
      <c r="U33" s="392"/>
      <c r="V33" s="1109">
        <v>365</v>
      </c>
      <c r="W33" s="1228">
        <f t="shared" si="19"/>
        <v>1110</v>
      </c>
      <c r="X33" s="197" t="s">
        <v>3</v>
      </c>
      <c r="Y33" s="1188">
        <f t="shared" si="9"/>
        <v>943.5</v>
      </c>
      <c r="Z33" s="377">
        <v>0.15</v>
      </c>
      <c r="AA33" s="1189">
        <f t="shared" si="10"/>
        <v>1110</v>
      </c>
      <c r="AB33" s="377">
        <v>0</v>
      </c>
      <c r="AC33" s="378">
        <v>111</v>
      </c>
      <c r="AD33" s="1100">
        <f t="shared" si="20"/>
        <v>1221</v>
      </c>
      <c r="AE33" s="377">
        <v>0.04</v>
      </c>
      <c r="AF33" s="370">
        <f t="shared" si="21"/>
        <v>44.4</v>
      </c>
      <c r="AG33" s="1216">
        <v>1154.4000000000001</v>
      </c>
      <c r="AH33" s="1215" t="s">
        <v>5</v>
      </c>
      <c r="AI33" s="1177">
        <f t="shared" si="22"/>
        <v>0</v>
      </c>
      <c r="AJ33" s="378"/>
      <c r="AK33" s="1179">
        <f t="shared" si="11"/>
        <v>0</v>
      </c>
      <c r="AL33" s="378"/>
      <c r="AM33" s="378"/>
      <c r="AN33" s="378"/>
      <c r="AO33" s="378"/>
      <c r="AP33" s="378"/>
      <c r="AQ33" s="1216"/>
      <c r="AR33" s="1203" t="s">
        <v>2630</v>
      </c>
      <c r="AS33" s="1177">
        <f t="shared" si="27"/>
        <v>0</v>
      </c>
      <c r="AT33" s="1151"/>
      <c r="AU33" s="1179">
        <f t="shared" si="24"/>
        <v>0</v>
      </c>
      <c r="AV33" s="1151"/>
      <c r="AW33" s="1151"/>
      <c r="AX33" s="1151"/>
      <c r="AY33" s="1151"/>
      <c r="AZ33" s="1151"/>
      <c r="BA33" s="183"/>
      <c r="BB33" s="1212" t="s">
        <v>2631</v>
      </c>
      <c r="BC33" s="1177">
        <f t="shared" si="25"/>
        <v>0</v>
      </c>
      <c r="BD33" s="1151"/>
      <c r="BE33" s="1179">
        <f t="shared" si="26"/>
        <v>0</v>
      </c>
      <c r="BF33" s="1151"/>
      <c r="BG33" s="1151"/>
      <c r="BH33" s="1151"/>
      <c r="BI33" s="1151"/>
      <c r="BJ33" s="1151"/>
      <c r="BK33" s="183"/>
      <c r="BL33" s="1202" t="s">
        <v>2224</v>
      </c>
      <c r="BM33" s="1109"/>
      <c r="BN33" s="1109"/>
      <c r="BO33" s="1109"/>
      <c r="BP33" s="1109"/>
      <c r="BQ33" s="1109"/>
      <c r="BR33" s="1109"/>
      <c r="BS33" s="1109"/>
      <c r="BT33" s="1109"/>
      <c r="BU33" s="380"/>
      <c r="BV33" s="1202" t="s">
        <v>2224</v>
      </c>
      <c r="BW33" s="1109"/>
      <c r="BX33" s="1109"/>
      <c r="BY33" s="1109"/>
      <c r="BZ33" s="1109"/>
      <c r="CA33" s="1109"/>
      <c r="CB33" s="1109"/>
      <c r="CC33" s="1109"/>
      <c r="CD33" s="1109"/>
      <c r="CE33" s="380"/>
    </row>
    <row r="34" spans="1:83" s="1127" customFormat="1">
      <c r="A34" s="197" t="b">
        <v>0</v>
      </c>
      <c r="B34" s="291" t="s">
        <v>2243</v>
      </c>
      <c r="C34" s="197" t="b">
        <f t="shared" si="12"/>
        <v>0</v>
      </c>
      <c r="D34" s="388" t="str">
        <f>IF(C34=FALSE=NAMES!$B$8,"",IF(L34="N/A","N/A",O34&amp;N34&amp;L34&amp;"-"&amp;M34))</f>
        <v>2017EURAIG Luxembourg-Child AIG expat 100% including USA/Canada</v>
      </c>
      <c r="E34" s="392" t="str">
        <f t="shared" si="1"/>
        <v>2017EURAIG Luxembourg-Child AIG expat 100% including USA/Canada</v>
      </c>
      <c r="F34" s="1236" t="str">
        <f t="shared" si="13"/>
        <v>2017EURAIG Luxembourg-Healthcare PlanChild AIG expat 100% including USA/Canada</v>
      </c>
      <c r="G34" s="1240" t="str">
        <f t="shared" si="14"/>
        <v>2017EURAIG Luxembourg-Assistance and RepatriationChild AIG expat 100% including USA/Canada</v>
      </c>
      <c r="H34" s="1240" t="str">
        <f t="shared" si="15"/>
        <v>2017EURAIG Luxembourg-Legal AssistanceChild AIG expat 100% including USA/Canada</v>
      </c>
      <c r="I34" s="1240" t="str">
        <f t="shared" si="16"/>
        <v>2017EURAIG Luxembourg-Third party liabilityChild AIG expat 100% including USA/Canada</v>
      </c>
      <c r="J34" s="1240" t="str">
        <f t="shared" si="17"/>
        <v>N/A</v>
      </c>
      <c r="K34" s="1240" t="str">
        <f t="shared" si="18"/>
        <v>N/A</v>
      </c>
      <c r="L34" s="392" t="s">
        <v>4</v>
      </c>
      <c r="M34" s="1127" t="s">
        <v>2332</v>
      </c>
      <c r="N34" s="392" t="s">
        <v>32</v>
      </c>
      <c r="O34" s="376">
        <v>2017</v>
      </c>
      <c r="P34" s="376" t="s">
        <v>26</v>
      </c>
      <c r="Q34" s="376" t="s">
        <v>2169</v>
      </c>
      <c r="R34" s="378">
        <v>15</v>
      </c>
      <c r="S34" s="392" t="s">
        <v>2214</v>
      </c>
      <c r="T34" s="392"/>
      <c r="U34" s="392"/>
      <c r="V34" s="1109">
        <v>365</v>
      </c>
      <c r="W34" s="1228">
        <f t="shared" si="19"/>
        <v>2409</v>
      </c>
      <c r="X34" s="197" t="s">
        <v>3</v>
      </c>
      <c r="Y34" s="1188">
        <f t="shared" si="9"/>
        <v>2047.6499999999999</v>
      </c>
      <c r="Z34" s="377">
        <v>0.15</v>
      </c>
      <c r="AA34" s="1189">
        <f t="shared" si="10"/>
        <v>2409</v>
      </c>
      <c r="AB34" s="377">
        <v>0</v>
      </c>
      <c r="AC34" s="378">
        <v>240.9</v>
      </c>
      <c r="AD34" s="1100">
        <f t="shared" si="20"/>
        <v>2649.9</v>
      </c>
      <c r="AE34" s="377">
        <v>0.04</v>
      </c>
      <c r="AF34" s="370">
        <f t="shared" si="21"/>
        <v>96.36</v>
      </c>
      <c r="AG34" s="1216">
        <v>2505.36</v>
      </c>
      <c r="AH34" s="1215" t="s">
        <v>5</v>
      </c>
      <c r="AI34" s="1177">
        <f t="shared" si="22"/>
        <v>0</v>
      </c>
      <c r="AJ34" s="378"/>
      <c r="AK34" s="1179">
        <f t="shared" si="11"/>
        <v>0</v>
      </c>
      <c r="AL34" s="378"/>
      <c r="AM34" s="378"/>
      <c r="AN34" s="378"/>
      <c r="AO34" s="378"/>
      <c r="AP34" s="378"/>
      <c r="AQ34" s="1216"/>
      <c r="AR34" s="1203" t="s">
        <v>2630</v>
      </c>
      <c r="AS34" s="1177">
        <f t="shared" si="27"/>
        <v>0</v>
      </c>
      <c r="AT34" s="1151"/>
      <c r="AU34" s="1179">
        <f t="shared" si="24"/>
        <v>0</v>
      </c>
      <c r="AV34" s="1151"/>
      <c r="AW34" s="1151"/>
      <c r="AX34" s="1151"/>
      <c r="AY34" s="1151"/>
      <c r="AZ34" s="1151"/>
      <c r="BA34" s="183"/>
      <c r="BB34" s="1212" t="s">
        <v>2631</v>
      </c>
      <c r="BC34" s="1177">
        <f t="shared" si="25"/>
        <v>0</v>
      </c>
      <c r="BD34" s="1151"/>
      <c r="BE34" s="1179">
        <f t="shared" si="26"/>
        <v>0</v>
      </c>
      <c r="BF34" s="1151"/>
      <c r="BG34" s="1151"/>
      <c r="BH34" s="1151"/>
      <c r="BI34" s="1151"/>
      <c r="BJ34" s="1151"/>
      <c r="BK34" s="183"/>
      <c r="BL34" s="1202" t="s">
        <v>2224</v>
      </c>
      <c r="BM34" s="1109"/>
      <c r="BN34" s="1109"/>
      <c r="BO34" s="1109"/>
      <c r="BP34" s="1109"/>
      <c r="BQ34" s="1109"/>
      <c r="BR34" s="1109"/>
      <c r="BS34" s="1109"/>
      <c r="BT34" s="1109"/>
      <c r="BU34" s="380"/>
      <c r="BV34" s="1202" t="s">
        <v>2224</v>
      </c>
      <c r="BW34" s="1109"/>
      <c r="BX34" s="1109"/>
      <c r="BY34" s="1109"/>
      <c r="BZ34" s="1109"/>
      <c r="CA34" s="1109"/>
      <c r="CB34" s="1109"/>
      <c r="CC34" s="1109"/>
      <c r="CD34" s="1109"/>
      <c r="CE34" s="380"/>
    </row>
    <row r="35" spans="1:83" s="1127" customFormat="1">
      <c r="A35" s="197" t="b">
        <v>0</v>
      </c>
      <c r="B35" s="291" t="s">
        <v>2243</v>
      </c>
      <c r="C35" s="197" t="b">
        <f t="shared" si="12"/>
        <v>0</v>
      </c>
      <c r="D35" s="388" t="str">
        <f>IF(C35=FALSE=NAMES!$B$8,"",IF(L35="N/A","N/A",O35&amp;N35&amp;L35&amp;"-"&amp;M35))</f>
        <v>2017EURAIG Luxembourg-Child AIG expat 80% excluding USA/Canada</v>
      </c>
      <c r="E35" s="392" t="str">
        <f t="shared" si="1"/>
        <v>2017EURAIG Luxembourg-Child AIG expat 80% excluding USA/Canada</v>
      </c>
      <c r="F35" s="1236" t="str">
        <f t="shared" si="13"/>
        <v>2017EURAIG Luxembourg-Healthcare PlanChild AIG expat 80% excluding USA/Canada</v>
      </c>
      <c r="G35" s="1240" t="str">
        <f t="shared" si="14"/>
        <v>2017EURAIG Luxembourg-Assistance and RepatriationChild AIG expat 80% excluding USA/Canada</v>
      </c>
      <c r="H35" s="1240" t="str">
        <f t="shared" si="15"/>
        <v>2017EURAIG Luxembourg-Legal AssistanceChild AIG expat 80% excluding USA/Canada</v>
      </c>
      <c r="I35" s="1240" t="str">
        <f t="shared" si="16"/>
        <v>2017EURAIG Luxembourg-Third party liabilityChild AIG expat 80% excluding USA/Canada</v>
      </c>
      <c r="J35" s="1240" t="str">
        <f t="shared" si="17"/>
        <v>N/A</v>
      </c>
      <c r="K35" s="1240" t="str">
        <f t="shared" si="18"/>
        <v>N/A</v>
      </c>
      <c r="L35" s="392" t="s">
        <v>4</v>
      </c>
      <c r="M35" s="1127" t="s">
        <v>2333</v>
      </c>
      <c r="N35" s="392" t="s">
        <v>32</v>
      </c>
      <c r="O35" s="376">
        <v>2017</v>
      </c>
      <c r="P35" s="376" t="s">
        <v>26</v>
      </c>
      <c r="Q35" s="376" t="s">
        <v>2169</v>
      </c>
      <c r="R35" s="378">
        <v>15</v>
      </c>
      <c r="S35" s="392" t="s">
        <v>2214</v>
      </c>
      <c r="T35" s="392"/>
      <c r="U35" s="392"/>
      <c r="V35" s="1109">
        <v>365</v>
      </c>
      <c r="W35" s="1228">
        <f t="shared" si="19"/>
        <v>912</v>
      </c>
      <c r="X35" s="197" t="s">
        <v>3</v>
      </c>
      <c r="Y35" s="1188">
        <f t="shared" si="9"/>
        <v>775.19999999999993</v>
      </c>
      <c r="Z35" s="377">
        <v>0.15</v>
      </c>
      <c r="AA35" s="1189">
        <f t="shared" si="10"/>
        <v>912</v>
      </c>
      <c r="AB35" s="377">
        <v>0</v>
      </c>
      <c r="AC35" s="378">
        <v>91.2</v>
      </c>
      <c r="AD35" s="1100">
        <f t="shared" si="20"/>
        <v>1003.2</v>
      </c>
      <c r="AE35" s="377">
        <v>0.04</v>
      </c>
      <c r="AF35" s="370">
        <f t="shared" si="21"/>
        <v>36.480000000000004</v>
      </c>
      <c r="AG35" s="1216">
        <v>948.48</v>
      </c>
      <c r="AH35" s="1215" t="s">
        <v>5</v>
      </c>
      <c r="AI35" s="1177">
        <f t="shared" si="22"/>
        <v>0</v>
      </c>
      <c r="AJ35" s="378"/>
      <c r="AK35" s="1179">
        <f t="shared" si="11"/>
        <v>0</v>
      </c>
      <c r="AL35" s="378"/>
      <c r="AM35" s="378"/>
      <c r="AN35" s="378"/>
      <c r="AO35" s="378"/>
      <c r="AP35" s="378"/>
      <c r="AQ35" s="1216"/>
      <c r="AR35" s="1203" t="s">
        <v>2630</v>
      </c>
      <c r="AS35" s="1177">
        <f t="shared" si="27"/>
        <v>0</v>
      </c>
      <c r="AT35" s="1151"/>
      <c r="AU35" s="1179">
        <f t="shared" si="24"/>
        <v>0</v>
      </c>
      <c r="AV35" s="1151"/>
      <c r="AW35" s="1151"/>
      <c r="AX35" s="1151"/>
      <c r="AY35" s="1151"/>
      <c r="AZ35" s="1151"/>
      <c r="BA35" s="183"/>
      <c r="BB35" s="1212" t="s">
        <v>2631</v>
      </c>
      <c r="BC35" s="1177">
        <f t="shared" si="25"/>
        <v>0</v>
      </c>
      <c r="BD35" s="1151"/>
      <c r="BE35" s="1179">
        <f t="shared" si="26"/>
        <v>0</v>
      </c>
      <c r="BF35" s="1151"/>
      <c r="BG35" s="1151"/>
      <c r="BH35" s="1151"/>
      <c r="BI35" s="1151"/>
      <c r="BJ35" s="1151"/>
      <c r="BK35" s="183"/>
      <c r="BL35" s="1202" t="s">
        <v>2224</v>
      </c>
      <c r="BM35" s="1109"/>
      <c r="BN35" s="1109"/>
      <c r="BO35" s="1109"/>
      <c r="BP35" s="1109"/>
      <c r="BQ35" s="1109"/>
      <c r="BR35" s="1109"/>
      <c r="BS35" s="1109"/>
      <c r="BT35" s="1109"/>
      <c r="BU35" s="380"/>
      <c r="BV35" s="1202" t="s">
        <v>2224</v>
      </c>
      <c r="BW35" s="1109"/>
      <c r="BX35" s="1109"/>
      <c r="BY35" s="1109"/>
      <c r="BZ35" s="1109"/>
      <c r="CA35" s="1109"/>
      <c r="CB35" s="1109"/>
      <c r="CC35" s="1109"/>
      <c r="CD35" s="1109"/>
      <c r="CE35" s="380"/>
    </row>
    <row r="36" spans="1:83" s="1127" customFormat="1">
      <c r="A36" s="197" t="b">
        <v>0</v>
      </c>
      <c r="B36" s="291" t="s">
        <v>2243</v>
      </c>
      <c r="C36" s="197" t="b">
        <f t="shared" si="12"/>
        <v>0</v>
      </c>
      <c r="D36" s="388" t="str">
        <f>IF(C36=FALSE=NAMES!$B$8,"",IF(L36="N/A","N/A",O36&amp;N36&amp;L36&amp;"-"&amp;M36))</f>
        <v>2017EURAIG Luxembourg-Child AIG expat 80% including USA/Canada</v>
      </c>
      <c r="E36" s="392" t="str">
        <f t="shared" si="1"/>
        <v>2017EURAIG Luxembourg-Child AIG expat 80% including USA/Canada</v>
      </c>
      <c r="F36" s="1236" t="str">
        <f t="shared" si="13"/>
        <v>2017EURAIG Luxembourg-Healthcare PlanChild AIG expat 80% including USA/Canada</v>
      </c>
      <c r="G36" s="1240" t="str">
        <f t="shared" si="14"/>
        <v>2017EURAIG Luxembourg-Assistance and RepatriationChild AIG expat 80% including USA/Canada</v>
      </c>
      <c r="H36" s="1240" t="str">
        <f t="shared" si="15"/>
        <v>2017EURAIG Luxembourg-Legal AssistanceChild AIG expat 80% including USA/Canada</v>
      </c>
      <c r="I36" s="1240" t="str">
        <f t="shared" si="16"/>
        <v>2017EURAIG Luxembourg-Third party liabilityChild AIG expat 80% including USA/Canada</v>
      </c>
      <c r="J36" s="1240" t="str">
        <f t="shared" si="17"/>
        <v>N/A</v>
      </c>
      <c r="K36" s="1240" t="str">
        <f t="shared" si="18"/>
        <v>N/A</v>
      </c>
      <c r="L36" s="392" t="s">
        <v>4</v>
      </c>
      <c r="M36" s="1127" t="s">
        <v>2334</v>
      </c>
      <c r="N36" s="392" t="s">
        <v>32</v>
      </c>
      <c r="O36" s="376">
        <v>2017</v>
      </c>
      <c r="P36" s="376" t="s">
        <v>26</v>
      </c>
      <c r="Q36" s="376" t="s">
        <v>2169</v>
      </c>
      <c r="R36" s="378">
        <v>15</v>
      </c>
      <c r="S36" s="392" t="s">
        <v>2214</v>
      </c>
      <c r="T36" s="392"/>
      <c r="U36" s="392"/>
      <c r="V36" s="1109">
        <v>365</v>
      </c>
      <c r="W36" s="1228">
        <f t="shared" si="19"/>
        <v>1937.9615384615383</v>
      </c>
      <c r="X36" s="197" t="s">
        <v>3</v>
      </c>
      <c r="Y36" s="1188">
        <f t="shared" si="9"/>
        <v>1647.2673076923074</v>
      </c>
      <c r="Z36" s="377">
        <v>0.15</v>
      </c>
      <c r="AA36" s="1189">
        <f t="shared" si="10"/>
        <v>1937.9615384615383</v>
      </c>
      <c r="AB36" s="377">
        <v>0</v>
      </c>
      <c r="AC36" s="378">
        <v>193.79599999999999</v>
      </c>
      <c r="AD36" s="1100">
        <f t="shared" si="20"/>
        <v>2131.7575384615384</v>
      </c>
      <c r="AE36" s="377">
        <v>0.04</v>
      </c>
      <c r="AF36" s="370">
        <f t="shared" si="21"/>
        <v>77.518461538461537</v>
      </c>
      <c r="AG36" s="1216">
        <v>2015.48</v>
      </c>
      <c r="AH36" s="1215" t="s">
        <v>5</v>
      </c>
      <c r="AI36" s="1177">
        <f t="shared" si="22"/>
        <v>0</v>
      </c>
      <c r="AJ36" s="378"/>
      <c r="AK36" s="1179">
        <f t="shared" si="11"/>
        <v>0</v>
      </c>
      <c r="AL36" s="378"/>
      <c r="AM36" s="378"/>
      <c r="AN36" s="378"/>
      <c r="AO36" s="378"/>
      <c r="AP36" s="378"/>
      <c r="AQ36" s="1216"/>
      <c r="AR36" s="1203" t="s">
        <v>2630</v>
      </c>
      <c r="AS36" s="1177">
        <f t="shared" si="27"/>
        <v>0</v>
      </c>
      <c r="AT36" s="1151"/>
      <c r="AU36" s="1179">
        <f t="shared" si="24"/>
        <v>0</v>
      </c>
      <c r="AV36" s="1151"/>
      <c r="AW36" s="1151"/>
      <c r="AX36" s="1151"/>
      <c r="AY36" s="1151"/>
      <c r="AZ36" s="1151"/>
      <c r="BA36" s="183"/>
      <c r="BB36" s="1212" t="s">
        <v>2631</v>
      </c>
      <c r="BC36" s="1177">
        <f t="shared" si="25"/>
        <v>0</v>
      </c>
      <c r="BD36" s="1151"/>
      <c r="BE36" s="1179">
        <f t="shared" si="26"/>
        <v>0</v>
      </c>
      <c r="BF36" s="1151"/>
      <c r="BG36" s="1151"/>
      <c r="BH36" s="1151"/>
      <c r="BI36" s="1151"/>
      <c r="BJ36" s="1151"/>
      <c r="BK36" s="183"/>
      <c r="BL36" s="1202" t="s">
        <v>2224</v>
      </c>
      <c r="BM36" s="1109"/>
      <c r="BN36" s="1109"/>
      <c r="BO36" s="1109"/>
      <c r="BP36" s="1109"/>
      <c r="BQ36" s="1109"/>
      <c r="BR36" s="1109"/>
      <c r="BS36" s="1109"/>
      <c r="BT36" s="1109"/>
      <c r="BU36" s="380"/>
      <c r="BV36" s="1202" t="s">
        <v>2224</v>
      </c>
      <c r="BW36" s="1109"/>
      <c r="BX36" s="1109"/>
      <c r="BY36" s="1109"/>
      <c r="BZ36" s="1109"/>
      <c r="CA36" s="1109"/>
      <c r="CB36" s="1109"/>
      <c r="CC36" s="1109"/>
      <c r="CD36" s="1109"/>
      <c r="CE36" s="380"/>
    </row>
    <row r="37" spans="1:83" s="1127" customFormat="1">
      <c r="A37" s="197" t="b">
        <v>0</v>
      </c>
      <c r="B37" s="291" t="s">
        <v>2243</v>
      </c>
      <c r="C37" s="197" t="b">
        <f t="shared" si="12"/>
        <v>0</v>
      </c>
      <c r="D37" s="388" t="str">
        <f>IF(C37=FALSE=NAMES!$B$8,"",IF(L37="N/A","N/A",O37&amp;N37&amp;L37&amp;"-"&amp;M37))</f>
        <v>2017EURAIG Luxembourg-Child AIG expat 90% excluding USA/Canada</v>
      </c>
      <c r="E37" s="392" t="str">
        <f t="shared" si="1"/>
        <v>2017EURAIG Luxembourg-Child AIG expat 90% excluding USA/Canada</v>
      </c>
      <c r="F37" s="1236" t="str">
        <f t="shared" si="13"/>
        <v>2017EURAIG Luxembourg-Healthcare PlanChild AIG expat 90% excluding USA/Canada</v>
      </c>
      <c r="G37" s="1240" t="str">
        <f t="shared" si="14"/>
        <v>2017EURAIG Luxembourg-Assistance and RepatriationChild AIG expat 90% excluding USA/Canada</v>
      </c>
      <c r="H37" s="1240" t="str">
        <f t="shared" si="15"/>
        <v>2017EURAIG Luxembourg-Legal AssistanceChild AIG expat 90% excluding USA/Canada</v>
      </c>
      <c r="I37" s="1240" t="str">
        <f t="shared" si="16"/>
        <v>2017EURAIG Luxembourg-Third party liabilityChild AIG expat 90% excluding USA/Canada</v>
      </c>
      <c r="J37" s="1240" t="str">
        <f t="shared" si="17"/>
        <v>N/A</v>
      </c>
      <c r="K37" s="1240" t="str">
        <f t="shared" si="18"/>
        <v>N/A</v>
      </c>
      <c r="L37" s="392" t="s">
        <v>4</v>
      </c>
      <c r="M37" s="1127" t="s">
        <v>2335</v>
      </c>
      <c r="N37" s="392" t="s">
        <v>32</v>
      </c>
      <c r="O37" s="376">
        <v>2017</v>
      </c>
      <c r="P37" s="376" t="s">
        <v>26</v>
      </c>
      <c r="Q37" s="376" t="s">
        <v>2169</v>
      </c>
      <c r="R37" s="378">
        <v>15</v>
      </c>
      <c r="S37" s="392" t="s">
        <v>2214</v>
      </c>
      <c r="T37" s="392"/>
      <c r="U37" s="392"/>
      <c r="V37" s="1109">
        <v>365</v>
      </c>
      <c r="W37" s="1228">
        <f t="shared" si="19"/>
        <v>1011</v>
      </c>
      <c r="X37" s="197" t="s">
        <v>3</v>
      </c>
      <c r="Y37" s="1188">
        <f t="shared" si="9"/>
        <v>859.35</v>
      </c>
      <c r="Z37" s="377">
        <v>0.15</v>
      </c>
      <c r="AA37" s="1189">
        <f t="shared" si="10"/>
        <v>1011</v>
      </c>
      <c r="AB37" s="377">
        <v>0</v>
      </c>
      <c r="AC37" s="378">
        <v>101.1</v>
      </c>
      <c r="AD37" s="1100">
        <f t="shared" si="20"/>
        <v>1112.0999999999999</v>
      </c>
      <c r="AE37" s="377">
        <v>0.04</v>
      </c>
      <c r="AF37" s="370">
        <f t="shared" si="21"/>
        <v>40.44</v>
      </c>
      <c r="AG37" s="1216">
        <v>1051.44</v>
      </c>
      <c r="AH37" s="1215" t="s">
        <v>5</v>
      </c>
      <c r="AI37" s="1177">
        <f t="shared" si="22"/>
        <v>0</v>
      </c>
      <c r="AJ37" s="378"/>
      <c r="AK37" s="1179">
        <f t="shared" si="11"/>
        <v>0</v>
      </c>
      <c r="AL37" s="378"/>
      <c r="AM37" s="378"/>
      <c r="AN37" s="378"/>
      <c r="AO37" s="378"/>
      <c r="AP37" s="378"/>
      <c r="AQ37" s="1216"/>
      <c r="AR37" s="1203" t="s">
        <v>2630</v>
      </c>
      <c r="AS37" s="1177">
        <f t="shared" si="27"/>
        <v>0</v>
      </c>
      <c r="AT37" s="1151"/>
      <c r="AU37" s="1179">
        <f t="shared" si="24"/>
        <v>0</v>
      </c>
      <c r="AV37" s="1151"/>
      <c r="AW37" s="1151"/>
      <c r="AX37" s="1151"/>
      <c r="AY37" s="1151"/>
      <c r="AZ37" s="1151"/>
      <c r="BA37" s="183"/>
      <c r="BB37" s="1212" t="s">
        <v>2631</v>
      </c>
      <c r="BC37" s="1177">
        <f t="shared" si="25"/>
        <v>0</v>
      </c>
      <c r="BD37" s="1151"/>
      <c r="BE37" s="1179">
        <f t="shared" si="26"/>
        <v>0</v>
      </c>
      <c r="BF37" s="1151"/>
      <c r="BG37" s="1151"/>
      <c r="BH37" s="1151"/>
      <c r="BI37" s="1151"/>
      <c r="BJ37" s="1151"/>
      <c r="BK37" s="183"/>
      <c r="BL37" s="1202" t="s">
        <v>2224</v>
      </c>
      <c r="BM37" s="1109"/>
      <c r="BN37" s="1109"/>
      <c r="BO37" s="1109"/>
      <c r="BP37" s="1109"/>
      <c r="BQ37" s="1109"/>
      <c r="BR37" s="1109"/>
      <c r="BS37" s="1109"/>
      <c r="BT37" s="1109"/>
      <c r="BU37" s="380"/>
      <c r="BV37" s="1202" t="s">
        <v>2224</v>
      </c>
      <c r="BW37" s="1109"/>
      <c r="BX37" s="1109"/>
      <c r="BY37" s="1109"/>
      <c r="BZ37" s="1109"/>
      <c r="CA37" s="1109"/>
      <c r="CB37" s="1109"/>
      <c r="CC37" s="1109"/>
      <c r="CD37" s="1109"/>
      <c r="CE37" s="380"/>
    </row>
    <row r="38" spans="1:83" s="1127" customFormat="1">
      <c r="A38" s="197" t="b">
        <v>0</v>
      </c>
      <c r="B38" s="291" t="s">
        <v>2243</v>
      </c>
      <c r="C38" s="197" t="b">
        <f t="shared" si="12"/>
        <v>0</v>
      </c>
      <c r="D38" s="388" t="str">
        <f>IF(C38=FALSE=NAMES!$B$8,"",IF(L38="N/A","N/A",O38&amp;N38&amp;L38&amp;"-"&amp;M38))</f>
        <v>2017EURAIG Luxembourg-Child AIG expat 90% including USA/Canada</v>
      </c>
      <c r="E38" s="392" t="str">
        <f t="shared" si="1"/>
        <v>2017EURAIG Luxembourg-Child AIG expat 90% including USA/Canada</v>
      </c>
      <c r="F38" s="1236" t="str">
        <f t="shared" si="13"/>
        <v>2017EURAIG Luxembourg-Healthcare PlanChild AIG expat 90% including USA/Canada</v>
      </c>
      <c r="G38" s="1240" t="str">
        <f t="shared" si="14"/>
        <v>2017EURAIG Luxembourg-Assistance and RepatriationChild AIG expat 90% including USA/Canada</v>
      </c>
      <c r="H38" s="1240" t="str">
        <f t="shared" si="15"/>
        <v>2017EURAIG Luxembourg-Legal AssistanceChild AIG expat 90% including USA/Canada</v>
      </c>
      <c r="I38" s="1240" t="str">
        <f t="shared" si="16"/>
        <v>2017EURAIG Luxembourg-Third party liabilityChild AIG expat 90% including USA/Canada</v>
      </c>
      <c r="J38" s="1240" t="str">
        <f t="shared" si="17"/>
        <v>N/A</v>
      </c>
      <c r="K38" s="1240" t="str">
        <f t="shared" si="18"/>
        <v>N/A</v>
      </c>
      <c r="L38" s="392" t="s">
        <v>4</v>
      </c>
      <c r="M38" s="1127" t="s">
        <v>2336</v>
      </c>
      <c r="N38" s="392" t="s">
        <v>32</v>
      </c>
      <c r="O38" s="376">
        <v>2017</v>
      </c>
      <c r="P38" s="376" t="s">
        <v>26</v>
      </c>
      <c r="Q38" s="376" t="s">
        <v>2169</v>
      </c>
      <c r="R38" s="378">
        <v>15</v>
      </c>
      <c r="S38" s="392" t="s">
        <v>2214</v>
      </c>
      <c r="T38" s="392"/>
      <c r="U38" s="392"/>
      <c r="V38" s="1109">
        <v>365</v>
      </c>
      <c r="W38" s="1228">
        <f t="shared" si="19"/>
        <v>2173.1826923076924</v>
      </c>
      <c r="X38" s="197" t="s">
        <v>3</v>
      </c>
      <c r="Y38" s="1188">
        <f t="shared" si="9"/>
        <v>1847.2052884615384</v>
      </c>
      <c r="Z38" s="377">
        <v>0.15</v>
      </c>
      <c r="AA38" s="1189">
        <f t="shared" si="10"/>
        <v>2173.1826923076924</v>
      </c>
      <c r="AB38" s="377">
        <v>0</v>
      </c>
      <c r="AC38" s="378">
        <v>217.31800000000001</v>
      </c>
      <c r="AD38" s="1100">
        <f t="shared" si="20"/>
        <v>2390.5006923076926</v>
      </c>
      <c r="AE38" s="377">
        <v>0.04</v>
      </c>
      <c r="AF38" s="370">
        <f t="shared" si="21"/>
        <v>86.927307692307693</v>
      </c>
      <c r="AG38" s="1216">
        <v>2260.11</v>
      </c>
      <c r="AH38" s="1215" t="s">
        <v>5</v>
      </c>
      <c r="AI38" s="1177">
        <f t="shared" si="22"/>
        <v>0</v>
      </c>
      <c r="AJ38" s="378"/>
      <c r="AK38" s="1179">
        <f t="shared" si="11"/>
        <v>0</v>
      </c>
      <c r="AL38" s="378"/>
      <c r="AM38" s="378"/>
      <c r="AN38" s="378"/>
      <c r="AO38" s="378"/>
      <c r="AP38" s="378"/>
      <c r="AQ38" s="1216"/>
      <c r="AR38" s="1203" t="s">
        <v>2630</v>
      </c>
      <c r="AS38" s="1177">
        <f t="shared" si="27"/>
        <v>0</v>
      </c>
      <c r="AT38" s="1151"/>
      <c r="AU38" s="1179">
        <f t="shared" si="24"/>
        <v>0</v>
      </c>
      <c r="AV38" s="1151"/>
      <c r="AW38" s="1151"/>
      <c r="AX38" s="1151"/>
      <c r="AY38" s="1151"/>
      <c r="AZ38" s="1151"/>
      <c r="BA38" s="183"/>
      <c r="BB38" s="1212" t="s">
        <v>2631</v>
      </c>
      <c r="BC38" s="1177">
        <f t="shared" si="25"/>
        <v>0</v>
      </c>
      <c r="BD38" s="1151"/>
      <c r="BE38" s="1179">
        <f t="shared" si="26"/>
        <v>0</v>
      </c>
      <c r="BF38" s="1151"/>
      <c r="BG38" s="1151"/>
      <c r="BH38" s="1151"/>
      <c r="BI38" s="1151"/>
      <c r="BJ38" s="1151"/>
      <c r="BK38" s="183"/>
      <c r="BL38" s="1202" t="s">
        <v>2224</v>
      </c>
      <c r="BM38" s="1109"/>
      <c r="BN38" s="1109"/>
      <c r="BO38" s="1109"/>
      <c r="BP38" s="1109"/>
      <c r="BQ38" s="1109"/>
      <c r="BR38" s="1109"/>
      <c r="BS38" s="1109"/>
      <c r="BT38" s="1109"/>
      <c r="BU38" s="380"/>
      <c r="BV38" s="1202" t="s">
        <v>2224</v>
      </c>
      <c r="BW38" s="1109"/>
      <c r="BX38" s="1109"/>
      <c r="BY38" s="1109"/>
      <c r="BZ38" s="1109"/>
      <c r="CA38" s="1109"/>
      <c r="CB38" s="1109"/>
      <c r="CC38" s="1109"/>
      <c r="CD38" s="1109"/>
      <c r="CE38" s="380"/>
    </row>
    <row r="39" spans="1:83" s="1127" customFormat="1">
      <c r="A39" s="291" t="b">
        <v>0</v>
      </c>
      <c r="B39" s="291" t="s">
        <v>2243</v>
      </c>
      <c r="C39" s="291" t="b">
        <f t="shared" ref="C39:C67" si="28">IF(B39="N/A","",IF(B39="newRates",FALSE,TRUE))</f>
        <v>0</v>
      </c>
      <c r="D39" s="388" t="str">
        <f>IF(C39=FALSE=NAMES!$B$8,"",IF(L39="N/A","N/A",O39&amp;N39&amp;L39&amp;"-"&amp;M39))</f>
        <v>N/A</v>
      </c>
      <c r="E39" s="392" t="str">
        <f t="shared" ref="E39:E67" si="29">IF(L39="N/A","N/A",O39&amp;N39&amp;L39&amp;"-"&amp;M39)</f>
        <v>N/A</v>
      </c>
      <c r="F39" s="1236" t="str">
        <f t="shared" si="2"/>
        <v>N/A</v>
      </c>
      <c r="G39" s="1240" t="str">
        <f t="shared" si="3"/>
        <v>N/A</v>
      </c>
      <c r="H39" s="1240" t="str">
        <f t="shared" si="4"/>
        <v>N/A</v>
      </c>
      <c r="I39" s="1240" t="str">
        <f t="shared" si="5"/>
        <v>N/A</v>
      </c>
      <c r="J39" s="1240" t="str">
        <f t="shared" si="6"/>
        <v>N/A</v>
      </c>
      <c r="K39" s="1240" t="str">
        <f t="shared" si="7"/>
        <v>N/A</v>
      </c>
      <c r="L39" s="389" t="s">
        <v>2224</v>
      </c>
      <c r="M39" s="389"/>
      <c r="N39" s="389"/>
      <c r="O39" s="1151"/>
      <c r="P39" s="1151"/>
      <c r="Q39" s="1151"/>
      <c r="R39" s="1151"/>
      <c r="S39" s="389"/>
      <c r="T39" s="389"/>
      <c r="U39" s="389"/>
      <c r="V39" s="1151"/>
      <c r="W39" s="1228" t="str">
        <f t="shared" si="8"/>
        <v/>
      </c>
      <c r="X39" s="388" t="s">
        <v>2224</v>
      </c>
      <c r="Y39" s="1188" t="str">
        <f t="shared" ref="Y39:Y67" si="30">IF(X39="N/A","",AA39*(1-Z39))</f>
        <v/>
      </c>
      <c r="Z39" s="1151"/>
      <c r="AA39" s="1189" t="str">
        <f t="shared" ref="AA39:AA67" si="31">IF(X39="N/A","",AG39/1.04)</f>
        <v/>
      </c>
      <c r="AB39" s="377" t="str">
        <f>IF(E39="N/A","",$AB$2)</f>
        <v/>
      </c>
      <c r="AC39" s="391"/>
      <c r="AD39" s="391"/>
      <c r="AE39" s="1151"/>
      <c r="AF39" s="1151"/>
      <c r="AG39" s="183"/>
      <c r="AH39" s="1202" t="s">
        <v>2224</v>
      </c>
      <c r="AI39" s="1177" t="str">
        <f t="shared" ref="AI39:AI67" si="32">IF(AH39="N/A","",AK39*(1-AJ39))</f>
        <v/>
      </c>
      <c r="AJ39" s="1151"/>
      <c r="AK39" s="1179" t="str">
        <f t="shared" ref="AK39:AK67" si="33">IF(AH39="N/A","",IF(AQ39="",0,AQ39/1.04))</f>
        <v/>
      </c>
      <c r="AL39" s="1151"/>
      <c r="AM39" s="1151"/>
      <c r="AN39" s="1151"/>
      <c r="AO39" s="1151"/>
      <c r="AP39" s="1151"/>
      <c r="AQ39" s="183"/>
      <c r="AR39" s="1202" t="s">
        <v>2224</v>
      </c>
      <c r="AS39" s="1177" t="str">
        <f t="shared" si="27"/>
        <v/>
      </c>
      <c r="AT39" s="1151"/>
      <c r="AU39" s="1179">
        <f t="shared" si="24"/>
        <v>0</v>
      </c>
      <c r="AV39" s="1151"/>
      <c r="AW39" s="1151"/>
      <c r="AX39" s="1151"/>
      <c r="AY39" s="1151"/>
      <c r="AZ39" s="1151"/>
      <c r="BA39" s="183"/>
      <c r="BB39" s="1202" t="s">
        <v>2224</v>
      </c>
      <c r="BC39" s="1177">
        <f t="shared" si="25"/>
        <v>0</v>
      </c>
      <c r="BD39" s="1151"/>
      <c r="BE39" s="1179">
        <f t="shared" si="26"/>
        <v>0</v>
      </c>
      <c r="BF39" s="1151"/>
      <c r="BG39" s="1151"/>
      <c r="BH39" s="1151"/>
      <c r="BI39" s="1151"/>
      <c r="BJ39" s="1151"/>
      <c r="BK39" s="183"/>
      <c r="BL39" s="1202" t="s">
        <v>2224</v>
      </c>
      <c r="BM39" s="1109"/>
      <c r="BN39" s="1109"/>
      <c r="BO39" s="1109"/>
      <c r="BP39" s="1109"/>
      <c r="BQ39" s="1109"/>
      <c r="BR39" s="1109"/>
      <c r="BS39" s="1109"/>
      <c r="BT39" s="1109"/>
      <c r="BU39" s="380"/>
      <c r="BV39" s="1202" t="s">
        <v>2224</v>
      </c>
      <c r="BW39" s="1109"/>
      <c r="BX39" s="1109"/>
      <c r="BY39" s="1109"/>
      <c r="BZ39" s="1109"/>
      <c r="CA39" s="1109"/>
      <c r="CB39" s="1109"/>
      <c r="CC39" s="1109"/>
      <c r="CD39" s="1109"/>
      <c r="CE39" s="380"/>
    </row>
    <row r="40" spans="1:83" s="1127" customFormat="1">
      <c r="A40" s="291" t="b">
        <v>0</v>
      </c>
      <c r="B40" s="291" t="s">
        <v>2243</v>
      </c>
      <c r="C40" s="291" t="b">
        <f t="shared" si="28"/>
        <v>0</v>
      </c>
      <c r="D40" s="388" t="str">
        <f>IF(C40=FALSE=NAMES!$B$8,"",IF(L40="N/A","N/A",O40&amp;N40&amp;L40&amp;"-"&amp;M40))</f>
        <v>2017USDAnker Verzekeringen n.v.-Medical Excellent and Homeland</v>
      </c>
      <c r="E40" s="392" t="str">
        <f t="shared" si="29"/>
        <v>2017USDAnker Verzekeringen n.v.-Medical Excellent and Homeland</v>
      </c>
      <c r="F40" s="1236" t="str">
        <f t="shared" si="2"/>
        <v>2017USDAnker Verzekeringen n.v.-Healthcare PlanMedical Excellent and Homeland</v>
      </c>
      <c r="G40" s="1240" t="str">
        <f t="shared" si="3"/>
        <v>2017USDAnker Verzekeringen n.v.-Assistance and RepatriationMedical Excellent and Homeland</v>
      </c>
      <c r="H40" s="1240" t="str">
        <f t="shared" si="4"/>
        <v>2017USDAnker Verzekeringen n.v.-Legal AssistanceMedical Excellent and Homeland</v>
      </c>
      <c r="I40" s="1240" t="str">
        <f t="shared" si="5"/>
        <v>2017USDAnker Verzekeringen n.v.-Third party liabilityMedical Excellent and Homeland</v>
      </c>
      <c r="J40" s="1240" t="str">
        <f t="shared" si="6"/>
        <v>N/A</v>
      </c>
      <c r="K40" s="1240" t="str">
        <f t="shared" si="7"/>
        <v>N/A</v>
      </c>
      <c r="L40" s="392" t="s">
        <v>7</v>
      </c>
      <c r="M40" s="392" t="s">
        <v>2121</v>
      </c>
      <c r="N40" s="392" t="s">
        <v>87</v>
      </c>
      <c r="O40" s="376">
        <v>2017</v>
      </c>
      <c r="P40" s="376" t="s">
        <v>2234</v>
      </c>
      <c r="Q40" s="376" t="s">
        <v>1</v>
      </c>
      <c r="R40" s="378">
        <v>547.5</v>
      </c>
      <c r="S40" s="392" t="s">
        <v>2213</v>
      </c>
      <c r="T40" s="392"/>
      <c r="U40" s="392"/>
      <c r="V40" s="1109">
        <v>365</v>
      </c>
      <c r="W40" s="1228">
        <f t="shared" si="8"/>
        <v>1008.0288461538461</v>
      </c>
      <c r="X40" s="197" t="s">
        <v>3</v>
      </c>
      <c r="Y40" s="1188">
        <f t="shared" si="30"/>
        <v>647.16706730769226</v>
      </c>
      <c r="Z40" s="377">
        <v>0.27500000000000002</v>
      </c>
      <c r="AA40" s="1189">
        <f t="shared" si="31"/>
        <v>892.64423076923072</v>
      </c>
      <c r="AB40" s="377">
        <v>0</v>
      </c>
      <c r="AC40" s="378">
        <v>0</v>
      </c>
      <c r="AD40" s="374">
        <f t="shared" ref="AD40:AD66" si="34">IF(E40="N/A","",AA40+AC40)</f>
        <v>892.64423076923072</v>
      </c>
      <c r="AE40" s="377">
        <v>0.04</v>
      </c>
      <c r="AF40" s="370">
        <f t="shared" ref="AF40:AF66" si="35">IF(L40="N/A","",AA40*AE40)</f>
        <v>35.705769230769228</v>
      </c>
      <c r="AG40" s="1216">
        <v>928.35</v>
      </c>
      <c r="AH40" s="1215" t="s">
        <v>5</v>
      </c>
      <c r="AI40" s="1177">
        <f t="shared" ref="AI40:AI47" si="36">IF(AH40="N/A","",AK40*(1-AJ40))</f>
        <v>83.653846153846146</v>
      </c>
      <c r="AJ40" s="1175">
        <v>0.27500000000000002</v>
      </c>
      <c r="AK40" s="1179">
        <f t="shared" si="33"/>
        <v>115.38461538461539</v>
      </c>
      <c r="AL40" s="1175">
        <v>0</v>
      </c>
      <c r="AM40" s="1174">
        <v>0</v>
      </c>
      <c r="AN40" s="1178"/>
      <c r="AO40" s="1175">
        <v>0.04</v>
      </c>
      <c r="AP40" s="1175"/>
      <c r="AQ40" s="1204">
        <v>120</v>
      </c>
      <c r="AR40" s="1203" t="s">
        <v>2630</v>
      </c>
      <c r="AS40" s="1177">
        <f t="shared" ref="AS40:AS66" si="37">IF(AR40="N/A","",AU40*(1-AT40))</f>
        <v>0</v>
      </c>
      <c r="AT40" s="1151"/>
      <c r="AU40" s="1179">
        <f t="shared" si="24"/>
        <v>0</v>
      </c>
      <c r="AV40" s="1151"/>
      <c r="AW40" s="1151"/>
      <c r="AX40" s="1151"/>
      <c r="AY40" s="1151"/>
      <c r="AZ40" s="1151"/>
      <c r="BA40" s="183"/>
      <c r="BB40" s="1212" t="s">
        <v>2631</v>
      </c>
      <c r="BC40" s="1177">
        <f t="shared" si="25"/>
        <v>0</v>
      </c>
      <c r="BD40" s="1151"/>
      <c r="BE40" s="1179">
        <f t="shared" si="26"/>
        <v>0</v>
      </c>
      <c r="BF40" s="1151"/>
      <c r="BG40" s="1151"/>
      <c r="BH40" s="1151"/>
      <c r="BI40" s="1151"/>
      <c r="BJ40" s="1151"/>
      <c r="BK40" s="183"/>
      <c r="BL40" s="1202" t="s">
        <v>2224</v>
      </c>
      <c r="BM40" s="1109"/>
      <c r="BN40" s="1109"/>
      <c r="BO40" s="1109"/>
      <c r="BP40" s="1109"/>
      <c r="BQ40" s="1109"/>
      <c r="BR40" s="1109"/>
      <c r="BS40" s="1109"/>
      <c r="BT40" s="1109"/>
      <c r="BU40" s="380"/>
      <c r="BV40" s="1202" t="s">
        <v>2224</v>
      </c>
      <c r="BW40" s="1109"/>
      <c r="BX40" s="1109"/>
      <c r="BY40" s="1109"/>
      <c r="BZ40" s="1109"/>
      <c r="CA40" s="1109"/>
      <c r="CB40" s="1109"/>
      <c r="CC40" s="1109"/>
      <c r="CD40" s="1109"/>
      <c r="CE40" s="380"/>
    </row>
    <row r="41" spans="1:83" s="1127" customFormat="1">
      <c r="A41" s="291" t="b">
        <v>0</v>
      </c>
      <c r="B41" s="291" t="s">
        <v>2243</v>
      </c>
      <c r="C41" s="291" t="b">
        <f t="shared" si="28"/>
        <v>0</v>
      </c>
      <c r="D41" s="388" t="str">
        <f>IF(C41=FALSE=NAMES!$B$8,"",IF(L41="N/A","N/A",O41&amp;N41&amp;L41&amp;"-"&amp;M41))</f>
        <v>2017USDAIG Luxembourg-PRESTIGE</v>
      </c>
      <c r="E41" s="392" t="str">
        <f t="shared" si="29"/>
        <v>2017USDAIG Luxembourg-PRESTIGE</v>
      </c>
      <c r="F41" s="1236" t="str">
        <f t="shared" si="2"/>
        <v>2017USDAIG Luxembourg-Healthcare PlanPRESTIGE</v>
      </c>
      <c r="G41" s="1240" t="str">
        <f t="shared" si="3"/>
        <v>2017USDAIG Luxembourg-Assistance and RepatriationPRESTIGE</v>
      </c>
      <c r="H41" s="1240" t="str">
        <f t="shared" si="4"/>
        <v>2017USDAIG Luxembourg-Legal AssistancePRESTIGE</v>
      </c>
      <c r="I41" s="1240" t="str">
        <f t="shared" si="5"/>
        <v>2017USDAIG Luxembourg-Third party liabilityPRESTIGE</v>
      </c>
      <c r="J41" s="1240" t="str">
        <f t="shared" si="6"/>
        <v>N/A</v>
      </c>
      <c r="K41" s="1240" t="str">
        <f t="shared" si="7"/>
        <v>N/A</v>
      </c>
      <c r="L41" s="392" t="s">
        <v>4</v>
      </c>
      <c r="M41" s="392" t="s">
        <v>86</v>
      </c>
      <c r="N41" s="392" t="s">
        <v>87</v>
      </c>
      <c r="O41" s="376">
        <v>2017</v>
      </c>
      <c r="P41" s="376" t="s">
        <v>26</v>
      </c>
      <c r="Q41" s="376" t="s">
        <v>1</v>
      </c>
      <c r="R41" s="378">
        <v>36.200000000000003</v>
      </c>
      <c r="S41" s="392" t="s">
        <v>2213</v>
      </c>
      <c r="T41" s="392"/>
      <c r="U41" s="392"/>
      <c r="V41" s="1109">
        <v>365</v>
      </c>
      <c r="W41" s="1228">
        <f t="shared" si="8"/>
        <v>1351.7307692307693</v>
      </c>
      <c r="X41" s="197" t="s">
        <v>3</v>
      </c>
      <c r="Y41" s="1188">
        <f t="shared" si="30"/>
        <v>871.00961538461536</v>
      </c>
      <c r="Z41" s="377">
        <v>0.25</v>
      </c>
      <c r="AA41" s="1189">
        <f t="shared" si="31"/>
        <v>1161.3461538461538</v>
      </c>
      <c r="AB41" s="377">
        <v>0</v>
      </c>
      <c r="AC41" s="378">
        <v>0</v>
      </c>
      <c r="AD41" s="374">
        <f t="shared" si="34"/>
        <v>1161.3461538461538</v>
      </c>
      <c r="AE41" s="377">
        <v>0.04</v>
      </c>
      <c r="AF41" s="370">
        <f t="shared" si="35"/>
        <v>46.45384615384615</v>
      </c>
      <c r="AG41" s="1216">
        <v>1207.8</v>
      </c>
      <c r="AH41" s="1215" t="s">
        <v>5</v>
      </c>
      <c r="AI41" s="1177">
        <f t="shared" si="36"/>
        <v>142.78846153846155</v>
      </c>
      <c r="AJ41" s="1175">
        <v>0.25</v>
      </c>
      <c r="AK41" s="1179">
        <f t="shared" si="33"/>
        <v>190.38461538461539</v>
      </c>
      <c r="AL41" s="1175">
        <v>0</v>
      </c>
      <c r="AM41" s="1174">
        <v>0</v>
      </c>
      <c r="AN41" s="1176"/>
      <c r="AO41" s="1175">
        <v>0.04</v>
      </c>
      <c r="AP41" s="1175"/>
      <c r="AQ41" s="1204">
        <v>198</v>
      </c>
      <c r="AR41" s="1203" t="s">
        <v>2630</v>
      </c>
      <c r="AS41" s="1177">
        <f t="shared" si="37"/>
        <v>0</v>
      </c>
      <c r="AT41" s="1151"/>
      <c r="AU41" s="1179">
        <f t="shared" si="24"/>
        <v>0</v>
      </c>
      <c r="AV41" s="1151"/>
      <c r="AW41" s="1151"/>
      <c r="AX41" s="1151"/>
      <c r="AY41" s="1151"/>
      <c r="AZ41" s="1151"/>
      <c r="BA41" s="183"/>
      <c r="BB41" s="1212" t="s">
        <v>2631</v>
      </c>
      <c r="BC41" s="1177">
        <f t="shared" si="25"/>
        <v>0</v>
      </c>
      <c r="BD41" s="1151"/>
      <c r="BE41" s="1179">
        <f t="shared" si="26"/>
        <v>0</v>
      </c>
      <c r="BF41" s="1151"/>
      <c r="BG41" s="1151"/>
      <c r="BH41" s="1151"/>
      <c r="BI41" s="1151"/>
      <c r="BJ41" s="1151"/>
      <c r="BK41" s="183"/>
      <c r="BL41" s="1202" t="s">
        <v>2224</v>
      </c>
      <c r="BM41" s="1109"/>
      <c r="BN41" s="1109"/>
      <c r="BO41" s="1109"/>
      <c r="BP41" s="1109"/>
      <c r="BQ41" s="1109"/>
      <c r="BR41" s="1109"/>
      <c r="BS41" s="1109"/>
      <c r="BT41" s="1109"/>
      <c r="BU41" s="380"/>
      <c r="BV41" s="1202" t="s">
        <v>2224</v>
      </c>
      <c r="BW41" s="1109"/>
      <c r="BX41" s="1109"/>
      <c r="BY41" s="1109"/>
      <c r="BZ41" s="1109"/>
      <c r="CA41" s="1109"/>
      <c r="CB41" s="1109"/>
      <c r="CC41" s="1109"/>
      <c r="CD41" s="1109"/>
      <c r="CE41" s="380"/>
    </row>
    <row r="42" spans="1:83" s="486" customFormat="1">
      <c r="A42" s="478" t="b">
        <v>0</v>
      </c>
      <c r="B42" s="478" t="s">
        <v>2243</v>
      </c>
      <c r="C42" s="478" t="b">
        <f t="shared" si="28"/>
        <v>0</v>
      </c>
      <c r="D42" s="388" t="str">
        <f>IF(C42=FALSE=NAMES!$B$8,"",IF(L42="N/A","N/A",O42&amp;N42&amp;L42&amp;"-"&amp;M42))</f>
        <v>2017USDAIG Luxembourg-PRESTIGE-Family</v>
      </c>
      <c r="E42" s="479" t="str">
        <f>IF(L42="N/A","N/A",O42&amp;N42&amp;L42&amp;"-"&amp;M42)</f>
        <v>2017USDAIG Luxembourg-PRESTIGE-Family</v>
      </c>
      <c r="F42" s="1245" t="str">
        <f t="shared" si="2"/>
        <v>2017USDAIG Luxembourg-Healthcare PlanPRESTIGE-Family</v>
      </c>
      <c r="G42" s="480" t="str">
        <f t="shared" si="3"/>
        <v>2017USDAIG Luxembourg-Assistance and RepatriationPRESTIGE-Family</v>
      </c>
      <c r="H42" s="480" t="str">
        <f t="shared" si="4"/>
        <v>2017USDAIG Luxembourg-Legal AssistancePRESTIGE-Family</v>
      </c>
      <c r="I42" s="480" t="str">
        <f t="shared" si="5"/>
        <v>2017USDAIG Luxembourg-Third party liabilityPRESTIGE-Family</v>
      </c>
      <c r="J42" s="480" t="str">
        <f t="shared" si="6"/>
        <v>N/A</v>
      </c>
      <c r="K42" s="480" t="str">
        <f t="shared" si="7"/>
        <v>N/A</v>
      </c>
      <c r="L42" s="479" t="s">
        <v>4</v>
      </c>
      <c r="M42" s="392" t="s">
        <v>2824</v>
      </c>
      <c r="N42" s="479" t="s">
        <v>87</v>
      </c>
      <c r="O42" s="485">
        <v>2017</v>
      </c>
      <c r="P42" s="485" t="s">
        <v>26</v>
      </c>
      <c r="Q42" s="485" t="s">
        <v>1</v>
      </c>
      <c r="R42" s="484">
        <v>35</v>
      </c>
      <c r="S42" s="479" t="s">
        <v>2214</v>
      </c>
      <c r="T42" s="479"/>
      <c r="U42" s="479"/>
      <c r="V42" s="480">
        <v>365</v>
      </c>
      <c r="W42" s="1245">
        <f t="shared" si="8"/>
        <v>1444.278846153846</v>
      </c>
      <c r="X42" s="478" t="s">
        <v>3</v>
      </c>
      <c r="Y42" s="1246">
        <f t="shared" si="30"/>
        <v>1083.2091346153845</v>
      </c>
      <c r="Z42" s="482">
        <v>0.25</v>
      </c>
      <c r="AA42" s="483">
        <f t="shared" si="31"/>
        <v>1444.278846153846</v>
      </c>
      <c r="AB42" s="482">
        <v>0</v>
      </c>
      <c r="AC42" s="484">
        <v>0</v>
      </c>
      <c r="AD42" s="1245">
        <f t="shared" si="34"/>
        <v>1444.278846153846</v>
      </c>
      <c r="AE42" s="482">
        <v>0.04</v>
      </c>
      <c r="AF42" s="483">
        <f t="shared" si="35"/>
        <v>57.771153846153837</v>
      </c>
      <c r="AG42" s="1221">
        <v>1502.05</v>
      </c>
      <c r="AH42" s="1247" t="s">
        <v>5</v>
      </c>
      <c r="AI42" s="1248">
        <f t="shared" si="36"/>
        <v>0</v>
      </c>
      <c r="AJ42" s="481"/>
      <c r="AK42" s="1249">
        <f t="shared" si="33"/>
        <v>0</v>
      </c>
      <c r="AL42" s="481"/>
      <c r="AM42" s="481"/>
      <c r="AN42" s="481"/>
      <c r="AO42" s="481"/>
      <c r="AP42" s="481"/>
      <c r="AQ42" s="1218"/>
      <c r="AR42" s="1250" t="s">
        <v>2630</v>
      </c>
      <c r="AS42" s="1248">
        <f t="shared" si="37"/>
        <v>0</v>
      </c>
      <c r="AT42" s="480"/>
      <c r="AU42" s="1179">
        <f t="shared" si="24"/>
        <v>0</v>
      </c>
      <c r="AV42" s="480"/>
      <c r="AW42" s="480"/>
      <c r="AX42" s="480"/>
      <c r="AY42" s="480"/>
      <c r="AZ42" s="480"/>
      <c r="BA42" s="487"/>
      <c r="BB42" s="1251" t="s">
        <v>2631</v>
      </c>
      <c r="BC42" s="1177">
        <f t="shared" si="25"/>
        <v>0</v>
      </c>
      <c r="BD42" s="480"/>
      <c r="BE42" s="1179">
        <f t="shared" si="26"/>
        <v>0</v>
      </c>
      <c r="BF42" s="480"/>
      <c r="BG42" s="480"/>
      <c r="BH42" s="480"/>
      <c r="BI42" s="480"/>
      <c r="BJ42" s="480"/>
      <c r="BK42" s="487"/>
      <c r="BL42" s="1252" t="s">
        <v>2224</v>
      </c>
      <c r="BM42" s="480"/>
      <c r="BN42" s="480"/>
      <c r="BO42" s="480"/>
      <c r="BP42" s="480"/>
      <c r="BQ42" s="480"/>
      <c r="BR42" s="480"/>
      <c r="BS42" s="480"/>
      <c r="BT42" s="480"/>
      <c r="BU42" s="487"/>
      <c r="BV42" s="1252" t="s">
        <v>2224</v>
      </c>
      <c r="BW42" s="480"/>
      <c r="BX42" s="480"/>
      <c r="BY42" s="480"/>
      <c r="BZ42" s="480"/>
      <c r="CA42" s="480"/>
      <c r="CB42" s="480"/>
      <c r="CC42" s="480"/>
      <c r="CD42" s="480"/>
      <c r="CE42" s="487"/>
    </row>
    <row r="43" spans="1:83" s="1127" customFormat="1">
      <c r="A43" s="291" t="b">
        <v>0</v>
      </c>
      <c r="B43" s="291" t="s">
        <v>2243</v>
      </c>
      <c r="C43" s="291" t="b">
        <f t="shared" si="28"/>
        <v>0</v>
      </c>
      <c r="D43" s="388" t="str">
        <f>IF(C43=FALSE=NAMES!$B$8,"",IF(L43="N/A","N/A",O43&amp;N43&amp;L43&amp;"-"&amp;M43))</f>
        <v>2017USDAIG Luxembourg-Prestige Plus</v>
      </c>
      <c r="E43" s="392" t="str">
        <f t="shared" si="29"/>
        <v>2017USDAIG Luxembourg-Prestige Plus</v>
      </c>
      <c r="F43" s="1236" t="str">
        <f t="shared" ref="F43:F67" si="38">IF(X43="N/A","N/A",O43&amp;N43&amp;L43&amp;"-"&amp;X43&amp;M43)</f>
        <v>2017USDAIG Luxembourg-Healthcare PlanPrestige Plus</v>
      </c>
      <c r="G43" s="1240" t="str">
        <f t="shared" ref="G43:G67" si="39">IF(AH43="N/A","N/A",O43&amp;N43&amp;L43&amp;"-"&amp;AH43&amp;M43)</f>
        <v>2017USDAIG Luxembourg-Assistance and RepatriationPrestige Plus</v>
      </c>
      <c r="H43" s="1240" t="str">
        <f t="shared" ref="H43:H67" si="40">IF(AR43="N/A","N/A",O43&amp;N43&amp;L43&amp;"-"&amp;AR43&amp;M43)</f>
        <v>2017USDAIG Luxembourg-Legal AssistancePrestige Plus</v>
      </c>
      <c r="I43" s="1240" t="str">
        <f t="shared" ref="I43:I67" si="41">IF(BB43="N/A","N/A",O43&amp;N43&amp;L43&amp;"-"&amp;BB43&amp;M43)</f>
        <v>2017USDAIG Luxembourg-Third party liabilityPrestige Plus</v>
      </c>
      <c r="J43" s="1240" t="str">
        <f t="shared" ref="J43:J67" si="42">IF(BL43="N/A","N/A",O43&amp;N43&amp;L43&amp;"-"&amp;BL43&amp;M43)</f>
        <v>N/A</v>
      </c>
      <c r="K43" s="1240" t="str">
        <f t="shared" ref="K43:K67" si="43">IF(BV43="N/A","N/A",O43&amp;N43&amp;L43&amp;"-"&amp;BV43&amp;M43)</f>
        <v>N/A</v>
      </c>
      <c r="L43" s="392" t="s">
        <v>4</v>
      </c>
      <c r="M43" s="392" t="s">
        <v>2079</v>
      </c>
      <c r="N43" s="392" t="s">
        <v>87</v>
      </c>
      <c r="O43" s="376">
        <v>2017</v>
      </c>
      <c r="P43" s="376" t="s">
        <v>26</v>
      </c>
      <c r="Q43" s="376" t="s">
        <v>1</v>
      </c>
      <c r="R43" s="378">
        <v>36.200000000000003</v>
      </c>
      <c r="S43" s="392" t="s">
        <v>2213</v>
      </c>
      <c r="T43" s="392"/>
      <c r="U43" s="392"/>
      <c r="V43" s="1109">
        <v>365</v>
      </c>
      <c r="W43" s="1228">
        <f t="shared" ref="W43:W67" si="44">IF(X43="N/A","",AA43+AK43+AU43+BE43)</f>
        <v>1489.2307692307691</v>
      </c>
      <c r="X43" s="197" t="s">
        <v>3</v>
      </c>
      <c r="Y43" s="1188">
        <f t="shared" si="30"/>
        <v>871.00961538461536</v>
      </c>
      <c r="Z43" s="377">
        <v>0.25</v>
      </c>
      <c r="AA43" s="1189">
        <f t="shared" si="31"/>
        <v>1161.3461538461538</v>
      </c>
      <c r="AB43" s="377">
        <v>0</v>
      </c>
      <c r="AC43" s="378">
        <v>0</v>
      </c>
      <c r="AD43" s="374">
        <f t="shared" si="34"/>
        <v>1161.3461538461538</v>
      </c>
      <c r="AE43" s="377">
        <v>0.04</v>
      </c>
      <c r="AF43" s="370">
        <f t="shared" si="35"/>
        <v>46.45384615384615</v>
      </c>
      <c r="AG43" s="1216">
        <v>1207.8</v>
      </c>
      <c r="AH43" s="1215" t="s">
        <v>5</v>
      </c>
      <c r="AI43" s="1177">
        <f t="shared" si="36"/>
        <v>245.91346153846152</v>
      </c>
      <c r="AJ43" s="1175">
        <v>0.25</v>
      </c>
      <c r="AK43" s="1179">
        <f t="shared" si="33"/>
        <v>327.88461538461536</v>
      </c>
      <c r="AL43" s="1175">
        <v>0</v>
      </c>
      <c r="AM43" s="1174">
        <v>0</v>
      </c>
      <c r="AN43" s="1178"/>
      <c r="AO43" s="1175">
        <v>0.04</v>
      </c>
      <c r="AP43" s="1175"/>
      <c r="AQ43" s="1204">
        <v>341</v>
      </c>
      <c r="AR43" s="1203" t="s">
        <v>2630</v>
      </c>
      <c r="AS43" s="1177">
        <f t="shared" si="37"/>
        <v>0</v>
      </c>
      <c r="AT43" s="1151"/>
      <c r="AU43" s="1179">
        <f t="shared" si="24"/>
        <v>0</v>
      </c>
      <c r="AV43" s="1151"/>
      <c r="AW43" s="1151"/>
      <c r="AX43" s="1151"/>
      <c r="AY43" s="1151"/>
      <c r="AZ43" s="1151"/>
      <c r="BA43" s="183"/>
      <c r="BB43" s="1212" t="s">
        <v>2631</v>
      </c>
      <c r="BC43" s="1177">
        <f t="shared" si="25"/>
        <v>0</v>
      </c>
      <c r="BD43" s="1151"/>
      <c r="BE43" s="1179">
        <f t="shared" si="26"/>
        <v>0</v>
      </c>
      <c r="BF43" s="1151"/>
      <c r="BG43" s="1151"/>
      <c r="BH43" s="1151"/>
      <c r="BI43" s="1151"/>
      <c r="BJ43" s="1151"/>
      <c r="BK43" s="183"/>
      <c r="BL43" s="1202" t="s">
        <v>2224</v>
      </c>
      <c r="BM43" s="1109"/>
      <c r="BN43" s="1109"/>
      <c r="BO43" s="1109"/>
      <c r="BP43" s="1109"/>
      <c r="BQ43" s="1109"/>
      <c r="BR43" s="1109"/>
      <c r="BS43" s="1109"/>
      <c r="BT43" s="1109"/>
      <c r="BU43" s="380"/>
      <c r="BV43" s="1202" t="s">
        <v>2224</v>
      </c>
      <c r="BW43" s="1109"/>
      <c r="BX43" s="1109"/>
      <c r="BY43" s="1109"/>
      <c r="BZ43" s="1109"/>
      <c r="CA43" s="1109"/>
      <c r="CB43" s="1109"/>
      <c r="CC43" s="1109"/>
      <c r="CD43" s="1109"/>
      <c r="CE43" s="380"/>
    </row>
    <row r="44" spans="1:83" s="1127" customFormat="1">
      <c r="A44" s="291" t="b">
        <v>0</v>
      </c>
      <c r="B44" s="291" t="s">
        <v>2243</v>
      </c>
      <c r="C44" s="291" t="b">
        <f t="shared" si="28"/>
        <v>0</v>
      </c>
      <c r="D44" s="388" t="str">
        <f>IF(C44=FALSE=NAMES!$B$8,"",IF(L44="N/A","N/A",O44&amp;N44&amp;L44&amp;"-"&amp;M44))</f>
        <v>2017USDAIG Luxembourg-PrivilegeFamily</v>
      </c>
      <c r="E44" s="392" t="str">
        <f t="shared" si="29"/>
        <v>2017USDAIG Luxembourg-PrivilegeFamily</v>
      </c>
      <c r="F44" s="1236" t="str">
        <f t="shared" si="38"/>
        <v>2017USDAIG Luxembourg-Healthcare PlanPrivilegeFamily</v>
      </c>
      <c r="G44" s="1240" t="str">
        <f t="shared" si="39"/>
        <v>2017USDAIG Luxembourg-Assistance and RepatriationPrivilegeFamily</v>
      </c>
      <c r="H44" s="1240" t="str">
        <f t="shared" si="40"/>
        <v>2017USDAIG Luxembourg-Legal AssistancePrivilegeFamily</v>
      </c>
      <c r="I44" s="1240" t="str">
        <f t="shared" si="41"/>
        <v>2017USDAIG Luxembourg-Third party liabilityPrivilegeFamily</v>
      </c>
      <c r="J44" s="1240" t="str">
        <f t="shared" si="42"/>
        <v>N/A</v>
      </c>
      <c r="K44" s="1240" t="str">
        <f t="shared" si="43"/>
        <v>N/A</v>
      </c>
      <c r="L44" s="392" t="s">
        <v>4</v>
      </c>
      <c r="M44" s="392" t="s">
        <v>2233</v>
      </c>
      <c r="N44" s="392" t="s">
        <v>87</v>
      </c>
      <c r="O44" s="376">
        <v>2017</v>
      </c>
      <c r="P44" s="376" t="s">
        <v>26</v>
      </c>
      <c r="Q44" s="376" t="s">
        <v>1</v>
      </c>
      <c r="R44" s="378">
        <v>293.52</v>
      </c>
      <c r="S44" s="392" t="s">
        <v>2214</v>
      </c>
      <c r="T44" s="392"/>
      <c r="U44" s="392"/>
      <c r="V44" s="1109">
        <v>365</v>
      </c>
      <c r="W44" s="1228">
        <f t="shared" si="44"/>
        <v>4889.8999999999996</v>
      </c>
      <c r="X44" s="197" t="s">
        <v>3</v>
      </c>
      <c r="Y44" s="1188">
        <f t="shared" si="30"/>
        <v>3667.4249999999997</v>
      </c>
      <c r="Z44" s="377">
        <v>0.25</v>
      </c>
      <c r="AA44" s="1189">
        <f t="shared" si="31"/>
        <v>4889.8999999999996</v>
      </c>
      <c r="AB44" s="377">
        <v>0</v>
      </c>
      <c r="AC44" s="378">
        <v>977.98</v>
      </c>
      <c r="AD44" s="374">
        <f t="shared" si="34"/>
        <v>5867.8799999999992</v>
      </c>
      <c r="AE44" s="377">
        <v>0.04</v>
      </c>
      <c r="AF44" s="370">
        <f t="shared" si="35"/>
        <v>195.596</v>
      </c>
      <c r="AG44" s="1216">
        <v>5085.4960000000001</v>
      </c>
      <c r="AH44" s="1215" t="s">
        <v>5</v>
      </c>
      <c r="AI44" s="1177">
        <f t="shared" si="36"/>
        <v>0</v>
      </c>
      <c r="AJ44" s="378"/>
      <c r="AK44" s="1179">
        <f t="shared" si="33"/>
        <v>0</v>
      </c>
      <c r="AL44" s="378"/>
      <c r="AM44" s="378"/>
      <c r="AN44" s="378"/>
      <c r="AO44" s="378"/>
      <c r="AP44" s="378"/>
      <c r="AQ44" s="1216"/>
      <c r="AR44" s="1203" t="s">
        <v>2630</v>
      </c>
      <c r="AS44" s="1177">
        <f t="shared" si="37"/>
        <v>0</v>
      </c>
      <c r="AT44" s="1151"/>
      <c r="AU44" s="1179">
        <f t="shared" si="24"/>
        <v>0</v>
      </c>
      <c r="AV44" s="1151"/>
      <c r="AW44" s="1151"/>
      <c r="AX44" s="1151"/>
      <c r="AY44" s="1151"/>
      <c r="AZ44" s="1151"/>
      <c r="BA44" s="183"/>
      <c r="BB44" s="1212" t="s">
        <v>2631</v>
      </c>
      <c r="BC44" s="1177">
        <f t="shared" si="25"/>
        <v>0</v>
      </c>
      <c r="BD44" s="1151"/>
      <c r="BE44" s="1179">
        <f t="shared" si="26"/>
        <v>0</v>
      </c>
      <c r="BF44" s="1151"/>
      <c r="BG44" s="1151"/>
      <c r="BH44" s="1151"/>
      <c r="BI44" s="1151"/>
      <c r="BJ44" s="1151"/>
      <c r="BK44" s="183"/>
      <c r="BL44" s="1202" t="s">
        <v>2224</v>
      </c>
      <c r="BM44" s="1109"/>
      <c r="BN44" s="1109"/>
      <c r="BO44" s="1109"/>
      <c r="BP44" s="1109"/>
      <c r="BQ44" s="1109"/>
      <c r="BR44" s="1109"/>
      <c r="BS44" s="1109"/>
      <c r="BT44" s="1109"/>
      <c r="BU44" s="380"/>
      <c r="BV44" s="1202" t="s">
        <v>2224</v>
      </c>
      <c r="BW44" s="1109"/>
      <c r="BX44" s="1109"/>
      <c r="BY44" s="1109"/>
      <c r="BZ44" s="1109"/>
      <c r="CA44" s="1109"/>
      <c r="CB44" s="1109"/>
      <c r="CC44" s="1109"/>
      <c r="CD44" s="1109"/>
      <c r="CE44" s="380"/>
    </row>
    <row r="45" spans="1:83" s="1127" customFormat="1">
      <c r="A45" s="291" t="b">
        <v>0</v>
      </c>
      <c r="B45" s="291" t="s">
        <v>2243</v>
      </c>
      <c r="C45" s="291" t="b">
        <f t="shared" si="28"/>
        <v>0</v>
      </c>
      <c r="D45" s="388" t="str">
        <f>IF(C45=FALSE=NAMES!$B$8,"",IF(L45="N/A","N/A",O45&amp;N45&amp;L45&amp;"-"&amp;M45))</f>
        <v>2017USDAIG Luxembourg-PrivilegeSingle</v>
      </c>
      <c r="E45" s="392" t="str">
        <f t="shared" si="29"/>
        <v>2017USDAIG Luxembourg-PrivilegeSingle</v>
      </c>
      <c r="F45" s="1236" t="str">
        <f t="shared" si="38"/>
        <v>2017USDAIG Luxembourg-Healthcare PlanPrivilegeSingle</v>
      </c>
      <c r="G45" s="1240" t="str">
        <f t="shared" si="39"/>
        <v>2017USDAIG Luxembourg-Assistance and RepatriationPrivilegeSingle</v>
      </c>
      <c r="H45" s="1240" t="str">
        <f t="shared" si="40"/>
        <v>2017USDAIG Luxembourg-Legal AssistancePrivilegeSingle</v>
      </c>
      <c r="I45" s="1240" t="str">
        <f t="shared" si="41"/>
        <v>2017USDAIG Luxembourg-Third party liabilityPrivilegeSingle</v>
      </c>
      <c r="J45" s="1240" t="str">
        <f t="shared" si="42"/>
        <v>N/A</v>
      </c>
      <c r="K45" s="1240" t="str">
        <f t="shared" si="43"/>
        <v>N/A</v>
      </c>
      <c r="L45" s="392" t="s">
        <v>4</v>
      </c>
      <c r="M45" s="392" t="s">
        <v>2232</v>
      </c>
      <c r="N45" s="392" t="s">
        <v>87</v>
      </c>
      <c r="O45" s="376">
        <v>2017</v>
      </c>
      <c r="P45" s="376" t="s">
        <v>26</v>
      </c>
      <c r="Q45" s="376" t="s">
        <v>1</v>
      </c>
      <c r="R45" s="378">
        <v>112.04</v>
      </c>
      <c r="S45" s="392" t="s">
        <v>2213</v>
      </c>
      <c r="T45" s="392"/>
      <c r="U45" s="392"/>
      <c r="V45" s="1109">
        <v>365</v>
      </c>
      <c r="W45" s="1228">
        <f t="shared" si="44"/>
        <v>1879.81</v>
      </c>
      <c r="X45" s="197" t="s">
        <v>3</v>
      </c>
      <c r="Y45" s="1188">
        <f t="shared" si="30"/>
        <v>1409.8575000000001</v>
      </c>
      <c r="Z45" s="377">
        <v>0.25</v>
      </c>
      <c r="AA45" s="1189">
        <f t="shared" si="31"/>
        <v>1879.81</v>
      </c>
      <c r="AB45" s="377">
        <v>0</v>
      </c>
      <c r="AC45" s="378">
        <v>375.96</v>
      </c>
      <c r="AD45" s="374">
        <f t="shared" si="34"/>
        <v>2255.77</v>
      </c>
      <c r="AE45" s="377">
        <v>0.04</v>
      </c>
      <c r="AF45" s="370">
        <f t="shared" si="35"/>
        <v>75.192400000000006</v>
      </c>
      <c r="AG45" s="1216">
        <v>1955.0024000000001</v>
      </c>
      <c r="AH45" s="1215" t="s">
        <v>5</v>
      </c>
      <c r="AI45" s="1177">
        <f t="shared" si="36"/>
        <v>0</v>
      </c>
      <c r="AJ45" s="378"/>
      <c r="AK45" s="1179">
        <f t="shared" si="33"/>
        <v>0</v>
      </c>
      <c r="AL45" s="378"/>
      <c r="AM45" s="378"/>
      <c r="AN45" s="378"/>
      <c r="AO45" s="378"/>
      <c r="AP45" s="378"/>
      <c r="AQ45" s="1216"/>
      <c r="AR45" s="1203" t="s">
        <v>2630</v>
      </c>
      <c r="AS45" s="1177">
        <f t="shared" si="37"/>
        <v>0</v>
      </c>
      <c r="AT45" s="1151"/>
      <c r="AU45" s="1179">
        <f t="shared" si="24"/>
        <v>0</v>
      </c>
      <c r="AV45" s="1151"/>
      <c r="AW45" s="1151"/>
      <c r="AX45" s="1151"/>
      <c r="AY45" s="1151"/>
      <c r="AZ45" s="1151"/>
      <c r="BA45" s="183"/>
      <c r="BB45" s="1212" t="s">
        <v>2631</v>
      </c>
      <c r="BC45" s="1177">
        <f t="shared" si="25"/>
        <v>0</v>
      </c>
      <c r="BD45" s="1151"/>
      <c r="BE45" s="1179">
        <f t="shared" si="26"/>
        <v>0</v>
      </c>
      <c r="BF45" s="1151"/>
      <c r="BG45" s="1151"/>
      <c r="BH45" s="1151"/>
      <c r="BI45" s="1151"/>
      <c r="BJ45" s="1151"/>
      <c r="BK45" s="183"/>
      <c r="BL45" s="1202" t="s">
        <v>2224</v>
      </c>
      <c r="BM45" s="1109"/>
      <c r="BN45" s="1109"/>
      <c r="BO45" s="1109"/>
      <c r="BP45" s="1109"/>
      <c r="BQ45" s="1109"/>
      <c r="BR45" s="1109"/>
      <c r="BS45" s="1109"/>
      <c r="BT45" s="1109"/>
      <c r="BU45" s="380"/>
      <c r="BV45" s="1202" t="s">
        <v>2224</v>
      </c>
      <c r="BW45" s="1109"/>
      <c r="BX45" s="1109"/>
      <c r="BY45" s="1109"/>
      <c r="BZ45" s="1109"/>
      <c r="CA45" s="1109"/>
      <c r="CB45" s="1109"/>
      <c r="CC45" s="1109"/>
      <c r="CD45" s="1109"/>
      <c r="CE45" s="380"/>
    </row>
    <row r="46" spans="1:83" s="1127" customFormat="1">
      <c r="A46" s="291" t="b">
        <v>0</v>
      </c>
      <c r="B46" s="291" t="s">
        <v>2243</v>
      </c>
      <c r="C46" s="291" t="b">
        <f t="shared" si="28"/>
        <v>0</v>
      </c>
      <c r="D46" s="388" t="str">
        <f>IF(C46=FALSE=NAMES!$B$8,"",IF(L46="N/A","N/A",O46&amp;N46&amp;L46&amp;"-"&amp;M46))</f>
        <v>2017USDAIG Luxembourg-Vitale-12months</v>
      </c>
      <c r="E46" s="392" t="str">
        <f t="shared" si="29"/>
        <v>2017USDAIG Luxembourg-Vitale-12months</v>
      </c>
      <c r="F46" s="1236" t="str">
        <f t="shared" si="38"/>
        <v>2017USDAIG Luxembourg-Healthcare PlanVitale-12months</v>
      </c>
      <c r="G46" s="1240" t="str">
        <f t="shared" si="39"/>
        <v>2017USDAIG Luxembourg-Assistance and RepatriationVitale-12months</v>
      </c>
      <c r="H46" s="1240" t="str">
        <f t="shared" si="40"/>
        <v>2017USDAIG Luxembourg-Legal AssistanceVitale-12months</v>
      </c>
      <c r="I46" s="1240" t="str">
        <f t="shared" si="41"/>
        <v>2017USDAIG Luxembourg-Third party liabilityVitale-12months</v>
      </c>
      <c r="J46" s="1240" t="str">
        <f t="shared" si="42"/>
        <v>N/A</v>
      </c>
      <c r="K46" s="1240" t="str">
        <f t="shared" si="43"/>
        <v>N/A</v>
      </c>
      <c r="L46" s="392" t="s">
        <v>4</v>
      </c>
      <c r="M46" s="392" t="s">
        <v>2540</v>
      </c>
      <c r="N46" s="392" t="s">
        <v>87</v>
      </c>
      <c r="O46" s="376">
        <v>2017</v>
      </c>
      <c r="P46" s="376" t="s">
        <v>26</v>
      </c>
      <c r="Q46" s="376" t="s">
        <v>1</v>
      </c>
      <c r="R46" s="378">
        <v>15</v>
      </c>
      <c r="S46" s="392" t="s">
        <v>2213</v>
      </c>
      <c r="T46" s="392"/>
      <c r="U46" s="392"/>
      <c r="V46" s="1109">
        <v>365</v>
      </c>
      <c r="W46" s="1228">
        <f t="shared" si="44"/>
        <v>152.4</v>
      </c>
      <c r="X46" s="197" t="s">
        <v>3</v>
      </c>
      <c r="Y46" s="1188">
        <f t="shared" si="30"/>
        <v>114.30000000000001</v>
      </c>
      <c r="Z46" s="377">
        <v>0.25</v>
      </c>
      <c r="AA46" s="1189">
        <f t="shared" si="31"/>
        <v>152.4</v>
      </c>
      <c r="AB46" s="377">
        <v>0</v>
      </c>
      <c r="AC46" s="378">
        <v>0</v>
      </c>
      <c r="AD46" s="374">
        <f t="shared" si="34"/>
        <v>152.4</v>
      </c>
      <c r="AE46" s="377">
        <v>0.04</v>
      </c>
      <c r="AF46" s="370">
        <f t="shared" si="35"/>
        <v>6.0960000000000001</v>
      </c>
      <c r="AG46" s="1216">
        <v>158.49600000000001</v>
      </c>
      <c r="AH46" s="1215" t="s">
        <v>5</v>
      </c>
      <c r="AI46" s="1177">
        <f t="shared" si="36"/>
        <v>0</v>
      </c>
      <c r="AJ46" s="378"/>
      <c r="AK46" s="1179">
        <f t="shared" si="33"/>
        <v>0</v>
      </c>
      <c r="AL46" s="378"/>
      <c r="AM46" s="378"/>
      <c r="AN46" s="378"/>
      <c r="AO46" s="378"/>
      <c r="AP46" s="378"/>
      <c r="AQ46" s="1216"/>
      <c r="AR46" s="1203" t="s">
        <v>2630</v>
      </c>
      <c r="AS46" s="1177">
        <f t="shared" si="37"/>
        <v>0</v>
      </c>
      <c r="AT46" s="1151"/>
      <c r="AU46" s="1179">
        <f t="shared" si="24"/>
        <v>0</v>
      </c>
      <c r="AV46" s="1151"/>
      <c r="AW46" s="1151"/>
      <c r="AX46" s="1151"/>
      <c r="AY46" s="1151"/>
      <c r="AZ46" s="1151"/>
      <c r="BA46" s="183"/>
      <c r="BB46" s="1212" t="s">
        <v>2631</v>
      </c>
      <c r="BC46" s="1177">
        <f t="shared" si="25"/>
        <v>0</v>
      </c>
      <c r="BD46" s="1151"/>
      <c r="BE46" s="1179">
        <f t="shared" si="26"/>
        <v>0</v>
      </c>
      <c r="BF46" s="1151"/>
      <c r="BG46" s="1151"/>
      <c r="BH46" s="1151"/>
      <c r="BI46" s="1151"/>
      <c r="BJ46" s="1151"/>
      <c r="BK46" s="183"/>
      <c r="BL46" s="1202" t="s">
        <v>2224</v>
      </c>
      <c r="BM46" s="1109"/>
      <c r="BN46" s="1109"/>
      <c r="BO46" s="1109"/>
      <c r="BP46" s="1109"/>
      <c r="BQ46" s="1109"/>
      <c r="BR46" s="1109"/>
      <c r="BS46" s="1109"/>
      <c r="BT46" s="1109"/>
      <c r="BU46" s="380"/>
      <c r="BV46" s="1202" t="s">
        <v>2224</v>
      </c>
      <c r="BW46" s="1109"/>
      <c r="BX46" s="1109"/>
      <c r="BY46" s="1109"/>
      <c r="BZ46" s="1109"/>
      <c r="CA46" s="1109"/>
      <c r="CB46" s="1109"/>
      <c r="CC46" s="1109"/>
      <c r="CD46" s="1109"/>
      <c r="CE46" s="380"/>
    </row>
    <row r="47" spans="1:83" s="1127" customFormat="1">
      <c r="A47" s="291" t="b">
        <v>0</v>
      </c>
      <c r="B47" s="291" t="s">
        <v>2243</v>
      </c>
      <c r="C47" s="291" t="b">
        <f t="shared" si="28"/>
        <v>0</v>
      </c>
      <c r="D47" s="388" t="str">
        <f>IF(C47=FALSE=NAMES!$B$8,"",IF(L47="N/A","N/A",O47&amp;N47&amp;L47&amp;"-"&amp;M47))</f>
        <v>2017USDAIG Luxembourg-Vitale-6months</v>
      </c>
      <c r="E47" s="392" t="str">
        <f t="shared" si="29"/>
        <v>2017USDAIG Luxembourg-Vitale-6months</v>
      </c>
      <c r="F47" s="1236" t="str">
        <f t="shared" si="38"/>
        <v>2017USDAIG Luxembourg-Healthcare PlanVitale-6months</v>
      </c>
      <c r="G47" s="1240" t="str">
        <f t="shared" si="39"/>
        <v>2017USDAIG Luxembourg-Assistance and RepatriationVitale-6months</v>
      </c>
      <c r="H47" s="1240" t="str">
        <f t="shared" si="40"/>
        <v>2017USDAIG Luxembourg-Legal AssistanceVitale-6months</v>
      </c>
      <c r="I47" s="1240" t="str">
        <f t="shared" si="41"/>
        <v>2017USDAIG Luxembourg-Third party liabilityVitale-6months</v>
      </c>
      <c r="J47" s="1240" t="str">
        <f t="shared" si="42"/>
        <v>N/A</v>
      </c>
      <c r="K47" s="1240" t="str">
        <f t="shared" si="43"/>
        <v>N/A</v>
      </c>
      <c r="L47" s="392" t="s">
        <v>4</v>
      </c>
      <c r="M47" s="392" t="s">
        <v>2541</v>
      </c>
      <c r="N47" s="392" t="s">
        <v>87</v>
      </c>
      <c r="O47" s="376">
        <v>2017</v>
      </c>
      <c r="P47" s="376" t="s">
        <v>26</v>
      </c>
      <c r="Q47" s="376" t="s">
        <v>1</v>
      </c>
      <c r="R47" s="378">
        <v>15</v>
      </c>
      <c r="S47" s="392" t="s">
        <v>2213</v>
      </c>
      <c r="T47" s="392"/>
      <c r="U47" s="392"/>
      <c r="V47" s="1109">
        <v>180</v>
      </c>
      <c r="W47" s="1228">
        <f t="shared" si="44"/>
        <v>100.24</v>
      </c>
      <c r="X47" s="197" t="s">
        <v>3</v>
      </c>
      <c r="Y47" s="1188">
        <f t="shared" si="30"/>
        <v>75.179999999999993</v>
      </c>
      <c r="Z47" s="377">
        <v>0.25</v>
      </c>
      <c r="AA47" s="1189">
        <f t="shared" si="31"/>
        <v>100.24</v>
      </c>
      <c r="AB47" s="377">
        <v>0</v>
      </c>
      <c r="AC47" s="378">
        <v>0</v>
      </c>
      <c r="AD47" s="374">
        <f t="shared" si="34"/>
        <v>100.24</v>
      </c>
      <c r="AE47" s="377">
        <v>0.04</v>
      </c>
      <c r="AF47" s="370">
        <f t="shared" si="35"/>
        <v>4.0095999999999998</v>
      </c>
      <c r="AG47" s="1216">
        <v>104.2496</v>
      </c>
      <c r="AH47" s="1215" t="s">
        <v>5</v>
      </c>
      <c r="AI47" s="1177">
        <f t="shared" si="36"/>
        <v>0</v>
      </c>
      <c r="AJ47" s="378"/>
      <c r="AK47" s="1179">
        <f t="shared" si="33"/>
        <v>0</v>
      </c>
      <c r="AL47" s="378"/>
      <c r="AM47" s="378"/>
      <c r="AN47" s="378"/>
      <c r="AO47" s="378"/>
      <c r="AP47" s="378"/>
      <c r="AQ47" s="1216"/>
      <c r="AR47" s="1203" t="s">
        <v>2630</v>
      </c>
      <c r="AS47" s="1177">
        <f t="shared" si="37"/>
        <v>0</v>
      </c>
      <c r="AT47" s="1151"/>
      <c r="AU47" s="1179">
        <f t="shared" si="24"/>
        <v>0</v>
      </c>
      <c r="AV47" s="1151"/>
      <c r="AW47" s="1151"/>
      <c r="AX47" s="1151"/>
      <c r="AY47" s="1151"/>
      <c r="AZ47" s="1151"/>
      <c r="BA47" s="183"/>
      <c r="BB47" s="1212" t="s">
        <v>2631</v>
      </c>
      <c r="BC47" s="1177">
        <f t="shared" si="25"/>
        <v>0</v>
      </c>
      <c r="BD47" s="1151"/>
      <c r="BE47" s="1179">
        <f t="shared" si="26"/>
        <v>0</v>
      </c>
      <c r="BF47" s="1151"/>
      <c r="BG47" s="1151"/>
      <c r="BH47" s="1151"/>
      <c r="BI47" s="1151"/>
      <c r="BJ47" s="1151"/>
      <c r="BK47" s="183"/>
      <c r="BL47" s="1202" t="s">
        <v>2224</v>
      </c>
      <c r="BM47" s="1109"/>
      <c r="BN47" s="1109"/>
      <c r="BO47" s="1109"/>
      <c r="BP47" s="1109"/>
      <c r="BQ47" s="1109"/>
      <c r="BR47" s="1109"/>
      <c r="BS47" s="1109"/>
      <c r="BT47" s="1109"/>
      <c r="BU47" s="380"/>
      <c r="BV47" s="1202" t="s">
        <v>2224</v>
      </c>
      <c r="BW47" s="1109"/>
      <c r="BX47" s="1109"/>
      <c r="BY47" s="1109"/>
      <c r="BZ47" s="1109"/>
      <c r="CA47" s="1109"/>
      <c r="CB47" s="1109"/>
      <c r="CC47" s="1109"/>
      <c r="CD47" s="1109"/>
      <c r="CE47" s="380"/>
    </row>
    <row r="48" spans="1:83" s="1127" customFormat="1">
      <c r="A48" s="291" t="b">
        <v>0</v>
      </c>
      <c r="B48" s="291" t="s">
        <v>2243</v>
      </c>
      <c r="C48" s="291" t="b">
        <f t="shared" ref="C48:C54" si="45">IF(B48="N/A","",IF(B48="newRates",FALSE,TRUE))</f>
        <v>0</v>
      </c>
      <c r="D48" s="388" t="str">
        <f>IF(C48=FALSE=NAMES!$B$8,"",IF(L48="N/A","N/A",O48&amp;N48&amp;L48&amp;"-"&amp;M48))</f>
        <v>2017USDAIG Luxembourg-Perfect</v>
      </c>
      <c r="E48" s="392" t="str">
        <f t="shared" si="29"/>
        <v>2017USDAIG Luxembourg-Perfect</v>
      </c>
      <c r="F48" s="1236" t="str">
        <f t="shared" si="38"/>
        <v>2017USDAIG Luxembourg-Healthcare PlanPerfect</v>
      </c>
      <c r="G48" s="1240" t="str">
        <f t="shared" si="39"/>
        <v>2017USDAIG Luxembourg-Assistance and RepatriationPerfect</v>
      </c>
      <c r="H48" s="1240" t="str">
        <f t="shared" si="40"/>
        <v>2017USDAIG Luxembourg-Legal AssistancePerfect</v>
      </c>
      <c r="I48" s="1240" t="str">
        <f t="shared" si="41"/>
        <v>2017USDAIG Luxembourg-Third party liabilityPerfect</v>
      </c>
      <c r="J48" s="1240" t="str">
        <f t="shared" si="42"/>
        <v>N/A</v>
      </c>
      <c r="K48" s="1240" t="str">
        <f t="shared" si="43"/>
        <v>N/A</v>
      </c>
      <c r="L48" s="392" t="s">
        <v>4</v>
      </c>
      <c r="M48" s="392" t="s">
        <v>2580</v>
      </c>
      <c r="N48" s="392" t="s">
        <v>87</v>
      </c>
      <c r="O48" s="376">
        <v>2017</v>
      </c>
      <c r="P48" s="376" t="s">
        <v>26</v>
      </c>
      <c r="Q48" s="376" t="s">
        <v>1</v>
      </c>
      <c r="R48" s="378">
        <v>36.200000000000003</v>
      </c>
      <c r="S48" s="392" t="s">
        <v>2213</v>
      </c>
      <c r="T48" s="392"/>
      <c r="U48" s="392"/>
      <c r="V48" s="1109">
        <v>365</v>
      </c>
      <c r="W48" s="1228">
        <f t="shared" si="44"/>
        <v>1419.2307692307693</v>
      </c>
      <c r="X48" s="197" t="s">
        <v>3</v>
      </c>
      <c r="Y48" s="1188">
        <f t="shared" si="30"/>
        <v>874.03846153846143</v>
      </c>
      <c r="Z48" s="377">
        <v>0.25</v>
      </c>
      <c r="AA48" s="1189">
        <f t="shared" si="31"/>
        <v>1165.3846153846152</v>
      </c>
      <c r="AB48" s="377">
        <v>0</v>
      </c>
      <c r="AC48" s="378">
        <v>0</v>
      </c>
      <c r="AD48" s="374">
        <f t="shared" si="34"/>
        <v>1165.3846153846152</v>
      </c>
      <c r="AE48" s="377">
        <v>0.04</v>
      </c>
      <c r="AF48" s="370">
        <f t="shared" si="35"/>
        <v>46.615384615384613</v>
      </c>
      <c r="AG48" s="1216">
        <v>1212</v>
      </c>
      <c r="AH48" s="1215" t="s">
        <v>5</v>
      </c>
      <c r="AI48" s="1177">
        <f t="shared" ref="AI48:AI54" si="46">IF(AH48="N/A","",AK48*(1-AJ48))</f>
        <v>142.78846153846155</v>
      </c>
      <c r="AJ48" s="1175">
        <v>0.25</v>
      </c>
      <c r="AK48" s="1179">
        <f t="shared" si="33"/>
        <v>190.38461538461539</v>
      </c>
      <c r="AL48" s="1175">
        <v>0</v>
      </c>
      <c r="AM48" s="1174">
        <v>0</v>
      </c>
      <c r="AN48" s="1178"/>
      <c r="AO48" s="1175">
        <v>0.04</v>
      </c>
      <c r="AP48" s="1175"/>
      <c r="AQ48" s="1204">
        <v>198</v>
      </c>
      <c r="AR48" s="1203" t="s">
        <v>2630</v>
      </c>
      <c r="AS48" s="1177">
        <f t="shared" si="37"/>
        <v>10.096153846153847</v>
      </c>
      <c r="AT48" s="1175">
        <v>0.25</v>
      </c>
      <c r="AU48" s="1179">
        <f t="shared" si="24"/>
        <v>13.461538461538462</v>
      </c>
      <c r="AV48" s="1175">
        <v>0</v>
      </c>
      <c r="AW48" s="1174">
        <v>0</v>
      </c>
      <c r="AX48" s="1176"/>
      <c r="AY48" s="1175">
        <v>0.04</v>
      </c>
      <c r="AZ48" s="1175"/>
      <c r="BA48" s="1204">
        <v>14</v>
      </c>
      <c r="BB48" s="1212" t="s">
        <v>2631</v>
      </c>
      <c r="BC48" s="1177">
        <f t="shared" si="25"/>
        <v>37.5</v>
      </c>
      <c r="BD48" s="1175">
        <v>0.25</v>
      </c>
      <c r="BE48" s="1179">
        <f t="shared" si="26"/>
        <v>50</v>
      </c>
      <c r="BF48" s="1175">
        <v>0</v>
      </c>
      <c r="BG48" s="1174">
        <v>0</v>
      </c>
      <c r="BH48" s="1176"/>
      <c r="BI48" s="1175">
        <v>0.04</v>
      </c>
      <c r="BJ48" s="1175"/>
      <c r="BK48" s="1204">
        <v>52</v>
      </c>
      <c r="BL48" s="1202" t="s">
        <v>2224</v>
      </c>
      <c r="BM48" s="1109"/>
      <c r="BN48" s="1109"/>
      <c r="BO48" s="1109"/>
      <c r="BP48" s="1109"/>
      <c r="BQ48" s="1109"/>
      <c r="BR48" s="1109"/>
      <c r="BS48" s="1109"/>
      <c r="BT48" s="1109"/>
      <c r="BU48" s="380"/>
      <c r="BV48" s="1202" t="s">
        <v>2224</v>
      </c>
      <c r="BW48" s="1109"/>
      <c r="BX48" s="1109"/>
      <c r="BY48" s="1109"/>
      <c r="BZ48" s="1109"/>
      <c r="CA48" s="1109"/>
      <c r="CB48" s="1109"/>
      <c r="CC48" s="1109"/>
      <c r="CD48" s="1109"/>
      <c r="CE48" s="380"/>
    </row>
    <row r="49" spans="1:83" s="1127" customFormat="1">
      <c r="A49" s="291" t="b">
        <v>0</v>
      </c>
      <c r="B49" s="291" t="s">
        <v>2243</v>
      </c>
      <c r="C49" s="291" t="b">
        <f t="shared" si="45"/>
        <v>0</v>
      </c>
      <c r="D49" s="388" t="str">
        <f>IF(C49=FALSE=NAMES!$B$8,"",IF(L49="N/A","N/A",O49&amp;N49&amp;L49&amp;"-"&amp;M49))</f>
        <v>2017USDAIG Luxembourg-Perfect Plus</v>
      </c>
      <c r="E49" s="392" t="str">
        <f t="shared" si="29"/>
        <v>2017USDAIG Luxembourg-Perfect Plus</v>
      </c>
      <c r="F49" s="1236" t="str">
        <f t="shared" si="38"/>
        <v>2017USDAIG Luxembourg-Healthcare PlanPerfect Plus</v>
      </c>
      <c r="G49" s="1240" t="str">
        <f t="shared" si="39"/>
        <v>2017USDAIG Luxembourg-Assistance and RepatriationPerfect Plus</v>
      </c>
      <c r="H49" s="1240" t="str">
        <f t="shared" si="40"/>
        <v>2017USDAIG Luxembourg-Legal AssistancePerfect Plus</v>
      </c>
      <c r="I49" s="1240" t="str">
        <f t="shared" si="41"/>
        <v>2017USDAIG Luxembourg-Third party liabilityPerfect Plus</v>
      </c>
      <c r="J49" s="1240" t="str">
        <f t="shared" si="42"/>
        <v>N/A</v>
      </c>
      <c r="K49" s="1240" t="str">
        <f t="shared" si="43"/>
        <v>N/A</v>
      </c>
      <c r="L49" s="392" t="s">
        <v>4</v>
      </c>
      <c r="M49" s="392" t="s">
        <v>2584</v>
      </c>
      <c r="N49" s="392" t="s">
        <v>87</v>
      </c>
      <c r="O49" s="376">
        <v>2017</v>
      </c>
      <c r="P49" s="376" t="s">
        <v>26</v>
      </c>
      <c r="Q49" s="376" t="s">
        <v>1</v>
      </c>
      <c r="R49" s="378">
        <v>36.200000000000003</v>
      </c>
      <c r="S49" s="392" t="s">
        <v>2213</v>
      </c>
      <c r="T49" s="392"/>
      <c r="U49" s="392"/>
      <c r="V49" s="1109">
        <v>365</v>
      </c>
      <c r="W49" s="1228">
        <f t="shared" si="44"/>
        <v>1493.2692307692305</v>
      </c>
      <c r="X49" s="197" t="s">
        <v>3</v>
      </c>
      <c r="Y49" s="1188">
        <f t="shared" si="30"/>
        <v>874.03846153846143</v>
      </c>
      <c r="Z49" s="377">
        <v>0.25</v>
      </c>
      <c r="AA49" s="1189">
        <f t="shared" si="31"/>
        <v>1165.3846153846152</v>
      </c>
      <c r="AB49" s="377">
        <v>0</v>
      </c>
      <c r="AC49" s="378">
        <v>0</v>
      </c>
      <c r="AD49" s="374">
        <f t="shared" si="34"/>
        <v>1165.3846153846152</v>
      </c>
      <c r="AE49" s="377">
        <v>0.04</v>
      </c>
      <c r="AF49" s="370">
        <f t="shared" si="35"/>
        <v>46.615384615384613</v>
      </c>
      <c r="AG49" s="1216">
        <v>1212</v>
      </c>
      <c r="AH49" s="1215" t="s">
        <v>5</v>
      </c>
      <c r="AI49" s="1177">
        <f t="shared" si="46"/>
        <v>245.91346153846152</v>
      </c>
      <c r="AJ49" s="1175">
        <v>0.25</v>
      </c>
      <c r="AK49" s="1179">
        <f t="shared" si="33"/>
        <v>327.88461538461536</v>
      </c>
      <c r="AL49" s="1175">
        <v>0</v>
      </c>
      <c r="AM49" s="1174">
        <v>0</v>
      </c>
      <c r="AN49" s="1178"/>
      <c r="AO49" s="1175">
        <v>0.04</v>
      </c>
      <c r="AP49" s="1175"/>
      <c r="AQ49" s="1204">
        <v>341</v>
      </c>
      <c r="AR49" s="1203" t="s">
        <v>2630</v>
      </c>
      <c r="AS49" s="1177">
        <f t="shared" si="37"/>
        <v>0</v>
      </c>
      <c r="AT49" s="1151"/>
      <c r="AU49" s="1179">
        <f t="shared" si="24"/>
        <v>0</v>
      </c>
      <c r="AV49" s="1151"/>
      <c r="AW49" s="1151"/>
      <c r="AX49" s="1151"/>
      <c r="AY49" s="1151"/>
      <c r="AZ49" s="1151"/>
      <c r="BA49" s="183"/>
      <c r="BB49" s="1212" t="s">
        <v>2631</v>
      </c>
      <c r="BC49" s="1177">
        <f t="shared" si="25"/>
        <v>0</v>
      </c>
      <c r="BD49" s="1151"/>
      <c r="BE49" s="1179">
        <f t="shared" si="26"/>
        <v>0</v>
      </c>
      <c r="BF49" s="1151"/>
      <c r="BG49" s="1151"/>
      <c r="BH49" s="1151"/>
      <c r="BI49" s="1151"/>
      <c r="BJ49" s="1151"/>
      <c r="BK49" s="183"/>
      <c r="BL49" s="1202" t="s">
        <v>2224</v>
      </c>
      <c r="BM49" s="1109"/>
      <c r="BN49" s="1109"/>
      <c r="BO49" s="1109"/>
      <c r="BP49" s="1109"/>
      <c r="BQ49" s="1109"/>
      <c r="BR49" s="1109"/>
      <c r="BS49" s="1109"/>
      <c r="BT49" s="1109"/>
      <c r="BU49" s="380"/>
      <c r="BV49" s="1202" t="s">
        <v>2224</v>
      </c>
      <c r="BW49" s="1109"/>
      <c r="BX49" s="1109"/>
      <c r="BY49" s="1109"/>
      <c r="BZ49" s="1109"/>
      <c r="CA49" s="1109"/>
      <c r="CB49" s="1109"/>
      <c r="CC49" s="1109"/>
      <c r="CD49" s="1109"/>
      <c r="CE49" s="380"/>
    </row>
    <row r="50" spans="1:83" s="1127" customFormat="1">
      <c r="A50" s="291" t="b">
        <v>0</v>
      </c>
      <c r="B50" s="291" t="s">
        <v>2243</v>
      </c>
      <c r="C50" s="291" t="b">
        <f t="shared" si="45"/>
        <v>0</v>
      </c>
      <c r="D50" s="388" t="str">
        <f>IF(C50=FALSE=NAMES!$B$8,"",IF(L50="N/A","N/A",O50&amp;N50&amp;L50&amp;"-"&amp;M50))</f>
        <v>2017USDAIG Luxembourg-Perfect S</v>
      </c>
      <c r="E50" s="392" t="str">
        <f t="shared" si="29"/>
        <v>2017USDAIG Luxembourg-Perfect S</v>
      </c>
      <c r="F50" s="1236" t="str">
        <f t="shared" si="38"/>
        <v>2017USDAIG Luxembourg-Healthcare PlanPerfect S</v>
      </c>
      <c r="G50" s="1240" t="str">
        <f t="shared" si="39"/>
        <v>2017USDAIG Luxembourg-Assistance and RepatriationPerfect S</v>
      </c>
      <c r="H50" s="1240" t="str">
        <f t="shared" si="40"/>
        <v>2017USDAIG Luxembourg-Legal AssistancePerfect S</v>
      </c>
      <c r="I50" s="1240" t="str">
        <f t="shared" si="41"/>
        <v>2017USDAIG Luxembourg-Third party liabilityPerfect S</v>
      </c>
      <c r="J50" s="1240" t="str">
        <f t="shared" si="42"/>
        <v>N/A</v>
      </c>
      <c r="K50" s="1240" t="str">
        <f t="shared" si="43"/>
        <v>N/A</v>
      </c>
      <c r="L50" s="392" t="s">
        <v>4</v>
      </c>
      <c r="M50" s="392" t="s">
        <v>2583</v>
      </c>
      <c r="N50" s="392" t="s">
        <v>87</v>
      </c>
      <c r="O50" s="376">
        <v>2017</v>
      </c>
      <c r="P50" s="376" t="s">
        <v>26</v>
      </c>
      <c r="Q50" s="376" t="s">
        <v>1</v>
      </c>
      <c r="R50" s="378">
        <v>13.2</v>
      </c>
      <c r="S50" s="392" t="s">
        <v>2213</v>
      </c>
      <c r="T50" s="392"/>
      <c r="U50" s="392"/>
      <c r="V50" s="1109">
        <v>365</v>
      </c>
      <c r="W50" s="1228">
        <f t="shared" si="44"/>
        <v>1419.2307692307693</v>
      </c>
      <c r="X50" s="197" t="s">
        <v>3</v>
      </c>
      <c r="Y50" s="1188">
        <f t="shared" si="30"/>
        <v>874.03846153846143</v>
      </c>
      <c r="Z50" s="377">
        <v>0.25</v>
      </c>
      <c r="AA50" s="1189">
        <f t="shared" si="31"/>
        <v>1165.3846153846152</v>
      </c>
      <c r="AB50" s="377">
        <v>0</v>
      </c>
      <c r="AC50" s="378">
        <v>0</v>
      </c>
      <c r="AD50" s="374">
        <f t="shared" si="34"/>
        <v>1165.3846153846152</v>
      </c>
      <c r="AE50" s="377">
        <v>0.04</v>
      </c>
      <c r="AF50" s="370">
        <f t="shared" si="35"/>
        <v>46.615384615384613</v>
      </c>
      <c r="AG50" s="1216">
        <v>1212</v>
      </c>
      <c r="AH50" s="1215" t="s">
        <v>5</v>
      </c>
      <c r="AI50" s="1177">
        <f t="shared" si="46"/>
        <v>142.78846153846155</v>
      </c>
      <c r="AJ50" s="1175">
        <v>0.25</v>
      </c>
      <c r="AK50" s="1179">
        <f t="shared" si="33"/>
        <v>190.38461538461539</v>
      </c>
      <c r="AL50" s="1175">
        <v>0</v>
      </c>
      <c r="AM50" s="1174">
        <v>0</v>
      </c>
      <c r="AN50" s="1178"/>
      <c r="AO50" s="1175">
        <v>0.04</v>
      </c>
      <c r="AP50" s="1175"/>
      <c r="AQ50" s="1204">
        <v>198</v>
      </c>
      <c r="AR50" s="1203" t="s">
        <v>2630</v>
      </c>
      <c r="AS50" s="1177">
        <f t="shared" si="37"/>
        <v>10.096153846153847</v>
      </c>
      <c r="AT50" s="1175">
        <v>0.25</v>
      </c>
      <c r="AU50" s="1179">
        <f t="shared" si="24"/>
        <v>13.461538461538462</v>
      </c>
      <c r="AV50" s="1175">
        <v>0</v>
      </c>
      <c r="AW50" s="1174">
        <v>0</v>
      </c>
      <c r="AX50" s="1176"/>
      <c r="AY50" s="1175">
        <v>0.04</v>
      </c>
      <c r="AZ50" s="1175"/>
      <c r="BA50" s="1204">
        <v>14</v>
      </c>
      <c r="BB50" s="1212" t="s">
        <v>2631</v>
      </c>
      <c r="BC50" s="1177">
        <f t="shared" si="25"/>
        <v>37.5</v>
      </c>
      <c r="BD50" s="1175">
        <v>0.25</v>
      </c>
      <c r="BE50" s="1179">
        <f t="shared" si="26"/>
        <v>50</v>
      </c>
      <c r="BF50" s="1175">
        <v>0</v>
      </c>
      <c r="BG50" s="1174">
        <v>0</v>
      </c>
      <c r="BH50" s="1176"/>
      <c r="BI50" s="1175">
        <v>0.04</v>
      </c>
      <c r="BJ50" s="1175"/>
      <c r="BK50" s="1204">
        <v>52</v>
      </c>
      <c r="BL50" s="1202" t="s">
        <v>2224</v>
      </c>
      <c r="BM50" s="1109"/>
      <c r="BN50" s="1109"/>
      <c r="BO50" s="1109"/>
      <c r="BP50" s="1109"/>
      <c r="BQ50" s="1109"/>
      <c r="BR50" s="1109"/>
      <c r="BS50" s="1109"/>
      <c r="BT50" s="1109"/>
      <c r="BU50" s="380"/>
      <c r="BV50" s="1202" t="s">
        <v>2224</v>
      </c>
      <c r="BW50" s="1109"/>
      <c r="BX50" s="1109"/>
      <c r="BY50" s="1109"/>
      <c r="BZ50" s="1109"/>
      <c r="CA50" s="1109"/>
      <c r="CB50" s="1109"/>
      <c r="CC50" s="1109"/>
      <c r="CD50" s="1109"/>
      <c r="CE50" s="380"/>
    </row>
    <row r="51" spans="1:83" s="1127" customFormat="1">
      <c r="A51" s="291" t="b">
        <v>0</v>
      </c>
      <c r="B51" s="291" t="s">
        <v>2243</v>
      </c>
      <c r="C51" s="291" t="b">
        <f t="shared" si="45"/>
        <v>0</v>
      </c>
      <c r="D51" s="388" t="str">
        <f>IF(C51=FALSE=NAMES!$B$8,"",IF(L51="N/A","N/A",O51&amp;N51&amp;L51&amp;"-"&amp;M51))</f>
        <v>2017USDAIG Luxembourg-Standard</v>
      </c>
      <c r="E51" s="392" t="str">
        <f t="shared" si="29"/>
        <v>2017USDAIG Luxembourg-Standard</v>
      </c>
      <c r="F51" s="1236" t="str">
        <f t="shared" si="38"/>
        <v>2017USDAIG Luxembourg-Healthcare PlanStandard</v>
      </c>
      <c r="G51" s="1240" t="str">
        <f t="shared" si="39"/>
        <v>2017USDAIG Luxembourg-Assistance and RepatriationStandard</v>
      </c>
      <c r="H51" s="1240" t="str">
        <f t="shared" si="40"/>
        <v>2017USDAIG Luxembourg-Legal AssistanceStandard</v>
      </c>
      <c r="I51" s="1240" t="str">
        <f t="shared" si="41"/>
        <v>2017USDAIG Luxembourg-Third party liabilityStandard</v>
      </c>
      <c r="J51" s="1240" t="str">
        <f t="shared" si="42"/>
        <v>N/A</v>
      </c>
      <c r="K51" s="1240" t="str">
        <f t="shared" si="43"/>
        <v>N/A</v>
      </c>
      <c r="L51" s="392" t="s">
        <v>4</v>
      </c>
      <c r="M51" s="392" t="s">
        <v>2578</v>
      </c>
      <c r="N51" s="392" t="s">
        <v>87</v>
      </c>
      <c r="O51" s="376">
        <v>2017</v>
      </c>
      <c r="P51" s="376" t="s">
        <v>26</v>
      </c>
      <c r="Q51" s="376" t="s">
        <v>1</v>
      </c>
      <c r="R51" s="378">
        <v>63.2</v>
      </c>
      <c r="S51" s="392" t="s">
        <v>2213</v>
      </c>
      <c r="T51" s="392"/>
      <c r="U51" s="392"/>
      <c r="V51" s="1109">
        <v>365</v>
      </c>
      <c r="W51" s="1228">
        <f t="shared" si="44"/>
        <v>632.49999999999989</v>
      </c>
      <c r="X51" s="197" t="s">
        <v>3</v>
      </c>
      <c r="Y51" s="1188">
        <f t="shared" si="30"/>
        <v>426.77884615384608</v>
      </c>
      <c r="Z51" s="377">
        <v>0.25</v>
      </c>
      <c r="AA51" s="1189">
        <f t="shared" si="31"/>
        <v>569.03846153846143</v>
      </c>
      <c r="AB51" s="377">
        <v>0</v>
      </c>
      <c r="AC51" s="378">
        <v>0</v>
      </c>
      <c r="AD51" s="374">
        <f t="shared" si="34"/>
        <v>569.03846153846143</v>
      </c>
      <c r="AE51" s="377">
        <v>0.04</v>
      </c>
      <c r="AF51" s="370">
        <f t="shared" si="35"/>
        <v>22.761538461538457</v>
      </c>
      <c r="AG51" s="1216">
        <v>591.79999999999995</v>
      </c>
      <c r="AH51" s="1215" t="s">
        <v>5</v>
      </c>
      <c r="AI51" s="1177">
        <f t="shared" si="46"/>
        <v>0</v>
      </c>
      <c r="AJ51" s="378"/>
      <c r="AK51" s="1179">
        <f t="shared" si="33"/>
        <v>0</v>
      </c>
      <c r="AL51" s="378"/>
      <c r="AM51" s="378"/>
      <c r="AN51" s="378"/>
      <c r="AO51" s="378"/>
      <c r="AP51" s="378"/>
      <c r="AQ51" s="1216"/>
      <c r="AR51" s="1203" t="s">
        <v>2630</v>
      </c>
      <c r="AS51" s="1177">
        <f t="shared" si="37"/>
        <v>10.096153846153847</v>
      </c>
      <c r="AT51" s="1175">
        <v>0.25</v>
      </c>
      <c r="AU51" s="1179">
        <f t="shared" si="24"/>
        <v>13.461538461538462</v>
      </c>
      <c r="AV51" s="1175">
        <v>0</v>
      </c>
      <c r="AW51" s="1174">
        <v>0</v>
      </c>
      <c r="AX51" s="1176"/>
      <c r="AY51" s="1175">
        <v>0.04</v>
      </c>
      <c r="AZ51" s="1175"/>
      <c r="BA51" s="1204">
        <v>14</v>
      </c>
      <c r="BB51" s="1212" t="s">
        <v>2631</v>
      </c>
      <c r="BC51" s="1177">
        <f t="shared" si="25"/>
        <v>37.5</v>
      </c>
      <c r="BD51" s="1175">
        <v>0.25</v>
      </c>
      <c r="BE51" s="1179">
        <f t="shared" si="26"/>
        <v>50</v>
      </c>
      <c r="BF51" s="1175">
        <v>0</v>
      </c>
      <c r="BG51" s="1174">
        <v>0</v>
      </c>
      <c r="BH51" s="1176"/>
      <c r="BI51" s="1175">
        <v>0.04</v>
      </c>
      <c r="BJ51" s="1175"/>
      <c r="BK51" s="1204">
        <v>52</v>
      </c>
      <c r="BL51" s="1202" t="s">
        <v>2224</v>
      </c>
      <c r="BM51" s="1109"/>
      <c r="BN51" s="1109"/>
      <c r="BO51" s="1109"/>
      <c r="BP51" s="1109"/>
      <c r="BQ51" s="1109"/>
      <c r="BR51" s="1109"/>
      <c r="BS51" s="1109"/>
      <c r="BT51" s="1109"/>
      <c r="BU51" s="380"/>
      <c r="BV51" s="1202" t="s">
        <v>2224</v>
      </c>
      <c r="BW51" s="1109"/>
      <c r="BX51" s="1109"/>
      <c r="BY51" s="1109"/>
      <c r="BZ51" s="1109"/>
      <c r="CA51" s="1109"/>
      <c r="CB51" s="1109"/>
      <c r="CC51" s="1109"/>
      <c r="CD51" s="1109"/>
      <c r="CE51" s="380"/>
    </row>
    <row r="52" spans="1:83" s="1127" customFormat="1">
      <c r="A52" s="291" t="b">
        <v>0</v>
      </c>
      <c r="B52" s="291" t="s">
        <v>2243</v>
      </c>
      <c r="C52" s="291" t="b">
        <f t="shared" si="45"/>
        <v>0</v>
      </c>
      <c r="D52" s="388" t="str">
        <f>IF(C52=FALSE=NAMES!$B$8,"",IF(L52="N/A","N/A",O52&amp;N52&amp;L52&amp;"-"&amp;M52))</f>
        <v>2017USDAIG Luxembourg-Standard S</v>
      </c>
      <c r="E52" s="392" t="str">
        <f t="shared" si="29"/>
        <v>2017USDAIG Luxembourg-Standard S</v>
      </c>
      <c r="F52" s="1236" t="str">
        <f t="shared" si="38"/>
        <v>2017USDAIG Luxembourg-Healthcare PlanStandard S</v>
      </c>
      <c r="G52" s="1240" t="str">
        <f t="shared" si="39"/>
        <v>2017USDAIG Luxembourg-Assistance and RepatriationStandard S</v>
      </c>
      <c r="H52" s="1240" t="str">
        <f t="shared" si="40"/>
        <v>2017USDAIG Luxembourg-Legal AssistanceStandard S</v>
      </c>
      <c r="I52" s="1240" t="str">
        <f t="shared" si="41"/>
        <v>2017USDAIG Luxembourg-Third party liabilityStandard S</v>
      </c>
      <c r="J52" s="1240" t="str">
        <f t="shared" si="42"/>
        <v>N/A</v>
      </c>
      <c r="K52" s="1240" t="str">
        <f t="shared" si="43"/>
        <v>N/A</v>
      </c>
      <c r="L52" s="392" t="s">
        <v>4</v>
      </c>
      <c r="M52" s="392" t="s">
        <v>2581</v>
      </c>
      <c r="N52" s="392" t="s">
        <v>87</v>
      </c>
      <c r="O52" s="376">
        <v>2017</v>
      </c>
      <c r="P52" s="376" t="s">
        <v>26</v>
      </c>
      <c r="Q52" s="376" t="s">
        <v>1</v>
      </c>
      <c r="R52" s="378">
        <v>15.2</v>
      </c>
      <c r="S52" s="392" t="s">
        <v>2213</v>
      </c>
      <c r="T52" s="392"/>
      <c r="U52" s="392"/>
      <c r="V52" s="1109">
        <v>365</v>
      </c>
      <c r="W52" s="1228">
        <f t="shared" si="44"/>
        <v>632.49999999999989</v>
      </c>
      <c r="X52" s="197" t="s">
        <v>3</v>
      </c>
      <c r="Y52" s="1188">
        <f t="shared" si="30"/>
        <v>426.77884615384608</v>
      </c>
      <c r="Z52" s="377">
        <v>0.25</v>
      </c>
      <c r="AA52" s="1189">
        <f t="shared" si="31"/>
        <v>569.03846153846143</v>
      </c>
      <c r="AB52" s="377">
        <v>0</v>
      </c>
      <c r="AC52" s="378">
        <v>0</v>
      </c>
      <c r="AD52" s="374">
        <f t="shared" si="34"/>
        <v>569.03846153846143</v>
      </c>
      <c r="AE52" s="377">
        <v>0.04</v>
      </c>
      <c r="AF52" s="370">
        <f t="shared" si="35"/>
        <v>22.761538461538457</v>
      </c>
      <c r="AG52" s="1216">
        <v>591.79999999999995</v>
      </c>
      <c r="AH52" s="1215" t="s">
        <v>5</v>
      </c>
      <c r="AI52" s="1177">
        <f t="shared" si="46"/>
        <v>0</v>
      </c>
      <c r="AJ52" s="378"/>
      <c r="AK52" s="1179">
        <f t="shared" si="33"/>
        <v>0</v>
      </c>
      <c r="AL52" s="378"/>
      <c r="AM52" s="378"/>
      <c r="AN52" s="378"/>
      <c r="AO52" s="378"/>
      <c r="AP52" s="378"/>
      <c r="AQ52" s="1216"/>
      <c r="AR52" s="1203" t="s">
        <v>2630</v>
      </c>
      <c r="AS52" s="1177">
        <f t="shared" si="37"/>
        <v>10.096153846153847</v>
      </c>
      <c r="AT52" s="1175">
        <v>0.25</v>
      </c>
      <c r="AU52" s="1179">
        <f t="shared" si="24"/>
        <v>13.461538461538462</v>
      </c>
      <c r="AV52" s="1175">
        <v>0</v>
      </c>
      <c r="AW52" s="1174">
        <v>0</v>
      </c>
      <c r="AX52" s="1176"/>
      <c r="AY52" s="1175">
        <v>0.04</v>
      </c>
      <c r="AZ52" s="1175"/>
      <c r="BA52" s="1204">
        <v>14</v>
      </c>
      <c r="BB52" s="1212" t="s">
        <v>2631</v>
      </c>
      <c r="BC52" s="1177">
        <f t="shared" si="25"/>
        <v>37.5</v>
      </c>
      <c r="BD52" s="1175">
        <v>0.25</v>
      </c>
      <c r="BE52" s="1179">
        <f t="shared" si="26"/>
        <v>50</v>
      </c>
      <c r="BF52" s="1175">
        <v>0</v>
      </c>
      <c r="BG52" s="1174">
        <v>0</v>
      </c>
      <c r="BH52" s="1176"/>
      <c r="BI52" s="1175">
        <v>0.04</v>
      </c>
      <c r="BJ52" s="1175"/>
      <c r="BK52" s="1204">
        <v>52</v>
      </c>
      <c r="BL52" s="1202" t="s">
        <v>2224</v>
      </c>
      <c r="BM52" s="1109"/>
      <c r="BN52" s="1109"/>
      <c r="BO52" s="1109"/>
      <c r="BP52" s="1109"/>
      <c r="BQ52" s="1109"/>
      <c r="BR52" s="1109"/>
      <c r="BS52" s="1109"/>
      <c r="BT52" s="1109"/>
      <c r="BU52" s="380"/>
      <c r="BV52" s="1202" t="s">
        <v>2224</v>
      </c>
      <c r="BW52" s="1109"/>
      <c r="BX52" s="1109"/>
      <c r="BY52" s="1109"/>
      <c r="BZ52" s="1109"/>
      <c r="CA52" s="1109"/>
      <c r="CB52" s="1109"/>
      <c r="CC52" s="1109"/>
      <c r="CD52" s="1109"/>
      <c r="CE52" s="380"/>
    </row>
    <row r="53" spans="1:83" s="1127" customFormat="1">
      <c r="A53" s="291" t="b">
        <v>0</v>
      </c>
      <c r="B53" s="291" t="s">
        <v>2243</v>
      </c>
      <c r="C53" s="291" t="b">
        <f t="shared" si="45"/>
        <v>0</v>
      </c>
      <c r="D53" s="388" t="str">
        <f>IF(C53=FALSE=NAMES!$B$8,"",IF(L53="N/A","N/A",O53&amp;N53&amp;L53&amp;"-"&amp;M53))</f>
        <v>2017USDAIG Luxembourg-StandardMLC</v>
      </c>
      <c r="E53" s="392" t="str">
        <f t="shared" si="29"/>
        <v>2017USDAIG Luxembourg-StandardMLC</v>
      </c>
      <c r="F53" s="1236" t="str">
        <f t="shared" si="38"/>
        <v>2017USDAIG Luxembourg-Healthcare PlanStandardMLC</v>
      </c>
      <c r="G53" s="1240" t="str">
        <f t="shared" si="39"/>
        <v>2017USDAIG Luxembourg-Assistance and RepatriationStandardMLC</v>
      </c>
      <c r="H53" s="1240" t="str">
        <f t="shared" si="40"/>
        <v>2017USDAIG Luxembourg-Legal AssistanceStandardMLC</v>
      </c>
      <c r="I53" s="1240" t="str">
        <f t="shared" si="41"/>
        <v>2017USDAIG Luxembourg-Third party liabilityStandardMLC</v>
      </c>
      <c r="J53" s="1240" t="str">
        <f t="shared" si="42"/>
        <v>N/A</v>
      </c>
      <c r="K53" s="1240" t="str">
        <f t="shared" si="43"/>
        <v>N/A</v>
      </c>
      <c r="L53" s="392" t="s">
        <v>4</v>
      </c>
      <c r="M53" s="392" t="s">
        <v>2579</v>
      </c>
      <c r="N53" s="392" t="s">
        <v>87</v>
      </c>
      <c r="O53" s="376">
        <v>2017</v>
      </c>
      <c r="P53" s="376" t="s">
        <v>26</v>
      </c>
      <c r="Q53" s="376" t="s">
        <v>1</v>
      </c>
      <c r="R53" s="378">
        <v>63.2</v>
      </c>
      <c r="S53" s="392" t="s">
        <v>2213</v>
      </c>
      <c r="T53" s="392"/>
      <c r="U53" s="392"/>
      <c r="V53" s="1109">
        <v>365</v>
      </c>
      <c r="W53" s="1228">
        <f t="shared" si="44"/>
        <v>759.42307692307679</v>
      </c>
      <c r="X53" s="197" t="s">
        <v>3</v>
      </c>
      <c r="Y53" s="1188">
        <f t="shared" si="30"/>
        <v>426.77884615384608</v>
      </c>
      <c r="Z53" s="377">
        <v>0.25</v>
      </c>
      <c r="AA53" s="1189">
        <f t="shared" si="31"/>
        <v>569.03846153846143</v>
      </c>
      <c r="AB53" s="377">
        <v>0</v>
      </c>
      <c r="AC53" s="378">
        <v>0</v>
      </c>
      <c r="AD53" s="374">
        <f t="shared" si="34"/>
        <v>569.03846153846143</v>
      </c>
      <c r="AE53" s="377">
        <v>0.04</v>
      </c>
      <c r="AF53" s="370">
        <f t="shared" si="35"/>
        <v>22.761538461538457</v>
      </c>
      <c r="AG53" s="1216">
        <v>591.79999999999995</v>
      </c>
      <c r="AH53" s="1215" t="s">
        <v>5</v>
      </c>
      <c r="AI53" s="1177">
        <f t="shared" si="46"/>
        <v>95.192307692307693</v>
      </c>
      <c r="AJ53" s="1175">
        <v>0.25</v>
      </c>
      <c r="AK53" s="1179">
        <f t="shared" si="33"/>
        <v>126.92307692307692</v>
      </c>
      <c r="AL53" s="1175">
        <v>0</v>
      </c>
      <c r="AM53" s="1174">
        <v>0</v>
      </c>
      <c r="AN53" s="1178"/>
      <c r="AO53" s="1175">
        <v>0.04</v>
      </c>
      <c r="AP53" s="1175"/>
      <c r="AQ53" s="1204">
        <v>132</v>
      </c>
      <c r="AR53" s="1203" t="s">
        <v>2630</v>
      </c>
      <c r="AS53" s="1177">
        <f t="shared" si="37"/>
        <v>10.096153846153847</v>
      </c>
      <c r="AT53" s="1175">
        <v>0.25</v>
      </c>
      <c r="AU53" s="1179">
        <f t="shared" si="24"/>
        <v>13.461538461538462</v>
      </c>
      <c r="AV53" s="1175">
        <v>0</v>
      </c>
      <c r="AW53" s="1174">
        <v>0</v>
      </c>
      <c r="AX53" s="1176"/>
      <c r="AY53" s="1175">
        <v>0.04</v>
      </c>
      <c r="AZ53" s="1175"/>
      <c r="BA53" s="1204">
        <v>14</v>
      </c>
      <c r="BB53" s="1212" t="s">
        <v>2631</v>
      </c>
      <c r="BC53" s="1177">
        <f t="shared" si="25"/>
        <v>37.5</v>
      </c>
      <c r="BD53" s="1175">
        <v>0.25</v>
      </c>
      <c r="BE53" s="1179">
        <f t="shared" si="26"/>
        <v>50</v>
      </c>
      <c r="BF53" s="1175">
        <v>0</v>
      </c>
      <c r="BG53" s="1174">
        <v>0</v>
      </c>
      <c r="BH53" s="1176"/>
      <c r="BI53" s="1175">
        <v>0.04</v>
      </c>
      <c r="BJ53" s="1175"/>
      <c r="BK53" s="1204">
        <v>52</v>
      </c>
      <c r="BL53" s="1202" t="s">
        <v>2224</v>
      </c>
      <c r="BM53" s="1109"/>
      <c r="BN53" s="1109"/>
      <c r="BO53" s="1109"/>
      <c r="BP53" s="1109"/>
      <c r="BQ53" s="1109"/>
      <c r="BR53" s="1109"/>
      <c r="BS53" s="1109"/>
      <c r="BT53" s="1109"/>
      <c r="BU53" s="380"/>
      <c r="BV53" s="1202" t="s">
        <v>2224</v>
      </c>
      <c r="BW53" s="1109"/>
      <c r="BX53" s="1109"/>
      <c r="BY53" s="1109"/>
      <c r="BZ53" s="1109"/>
      <c r="CA53" s="1109"/>
      <c r="CB53" s="1109"/>
      <c r="CC53" s="1109"/>
      <c r="CD53" s="1109"/>
      <c r="CE53" s="380"/>
    </row>
    <row r="54" spans="1:83" s="1127" customFormat="1">
      <c r="A54" s="291" t="b">
        <v>0</v>
      </c>
      <c r="B54" s="291" t="s">
        <v>2243</v>
      </c>
      <c r="C54" s="291" t="b">
        <f t="shared" si="45"/>
        <v>0</v>
      </c>
      <c r="D54" s="388" t="str">
        <f>IF(C54=FALSE=NAMES!$B$8,"",IF(L54="N/A","N/A",O54&amp;N54&amp;L54&amp;"-"&amp;M54))</f>
        <v>2017USDAIG Luxembourg-StandardMLC S</v>
      </c>
      <c r="E54" s="392" t="str">
        <f t="shared" si="29"/>
        <v>2017USDAIG Luxembourg-StandardMLC S</v>
      </c>
      <c r="F54" s="1236" t="str">
        <f t="shared" si="38"/>
        <v>2017USDAIG Luxembourg-Healthcare PlanStandardMLC S</v>
      </c>
      <c r="G54" s="1240" t="str">
        <f t="shared" si="39"/>
        <v>2017USDAIG Luxembourg-Assistance and RepatriationStandardMLC S</v>
      </c>
      <c r="H54" s="1240" t="str">
        <f t="shared" si="40"/>
        <v>2017USDAIG Luxembourg-Legal AssistanceStandardMLC S</v>
      </c>
      <c r="I54" s="1240" t="str">
        <f t="shared" si="41"/>
        <v>2017USDAIG Luxembourg-Third party liabilityStandardMLC S</v>
      </c>
      <c r="J54" s="1240" t="str">
        <f t="shared" si="42"/>
        <v>N/A</v>
      </c>
      <c r="K54" s="1240" t="str">
        <f t="shared" si="43"/>
        <v>N/A</v>
      </c>
      <c r="L54" s="392" t="s">
        <v>4</v>
      </c>
      <c r="M54" s="392" t="s">
        <v>2582</v>
      </c>
      <c r="N54" s="392" t="s">
        <v>87</v>
      </c>
      <c r="O54" s="376">
        <v>2017</v>
      </c>
      <c r="P54" s="376" t="s">
        <v>26</v>
      </c>
      <c r="Q54" s="376" t="s">
        <v>1</v>
      </c>
      <c r="R54" s="378">
        <v>15.2</v>
      </c>
      <c r="S54" s="392" t="s">
        <v>2213</v>
      </c>
      <c r="T54" s="392"/>
      <c r="U54" s="392"/>
      <c r="V54" s="1109">
        <v>365</v>
      </c>
      <c r="W54" s="1228">
        <f t="shared" si="44"/>
        <v>759.42307692307679</v>
      </c>
      <c r="X54" s="197" t="s">
        <v>3</v>
      </c>
      <c r="Y54" s="1188">
        <f t="shared" si="30"/>
        <v>426.77884615384608</v>
      </c>
      <c r="Z54" s="377">
        <v>0.25</v>
      </c>
      <c r="AA54" s="1189">
        <f t="shared" si="31"/>
        <v>569.03846153846143</v>
      </c>
      <c r="AB54" s="377">
        <v>0</v>
      </c>
      <c r="AC54" s="378">
        <v>0</v>
      </c>
      <c r="AD54" s="374">
        <f t="shared" si="34"/>
        <v>569.03846153846143</v>
      </c>
      <c r="AE54" s="377">
        <v>0.04</v>
      </c>
      <c r="AF54" s="370">
        <f t="shared" si="35"/>
        <v>22.761538461538457</v>
      </c>
      <c r="AG54" s="1216">
        <v>591.79999999999995</v>
      </c>
      <c r="AH54" s="1215" t="s">
        <v>5</v>
      </c>
      <c r="AI54" s="1177">
        <f t="shared" si="46"/>
        <v>95.192307692307693</v>
      </c>
      <c r="AJ54" s="1175">
        <v>0.25</v>
      </c>
      <c r="AK54" s="1179">
        <f t="shared" si="33"/>
        <v>126.92307692307692</v>
      </c>
      <c r="AL54" s="1175">
        <v>0</v>
      </c>
      <c r="AM54" s="1174">
        <v>0</v>
      </c>
      <c r="AN54" s="1178"/>
      <c r="AO54" s="1175">
        <v>0.04</v>
      </c>
      <c r="AP54" s="1175"/>
      <c r="AQ54" s="1204">
        <v>132</v>
      </c>
      <c r="AR54" s="1203" t="s">
        <v>2630</v>
      </c>
      <c r="AS54" s="1177">
        <f t="shared" si="37"/>
        <v>10.096153846153847</v>
      </c>
      <c r="AT54" s="1175">
        <v>0.25</v>
      </c>
      <c r="AU54" s="1179">
        <f t="shared" si="24"/>
        <v>13.461538461538462</v>
      </c>
      <c r="AV54" s="1175">
        <v>0</v>
      </c>
      <c r="AW54" s="1174">
        <v>0</v>
      </c>
      <c r="AX54" s="1176"/>
      <c r="AY54" s="1175">
        <v>0.04</v>
      </c>
      <c r="AZ54" s="1175"/>
      <c r="BA54" s="1204">
        <v>14</v>
      </c>
      <c r="BB54" s="1212" t="s">
        <v>2631</v>
      </c>
      <c r="BC54" s="1177">
        <f t="shared" si="25"/>
        <v>37.5</v>
      </c>
      <c r="BD54" s="1175">
        <v>0.25</v>
      </c>
      <c r="BE54" s="1179">
        <f t="shared" si="26"/>
        <v>50</v>
      </c>
      <c r="BF54" s="1175">
        <v>0</v>
      </c>
      <c r="BG54" s="1174">
        <v>0</v>
      </c>
      <c r="BH54" s="1176"/>
      <c r="BI54" s="1175">
        <v>0.04</v>
      </c>
      <c r="BJ54" s="1175"/>
      <c r="BK54" s="1204">
        <v>52</v>
      </c>
      <c r="BL54" s="1202" t="s">
        <v>2224</v>
      </c>
      <c r="BM54" s="1109"/>
      <c r="BN54" s="1109"/>
      <c r="BO54" s="1109"/>
      <c r="BP54" s="1109"/>
      <c r="BQ54" s="1109"/>
      <c r="BR54" s="1109"/>
      <c r="BS54" s="1109"/>
      <c r="BT54" s="1109"/>
      <c r="BU54" s="380"/>
      <c r="BV54" s="1202" t="s">
        <v>2224</v>
      </c>
      <c r="BW54" s="1109"/>
      <c r="BX54" s="1109"/>
      <c r="BY54" s="1109"/>
      <c r="BZ54" s="1109"/>
      <c r="CA54" s="1109"/>
      <c r="CB54" s="1109"/>
      <c r="CC54" s="1109"/>
      <c r="CD54" s="1109"/>
      <c r="CE54" s="380"/>
    </row>
    <row r="55" spans="1:83" s="1127" customFormat="1">
      <c r="A55" s="197" t="b">
        <v>0</v>
      </c>
      <c r="B55" s="291" t="s">
        <v>2243</v>
      </c>
      <c r="C55" s="197" t="b">
        <f t="shared" si="28"/>
        <v>0</v>
      </c>
      <c r="D55" s="388" t="str">
        <f>IF(C55=FALSE=NAMES!$B$8,"",IF(L55="N/A","N/A",O55&amp;N55&amp;L55&amp;"-"&amp;M55))</f>
        <v>2017USDAIG Luxembourg-Adulte AIG expat 100% excluding USA/Canada</v>
      </c>
      <c r="E55" s="392" t="str">
        <f t="shared" si="29"/>
        <v>2017USDAIG Luxembourg-Adulte AIG expat 100% excluding USA/Canada</v>
      </c>
      <c r="F55" s="1236" t="str">
        <f t="shared" si="38"/>
        <v>2017USDAIG Luxembourg-Healthcare PlanAdulte AIG expat 100% excluding USA/Canada</v>
      </c>
      <c r="G55" s="1240" t="str">
        <f t="shared" si="39"/>
        <v>2017USDAIG Luxembourg-Assistance and RepatriationAdulte AIG expat 100% excluding USA/Canada</v>
      </c>
      <c r="H55" s="1240" t="str">
        <f t="shared" si="40"/>
        <v>2017USDAIG Luxembourg-Legal AssistanceAdulte AIG expat 100% excluding USA/Canada</v>
      </c>
      <c r="I55" s="1240" t="str">
        <f t="shared" si="41"/>
        <v>2017USDAIG Luxembourg-Third party liabilityAdulte AIG expat 100% excluding USA/Canada</v>
      </c>
      <c r="J55" s="1240" t="str">
        <f t="shared" si="42"/>
        <v>N/A</v>
      </c>
      <c r="K55" s="1240" t="str">
        <f t="shared" si="43"/>
        <v>N/A</v>
      </c>
      <c r="L55" s="392" t="s">
        <v>4</v>
      </c>
      <c r="M55" s="1127" t="s">
        <v>2325</v>
      </c>
      <c r="N55" s="392" t="s">
        <v>87</v>
      </c>
      <c r="O55" s="376">
        <v>2017</v>
      </c>
      <c r="P55" s="376" t="s">
        <v>26</v>
      </c>
      <c r="Q55" s="376" t="s">
        <v>2169</v>
      </c>
      <c r="R55" s="378">
        <v>15</v>
      </c>
      <c r="S55" s="392" t="s">
        <v>2214</v>
      </c>
      <c r="T55" s="392"/>
      <c r="U55" s="392"/>
      <c r="V55" s="1109">
        <v>365</v>
      </c>
      <c r="W55" s="1228">
        <f t="shared" si="44"/>
        <v>2612.1799999999998</v>
      </c>
      <c r="X55" s="197" t="s">
        <v>3</v>
      </c>
      <c r="Y55" s="1188">
        <f t="shared" si="30"/>
        <v>2220.3529999999996</v>
      </c>
      <c r="Z55" s="377">
        <v>0.15</v>
      </c>
      <c r="AA55" s="1189">
        <f t="shared" si="31"/>
        <v>2612.1799999999998</v>
      </c>
      <c r="AB55" s="377">
        <v>0</v>
      </c>
      <c r="AC55" s="378">
        <v>261.21800000000002</v>
      </c>
      <c r="AD55" s="1100">
        <f t="shared" si="34"/>
        <v>2873.3979999999997</v>
      </c>
      <c r="AE55" s="377">
        <v>0.04</v>
      </c>
      <c r="AF55" s="370">
        <f t="shared" si="35"/>
        <v>104.4872</v>
      </c>
      <c r="AG55" s="1216">
        <v>2716.6671999999999</v>
      </c>
      <c r="AH55" s="1215" t="s">
        <v>5</v>
      </c>
      <c r="AI55" s="1177">
        <f t="shared" ref="AI55:AI66" si="47">IF(AH55="N/A","",AK55*(1-AJ55))</f>
        <v>0</v>
      </c>
      <c r="AJ55" s="378"/>
      <c r="AK55" s="1179">
        <f t="shared" si="33"/>
        <v>0</v>
      </c>
      <c r="AL55" s="378"/>
      <c r="AM55" s="378"/>
      <c r="AN55" s="378"/>
      <c r="AO55" s="378"/>
      <c r="AP55" s="378"/>
      <c r="AQ55" s="1216"/>
      <c r="AR55" s="1203" t="s">
        <v>2630</v>
      </c>
      <c r="AS55" s="1177">
        <f t="shared" si="37"/>
        <v>0</v>
      </c>
      <c r="AT55" s="1151"/>
      <c r="AU55" s="1179">
        <f t="shared" si="24"/>
        <v>0</v>
      </c>
      <c r="AV55" s="1151"/>
      <c r="AW55" s="1151"/>
      <c r="AX55" s="1151"/>
      <c r="AY55" s="1151"/>
      <c r="AZ55" s="1151"/>
      <c r="BA55" s="183"/>
      <c r="BB55" s="1212" t="s">
        <v>2631</v>
      </c>
      <c r="BC55" s="1177">
        <f t="shared" si="25"/>
        <v>0</v>
      </c>
      <c r="BD55" s="1151"/>
      <c r="BE55" s="1179">
        <f t="shared" si="26"/>
        <v>0</v>
      </c>
      <c r="BF55" s="1151"/>
      <c r="BG55" s="1151"/>
      <c r="BH55" s="1151"/>
      <c r="BI55" s="1151"/>
      <c r="BJ55" s="1151"/>
      <c r="BK55" s="183"/>
      <c r="BL55" s="1202" t="s">
        <v>2224</v>
      </c>
      <c r="BM55" s="1109"/>
      <c r="BN55" s="1109"/>
      <c r="BO55" s="1109"/>
      <c r="BP55" s="1109"/>
      <c r="BQ55" s="1109"/>
      <c r="BR55" s="1109"/>
      <c r="BS55" s="1109"/>
      <c r="BT55" s="1109"/>
      <c r="BU55" s="380"/>
      <c r="BV55" s="1202" t="s">
        <v>2224</v>
      </c>
      <c r="BW55" s="1109"/>
      <c r="BX55" s="1109"/>
      <c r="BY55" s="1109"/>
      <c r="BZ55" s="1109"/>
      <c r="CA55" s="1109"/>
      <c r="CB55" s="1109"/>
      <c r="CC55" s="1109"/>
      <c r="CD55" s="1109"/>
      <c r="CE55" s="380"/>
    </row>
    <row r="56" spans="1:83" s="1127" customFormat="1">
      <c r="A56" s="197" t="b">
        <v>0</v>
      </c>
      <c r="B56" s="291" t="s">
        <v>2243</v>
      </c>
      <c r="C56" s="197" t="b">
        <f t="shared" si="28"/>
        <v>0</v>
      </c>
      <c r="D56" s="388" t="str">
        <f>IF(C56=FALSE=NAMES!$B$8,"",IF(L56="N/A","N/A",O56&amp;N56&amp;L56&amp;"-"&amp;M56))</f>
        <v>2017USDAIG Luxembourg-Adulte AIG expat 100% including USA/Canada</v>
      </c>
      <c r="E56" s="392" t="str">
        <f t="shared" si="29"/>
        <v>2017USDAIG Luxembourg-Adulte AIG expat 100% including USA/Canada</v>
      </c>
      <c r="F56" s="1236" t="str">
        <f t="shared" si="38"/>
        <v>2017USDAIG Luxembourg-Healthcare PlanAdulte AIG expat 100% including USA/Canada</v>
      </c>
      <c r="G56" s="1240" t="str">
        <f t="shared" si="39"/>
        <v>2017USDAIG Luxembourg-Assistance and RepatriationAdulte AIG expat 100% including USA/Canada</v>
      </c>
      <c r="H56" s="1240" t="str">
        <f t="shared" si="40"/>
        <v>2017USDAIG Luxembourg-Legal AssistanceAdulte AIG expat 100% including USA/Canada</v>
      </c>
      <c r="I56" s="1240" t="str">
        <f t="shared" si="41"/>
        <v>2017USDAIG Luxembourg-Third party liabilityAdulte AIG expat 100% including USA/Canada</v>
      </c>
      <c r="J56" s="1240" t="str">
        <f t="shared" si="42"/>
        <v>N/A</v>
      </c>
      <c r="K56" s="1240" t="str">
        <f t="shared" si="43"/>
        <v>N/A</v>
      </c>
      <c r="L56" s="392" t="s">
        <v>4</v>
      </c>
      <c r="M56" s="1127" t="s">
        <v>2326</v>
      </c>
      <c r="N56" s="392" t="s">
        <v>87</v>
      </c>
      <c r="O56" s="376">
        <v>2017</v>
      </c>
      <c r="P56" s="376" t="s">
        <v>26</v>
      </c>
      <c r="Q56" s="376" t="s">
        <v>2169</v>
      </c>
      <c r="R56" s="378">
        <v>15</v>
      </c>
      <c r="S56" s="392" t="s">
        <v>2214</v>
      </c>
      <c r="T56" s="392"/>
      <c r="U56" s="392"/>
      <c r="V56" s="1109">
        <v>365</v>
      </c>
      <c r="W56" s="1228">
        <f t="shared" si="44"/>
        <v>6000</v>
      </c>
      <c r="X56" s="197" t="s">
        <v>3</v>
      </c>
      <c r="Y56" s="1188">
        <f t="shared" si="30"/>
        <v>5100</v>
      </c>
      <c r="Z56" s="377">
        <v>0.15</v>
      </c>
      <c r="AA56" s="1189">
        <f t="shared" si="31"/>
        <v>6000</v>
      </c>
      <c r="AB56" s="377">
        <v>0</v>
      </c>
      <c r="AC56" s="378">
        <v>600</v>
      </c>
      <c r="AD56" s="1100">
        <f t="shared" si="34"/>
        <v>6600</v>
      </c>
      <c r="AE56" s="377">
        <v>0.04</v>
      </c>
      <c r="AF56" s="370">
        <f t="shared" si="35"/>
        <v>240</v>
      </c>
      <c r="AG56" s="1216">
        <v>6240</v>
      </c>
      <c r="AH56" s="1215" t="s">
        <v>5</v>
      </c>
      <c r="AI56" s="1177">
        <f t="shared" si="47"/>
        <v>0</v>
      </c>
      <c r="AJ56" s="378"/>
      <c r="AK56" s="1179">
        <f t="shared" si="33"/>
        <v>0</v>
      </c>
      <c r="AL56" s="378"/>
      <c r="AM56" s="378"/>
      <c r="AN56" s="378"/>
      <c r="AO56" s="378"/>
      <c r="AP56" s="378"/>
      <c r="AQ56" s="1216"/>
      <c r="AR56" s="1203" t="s">
        <v>2630</v>
      </c>
      <c r="AS56" s="1177">
        <f t="shared" si="37"/>
        <v>0</v>
      </c>
      <c r="AT56" s="1151"/>
      <c r="AU56" s="1179">
        <f t="shared" si="24"/>
        <v>0</v>
      </c>
      <c r="AV56" s="1151"/>
      <c r="AW56" s="1151"/>
      <c r="AX56" s="1151"/>
      <c r="AY56" s="1151"/>
      <c r="AZ56" s="1151"/>
      <c r="BA56" s="183"/>
      <c r="BB56" s="1212" t="s">
        <v>2631</v>
      </c>
      <c r="BC56" s="1177">
        <f t="shared" si="25"/>
        <v>0</v>
      </c>
      <c r="BD56" s="1151"/>
      <c r="BE56" s="1179">
        <f t="shared" si="26"/>
        <v>0</v>
      </c>
      <c r="BF56" s="1151"/>
      <c r="BG56" s="1151"/>
      <c r="BH56" s="1151"/>
      <c r="BI56" s="1151"/>
      <c r="BJ56" s="1151"/>
      <c r="BK56" s="183"/>
      <c r="BL56" s="1202" t="s">
        <v>2224</v>
      </c>
      <c r="BM56" s="1109"/>
      <c r="BN56" s="1109"/>
      <c r="BO56" s="1109"/>
      <c r="BP56" s="1109"/>
      <c r="BQ56" s="1109"/>
      <c r="BR56" s="1109"/>
      <c r="BS56" s="1109"/>
      <c r="BT56" s="1109"/>
      <c r="BU56" s="380"/>
      <c r="BV56" s="1202" t="s">
        <v>2224</v>
      </c>
      <c r="BW56" s="1109"/>
      <c r="BX56" s="1109"/>
      <c r="BY56" s="1109"/>
      <c r="BZ56" s="1109"/>
      <c r="CA56" s="1109"/>
      <c r="CB56" s="1109"/>
      <c r="CC56" s="1109"/>
      <c r="CD56" s="1109"/>
      <c r="CE56" s="380"/>
    </row>
    <row r="57" spans="1:83" s="1127" customFormat="1">
      <c r="A57" s="197" t="b">
        <v>0</v>
      </c>
      <c r="B57" s="291" t="s">
        <v>2243</v>
      </c>
      <c r="C57" s="197" t="b">
        <f t="shared" si="28"/>
        <v>0</v>
      </c>
      <c r="D57" s="388" t="str">
        <f>IF(C57=FALSE=NAMES!$B$8,"",IF(L57="N/A","N/A",O57&amp;N57&amp;L57&amp;"-"&amp;M57))</f>
        <v>2017USDAIG Luxembourg-Adulte AIG expat 80% excluding USA/Canada</v>
      </c>
      <c r="E57" s="392" t="str">
        <f t="shared" si="29"/>
        <v>2017USDAIG Luxembourg-Adulte AIG expat 80% excluding USA/Canada</v>
      </c>
      <c r="F57" s="1236" t="str">
        <f t="shared" si="38"/>
        <v>2017USDAIG Luxembourg-Healthcare PlanAdulte AIG expat 80% excluding USA/Canada</v>
      </c>
      <c r="G57" s="1240" t="str">
        <f t="shared" si="39"/>
        <v>2017USDAIG Luxembourg-Assistance and RepatriationAdulte AIG expat 80% excluding USA/Canada</v>
      </c>
      <c r="H57" s="1240" t="str">
        <f t="shared" si="40"/>
        <v>2017USDAIG Luxembourg-Legal AssistanceAdulte AIG expat 80% excluding USA/Canada</v>
      </c>
      <c r="I57" s="1240" t="str">
        <f t="shared" si="41"/>
        <v>2017USDAIG Luxembourg-Third party liabilityAdulte AIG expat 80% excluding USA/Canada</v>
      </c>
      <c r="J57" s="1240" t="str">
        <f t="shared" si="42"/>
        <v>N/A</v>
      </c>
      <c r="K57" s="1240" t="str">
        <f t="shared" si="43"/>
        <v>N/A</v>
      </c>
      <c r="L57" s="392" t="s">
        <v>4</v>
      </c>
      <c r="M57" s="1127" t="s">
        <v>2327</v>
      </c>
      <c r="N57" s="392" t="s">
        <v>87</v>
      </c>
      <c r="O57" s="376">
        <v>2017</v>
      </c>
      <c r="P57" s="376" t="s">
        <v>26</v>
      </c>
      <c r="Q57" s="376" t="s">
        <v>2169</v>
      </c>
      <c r="R57" s="378">
        <v>15</v>
      </c>
      <c r="S57" s="392" t="s">
        <v>2214</v>
      </c>
      <c r="T57" s="392"/>
      <c r="U57" s="392"/>
      <c r="V57" s="1109">
        <v>365</v>
      </c>
      <c r="W57" s="1228">
        <f t="shared" si="44"/>
        <v>2148.9423076923076</v>
      </c>
      <c r="X57" s="197" t="s">
        <v>3</v>
      </c>
      <c r="Y57" s="1188">
        <f t="shared" si="30"/>
        <v>1826.6009615384614</v>
      </c>
      <c r="Z57" s="377">
        <v>0.15</v>
      </c>
      <c r="AA57" s="1189">
        <f t="shared" si="31"/>
        <v>2148.9423076923076</v>
      </c>
      <c r="AB57" s="377">
        <v>0</v>
      </c>
      <c r="AC57" s="378">
        <v>214.89400000000001</v>
      </c>
      <c r="AD57" s="1100">
        <f t="shared" si="34"/>
        <v>2363.8363076923079</v>
      </c>
      <c r="AE57" s="377">
        <v>0.04</v>
      </c>
      <c r="AF57" s="370">
        <f t="shared" si="35"/>
        <v>85.957692307692312</v>
      </c>
      <c r="AG57" s="1216">
        <v>2234.9</v>
      </c>
      <c r="AH57" s="1215" t="s">
        <v>5</v>
      </c>
      <c r="AI57" s="1177">
        <f t="shared" si="47"/>
        <v>0</v>
      </c>
      <c r="AJ57" s="378"/>
      <c r="AK57" s="1179">
        <f t="shared" si="33"/>
        <v>0</v>
      </c>
      <c r="AL57" s="378"/>
      <c r="AM57" s="378"/>
      <c r="AN57" s="378"/>
      <c r="AO57" s="378"/>
      <c r="AP57" s="378"/>
      <c r="AQ57" s="1216"/>
      <c r="AR57" s="1203" t="s">
        <v>2630</v>
      </c>
      <c r="AS57" s="1177">
        <f t="shared" si="37"/>
        <v>0</v>
      </c>
      <c r="AT57" s="1151"/>
      <c r="AU57" s="1179">
        <f t="shared" si="24"/>
        <v>0</v>
      </c>
      <c r="AV57" s="1151"/>
      <c r="AW57" s="1151"/>
      <c r="AX57" s="1151"/>
      <c r="AY57" s="1151"/>
      <c r="AZ57" s="1151"/>
      <c r="BA57" s="183"/>
      <c r="BB57" s="1212" t="s">
        <v>2631</v>
      </c>
      <c r="BC57" s="1177">
        <f t="shared" si="25"/>
        <v>0</v>
      </c>
      <c r="BD57" s="1151"/>
      <c r="BE57" s="1179">
        <f t="shared" si="26"/>
        <v>0</v>
      </c>
      <c r="BF57" s="1151"/>
      <c r="BG57" s="1151"/>
      <c r="BH57" s="1151"/>
      <c r="BI57" s="1151"/>
      <c r="BJ57" s="1151"/>
      <c r="BK57" s="183"/>
      <c r="BL57" s="1202" t="s">
        <v>2224</v>
      </c>
      <c r="BM57" s="1109"/>
      <c r="BN57" s="1109"/>
      <c r="BO57" s="1109"/>
      <c r="BP57" s="1109"/>
      <c r="BQ57" s="1109"/>
      <c r="BR57" s="1109"/>
      <c r="BS57" s="1109"/>
      <c r="BT57" s="1109"/>
      <c r="BU57" s="380"/>
      <c r="BV57" s="1202" t="s">
        <v>2224</v>
      </c>
      <c r="BW57" s="1109"/>
      <c r="BX57" s="1109"/>
      <c r="BY57" s="1109"/>
      <c r="BZ57" s="1109"/>
      <c r="CA57" s="1109"/>
      <c r="CB57" s="1109"/>
      <c r="CC57" s="1109"/>
      <c r="CD57" s="1109"/>
      <c r="CE57" s="380"/>
    </row>
    <row r="58" spans="1:83" s="1127" customFormat="1">
      <c r="A58" s="197" t="b">
        <v>0</v>
      </c>
      <c r="B58" s="291" t="s">
        <v>2243</v>
      </c>
      <c r="C58" s="197" t="b">
        <f t="shared" si="28"/>
        <v>0</v>
      </c>
      <c r="D58" s="388" t="str">
        <f>IF(C58=FALSE=NAMES!$B$8,"",IF(L58="N/A","N/A",O58&amp;N58&amp;L58&amp;"-"&amp;M58))</f>
        <v>2017USDAIG Luxembourg-Adulte AIG expat 80% including USA/Canada</v>
      </c>
      <c r="E58" s="392" t="str">
        <f t="shared" si="29"/>
        <v>2017USDAIG Luxembourg-Adulte AIG expat 80% including USA/Canada</v>
      </c>
      <c r="F58" s="1236" t="str">
        <f t="shared" si="38"/>
        <v>2017USDAIG Luxembourg-Healthcare PlanAdulte AIG expat 80% including USA/Canada</v>
      </c>
      <c r="G58" s="1240" t="str">
        <f t="shared" si="39"/>
        <v>2017USDAIG Luxembourg-Assistance and RepatriationAdulte AIG expat 80% including USA/Canada</v>
      </c>
      <c r="H58" s="1240" t="str">
        <f t="shared" si="40"/>
        <v>2017USDAIG Luxembourg-Legal AssistanceAdulte AIG expat 80% including USA/Canada</v>
      </c>
      <c r="I58" s="1240" t="str">
        <f t="shared" si="41"/>
        <v>2017USDAIG Luxembourg-Third party liabilityAdulte AIG expat 80% including USA/Canada</v>
      </c>
      <c r="J58" s="1240" t="str">
        <f t="shared" si="42"/>
        <v>N/A</v>
      </c>
      <c r="K58" s="1240" t="str">
        <f t="shared" si="43"/>
        <v>N/A</v>
      </c>
      <c r="L58" s="392" t="s">
        <v>4</v>
      </c>
      <c r="M58" s="1127" t="s">
        <v>2328</v>
      </c>
      <c r="N58" s="392" t="s">
        <v>87</v>
      </c>
      <c r="O58" s="376">
        <v>2017</v>
      </c>
      <c r="P58" s="376" t="s">
        <v>26</v>
      </c>
      <c r="Q58" s="376" t="s">
        <v>2169</v>
      </c>
      <c r="R58" s="378">
        <v>15</v>
      </c>
      <c r="S58" s="392" t="s">
        <v>2214</v>
      </c>
      <c r="T58" s="392"/>
      <c r="U58" s="392"/>
      <c r="V58" s="1109">
        <v>365</v>
      </c>
      <c r="W58" s="1228">
        <f t="shared" si="44"/>
        <v>4900</v>
      </c>
      <c r="X58" s="197" t="s">
        <v>3</v>
      </c>
      <c r="Y58" s="1188">
        <f t="shared" si="30"/>
        <v>4165</v>
      </c>
      <c r="Z58" s="377">
        <v>0.15</v>
      </c>
      <c r="AA58" s="1189">
        <f t="shared" si="31"/>
        <v>4900</v>
      </c>
      <c r="AB58" s="377">
        <v>0</v>
      </c>
      <c r="AC58" s="378">
        <v>490</v>
      </c>
      <c r="AD58" s="1100">
        <f t="shared" si="34"/>
        <v>5390</v>
      </c>
      <c r="AE58" s="377">
        <v>0.04</v>
      </c>
      <c r="AF58" s="370">
        <f t="shared" si="35"/>
        <v>196</v>
      </c>
      <c r="AG58" s="1216">
        <v>5096</v>
      </c>
      <c r="AH58" s="1215" t="s">
        <v>5</v>
      </c>
      <c r="AI58" s="1177">
        <f t="shared" si="47"/>
        <v>0</v>
      </c>
      <c r="AJ58" s="378"/>
      <c r="AK58" s="1179">
        <f t="shared" si="33"/>
        <v>0</v>
      </c>
      <c r="AL58" s="378"/>
      <c r="AM58" s="378"/>
      <c r="AN58" s="378"/>
      <c r="AO58" s="378"/>
      <c r="AP58" s="378"/>
      <c r="AQ58" s="1216"/>
      <c r="AR58" s="1203" t="s">
        <v>2630</v>
      </c>
      <c r="AS58" s="1177">
        <f t="shared" si="37"/>
        <v>0</v>
      </c>
      <c r="AT58" s="1151"/>
      <c r="AU58" s="1179">
        <f t="shared" si="24"/>
        <v>0</v>
      </c>
      <c r="AV58" s="1151"/>
      <c r="AW58" s="1151"/>
      <c r="AX58" s="1151"/>
      <c r="AY58" s="1151"/>
      <c r="AZ58" s="1151"/>
      <c r="BA58" s="183"/>
      <c r="BB58" s="1212" t="s">
        <v>2631</v>
      </c>
      <c r="BC58" s="1177">
        <f t="shared" si="25"/>
        <v>0</v>
      </c>
      <c r="BD58" s="1151"/>
      <c r="BE58" s="1179">
        <f t="shared" si="26"/>
        <v>0</v>
      </c>
      <c r="BF58" s="1151"/>
      <c r="BG58" s="1151"/>
      <c r="BH58" s="1151"/>
      <c r="BI58" s="1151"/>
      <c r="BJ58" s="1151"/>
      <c r="BK58" s="183"/>
      <c r="BL58" s="1202" t="s">
        <v>2224</v>
      </c>
      <c r="BM58" s="1109"/>
      <c r="BN58" s="1109"/>
      <c r="BO58" s="1109"/>
      <c r="BP58" s="1109"/>
      <c r="BQ58" s="1109"/>
      <c r="BR58" s="1109"/>
      <c r="BS58" s="1109"/>
      <c r="BT58" s="1109"/>
      <c r="BU58" s="380"/>
      <c r="BV58" s="1202" t="s">
        <v>2224</v>
      </c>
      <c r="BW58" s="1109"/>
      <c r="BX58" s="1109"/>
      <c r="BY58" s="1109"/>
      <c r="BZ58" s="1109"/>
      <c r="CA58" s="1109"/>
      <c r="CB58" s="1109"/>
      <c r="CC58" s="1109"/>
      <c r="CD58" s="1109"/>
      <c r="CE58" s="380"/>
    </row>
    <row r="59" spans="1:83" s="1127" customFormat="1">
      <c r="A59" s="197" t="b">
        <v>0</v>
      </c>
      <c r="B59" s="291" t="s">
        <v>2243</v>
      </c>
      <c r="C59" s="197" t="b">
        <f t="shared" si="28"/>
        <v>0</v>
      </c>
      <c r="D59" s="388" t="str">
        <f>IF(C59=FALSE=NAMES!$B$8,"",IF(L59="N/A","N/A",O59&amp;N59&amp;L59&amp;"-"&amp;M59))</f>
        <v>2017USDAIG Luxembourg-Adulte AIG expat 90% excluding USA/Canada</v>
      </c>
      <c r="E59" s="392" t="str">
        <f t="shared" si="29"/>
        <v>2017USDAIG Luxembourg-Adulte AIG expat 90% excluding USA/Canada</v>
      </c>
      <c r="F59" s="1236" t="str">
        <f t="shared" si="38"/>
        <v>2017USDAIG Luxembourg-Healthcare PlanAdulte AIG expat 90% excluding USA/Canada</v>
      </c>
      <c r="G59" s="1240" t="str">
        <f t="shared" si="39"/>
        <v>2017USDAIG Luxembourg-Assistance and RepatriationAdulte AIG expat 90% excluding USA/Canada</v>
      </c>
      <c r="H59" s="1240" t="str">
        <f t="shared" si="40"/>
        <v>2017USDAIG Luxembourg-Legal AssistanceAdulte AIG expat 90% excluding USA/Canada</v>
      </c>
      <c r="I59" s="1240" t="str">
        <f t="shared" si="41"/>
        <v>2017USDAIG Luxembourg-Third party liabilityAdulte AIG expat 90% excluding USA/Canada</v>
      </c>
      <c r="J59" s="1240" t="str">
        <f t="shared" si="42"/>
        <v>N/A</v>
      </c>
      <c r="K59" s="1240" t="str">
        <f t="shared" si="43"/>
        <v>N/A</v>
      </c>
      <c r="L59" s="392" t="s">
        <v>4</v>
      </c>
      <c r="M59" s="1127" t="s">
        <v>2329</v>
      </c>
      <c r="N59" s="392" t="s">
        <v>87</v>
      </c>
      <c r="O59" s="376">
        <v>2017</v>
      </c>
      <c r="P59" s="376" t="s">
        <v>26</v>
      </c>
      <c r="Q59" s="376" t="s">
        <v>2169</v>
      </c>
      <c r="R59" s="378">
        <v>15</v>
      </c>
      <c r="S59" s="392" t="s">
        <v>2214</v>
      </c>
      <c r="T59" s="392"/>
      <c r="U59" s="392"/>
      <c r="V59" s="1109">
        <v>365</v>
      </c>
      <c r="W59" s="1228">
        <f t="shared" si="44"/>
        <v>2380.5576923076924</v>
      </c>
      <c r="X59" s="197" t="s">
        <v>3</v>
      </c>
      <c r="Y59" s="1188">
        <f t="shared" si="30"/>
        <v>2023.4740384615384</v>
      </c>
      <c r="Z59" s="377">
        <v>0.15</v>
      </c>
      <c r="AA59" s="1189">
        <f t="shared" si="31"/>
        <v>2380.5576923076924</v>
      </c>
      <c r="AB59" s="377">
        <v>0</v>
      </c>
      <c r="AC59" s="378">
        <v>238.05600000000001</v>
      </c>
      <c r="AD59" s="1100">
        <f t="shared" si="34"/>
        <v>2618.6136923076924</v>
      </c>
      <c r="AE59" s="377">
        <v>0.04</v>
      </c>
      <c r="AF59" s="370">
        <f t="shared" si="35"/>
        <v>95.222307692307695</v>
      </c>
      <c r="AG59" s="1216">
        <v>2475.7800000000002</v>
      </c>
      <c r="AH59" s="1215" t="s">
        <v>5</v>
      </c>
      <c r="AI59" s="1177">
        <f t="shared" si="47"/>
        <v>0</v>
      </c>
      <c r="AJ59" s="378"/>
      <c r="AK59" s="1179">
        <f t="shared" si="33"/>
        <v>0</v>
      </c>
      <c r="AL59" s="378"/>
      <c r="AM59" s="378"/>
      <c r="AN59" s="378"/>
      <c r="AO59" s="378"/>
      <c r="AP59" s="378"/>
      <c r="AQ59" s="1216"/>
      <c r="AR59" s="1203" t="s">
        <v>2630</v>
      </c>
      <c r="AS59" s="1177">
        <f t="shared" si="37"/>
        <v>0</v>
      </c>
      <c r="AT59" s="1151"/>
      <c r="AU59" s="1179">
        <f t="shared" si="24"/>
        <v>0</v>
      </c>
      <c r="AV59" s="1151"/>
      <c r="AW59" s="1151"/>
      <c r="AX59" s="1151"/>
      <c r="AY59" s="1151"/>
      <c r="AZ59" s="1151"/>
      <c r="BA59" s="183"/>
      <c r="BB59" s="1212" t="s">
        <v>2631</v>
      </c>
      <c r="BC59" s="1177">
        <f t="shared" si="25"/>
        <v>0</v>
      </c>
      <c r="BD59" s="1151"/>
      <c r="BE59" s="1179">
        <f t="shared" si="26"/>
        <v>0</v>
      </c>
      <c r="BF59" s="1151"/>
      <c r="BG59" s="1151"/>
      <c r="BH59" s="1151"/>
      <c r="BI59" s="1151"/>
      <c r="BJ59" s="1151"/>
      <c r="BK59" s="183"/>
      <c r="BL59" s="1202" t="s">
        <v>2224</v>
      </c>
      <c r="BM59" s="1109"/>
      <c r="BN59" s="1109"/>
      <c r="BO59" s="1109"/>
      <c r="BP59" s="1109"/>
      <c r="BQ59" s="1109"/>
      <c r="BR59" s="1109"/>
      <c r="BS59" s="1109"/>
      <c r="BT59" s="1109"/>
      <c r="BU59" s="380"/>
      <c r="BV59" s="1202" t="s">
        <v>2224</v>
      </c>
      <c r="BW59" s="1109"/>
      <c r="BX59" s="1109"/>
      <c r="BY59" s="1109"/>
      <c r="BZ59" s="1109"/>
      <c r="CA59" s="1109"/>
      <c r="CB59" s="1109"/>
      <c r="CC59" s="1109"/>
      <c r="CD59" s="1109"/>
      <c r="CE59" s="380"/>
    </row>
    <row r="60" spans="1:83" s="1127" customFormat="1">
      <c r="A60" s="197" t="b">
        <v>0</v>
      </c>
      <c r="B60" s="291" t="s">
        <v>2243</v>
      </c>
      <c r="C60" s="197" t="b">
        <f t="shared" si="28"/>
        <v>0</v>
      </c>
      <c r="D60" s="388" t="str">
        <f>IF(C60=FALSE=NAMES!$B$8,"",IF(L60="N/A","N/A",O60&amp;N60&amp;L60&amp;"-"&amp;M60))</f>
        <v>2017USDAIG Luxembourg-Adulte AIG expat 90% including USA/Canada</v>
      </c>
      <c r="E60" s="392" t="str">
        <f t="shared" si="29"/>
        <v>2017USDAIG Luxembourg-Adulte AIG expat 90% including USA/Canada</v>
      </c>
      <c r="F60" s="1236" t="str">
        <f t="shared" si="38"/>
        <v>2017USDAIG Luxembourg-Healthcare PlanAdulte AIG expat 90% including USA/Canada</v>
      </c>
      <c r="G60" s="1240" t="str">
        <f t="shared" si="39"/>
        <v>2017USDAIG Luxembourg-Assistance and RepatriationAdulte AIG expat 90% including USA/Canada</v>
      </c>
      <c r="H60" s="1240" t="str">
        <f t="shared" si="40"/>
        <v>2017USDAIG Luxembourg-Legal AssistanceAdulte AIG expat 90% including USA/Canada</v>
      </c>
      <c r="I60" s="1240" t="str">
        <f t="shared" si="41"/>
        <v>2017USDAIG Luxembourg-Third party liabilityAdulte AIG expat 90% including USA/Canada</v>
      </c>
      <c r="J60" s="1240" t="str">
        <f t="shared" si="42"/>
        <v>N/A</v>
      </c>
      <c r="K60" s="1240" t="str">
        <f t="shared" si="43"/>
        <v>N/A</v>
      </c>
      <c r="L60" s="392" t="s">
        <v>4</v>
      </c>
      <c r="M60" s="1127" t="s">
        <v>2330</v>
      </c>
      <c r="N60" s="392" t="s">
        <v>87</v>
      </c>
      <c r="O60" s="376">
        <v>2017</v>
      </c>
      <c r="P60" s="376" t="s">
        <v>26</v>
      </c>
      <c r="Q60" s="376" t="s">
        <v>2169</v>
      </c>
      <c r="R60" s="378">
        <v>15</v>
      </c>
      <c r="S60" s="392" t="s">
        <v>2214</v>
      </c>
      <c r="T60" s="392"/>
      <c r="U60" s="392"/>
      <c r="V60" s="1109">
        <v>365</v>
      </c>
      <c r="W60" s="1228">
        <f t="shared" si="44"/>
        <v>5450</v>
      </c>
      <c r="X60" s="197" t="s">
        <v>3</v>
      </c>
      <c r="Y60" s="1188">
        <f t="shared" si="30"/>
        <v>4632.5</v>
      </c>
      <c r="Z60" s="377">
        <v>0.15</v>
      </c>
      <c r="AA60" s="1189">
        <f t="shared" si="31"/>
        <v>5450</v>
      </c>
      <c r="AB60" s="377">
        <v>0</v>
      </c>
      <c r="AC60" s="378">
        <v>545</v>
      </c>
      <c r="AD60" s="1100">
        <f t="shared" si="34"/>
        <v>5995</v>
      </c>
      <c r="AE60" s="377">
        <v>0.04</v>
      </c>
      <c r="AF60" s="370">
        <f t="shared" si="35"/>
        <v>218</v>
      </c>
      <c r="AG60" s="1216">
        <v>5668</v>
      </c>
      <c r="AH60" s="1215" t="s">
        <v>5</v>
      </c>
      <c r="AI60" s="1177">
        <f t="shared" si="47"/>
        <v>0</v>
      </c>
      <c r="AJ60" s="378"/>
      <c r="AK60" s="1179">
        <f t="shared" si="33"/>
        <v>0</v>
      </c>
      <c r="AL60" s="378"/>
      <c r="AM60" s="378"/>
      <c r="AN60" s="378"/>
      <c r="AO60" s="378"/>
      <c r="AP60" s="378"/>
      <c r="AQ60" s="1216"/>
      <c r="AR60" s="1203" t="s">
        <v>2630</v>
      </c>
      <c r="AS60" s="1177">
        <f t="shared" si="37"/>
        <v>0</v>
      </c>
      <c r="AT60" s="1151"/>
      <c r="AU60" s="1179">
        <f t="shared" si="24"/>
        <v>0</v>
      </c>
      <c r="AV60" s="1151"/>
      <c r="AW60" s="1151"/>
      <c r="AX60" s="1151"/>
      <c r="AY60" s="1151"/>
      <c r="AZ60" s="1151"/>
      <c r="BA60" s="183"/>
      <c r="BB60" s="1212" t="s">
        <v>2631</v>
      </c>
      <c r="BC60" s="1177">
        <f t="shared" si="25"/>
        <v>0</v>
      </c>
      <c r="BD60" s="1151"/>
      <c r="BE60" s="1179">
        <f t="shared" si="26"/>
        <v>0</v>
      </c>
      <c r="BF60" s="1151"/>
      <c r="BG60" s="1151"/>
      <c r="BH60" s="1151"/>
      <c r="BI60" s="1151"/>
      <c r="BJ60" s="1151"/>
      <c r="BK60" s="183"/>
      <c r="BL60" s="1202" t="s">
        <v>2224</v>
      </c>
      <c r="BM60" s="1109"/>
      <c r="BN60" s="1109"/>
      <c r="BO60" s="1109"/>
      <c r="BP60" s="1109"/>
      <c r="BQ60" s="1109"/>
      <c r="BR60" s="1109"/>
      <c r="BS60" s="1109"/>
      <c r="BT60" s="1109"/>
      <c r="BU60" s="380"/>
      <c r="BV60" s="1202" t="s">
        <v>2224</v>
      </c>
      <c r="BW60" s="1109"/>
      <c r="BX60" s="1109"/>
      <c r="BY60" s="1109"/>
      <c r="BZ60" s="1109"/>
      <c r="CA60" s="1109"/>
      <c r="CB60" s="1109"/>
      <c r="CC60" s="1109"/>
      <c r="CD60" s="1109"/>
      <c r="CE60" s="380"/>
    </row>
    <row r="61" spans="1:83" s="1127" customFormat="1">
      <c r="A61" s="197" t="b">
        <v>0</v>
      </c>
      <c r="B61" s="291" t="s">
        <v>2243</v>
      </c>
      <c r="C61" s="197" t="b">
        <f t="shared" si="28"/>
        <v>0</v>
      </c>
      <c r="D61" s="388" t="str">
        <f>IF(C61=FALSE=NAMES!$B$8,"",IF(L61="N/A","N/A",O61&amp;N61&amp;L61&amp;"-"&amp;M61))</f>
        <v>2017USDAIG Luxembourg-Child AIG expat 100% excluding USA/Canada</v>
      </c>
      <c r="E61" s="392" t="str">
        <f t="shared" si="29"/>
        <v>2017USDAIG Luxembourg-Child AIG expat 100% excluding USA/Canada</v>
      </c>
      <c r="F61" s="1236" t="str">
        <f t="shared" si="38"/>
        <v>2017USDAIG Luxembourg-Healthcare PlanChild AIG expat 100% excluding USA/Canada</v>
      </c>
      <c r="G61" s="1240" t="str">
        <f t="shared" si="39"/>
        <v>2017USDAIG Luxembourg-Assistance and RepatriationChild AIG expat 100% excluding USA/Canada</v>
      </c>
      <c r="H61" s="1240" t="str">
        <f t="shared" si="40"/>
        <v>2017USDAIG Luxembourg-Legal AssistanceChild AIG expat 100% excluding USA/Canada</v>
      </c>
      <c r="I61" s="1240" t="str">
        <f t="shared" si="41"/>
        <v>2017USDAIG Luxembourg-Third party liabilityChild AIG expat 100% excluding USA/Canada</v>
      </c>
      <c r="J61" s="1240" t="str">
        <f t="shared" si="42"/>
        <v>N/A</v>
      </c>
      <c r="K61" s="1240" t="str">
        <f t="shared" si="43"/>
        <v>N/A</v>
      </c>
      <c r="L61" s="392" t="s">
        <v>4</v>
      </c>
      <c r="M61" s="1127" t="s">
        <v>2331</v>
      </c>
      <c r="N61" s="392" t="s">
        <v>87</v>
      </c>
      <c r="O61" s="376">
        <v>2017</v>
      </c>
      <c r="P61" s="376" t="s">
        <v>26</v>
      </c>
      <c r="Q61" s="376" t="s">
        <v>2169</v>
      </c>
      <c r="R61" s="378">
        <v>15</v>
      </c>
      <c r="S61" s="392" t="s">
        <v>2214</v>
      </c>
      <c r="T61" s="392"/>
      <c r="U61" s="392"/>
      <c r="V61" s="1109">
        <v>365</v>
      </c>
      <c r="W61" s="1228">
        <f t="shared" si="44"/>
        <v>1110</v>
      </c>
      <c r="X61" s="197" t="s">
        <v>3</v>
      </c>
      <c r="Y61" s="1188">
        <f t="shared" si="30"/>
        <v>943.5</v>
      </c>
      <c r="Z61" s="377">
        <v>0.15</v>
      </c>
      <c r="AA61" s="1189">
        <f t="shared" si="31"/>
        <v>1110</v>
      </c>
      <c r="AB61" s="377">
        <v>0</v>
      </c>
      <c r="AC61" s="378">
        <v>111</v>
      </c>
      <c r="AD61" s="1100">
        <f t="shared" si="34"/>
        <v>1221</v>
      </c>
      <c r="AE61" s="377">
        <v>0.04</v>
      </c>
      <c r="AF61" s="370">
        <f t="shared" si="35"/>
        <v>44.4</v>
      </c>
      <c r="AG61" s="1216">
        <v>1154.4000000000001</v>
      </c>
      <c r="AH61" s="1215" t="s">
        <v>5</v>
      </c>
      <c r="AI61" s="1177">
        <f t="shared" si="47"/>
        <v>0</v>
      </c>
      <c r="AJ61" s="378"/>
      <c r="AK61" s="1179">
        <f t="shared" si="33"/>
        <v>0</v>
      </c>
      <c r="AL61" s="378"/>
      <c r="AM61" s="378"/>
      <c r="AN61" s="378"/>
      <c r="AO61" s="378"/>
      <c r="AP61" s="378"/>
      <c r="AQ61" s="1216"/>
      <c r="AR61" s="1203" t="s">
        <v>2630</v>
      </c>
      <c r="AS61" s="1177">
        <f t="shared" si="37"/>
        <v>0</v>
      </c>
      <c r="AT61" s="1151"/>
      <c r="AU61" s="1179">
        <f t="shared" si="24"/>
        <v>0</v>
      </c>
      <c r="AV61" s="1151"/>
      <c r="AW61" s="1151"/>
      <c r="AX61" s="1151"/>
      <c r="AY61" s="1151"/>
      <c r="AZ61" s="1151"/>
      <c r="BA61" s="183"/>
      <c r="BB61" s="1212" t="s">
        <v>2631</v>
      </c>
      <c r="BC61" s="1177">
        <f t="shared" si="25"/>
        <v>0</v>
      </c>
      <c r="BD61" s="1151"/>
      <c r="BE61" s="1179">
        <f t="shared" si="26"/>
        <v>0</v>
      </c>
      <c r="BF61" s="1151"/>
      <c r="BG61" s="1151"/>
      <c r="BH61" s="1151"/>
      <c r="BI61" s="1151"/>
      <c r="BJ61" s="1151"/>
      <c r="BK61" s="183"/>
      <c r="BL61" s="1202" t="s">
        <v>2224</v>
      </c>
      <c r="BM61" s="1109"/>
      <c r="BN61" s="1109"/>
      <c r="BO61" s="1109"/>
      <c r="BP61" s="1109"/>
      <c r="BQ61" s="1109"/>
      <c r="BR61" s="1109"/>
      <c r="BS61" s="1109"/>
      <c r="BT61" s="1109"/>
      <c r="BU61" s="380"/>
      <c r="BV61" s="1202" t="s">
        <v>2224</v>
      </c>
      <c r="BW61" s="1109"/>
      <c r="BX61" s="1109"/>
      <c r="BY61" s="1109"/>
      <c r="BZ61" s="1109"/>
      <c r="CA61" s="1109"/>
      <c r="CB61" s="1109"/>
      <c r="CC61" s="1109"/>
      <c r="CD61" s="1109"/>
      <c r="CE61" s="380"/>
    </row>
    <row r="62" spans="1:83" s="1127" customFormat="1">
      <c r="A62" s="197" t="b">
        <v>0</v>
      </c>
      <c r="B62" s="291" t="s">
        <v>2243</v>
      </c>
      <c r="C62" s="197" t="b">
        <f t="shared" si="28"/>
        <v>0</v>
      </c>
      <c r="D62" s="388" t="str">
        <f>IF(C62=FALSE=NAMES!$B$8,"",IF(L62="N/A","N/A",O62&amp;N62&amp;L62&amp;"-"&amp;M62))</f>
        <v>2017USDAIG Luxembourg-Child AIG expat 100% including USA/Canada</v>
      </c>
      <c r="E62" s="392" t="str">
        <f t="shared" si="29"/>
        <v>2017USDAIG Luxembourg-Child AIG expat 100% including USA/Canada</v>
      </c>
      <c r="F62" s="1236" t="str">
        <f t="shared" si="38"/>
        <v>2017USDAIG Luxembourg-Healthcare PlanChild AIG expat 100% including USA/Canada</v>
      </c>
      <c r="G62" s="1240" t="str">
        <f t="shared" si="39"/>
        <v>2017USDAIG Luxembourg-Assistance and RepatriationChild AIG expat 100% including USA/Canada</v>
      </c>
      <c r="H62" s="1240" t="str">
        <f t="shared" si="40"/>
        <v>2017USDAIG Luxembourg-Legal AssistanceChild AIG expat 100% including USA/Canada</v>
      </c>
      <c r="I62" s="1240" t="str">
        <f t="shared" si="41"/>
        <v>2017USDAIG Luxembourg-Third party liabilityChild AIG expat 100% including USA/Canada</v>
      </c>
      <c r="J62" s="1240" t="str">
        <f t="shared" si="42"/>
        <v>N/A</v>
      </c>
      <c r="K62" s="1240" t="str">
        <f t="shared" si="43"/>
        <v>N/A</v>
      </c>
      <c r="L62" s="392" t="s">
        <v>4</v>
      </c>
      <c r="M62" s="1127" t="s">
        <v>2332</v>
      </c>
      <c r="N62" s="392" t="s">
        <v>87</v>
      </c>
      <c r="O62" s="376">
        <v>2017</v>
      </c>
      <c r="P62" s="376" t="s">
        <v>26</v>
      </c>
      <c r="Q62" s="376" t="s">
        <v>2169</v>
      </c>
      <c r="R62" s="378">
        <v>15</v>
      </c>
      <c r="S62" s="392" t="s">
        <v>2214</v>
      </c>
      <c r="T62" s="392"/>
      <c r="U62" s="392"/>
      <c r="V62" s="1109">
        <v>365</v>
      </c>
      <c r="W62" s="1228">
        <f t="shared" si="44"/>
        <v>2409</v>
      </c>
      <c r="X62" s="197" t="s">
        <v>3</v>
      </c>
      <c r="Y62" s="1188">
        <f t="shared" si="30"/>
        <v>2047.6499999999999</v>
      </c>
      <c r="Z62" s="377">
        <v>0.15</v>
      </c>
      <c r="AA62" s="1189">
        <f t="shared" si="31"/>
        <v>2409</v>
      </c>
      <c r="AB62" s="377">
        <v>0</v>
      </c>
      <c r="AC62" s="378">
        <v>240.9</v>
      </c>
      <c r="AD62" s="1100">
        <f t="shared" si="34"/>
        <v>2649.9</v>
      </c>
      <c r="AE62" s="377">
        <v>0.04</v>
      </c>
      <c r="AF62" s="370">
        <f t="shared" si="35"/>
        <v>96.36</v>
      </c>
      <c r="AG62" s="1216">
        <v>2505.36</v>
      </c>
      <c r="AH62" s="1215" t="s">
        <v>5</v>
      </c>
      <c r="AI62" s="1177">
        <f t="shared" si="47"/>
        <v>0</v>
      </c>
      <c r="AJ62" s="378"/>
      <c r="AK62" s="1179">
        <f t="shared" si="33"/>
        <v>0</v>
      </c>
      <c r="AL62" s="378"/>
      <c r="AM62" s="378"/>
      <c r="AN62" s="378"/>
      <c r="AO62" s="378"/>
      <c r="AP62" s="378"/>
      <c r="AQ62" s="1216"/>
      <c r="AR62" s="1203" t="s">
        <v>2630</v>
      </c>
      <c r="AS62" s="1177">
        <f t="shared" si="37"/>
        <v>0</v>
      </c>
      <c r="AT62" s="1151"/>
      <c r="AU62" s="1179">
        <f t="shared" si="24"/>
        <v>0</v>
      </c>
      <c r="AV62" s="1151"/>
      <c r="AW62" s="1151"/>
      <c r="AX62" s="1151"/>
      <c r="AY62" s="1151"/>
      <c r="AZ62" s="1151"/>
      <c r="BA62" s="183"/>
      <c r="BB62" s="1212" t="s">
        <v>2631</v>
      </c>
      <c r="BC62" s="1177">
        <f t="shared" si="25"/>
        <v>0</v>
      </c>
      <c r="BD62" s="1151"/>
      <c r="BE62" s="1179">
        <f t="shared" si="26"/>
        <v>0</v>
      </c>
      <c r="BF62" s="1151"/>
      <c r="BG62" s="1151"/>
      <c r="BH62" s="1151"/>
      <c r="BI62" s="1151"/>
      <c r="BJ62" s="1151"/>
      <c r="BK62" s="183"/>
      <c r="BL62" s="1202" t="s">
        <v>2224</v>
      </c>
      <c r="BM62" s="1109"/>
      <c r="BN62" s="1109"/>
      <c r="BO62" s="1109"/>
      <c r="BP62" s="1109"/>
      <c r="BQ62" s="1109"/>
      <c r="BR62" s="1109"/>
      <c r="BS62" s="1109"/>
      <c r="BT62" s="1109"/>
      <c r="BU62" s="380"/>
      <c r="BV62" s="1202" t="s">
        <v>2224</v>
      </c>
      <c r="BW62" s="1109"/>
      <c r="BX62" s="1109"/>
      <c r="BY62" s="1109"/>
      <c r="BZ62" s="1109"/>
      <c r="CA62" s="1109"/>
      <c r="CB62" s="1109"/>
      <c r="CC62" s="1109"/>
      <c r="CD62" s="1109"/>
      <c r="CE62" s="380"/>
    </row>
    <row r="63" spans="1:83" s="1127" customFormat="1">
      <c r="A63" s="197" t="b">
        <v>0</v>
      </c>
      <c r="B63" s="291" t="s">
        <v>2243</v>
      </c>
      <c r="C63" s="197" t="b">
        <f t="shared" si="28"/>
        <v>0</v>
      </c>
      <c r="D63" s="388" t="str">
        <f>IF(C63=FALSE=NAMES!$B$8,"",IF(L63="N/A","N/A",O63&amp;N63&amp;L63&amp;"-"&amp;M63))</f>
        <v>2017USDAIG Luxembourg-Child AIG expat 80% excluding USA/Canada</v>
      </c>
      <c r="E63" s="392" t="str">
        <f t="shared" si="29"/>
        <v>2017USDAIG Luxembourg-Child AIG expat 80% excluding USA/Canada</v>
      </c>
      <c r="F63" s="1236" t="str">
        <f t="shared" si="38"/>
        <v>2017USDAIG Luxembourg-Healthcare PlanChild AIG expat 80% excluding USA/Canada</v>
      </c>
      <c r="G63" s="1240" t="str">
        <f t="shared" si="39"/>
        <v>2017USDAIG Luxembourg-Assistance and RepatriationChild AIG expat 80% excluding USA/Canada</v>
      </c>
      <c r="H63" s="1240" t="str">
        <f t="shared" si="40"/>
        <v>2017USDAIG Luxembourg-Legal AssistanceChild AIG expat 80% excluding USA/Canada</v>
      </c>
      <c r="I63" s="1240" t="str">
        <f t="shared" si="41"/>
        <v>2017USDAIG Luxembourg-Third party liabilityChild AIG expat 80% excluding USA/Canada</v>
      </c>
      <c r="J63" s="1240" t="str">
        <f t="shared" si="42"/>
        <v>N/A</v>
      </c>
      <c r="K63" s="1240" t="str">
        <f t="shared" si="43"/>
        <v>N/A</v>
      </c>
      <c r="L63" s="392" t="s">
        <v>4</v>
      </c>
      <c r="M63" s="1127" t="s">
        <v>2333</v>
      </c>
      <c r="N63" s="392" t="s">
        <v>87</v>
      </c>
      <c r="O63" s="376">
        <v>2017</v>
      </c>
      <c r="P63" s="376" t="s">
        <v>26</v>
      </c>
      <c r="Q63" s="376" t="s">
        <v>2169</v>
      </c>
      <c r="R63" s="378">
        <v>15</v>
      </c>
      <c r="S63" s="392" t="s">
        <v>2214</v>
      </c>
      <c r="T63" s="392"/>
      <c r="U63" s="392"/>
      <c r="V63" s="1109">
        <v>365</v>
      </c>
      <c r="W63" s="1228">
        <f t="shared" si="44"/>
        <v>912</v>
      </c>
      <c r="X63" s="197" t="s">
        <v>3</v>
      </c>
      <c r="Y63" s="1188">
        <f t="shared" si="30"/>
        <v>775.19999999999993</v>
      </c>
      <c r="Z63" s="377">
        <v>0.15</v>
      </c>
      <c r="AA63" s="1189">
        <f t="shared" si="31"/>
        <v>912</v>
      </c>
      <c r="AB63" s="377">
        <v>0</v>
      </c>
      <c r="AC63" s="378">
        <v>91.2</v>
      </c>
      <c r="AD63" s="1100">
        <f t="shared" si="34"/>
        <v>1003.2</v>
      </c>
      <c r="AE63" s="377">
        <v>0.04</v>
      </c>
      <c r="AF63" s="370">
        <f t="shared" si="35"/>
        <v>36.480000000000004</v>
      </c>
      <c r="AG63" s="1216">
        <v>948.48</v>
      </c>
      <c r="AH63" s="1215" t="s">
        <v>5</v>
      </c>
      <c r="AI63" s="1177">
        <f t="shared" si="47"/>
        <v>0</v>
      </c>
      <c r="AJ63" s="378"/>
      <c r="AK63" s="1179">
        <f t="shared" si="33"/>
        <v>0</v>
      </c>
      <c r="AL63" s="378"/>
      <c r="AM63" s="378"/>
      <c r="AN63" s="378"/>
      <c r="AO63" s="378"/>
      <c r="AP63" s="378"/>
      <c r="AQ63" s="1216"/>
      <c r="AR63" s="1203" t="s">
        <v>2630</v>
      </c>
      <c r="AS63" s="1177">
        <f t="shared" si="37"/>
        <v>0</v>
      </c>
      <c r="AT63" s="1151"/>
      <c r="AU63" s="1179">
        <f t="shared" si="24"/>
        <v>0</v>
      </c>
      <c r="AV63" s="1151"/>
      <c r="AW63" s="1151"/>
      <c r="AX63" s="1151"/>
      <c r="AY63" s="1151"/>
      <c r="AZ63" s="1151"/>
      <c r="BA63" s="183"/>
      <c r="BB63" s="1212" t="s">
        <v>2631</v>
      </c>
      <c r="BC63" s="1177">
        <f t="shared" si="25"/>
        <v>0</v>
      </c>
      <c r="BD63" s="1151"/>
      <c r="BE63" s="1179">
        <f t="shared" si="26"/>
        <v>0</v>
      </c>
      <c r="BF63" s="1151"/>
      <c r="BG63" s="1151"/>
      <c r="BH63" s="1151"/>
      <c r="BI63" s="1151"/>
      <c r="BJ63" s="1151"/>
      <c r="BK63" s="183"/>
      <c r="BL63" s="1202" t="s">
        <v>2224</v>
      </c>
      <c r="BM63" s="1109"/>
      <c r="BN63" s="1109"/>
      <c r="BO63" s="1109"/>
      <c r="BP63" s="1109"/>
      <c r="BQ63" s="1109"/>
      <c r="BR63" s="1109"/>
      <c r="BS63" s="1109"/>
      <c r="BT63" s="1109"/>
      <c r="BU63" s="380"/>
      <c r="BV63" s="1202" t="s">
        <v>2224</v>
      </c>
      <c r="BW63" s="1109"/>
      <c r="BX63" s="1109"/>
      <c r="BY63" s="1109"/>
      <c r="BZ63" s="1109"/>
      <c r="CA63" s="1109"/>
      <c r="CB63" s="1109"/>
      <c r="CC63" s="1109"/>
      <c r="CD63" s="1109"/>
      <c r="CE63" s="380"/>
    </row>
    <row r="64" spans="1:83" s="1127" customFormat="1">
      <c r="A64" s="197" t="b">
        <v>0</v>
      </c>
      <c r="B64" s="291" t="s">
        <v>2243</v>
      </c>
      <c r="C64" s="197" t="b">
        <f t="shared" si="28"/>
        <v>0</v>
      </c>
      <c r="D64" s="388" t="str">
        <f>IF(C64=FALSE=NAMES!$B$8,"",IF(L64="N/A","N/A",O64&amp;N64&amp;L64&amp;"-"&amp;M64))</f>
        <v>2017USDAIG Luxembourg-Child AIG expat 80% including USA/Canada</v>
      </c>
      <c r="E64" s="392" t="str">
        <f t="shared" si="29"/>
        <v>2017USDAIG Luxembourg-Child AIG expat 80% including USA/Canada</v>
      </c>
      <c r="F64" s="1236" t="str">
        <f t="shared" si="38"/>
        <v>2017USDAIG Luxembourg-Healthcare PlanChild AIG expat 80% including USA/Canada</v>
      </c>
      <c r="G64" s="1240" t="str">
        <f t="shared" si="39"/>
        <v>2017USDAIG Luxembourg-Assistance and RepatriationChild AIG expat 80% including USA/Canada</v>
      </c>
      <c r="H64" s="1240" t="str">
        <f t="shared" si="40"/>
        <v>2017USDAIG Luxembourg-Legal AssistanceChild AIG expat 80% including USA/Canada</v>
      </c>
      <c r="I64" s="1240" t="str">
        <f t="shared" si="41"/>
        <v>2017USDAIG Luxembourg-Third party liabilityChild AIG expat 80% including USA/Canada</v>
      </c>
      <c r="J64" s="1240" t="str">
        <f t="shared" si="42"/>
        <v>N/A</v>
      </c>
      <c r="K64" s="1240" t="str">
        <f t="shared" si="43"/>
        <v>N/A</v>
      </c>
      <c r="L64" s="392" t="s">
        <v>4</v>
      </c>
      <c r="M64" s="1127" t="s">
        <v>2334</v>
      </c>
      <c r="N64" s="392" t="s">
        <v>87</v>
      </c>
      <c r="O64" s="376">
        <v>2017</v>
      </c>
      <c r="P64" s="376" t="s">
        <v>26</v>
      </c>
      <c r="Q64" s="376" t="s">
        <v>2169</v>
      </c>
      <c r="R64" s="378">
        <v>15</v>
      </c>
      <c r="S64" s="392" t="s">
        <v>2214</v>
      </c>
      <c r="T64" s="392"/>
      <c r="U64" s="392"/>
      <c r="V64" s="1109">
        <v>365</v>
      </c>
      <c r="W64" s="1228">
        <f t="shared" si="44"/>
        <v>1937.9615384615383</v>
      </c>
      <c r="X64" s="197" t="s">
        <v>3</v>
      </c>
      <c r="Y64" s="1188">
        <f t="shared" si="30"/>
        <v>1647.2673076923074</v>
      </c>
      <c r="Z64" s="377">
        <v>0.15</v>
      </c>
      <c r="AA64" s="1189">
        <f t="shared" si="31"/>
        <v>1937.9615384615383</v>
      </c>
      <c r="AB64" s="377">
        <v>0</v>
      </c>
      <c r="AC64" s="378">
        <v>193.79599999999999</v>
      </c>
      <c r="AD64" s="1100">
        <f t="shared" si="34"/>
        <v>2131.7575384615384</v>
      </c>
      <c r="AE64" s="377">
        <v>0.04</v>
      </c>
      <c r="AF64" s="370">
        <f t="shared" si="35"/>
        <v>77.518461538461537</v>
      </c>
      <c r="AG64" s="1216">
        <v>2015.48</v>
      </c>
      <c r="AH64" s="1215" t="s">
        <v>5</v>
      </c>
      <c r="AI64" s="1177">
        <f t="shared" si="47"/>
        <v>0</v>
      </c>
      <c r="AJ64" s="378"/>
      <c r="AK64" s="1179">
        <f t="shared" si="33"/>
        <v>0</v>
      </c>
      <c r="AL64" s="378"/>
      <c r="AM64" s="378"/>
      <c r="AN64" s="378"/>
      <c r="AO64" s="378"/>
      <c r="AP64" s="378"/>
      <c r="AQ64" s="1216"/>
      <c r="AR64" s="1203" t="s">
        <v>2630</v>
      </c>
      <c r="AS64" s="1177">
        <f t="shared" si="37"/>
        <v>0</v>
      </c>
      <c r="AT64" s="1151"/>
      <c r="AU64" s="1179">
        <f t="shared" si="24"/>
        <v>0</v>
      </c>
      <c r="AV64" s="1151"/>
      <c r="AW64" s="1151"/>
      <c r="AX64" s="1151"/>
      <c r="AY64" s="1151"/>
      <c r="AZ64" s="1151"/>
      <c r="BA64" s="183"/>
      <c r="BB64" s="1212" t="s">
        <v>2631</v>
      </c>
      <c r="BC64" s="1177">
        <f t="shared" si="25"/>
        <v>0</v>
      </c>
      <c r="BD64" s="1151"/>
      <c r="BE64" s="1179">
        <f t="shared" si="26"/>
        <v>0</v>
      </c>
      <c r="BF64" s="1151"/>
      <c r="BG64" s="1151"/>
      <c r="BH64" s="1151"/>
      <c r="BI64" s="1151"/>
      <c r="BJ64" s="1151"/>
      <c r="BK64" s="183"/>
      <c r="BL64" s="1202" t="s">
        <v>2224</v>
      </c>
      <c r="BM64" s="1109"/>
      <c r="BN64" s="1109"/>
      <c r="BO64" s="1109"/>
      <c r="BP64" s="1109"/>
      <c r="BQ64" s="1109"/>
      <c r="BR64" s="1109"/>
      <c r="BS64" s="1109"/>
      <c r="BT64" s="1109"/>
      <c r="BU64" s="380"/>
      <c r="BV64" s="1202" t="s">
        <v>2224</v>
      </c>
      <c r="BW64" s="1109"/>
      <c r="BX64" s="1109"/>
      <c r="BY64" s="1109"/>
      <c r="BZ64" s="1109"/>
      <c r="CA64" s="1109"/>
      <c r="CB64" s="1109"/>
      <c r="CC64" s="1109"/>
      <c r="CD64" s="1109"/>
      <c r="CE64" s="380"/>
    </row>
    <row r="65" spans="1:83" s="1127" customFormat="1">
      <c r="A65" s="197" t="b">
        <v>0</v>
      </c>
      <c r="B65" s="291" t="s">
        <v>2243</v>
      </c>
      <c r="C65" s="197" t="b">
        <f t="shared" si="28"/>
        <v>0</v>
      </c>
      <c r="D65" s="388" t="str">
        <f>IF(C65=FALSE=NAMES!$B$8,"",IF(L65="N/A","N/A",O65&amp;N65&amp;L65&amp;"-"&amp;M65))</f>
        <v>2017USDAIG Luxembourg-Child AIG expat 90% excluding USA/Canada</v>
      </c>
      <c r="E65" s="392" t="str">
        <f t="shared" si="29"/>
        <v>2017USDAIG Luxembourg-Child AIG expat 90% excluding USA/Canada</v>
      </c>
      <c r="F65" s="1236" t="str">
        <f t="shared" si="38"/>
        <v>2017USDAIG Luxembourg-Healthcare PlanChild AIG expat 90% excluding USA/Canada</v>
      </c>
      <c r="G65" s="1240" t="str">
        <f t="shared" si="39"/>
        <v>2017USDAIG Luxembourg-Assistance and RepatriationChild AIG expat 90% excluding USA/Canada</v>
      </c>
      <c r="H65" s="1240" t="str">
        <f t="shared" si="40"/>
        <v>2017USDAIG Luxembourg-Legal AssistanceChild AIG expat 90% excluding USA/Canada</v>
      </c>
      <c r="I65" s="1240" t="str">
        <f t="shared" si="41"/>
        <v>2017USDAIG Luxembourg-Third party liabilityChild AIG expat 90% excluding USA/Canada</v>
      </c>
      <c r="J65" s="1240" t="str">
        <f t="shared" si="42"/>
        <v>N/A</v>
      </c>
      <c r="K65" s="1240" t="str">
        <f t="shared" si="43"/>
        <v>N/A</v>
      </c>
      <c r="L65" s="392" t="s">
        <v>4</v>
      </c>
      <c r="M65" s="1127" t="s">
        <v>2335</v>
      </c>
      <c r="N65" s="392" t="s">
        <v>87</v>
      </c>
      <c r="O65" s="376">
        <v>2017</v>
      </c>
      <c r="P65" s="376" t="s">
        <v>26</v>
      </c>
      <c r="Q65" s="376" t="s">
        <v>2169</v>
      </c>
      <c r="R65" s="378">
        <v>15</v>
      </c>
      <c r="S65" s="392" t="s">
        <v>2214</v>
      </c>
      <c r="T65" s="392"/>
      <c r="U65" s="392"/>
      <c r="V65" s="1109">
        <v>365</v>
      </c>
      <c r="W65" s="1228">
        <f t="shared" si="44"/>
        <v>1011</v>
      </c>
      <c r="X65" s="197" t="s">
        <v>3</v>
      </c>
      <c r="Y65" s="1188">
        <f t="shared" si="30"/>
        <v>859.35</v>
      </c>
      <c r="Z65" s="377">
        <v>0.15</v>
      </c>
      <c r="AA65" s="1189">
        <f t="shared" si="31"/>
        <v>1011</v>
      </c>
      <c r="AB65" s="377">
        <v>0</v>
      </c>
      <c r="AC65" s="378">
        <v>101.1</v>
      </c>
      <c r="AD65" s="1100">
        <f t="shared" si="34"/>
        <v>1112.0999999999999</v>
      </c>
      <c r="AE65" s="377">
        <v>0.04</v>
      </c>
      <c r="AF65" s="370">
        <f t="shared" si="35"/>
        <v>40.44</v>
      </c>
      <c r="AG65" s="1216">
        <v>1051.44</v>
      </c>
      <c r="AH65" s="1215" t="s">
        <v>5</v>
      </c>
      <c r="AI65" s="1177">
        <f t="shared" si="47"/>
        <v>0</v>
      </c>
      <c r="AJ65" s="378"/>
      <c r="AK65" s="1179">
        <f t="shared" si="33"/>
        <v>0</v>
      </c>
      <c r="AL65" s="378"/>
      <c r="AM65" s="378"/>
      <c r="AN65" s="378"/>
      <c r="AO65" s="378"/>
      <c r="AP65" s="378"/>
      <c r="AQ65" s="1216"/>
      <c r="AR65" s="1203" t="s">
        <v>2630</v>
      </c>
      <c r="AS65" s="1177">
        <f t="shared" si="37"/>
        <v>0</v>
      </c>
      <c r="AT65" s="1151"/>
      <c r="AU65" s="1179">
        <f t="shared" si="24"/>
        <v>0</v>
      </c>
      <c r="AV65" s="1151"/>
      <c r="AW65" s="1151"/>
      <c r="AX65" s="1151"/>
      <c r="AY65" s="1151"/>
      <c r="AZ65" s="1151"/>
      <c r="BA65" s="183"/>
      <c r="BB65" s="1212" t="s">
        <v>2631</v>
      </c>
      <c r="BC65" s="1177">
        <f t="shared" si="25"/>
        <v>0</v>
      </c>
      <c r="BD65" s="1151"/>
      <c r="BE65" s="1179">
        <f t="shared" si="26"/>
        <v>0</v>
      </c>
      <c r="BF65" s="1151"/>
      <c r="BG65" s="1151"/>
      <c r="BH65" s="1151"/>
      <c r="BI65" s="1151"/>
      <c r="BJ65" s="1151"/>
      <c r="BK65" s="183"/>
      <c r="BL65" s="1202" t="s">
        <v>2224</v>
      </c>
      <c r="BM65" s="1109"/>
      <c r="BN65" s="1109"/>
      <c r="BO65" s="1109"/>
      <c r="BP65" s="1109"/>
      <c r="BQ65" s="1109"/>
      <c r="BR65" s="1109"/>
      <c r="BS65" s="1109"/>
      <c r="BT65" s="1109"/>
      <c r="BU65" s="380"/>
      <c r="BV65" s="1202" t="s">
        <v>2224</v>
      </c>
      <c r="BW65" s="1109"/>
      <c r="BX65" s="1109"/>
      <c r="BY65" s="1109"/>
      <c r="BZ65" s="1109"/>
      <c r="CA65" s="1109"/>
      <c r="CB65" s="1109"/>
      <c r="CC65" s="1109"/>
      <c r="CD65" s="1109"/>
      <c r="CE65" s="380"/>
    </row>
    <row r="66" spans="1:83" s="1127" customFormat="1">
      <c r="A66" s="197" t="b">
        <v>0</v>
      </c>
      <c r="B66" s="291" t="s">
        <v>2243</v>
      </c>
      <c r="C66" s="197" t="b">
        <f t="shared" si="28"/>
        <v>0</v>
      </c>
      <c r="D66" s="388" t="str">
        <f>IF(C66=FALSE=NAMES!$B$8,"",IF(L66="N/A","N/A",O66&amp;N66&amp;L66&amp;"-"&amp;M66))</f>
        <v>2017USDAIG Luxembourg-Child AIG expat 90% including USA/Canada</v>
      </c>
      <c r="E66" s="392" t="str">
        <f t="shared" si="29"/>
        <v>2017USDAIG Luxembourg-Child AIG expat 90% including USA/Canada</v>
      </c>
      <c r="F66" s="1236" t="str">
        <f t="shared" si="38"/>
        <v>2017USDAIG Luxembourg-Healthcare PlanChild AIG expat 90% including USA/Canada</v>
      </c>
      <c r="G66" s="1240" t="str">
        <f t="shared" si="39"/>
        <v>2017USDAIG Luxembourg-Assistance and RepatriationChild AIG expat 90% including USA/Canada</v>
      </c>
      <c r="H66" s="1240" t="str">
        <f t="shared" si="40"/>
        <v>2017USDAIG Luxembourg-Legal AssistanceChild AIG expat 90% including USA/Canada</v>
      </c>
      <c r="I66" s="1240" t="str">
        <f t="shared" si="41"/>
        <v>2017USDAIG Luxembourg-Third party liabilityChild AIG expat 90% including USA/Canada</v>
      </c>
      <c r="J66" s="1240" t="str">
        <f t="shared" si="42"/>
        <v>N/A</v>
      </c>
      <c r="K66" s="1240" t="str">
        <f t="shared" si="43"/>
        <v>N/A</v>
      </c>
      <c r="L66" s="392" t="s">
        <v>4</v>
      </c>
      <c r="M66" s="1127" t="s">
        <v>2336</v>
      </c>
      <c r="N66" s="392" t="s">
        <v>87</v>
      </c>
      <c r="O66" s="376">
        <v>2017</v>
      </c>
      <c r="P66" s="376" t="s">
        <v>26</v>
      </c>
      <c r="Q66" s="376" t="s">
        <v>2169</v>
      </c>
      <c r="R66" s="378">
        <v>15</v>
      </c>
      <c r="S66" s="392" t="s">
        <v>2214</v>
      </c>
      <c r="T66" s="392"/>
      <c r="U66" s="392"/>
      <c r="V66" s="1109">
        <v>365</v>
      </c>
      <c r="W66" s="1228">
        <f t="shared" si="44"/>
        <v>2173.1826923076924</v>
      </c>
      <c r="X66" s="197" t="s">
        <v>3</v>
      </c>
      <c r="Y66" s="1188">
        <f t="shared" si="30"/>
        <v>1847.2052884615384</v>
      </c>
      <c r="Z66" s="377">
        <v>0.15</v>
      </c>
      <c r="AA66" s="1189">
        <f t="shared" si="31"/>
        <v>2173.1826923076924</v>
      </c>
      <c r="AB66" s="377">
        <v>0</v>
      </c>
      <c r="AC66" s="378">
        <v>217.31800000000001</v>
      </c>
      <c r="AD66" s="1100">
        <f t="shared" si="34"/>
        <v>2390.5006923076926</v>
      </c>
      <c r="AE66" s="377">
        <v>0.04</v>
      </c>
      <c r="AF66" s="370">
        <f t="shared" si="35"/>
        <v>86.927307692307693</v>
      </c>
      <c r="AG66" s="1216">
        <v>2260.11</v>
      </c>
      <c r="AH66" s="1215" t="s">
        <v>5</v>
      </c>
      <c r="AI66" s="1177">
        <f t="shared" si="47"/>
        <v>0</v>
      </c>
      <c r="AJ66" s="378"/>
      <c r="AK66" s="1179">
        <f t="shared" si="33"/>
        <v>0</v>
      </c>
      <c r="AL66" s="378"/>
      <c r="AM66" s="378"/>
      <c r="AN66" s="378"/>
      <c r="AO66" s="378"/>
      <c r="AP66" s="378"/>
      <c r="AQ66" s="1216"/>
      <c r="AR66" s="1203" t="s">
        <v>2630</v>
      </c>
      <c r="AS66" s="1177">
        <f t="shared" si="37"/>
        <v>0</v>
      </c>
      <c r="AT66" s="1151"/>
      <c r="AU66" s="1179">
        <f t="shared" si="24"/>
        <v>0</v>
      </c>
      <c r="AV66" s="1151"/>
      <c r="AW66" s="1151"/>
      <c r="AX66" s="1151"/>
      <c r="AY66" s="1151"/>
      <c r="AZ66" s="1151"/>
      <c r="BA66" s="183"/>
      <c r="BB66" s="1212" t="s">
        <v>2631</v>
      </c>
      <c r="BC66" s="1177">
        <f t="shared" si="25"/>
        <v>0</v>
      </c>
      <c r="BD66" s="1151"/>
      <c r="BE66" s="1179">
        <f t="shared" si="26"/>
        <v>0</v>
      </c>
      <c r="BF66" s="1151"/>
      <c r="BG66" s="1151"/>
      <c r="BH66" s="1151"/>
      <c r="BI66" s="1151"/>
      <c r="BJ66" s="1151"/>
      <c r="BK66" s="183"/>
      <c r="BL66" s="1202" t="s">
        <v>2224</v>
      </c>
      <c r="BM66" s="1109"/>
      <c r="BN66" s="1109"/>
      <c r="BO66" s="1109"/>
      <c r="BP66" s="1109"/>
      <c r="BQ66" s="1109"/>
      <c r="BR66" s="1109"/>
      <c r="BS66" s="1109"/>
      <c r="BT66" s="1109"/>
      <c r="BU66" s="380"/>
      <c r="BV66" s="1202" t="s">
        <v>2224</v>
      </c>
      <c r="BW66" s="1109"/>
      <c r="BX66" s="1109"/>
      <c r="BY66" s="1109"/>
      <c r="BZ66" s="1109"/>
      <c r="CA66" s="1109"/>
      <c r="CB66" s="1109"/>
      <c r="CC66" s="1109"/>
      <c r="CD66" s="1109"/>
      <c r="CE66" s="380"/>
    </row>
    <row r="67" spans="1:83" s="1127" customFormat="1" ht="15.75" thickBot="1">
      <c r="A67" s="291" t="b">
        <v>0</v>
      </c>
      <c r="B67" s="291" t="s">
        <v>2243</v>
      </c>
      <c r="C67" s="291" t="b">
        <f t="shared" si="28"/>
        <v>0</v>
      </c>
      <c r="D67" s="388" t="str">
        <f>IF(C67=FALSE=NAMES!$B$8,"",IF(L67="N/A","N/A",O67&amp;N67&amp;L67&amp;"-"&amp;M67))</f>
        <v>N/A</v>
      </c>
      <c r="E67" s="392" t="str">
        <f t="shared" si="29"/>
        <v>N/A</v>
      </c>
      <c r="F67" s="1236" t="str">
        <f t="shared" si="38"/>
        <v>N/A</v>
      </c>
      <c r="G67" s="1240" t="str">
        <f t="shared" si="39"/>
        <v>N/A</v>
      </c>
      <c r="H67" s="1240" t="str">
        <f t="shared" si="40"/>
        <v>N/A</v>
      </c>
      <c r="I67" s="1240" t="str">
        <f t="shared" si="41"/>
        <v>N/A</v>
      </c>
      <c r="J67" s="1240" t="str">
        <f t="shared" si="42"/>
        <v>N/A</v>
      </c>
      <c r="K67" s="1240" t="str">
        <f t="shared" si="43"/>
        <v>N/A</v>
      </c>
      <c r="L67" s="389" t="s">
        <v>2224</v>
      </c>
      <c r="M67" s="389"/>
      <c r="N67" s="389"/>
      <c r="O67" s="1151"/>
      <c r="P67" s="1151"/>
      <c r="Q67" s="1151"/>
      <c r="R67" s="1151"/>
      <c r="S67" s="389"/>
      <c r="T67" s="389"/>
      <c r="U67" s="389"/>
      <c r="V67" s="1151"/>
      <c r="W67" s="1228" t="str">
        <f t="shared" si="44"/>
        <v/>
      </c>
      <c r="X67" s="388" t="s">
        <v>2224</v>
      </c>
      <c r="Y67" s="1188" t="str">
        <f t="shared" si="30"/>
        <v/>
      </c>
      <c r="Z67" s="1151"/>
      <c r="AA67" s="1189" t="str">
        <f t="shared" si="31"/>
        <v/>
      </c>
      <c r="AB67" s="377" t="str">
        <f>IF(E67="N/A","",$AB$2)</f>
        <v/>
      </c>
      <c r="AC67" s="391"/>
      <c r="AD67" s="391"/>
      <c r="AE67" s="1151"/>
      <c r="AF67" s="1151"/>
      <c r="AG67" s="183"/>
      <c r="AH67" s="1202" t="s">
        <v>2224</v>
      </c>
      <c r="AI67" s="1177" t="str">
        <f t="shared" si="32"/>
        <v/>
      </c>
      <c r="AJ67" s="1151"/>
      <c r="AK67" s="1179" t="str">
        <f t="shared" si="33"/>
        <v/>
      </c>
      <c r="AL67" s="1151"/>
      <c r="AM67" s="1151"/>
      <c r="AN67" s="1151"/>
      <c r="AO67" s="1151"/>
      <c r="AP67" s="1151"/>
      <c r="AQ67" s="183"/>
      <c r="AR67" s="1202" t="s">
        <v>2224</v>
      </c>
      <c r="AS67" s="1177" t="str">
        <f t="shared" ref="AS67" si="48">IF(AR67="N/A","",AU67*(1-AT67))</f>
        <v/>
      </c>
      <c r="AT67" s="1151"/>
      <c r="AU67" s="1179">
        <f t="shared" si="24"/>
        <v>0</v>
      </c>
      <c r="AV67" s="1151"/>
      <c r="AW67" s="1151"/>
      <c r="AX67" s="1151"/>
      <c r="AY67" s="1151"/>
      <c r="AZ67" s="1151"/>
      <c r="BA67" s="183"/>
      <c r="BB67" s="1202" t="s">
        <v>2224</v>
      </c>
      <c r="BC67" s="1177">
        <f>IF(BB67="N/A",0,BE67*(1-BD67))</f>
        <v>0</v>
      </c>
      <c r="BD67" s="1151"/>
      <c r="BE67" s="1179">
        <f t="shared" si="26"/>
        <v>0</v>
      </c>
      <c r="BF67" s="1151"/>
      <c r="BG67" s="1151"/>
      <c r="BH67" s="1151"/>
      <c r="BI67" s="1151"/>
      <c r="BJ67" s="1151"/>
      <c r="BK67" s="183"/>
      <c r="BL67" s="1202" t="s">
        <v>2224</v>
      </c>
      <c r="BM67" s="1109"/>
      <c r="BN67" s="1109"/>
      <c r="BO67" s="1109"/>
      <c r="BP67" s="1109"/>
      <c r="BQ67" s="1109"/>
      <c r="BR67" s="1109"/>
      <c r="BS67" s="1109"/>
      <c r="BT67" s="1109"/>
      <c r="BU67" s="380"/>
      <c r="BV67" s="1202" t="s">
        <v>2224</v>
      </c>
      <c r="BW67" s="1109"/>
      <c r="BX67" s="1109"/>
      <c r="BY67" s="1109"/>
      <c r="BZ67" s="1109"/>
      <c r="CA67" s="1109"/>
      <c r="CB67" s="1109"/>
      <c r="CC67" s="1109"/>
      <c r="CD67" s="1109"/>
      <c r="CE67" s="380"/>
    </row>
    <row r="68" spans="1:83" s="1127" customFormat="1">
      <c r="A68" s="1186" t="b">
        <v>1</v>
      </c>
      <c r="B68" s="1813" t="s">
        <v>2809</v>
      </c>
      <c r="C68" s="1814"/>
      <c r="D68" s="1814"/>
      <c r="E68" s="1815"/>
      <c r="F68" s="1242" t="s">
        <v>2804</v>
      </c>
      <c r="G68" s="1242" t="s">
        <v>2805</v>
      </c>
      <c r="H68" s="1242" t="s">
        <v>2806</v>
      </c>
      <c r="I68" s="1242" t="s">
        <v>2807</v>
      </c>
      <c r="J68" s="1242" t="s">
        <v>2810</v>
      </c>
      <c r="K68" s="1242" t="s">
        <v>2811</v>
      </c>
      <c r="L68" s="1816" t="s">
        <v>2803</v>
      </c>
      <c r="M68" s="1817"/>
      <c r="N68" s="1817"/>
      <c r="O68" s="1817"/>
      <c r="P68" s="1817"/>
      <c r="Q68" s="1817"/>
      <c r="R68" s="1817"/>
      <c r="S68" s="1817"/>
      <c r="T68" s="1817"/>
      <c r="U68" s="1817"/>
      <c r="V68" s="1818"/>
      <c r="W68" s="1227"/>
      <c r="X68" s="1807" t="s">
        <v>2804</v>
      </c>
      <c r="Y68" s="1808"/>
      <c r="Z68" s="1808"/>
      <c r="AA68" s="1808"/>
      <c r="AB68" s="1808"/>
      <c r="AC68" s="1808"/>
      <c r="AD68" s="1808"/>
      <c r="AE68" s="1808"/>
      <c r="AF68" s="1808"/>
      <c r="AG68" s="1809"/>
      <c r="AH68" s="1807" t="s">
        <v>2805</v>
      </c>
      <c r="AI68" s="1808"/>
      <c r="AJ68" s="1808"/>
      <c r="AK68" s="1808"/>
      <c r="AL68" s="1808"/>
      <c r="AM68" s="1808"/>
      <c r="AN68" s="1808"/>
      <c r="AO68" s="1808"/>
      <c r="AP68" s="1808"/>
      <c r="AQ68" s="1809"/>
      <c r="AR68" s="1807" t="s">
        <v>2806</v>
      </c>
      <c r="AS68" s="1808"/>
      <c r="AT68" s="1808"/>
      <c r="AU68" s="1808"/>
      <c r="AV68" s="1808"/>
      <c r="AW68" s="1808"/>
      <c r="AX68" s="1808"/>
      <c r="AY68" s="1808"/>
      <c r="AZ68" s="1808"/>
      <c r="BA68" s="1809"/>
      <c r="BB68" s="1810" t="s">
        <v>2807</v>
      </c>
      <c r="BC68" s="1811"/>
      <c r="BD68" s="1811"/>
      <c r="BE68" s="1811"/>
      <c r="BF68" s="1811"/>
      <c r="BG68" s="1811"/>
      <c r="BH68" s="1811"/>
      <c r="BI68" s="1811"/>
      <c r="BJ68" s="1811"/>
      <c r="BK68" s="1812"/>
      <c r="BL68" s="1810" t="s">
        <v>2810</v>
      </c>
      <c r="BM68" s="1811"/>
      <c r="BN68" s="1811"/>
      <c r="BO68" s="1811"/>
      <c r="BP68" s="1811"/>
      <c r="BQ68" s="1811"/>
      <c r="BR68" s="1811"/>
      <c r="BS68" s="1811"/>
      <c r="BT68" s="1811"/>
      <c r="BU68" s="1812"/>
      <c r="BV68" s="1810" t="s">
        <v>2811</v>
      </c>
      <c r="BW68" s="1811"/>
      <c r="BX68" s="1811"/>
      <c r="BY68" s="1811"/>
      <c r="BZ68" s="1811"/>
      <c r="CA68" s="1811"/>
      <c r="CB68" s="1811"/>
      <c r="CC68" s="1811"/>
      <c r="CD68" s="1811"/>
      <c r="CE68" s="1812"/>
    </row>
    <row r="69" spans="1:83" s="375" customFormat="1" ht="85.5" customHeight="1">
      <c r="A69" s="1186"/>
      <c r="B69" s="1186"/>
      <c r="C69" s="1186"/>
      <c r="D69" s="1187" t="s">
        <v>2000</v>
      </c>
      <c r="E69" s="1187" t="s">
        <v>2000</v>
      </c>
      <c r="F69" s="1243" t="s">
        <v>2818</v>
      </c>
      <c r="G69" s="1243" t="s">
        <v>2819</v>
      </c>
      <c r="H69" s="1243" t="s">
        <v>2820</v>
      </c>
      <c r="I69" s="1243" t="s">
        <v>2821</v>
      </c>
      <c r="J69" s="1243" t="s">
        <v>2723</v>
      </c>
      <c r="K69" s="1243" t="s">
        <v>2240</v>
      </c>
      <c r="L69" s="1183" t="s">
        <v>2158</v>
      </c>
      <c r="M69" s="1184" t="s">
        <v>2226</v>
      </c>
      <c r="N69" s="1185" t="s">
        <v>2112</v>
      </c>
      <c r="O69" s="1184" t="s">
        <v>2228</v>
      </c>
      <c r="P69" s="1184" t="s">
        <v>2230</v>
      </c>
      <c r="Q69" s="1184" t="s">
        <v>2495</v>
      </c>
      <c r="R69" s="1185" t="s">
        <v>2242</v>
      </c>
      <c r="S69" s="1184" t="s">
        <v>2212</v>
      </c>
      <c r="T69" s="1184" t="s">
        <v>1148</v>
      </c>
      <c r="U69" s="1185" t="s">
        <v>2227</v>
      </c>
      <c r="V69" s="1219" t="s">
        <v>2107</v>
      </c>
      <c r="W69" s="1226"/>
      <c r="X69" s="1200" t="s">
        <v>2111</v>
      </c>
      <c r="Y69" s="1172" t="s">
        <v>2222</v>
      </c>
      <c r="Z69" s="1173" t="s">
        <v>2322</v>
      </c>
      <c r="AA69" s="1173" t="s">
        <v>2223</v>
      </c>
      <c r="AB69" s="1173" t="s">
        <v>23</v>
      </c>
      <c r="AC69" s="1173" t="s">
        <v>2774</v>
      </c>
      <c r="AD69" s="1173" t="s">
        <v>2775</v>
      </c>
      <c r="AE69" s="1173" t="s">
        <v>2773</v>
      </c>
      <c r="AF69" s="1173" t="s">
        <v>2225</v>
      </c>
      <c r="AG69" s="1201" t="s">
        <v>2229</v>
      </c>
      <c r="AH69" s="1200" t="s">
        <v>2111</v>
      </c>
      <c r="AI69" s="1172" t="s">
        <v>2222</v>
      </c>
      <c r="AJ69" s="1173" t="s">
        <v>2322</v>
      </c>
      <c r="AK69" s="1173" t="s">
        <v>2223</v>
      </c>
      <c r="AL69" s="1173" t="s">
        <v>23</v>
      </c>
      <c r="AM69" s="1173" t="s">
        <v>2774</v>
      </c>
      <c r="AN69" s="1173" t="s">
        <v>2775</v>
      </c>
      <c r="AO69" s="1173" t="s">
        <v>2773</v>
      </c>
      <c r="AP69" s="1173" t="s">
        <v>2225</v>
      </c>
      <c r="AQ69" s="1201" t="s">
        <v>2229</v>
      </c>
      <c r="AR69" s="1200" t="s">
        <v>2111</v>
      </c>
      <c r="AS69" s="1172" t="s">
        <v>2222</v>
      </c>
      <c r="AT69" s="1173" t="s">
        <v>2808</v>
      </c>
      <c r="AU69" s="1173" t="s">
        <v>2223</v>
      </c>
      <c r="AV69" s="1173" t="s">
        <v>23</v>
      </c>
      <c r="AW69" s="1173" t="s">
        <v>2774</v>
      </c>
      <c r="AX69" s="1173" t="s">
        <v>2775</v>
      </c>
      <c r="AY69" s="1173" t="s">
        <v>2773</v>
      </c>
      <c r="AZ69" s="1173" t="s">
        <v>2225</v>
      </c>
      <c r="BA69" s="1201" t="s">
        <v>2229</v>
      </c>
      <c r="BB69" s="1200" t="s">
        <v>2111</v>
      </c>
      <c r="BC69" s="1172" t="s">
        <v>2222</v>
      </c>
      <c r="BD69" s="1173" t="s">
        <v>2808</v>
      </c>
      <c r="BE69" s="1173" t="s">
        <v>2223</v>
      </c>
      <c r="BF69" s="1173" t="s">
        <v>23</v>
      </c>
      <c r="BG69" s="1173" t="s">
        <v>2774</v>
      </c>
      <c r="BH69" s="1173" t="s">
        <v>2775</v>
      </c>
      <c r="BI69" s="1173" t="s">
        <v>2773</v>
      </c>
      <c r="BJ69" s="1173" t="s">
        <v>2225</v>
      </c>
      <c r="BK69" s="1201" t="s">
        <v>2229</v>
      </c>
      <c r="BL69" s="1200" t="s">
        <v>2111</v>
      </c>
      <c r="BM69" s="1172" t="s">
        <v>2222</v>
      </c>
      <c r="BN69" s="1173" t="s">
        <v>2808</v>
      </c>
      <c r="BO69" s="1173" t="s">
        <v>2223</v>
      </c>
      <c r="BP69" s="1173" t="s">
        <v>23</v>
      </c>
      <c r="BQ69" s="1173" t="s">
        <v>2774</v>
      </c>
      <c r="BR69" s="1173" t="s">
        <v>2775</v>
      </c>
      <c r="BS69" s="1173" t="s">
        <v>2773</v>
      </c>
      <c r="BT69" s="1173" t="s">
        <v>2225</v>
      </c>
      <c r="BU69" s="1201" t="s">
        <v>2229</v>
      </c>
      <c r="BV69" s="1200" t="s">
        <v>2111</v>
      </c>
      <c r="BW69" s="1172" t="s">
        <v>2222</v>
      </c>
      <c r="BX69" s="1173" t="s">
        <v>2808</v>
      </c>
      <c r="BY69" s="1173" t="s">
        <v>2223</v>
      </c>
      <c r="BZ69" s="1173" t="s">
        <v>23</v>
      </c>
      <c r="CA69" s="1173" t="s">
        <v>2774</v>
      </c>
      <c r="CB69" s="1173" t="s">
        <v>2775</v>
      </c>
      <c r="CC69" s="1173" t="s">
        <v>2773</v>
      </c>
      <c r="CD69" s="1173" t="s">
        <v>2225</v>
      </c>
      <c r="CE69" s="1201" t="s">
        <v>2229</v>
      </c>
    </row>
    <row r="70" spans="1:83">
      <c r="A70" s="291" t="b">
        <v>0</v>
      </c>
      <c r="B70" s="291" t="s">
        <v>2244</v>
      </c>
      <c r="C70" s="291" t="b">
        <f t="shared" ref="C70:C91" si="49">IF(B70="N/A","",IF(B70="newRates",FALSE,TRUE))</f>
        <v>1</v>
      </c>
      <c r="D70" s="388" t="str">
        <f>IF(C70=FALSE=NAMES!$B$8,"",IF(L70="N/A","N/A",O70&amp;N70&amp;L70&amp;"-"&amp;M70))</f>
        <v/>
      </c>
      <c r="E70" s="392" t="str">
        <f t="shared" ref="E70:E133" si="50">IF(L70="N/A","N/A",O70&amp;N70&amp;L70&amp;"-"&amp;M70)</f>
        <v>N/A</v>
      </c>
      <c r="F70" s="1236" t="str">
        <f t="shared" ref="F70:F101" si="51">IF(X70="N/A","N/A",O70&amp;N70&amp;L70&amp;"-"&amp;X70&amp;M70)</f>
        <v>N/A</v>
      </c>
      <c r="G70" s="1240" t="str">
        <f t="shared" ref="G70:G101" si="52">IF(AH70="N/A","N/A",O70&amp;N70&amp;L70&amp;"-"&amp;AH70&amp;M70)</f>
        <v>N/A</v>
      </c>
      <c r="H70" s="1240" t="str">
        <f t="shared" ref="H70:H101" si="53">IF(AR70="N/A","N/A",O70&amp;N70&amp;L70&amp;"-"&amp;AR70&amp;M70)</f>
        <v>N/A</v>
      </c>
      <c r="I70" s="1240" t="str">
        <f t="shared" ref="I70:I101" si="54">IF(BB70="N/A","N/A",O70&amp;N70&amp;L70&amp;"-"&amp;BB70&amp;M70)</f>
        <v>N/A</v>
      </c>
      <c r="J70" s="1240" t="str">
        <f t="shared" ref="J70:J101" si="55">IF(BL70="N/A","N/A",O70&amp;N70&amp;L70&amp;"-"&amp;BL70&amp;M70)</f>
        <v>N/A</v>
      </c>
      <c r="K70" s="1240" t="str">
        <f t="shared" ref="K70:K101" si="56">IF(BV70="N/A","N/A",O70&amp;N70&amp;L70&amp;"-"&amp;BV70&amp;M70)</f>
        <v>N/A</v>
      </c>
      <c r="L70" s="389" t="s">
        <v>2224</v>
      </c>
      <c r="M70" s="389"/>
      <c r="N70" s="389"/>
      <c r="O70" s="390"/>
      <c r="P70" s="390"/>
      <c r="Q70" s="448"/>
      <c r="R70" s="390"/>
      <c r="S70" s="389"/>
      <c r="T70" s="389"/>
      <c r="U70" s="389"/>
      <c r="V70" s="390"/>
      <c r="W70" s="1228" t="str">
        <f t="shared" ref="W70:W101" si="57">IF(X70="N/A","",AA70+AK70+AU70+BE70)</f>
        <v/>
      </c>
      <c r="X70" s="388" t="s">
        <v>2224</v>
      </c>
      <c r="Y70" s="1188" t="str">
        <f t="shared" ref="Y70:Y133" si="58">IF(X70="N/A","",AA70*(1-Z70))</f>
        <v/>
      </c>
      <c r="Z70" s="1151"/>
      <c r="AA70" s="1189" t="str">
        <f t="shared" ref="AA70:AA133" si="59">IF(X70="N/A","",AG70/1.04)</f>
        <v/>
      </c>
      <c r="AB70" s="377" t="str">
        <f>IF(E70="N/A","",$AB$2)</f>
        <v/>
      </c>
      <c r="AC70" s="391"/>
      <c r="AD70" s="391"/>
      <c r="AE70" s="1151"/>
      <c r="AF70" s="1151"/>
      <c r="AG70" s="183"/>
      <c r="AH70" s="1202" t="s">
        <v>2224</v>
      </c>
      <c r="AI70" s="1177" t="str">
        <f t="shared" ref="AI70:AI134" si="60">IF(AH70="N/A","",AK70*(1-AJ70))</f>
        <v/>
      </c>
      <c r="AJ70" s="1109"/>
      <c r="AK70" s="1179" t="str">
        <f t="shared" ref="AK70:AK133" si="61">IF(AH70="N/A","",IF(AQ70="",0,AQ70/1.04))</f>
        <v/>
      </c>
      <c r="AL70" s="1109"/>
      <c r="AM70" s="1109"/>
      <c r="AN70" s="1109"/>
      <c r="AO70" s="1109"/>
      <c r="AP70" s="1109"/>
      <c r="AQ70" s="380"/>
      <c r="AR70" s="1202" t="s">
        <v>2224</v>
      </c>
      <c r="AS70" s="1177" t="str">
        <f t="shared" ref="AS70" si="62">IF(AR70="N/A","",AU70*(1-AT70))</f>
        <v/>
      </c>
      <c r="AT70" s="1151"/>
      <c r="AU70" s="1179">
        <f>IF(AR70="N/A",0,IF(BA70="",0,BA70/1.04))</f>
        <v>0</v>
      </c>
      <c r="AV70" s="1151"/>
      <c r="AW70" s="1151"/>
      <c r="AX70" s="1151"/>
      <c r="AY70" s="1151"/>
      <c r="AZ70" s="1151"/>
      <c r="BA70" s="183"/>
      <c r="BB70" s="1202" t="s">
        <v>2224</v>
      </c>
      <c r="BC70" s="1177" t="str">
        <f t="shared" ref="BC70" si="63">IF(BB70="N/A","",BE70*(1-BD70))</f>
        <v/>
      </c>
      <c r="BD70" s="1151"/>
      <c r="BE70" s="1179">
        <f>IF(BB70="N/A",0,IF(BK70="",0,BK70/1.04))</f>
        <v>0</v>
      </c>
      <c r="BF70" s="1151"/>
      <c r="BG70" s="1151"/>
      <c r="BH70" s="1151"/>
      <c r="BI70" s="1151"/>
      <c r="BJ70" s="1151"/>
      <c r="BK70" s="183"/>
      <c r="BL70" s="1202" t="s">
        <v>2224</v>
      </c>
      <c r="BM70" s="1151"/>
      <c r="BN70" s="1151"/>
      <c r="BO70" s="1151"/>
      <c r="BP70" s="1151"/>
      <c r="BQ70" s="1151"/>
      <c r="BR70" s="1151"/>
      <c r="BS70" s="1151"/>
      <c r="BT70" s="1151"/>
      <c r="BU70" s="183"/>
      <c r="BV70" s="1202" t="s">
        <v>2224</v>
      </c>
      <c r="BW70" s="1151"/>
      <c r="BX70" s="1151"/>
      <c r="BY70" s="1151"/>
      <c r="BZ70" s="1151"/>
      <c r="CA70" s="1151"/>
      <c r="CB70" s="1151"/>
      <c r="CC70" s="1151"/>
      <c r="CD70" s="1151"/>
      <c r="CE70" s="183"/>
    </row>
    <row r="71" spans="1:83">
      <c r="A71" s="291" t="b">
        <v>0</v>
      </c>
      <c r="B71" s="291" t="s">
        <v>2244</v>
      </c>
      <c r="C71" s="291" t="b">
        <f t="shared" ref="C71:C90" si="64">IF(B71="N/A","",IF(B71="newRates",FALSE,TRUE))</f>
        <v>1</v>
      </c>
      <c r="D71" s="388" t="str">
        <f>IF(C71=FALSE=NAMES!$B$8,"",IF(L71="N/A","N/A",O71&amp;N71&amp;L71&amp;"-"&amp;M71))</f>
        <v/>
      </c>
      <c r="E71" s="392" t="str">
        <f t="shared" si="50"/>
        <v>2016EURAIG Luxembourg-Comfort</v>
      </c>
      <c r="F71" s="1236" t="str">
        <f t="shared" si="51"/>
        <v>2016EURAIG Luxembourg-Healthcare PlanComfort</v>
      </c>
      <c r="G71" s="1240" t="str">
        <f t="shared" si="52"/>
        <v>2016EURAIG Luxembourg-Assistance and RepatriationComfort</v>
      </c>
      <c r="H71" s="1240" t="str">
        <f t="shared" si="53"/>
        <v>N/A</v>
      </c>
      <c r="I71" s="1240" t="str">
        <f t="shared" si="54"/>
        <v>N/A</v>
      </c>
      <c r="J71" s="1240" t="str">
        <f t="shared" si="55"/>
        <v>N/A</v>
      </c>
      <c r="K71" s="1240" t="str">
        <f t="shared" si="56"/>
        <v>N/A</v>
      </c>
      <c r="L71" s="392" t="s">
        <v>4</v>
      </c>
      <c r="M71" s="392" t="s">
        <v>2116</v>
      </c>
      <c r="N71" s="392" t="s">
        <v>32</v>
      </c>
      <c r="O71" s="376">
        <v>2016</v>
      </c>
      <c r="P71" s="376" t="s">
        <v>26</v>
      </c>
      <c r="Q71" s="376" t="s">
        <v>1</v>
      </c>
      <c r="R71" s="378">
        <v>63.2</v>
      </c>
      <c r="S71" s="392" t="s">
        <v>2213</v>
      </c>
      <c r="T71" s="392"/>
      <c r="U71" s="392"/>
      <c r="V71" s="382">
        <v>365</v>
      </c>
      <c r="W71" s="1228">
        <f t="shared" si="57"/>
        <v>569.03846153846143</v>
      </c>
      <c r="X71" s="197" t="s">
        <v>3</v>
      </c>
      <c r="Y71" s="1188">
        <f t="shared" si="58"/>
        <v>426.77884615384608</v>
      </c>
      <c r="Z71" s="377">
        <v>0.25</v>
      </c>
      <c r="AA71" s="1189">
        <f t="shared" si="59"/>
        <v>569.03846153846143</v>
      </c>
      <c r="AB71" s="377">
        <v>0</v>
      </c>
      <c r="AC71" s="378">
        <v>0</v>
      </c>
      <c r="AD71" s="1100">
        <f t="shared" ref="AD71:AD102" si="65">IF(E71="N/A","",AA71+AC71)</f>
        <v>569.03846153846143</v>
      </c>
      <c r="AE71" s="377">
        <v>0.04</v>
      </c>
      <c r="AF71" s="370">
        <f t="shared" ref="AF71:AF102" si="66">IF(L71="N/A","",AA71*AE71)</f>
        <v>22.761538461538457</v>
      </c>
      <c r="AG71" s="1216">
        <v>591.79999999999995</v>
      </c>
      <c r="AH71" s="1215" t="s">
        <v>5</v>
      </c>
      <c r="AI71" s="1177">
        <f t="shared" si="60"/>
        <v>0</v>
      </c>
      <c r="AJ71" s="378"/>
      <c r="AK71" s="1179">
        <f t="shared" si="61"/>
        <v>0</v>
      </c>
      <c r="AL71" s="378"/>
      <c r="AM71" s="378"/>
      <c r="AN71" s="378"/>
      <c r="AO71" s="378"/>
      <c r="AP71" s="378"/>
      <c r="AQ71" s="1216"/>
      <c r="AR71" s="1202" t="s">
        <v>2224</v>
      </c>
      <c r="AS71" s="1177" t="str">
        <f t="shared" ref="AS71:AS134" si="67">IF(AR71="N/A","",AU71*(1-AT71))</f>
        <v/>
      </c>
      <c r="AT71" s="1151"/>
      <c r="AU71" s="1179">
        <f t="shared" ref="AU71:AU134" si="68">IF(AR71="N/A",0,IF(BA71="",0,BA71/1.04))</f>
        <v>0</v>
      </c>
      <c r="AV71" s="1109"/>
      <c r="AW71" s="1109"/>
      <c r="AX71" s="1109"/>
      <c r="AY71" s="1109"/>
      <c r="AZ71" s="1109"/>
      <c r="BA71" s="380"/>
      <c r="BB71" s="1202" t="s">
        <v>2224</v>
      </c>
      <c r="BC71" s="1177" t="str">
        <f t="shared" ref="BC71:BC134" si="69">IF(BB71="N/A","",BE71*(1-BD71))</f>
        <v/>
      </c>
      <c r="BD71" s="1151"/>
      <c r="BE71" s="1179">
        <f t="shared" ref="BE71:BE134" si="70">IF(BB71="N/A",0,IF(BK71="",0,BK71/1.04))</f>
        <v>0</v>
      </c>
      <c r="BF71" s="1109"/>
      <c r="BG71" s="1109"/>
      <c r="BH71" s="1109"/>
      <c r="BI71" s="1109"/>
      <c r="BJ71" s="1109"/>
      <c r="BK71" s="380"/>
      <c r="BL71" s="1202" t="s">
        <v>2224</v>
      </c>
      <c r="BM71" s="1151"/>
      <c r="BN71" s="1151"/>
      <c r="BO71" s="1151"/>
      <c r="BP71" s="1151"/>
      <c r="BQ71" s="1151"/>
      <c r="BR71" s="1151"/>
      <c r="BS71" s="1151"/>
      <c r="BT71" s="1151"/>
      <c r="BU71" s="183"/>
      <c r="BV71" s="1202" t="s">
        <v>2224</v>
      </c>
      <c r="BW71" s="1151"/>
      <c r="BX71" s="1151"/>
      <c r="BY71" s="1151"/>
      <c r="BZ71" s="1151"/>
      <c r="CA71" s="1151"/>
      <c r="CB71" s="1151"/>
      <c r="CC71" s="1151"/>
      <c r="CD71" s="1151"/>
      <c r="CE71" s="183"/>
    </row>
    <row r="72" spans="1:83">
      <c r="A72" s="291" t="b">
        <v>0</v>
      </c>
      <c r="B72" s="291" t="s">
        <v>2244</v>
      </c>
      <c r="C72" s="291" t="b">
        <f t="shared" si="64"/>
        <v>1</v>
      </c>
      <c r="D72" s="388" t="str">
        <f>IF(C72=FALSE=NAMES!$B$8,"",IF(L72="N/A","N/A",O72&amp;N72&amp;L72&amp;"-"&amp;M72))</f>
        <v/>
      </c>
      <c r="E72" s="392" t="str">
        <f t="shared" si="50"/>
        <v>2016EURAIG Luxembourg-Comfort MLC S</v>
      </c>
      <c r="F72" s="1236" t="str">
        <f t="shared" si="51"/>
        <v>2016EURAIG Luxembourg-Healthcare PlanComfort MLC S</v>
      </c>
      <c r="G72" s="1240" t="str">
        <f t="shared" si="52"/>
        <v>2016EURAIG Luxembourg-Assistance and RepatriationComfort MLC S</v>
      </c>
      <c r="H72" s="1240" t="str">
        <f t="shared" si="53"/>
        <v>N/A</v>
      </c>
      <c r="I72" s="1240" t="str">
        <f t="shared" si="54"/>
        <v>N/A</v>
      </c>
      <c r="J72" s="1240" t="str">
        <f t="shared" si="55"/>
        <v>N/A</v>
      </c>
      <c r="K72" s="1240" t="str">
        <f t="shared" si="56"/>
        <v>N/A</v>
      </c>
      <c r="L72" s="392" t="s">
        <v>4</v>
      </c>
      <c r="M72" s="392" t="s">
        <v>2118</v>
      </c>
      <c r="N72" s="392" t="s">
        <v>32</v>
      </c>
      <c r="O72" s="376">
        <v>2016</v>
      </c>
      <c r="P72" s="376" t="s">
        <v>26</v>
      </c>
      <c r="Q72" s="376" t="s">
        <v>1</v>
      </c>
      <c r="R72" s="378">
        <v>15.2</v>
      </c>
      <c r="S72" s="392" t="s">
        <v>2213</v>
      </c>
      <c r="T72" s="392"/>
      <c r="U72" s="392"/>
      <c r="V72" s="382">
        <v>365</v>
      </c>
      <c r="W72" s="1228">
        <f t="shared" si="57"/>
        <v>695.96153846153834</v>
      </c>
      <c r="X72" s="197" t="s">
        <v>3</v>
      </c>
      <c r="Y72" s="1188">
        <f t="shared" si="58"/>
        <v>426.77884615384608</v>
      </c>
      <c r="Z72" s="377">
        <v>0.25</v>
      </c>
      <c r="AA72" s="1189">
        <f t="shared" si="59"/>
        <v>569.03846153846143</v>
      </c>
      <c r="AB72" s="377">
        <v>0</v>
      </c>
      <c r="AC72" s="378">
        <v>0</v>
      </c>
      <c r="AD72" s="1100">
        <f t="shared" si="65"/>
        <v>569.03846153846143</v>
      </c>
      <c r="AE72" s="377">
        <v>0.04</v>
      </c>
      <c r="AF72" s="370">
        <f t="shared" si="66"/>
        <v>22.761538461538457</v>
      </c>
      <c r="AG72" s="1216">
        <v>591.79999999999995</v>
      </c>
      <c r="AH72" s="1215" t="s">
        <v>5</v>
      </c>
      <c r="AI72" s="1177">
        <f t="shared" si="60"/>
        <v>95.192307692307693</v>
      </c>
      <c r="AJ72" s="1175">
        <v>0.25</v>
      </c>
      <c r="AK72" s="1179">
        <f t="shared" si="61"/>
        <v>126.92307692307692</v>
      </c>
      <c r="AL72" s="1175">
        <v>0</v>
      </c>
      <c r="AM72" s="1174">
        <v>0</v>
      </c>
      <c r="AN72" s="1178"/>
      <c r="AO72" s="1175">
        <v>0.04</v>
      </c>
      <c r="AP72" s="1175"/>
      <c r="AQ72" s="1204">
        <v>132</v>
      </c>
      <c r="AR72" s="1202" t="s">
        <v>2224</v>
      </c>
      <c r="AS72" s="1177" t="str">
        <f t="shared" si="67"/>
        <v/>
      </c>
      <c r="AT72" s="1151"/>
      <c r="AU72" s="1179">
        <f t="shared" si="68"/>
        <v>0</v>
      </c>
      <c r="AV72" s="1109"/>
      <c r="AW72" s="1109"/>
      <c r="AX72" s="1109"/>
      <c r="AY72" s="1109"/>
      <c r="AZ72" s="1109"/>
      <c r="BA72" s="380"/>
      <c r="BB72" s="1202" t="s">
        <v>2224</v>
      </c>
      <c r="BC72" s="1177" t="str">
        <f t="shared" si="69"/>
        <v/>
      </c>
      <c r="BD72" s="1151"/>
      <c r="BE72" s="1179">
        <f t="shared" si="70"/>
        <v>0</v>
      </c>
      <c r="BF72" s="1109"/>
      <c r="BG72" s="1109"/>
      <c r="BH72" s="1109"/>
      <c r="BI72" s="1109"/>
      <c r="BJ72" s="1109"/>
      <c r="BK72" s="380"/>
      <c r="BL72" s="1202" t="s">
        <v>2224</v>
      </c>
      <c r="BM72" s="1151"/>
      <c r="BN72" s="1151"/>
      <c r="BO72" s="1151"/>
      <c r="BP72" s="1151"/>
      <c r="BQ72" s="1151"/>
      <c r="BR72" s="1151"/>
      <c r="BS72" s="1151"/>
      <c r="BT72" s="1151"/>
      <c r="BU72" s="183"/>
      <c r="BV72" s="1202" t="s">
        <v>2224</v>
      </c>
      <c r="BW72" s="1151"/>
      <c r="BX72" s="1151"/>
      <c r="BY72" s="1151"/>
      <c r="BZ72" s="1151"/>
      <c r="CA72" s="1151"/>
      <c r="CB72" s="1151"/>
      <c r="CC72" s="1151"/>
      <c r="CD72" s="1151"/>
      <c r="CE72" s="183"/>
    </row>
    <row r="73" spans="1:83">
      <c r="A73" s="291" t="b">
        <v>0</v>
      </c>
      <c r="B73" s="291" t="s">
        <v>2244</v>
      </c>
      <c r="C73" s="291" t="b">
        <f t="shared" si="64"/>
        <v>1</v>
      </c>
      <c r="D73" s="388" t="str">
        <f>IF(C73=FALSE=NAMES!$B$8,"",IF(L73="N/A","N/A",O73&amp;N73&amp;L73&amp;"-"&amp;M73))</f>
        <v/>
      </c>
      <c r="E73" s="392" t="str">
        <f t="shared" si="50"/>
        <v>2016EURAIG Luxembourg-Comfort S</v>
      </c>
      <c r="F73" s="1236" t="str">
        <f t="shared" si="51"/>
        <v>2016EURAIG Luxembourg-Healthcare PlanComfort S</v>
      </c>
      <c r="G73" s="1240" t="str">
        <f t="shared" si="52"/>
        <v>2016EURAIG Luxembourg-Assistance and RepatriationComfort S</v>
      </c>
      <c r="H73" s="1240" t="str">
        <f t="shared" si="53"/>
        <v>N/A</v>
      </c>
      <c r="I73" s="1240" t="str">
        <f t="shared" si="54"/>
        <v>N/A</v>
      </c>
      <c r="J73" s="1240" t="str">
        <f t="shared" si="55"/>
        <v>N/A</v>
      </c>
      <c r="K73" s="1240" t="str">
        <f t="shared" si="56"/>
        <v>N/A</v>
      </c>
      <c r="L73" s="392" t="s">
        <v>4</v>
      </c>
      <c r="M73" s="392" t="s">
        <v>2117</v>
      </c>
      <c r="N73" s="392" t="s">
        <v>32</v>
      </c>
      <c r="O73" s="376">
        <v>2016</v>
      </c>
      <c r="P73" s="376" t="s">
        <v>26</v>
      </c>
      <c r="Q73" s="376" t="s">
        <v>1</v>
      </c>
      <c r="R73" s="378">
        <v>15.2</v>
      </c>
      <c r="S73" s="392" t="s">
        <v>2213</v>
      </c>
      <c r="T73" s="392"/>
      <c r="U73" s="392"/>
      <c r="V73" s="382">
        <v>365</v>
      </c>
      <c r="W73" s="1228">
        <f t="shared" si="57"/>
        <v>569.03846153846143</v>
      </c>
      <c r="X73" s="197" t="s">
        <v>3</v>
      </c>
      <c r="Y73" s="1188">
        <f t="shared" si="58"/>
        <v>426.77884615384608</v>
      </c>
      <c r="Z73" s="377">
        <v>0.25</v>
      </c>
      <c r="AA73" s="1189">
        <f t="shared" si="59"/>
        <v>569.03846153846143</v>
      </c>
      <c r="AB73" s="377">
        <v>0</v>
      </c>
      <c r="AC73" s="378">
        <v>0</v>
      </c>
      <c r="AD73" s="1100">
        <f t="shared" si="65"/>
        <v>569.03846153846143</v>
      </c>
      <c r="AE73" s="377">
        <v>0.04</v>
      </c>
      <c r="AF73" s="370">
        <f t="shared" si="66"/>
        <v>22.761538461538457</v>
      </c>
      <c r="AG73" s="1216">
        <v>591.79999999999995</v>
      </c>
      <c r="AH73" s="1215" t="s">
        <v>5</v>
      </c>
      <c r="AI73" s="1177">
        <f t="shared" si="60"/>
        <v>0</v>
      </c>
      <c r="AJ73" s="378"/>
      <c r="AK73" s="1179">
        <f t="shared" si="61"/>
        <v>0</v>
      </c>
      <c r="AL73" s="378"/>
      <c r="AM73" s="378"/>
      <c r="AN73" s="378"/>
      <c r="AO73" s="378"/>
      <c r="AP73" s="378"/>
      <c r="AQ73" s="1216"/>
      <c r="AR73" s="1202" t="s">
        <v>2224</v>
      </c>
      <c r="AS73" s="1177" t="str">
        <f t="shared" si="67"/>
        <v/>
      </c>
      <c r="AT73" s="1151"/>
      <c r="AU73" s="1179">
        <f t="shared" si="68"/>
        <v>0</v>
      </c>
      <c r="AV73" s="1109"/>
      <c r="AW73" s="1109"/>
      <c r="AX73" s="1109"/>
      <c r="AY73" s="1109"/>
      <c r="AZ73" s="1109"/>
      <c r="BA73" s="380"/>
      <c r="BB73" s="1202" t="s">
        <v>2224</v>
      </c>
      <c r="BC73" s="1177" t="str">
        <f t="shared" si="69"/>
        <v/>
      </c>
      <c r="BD73" s="1151"/>
      <c r="BE73" s="1179">
        <f t="shared" si="70"/>
        <v>0</v>
      </c>
      <c r="BF73" s="1109"/>
      <c r="BG73" s="1109"/>
      <c r="BH73" s="1109"/>
      <c r="BI73" s="1109"/>
      <c r="BJ73" s="1109"/>
      <c r="BK73" s="380"/>
      <c r="BL73" s="1202" t="s">
        <v>2224</v>
      </c>
      <c r="BM73" s="1151"/>
      <c r="BN73" s="1151"/>
      <c r="BO73" s="1151"/>
      <c r="BP73" s="1151"/>
      <c r="BQ73" s="1151"/>
      <c r="BR73" s="1151"/>
      <c r="BS73" s="1151"/>
      <c r="BT73" s="1151"/>
      <c r="BU73" s="183"/>
      <c r="BV73" s="1202" t="s">
        <v>2224</v>
      </c>
      <c r="BW73" s="1151"/>
      <c r="BX73" s="1151"/>
      <c r="BY73" s="1151"/>
      <c r="BZ73" s="1151"/>
      <c r="CA73" s="1151"/>
      <c r="CB73" s="1151"/>
      <c r="CC73" s="1151"/>
      <c r="CD73" s="1151"/>
      <c r="CE73" s="183"/>
    </row>
    <row r="74" spans="1:83" s="486" customFormat="1">
      <c r="A74" s="291" t="b">
        <v>0</v>
      </c>
      <c r="B74" s="291" t="s">
        <v>2244</v>
      </c>
      <c r="C74" s="291" t="b">
        <f t="shared" si="64"/>
        <v>1</v>
      </c>
      <c r="D74" s="388" t="str">
        <f>IF(C74=FALSE=NAMES!$B$8,"",IF(L74="N/A","N/A",O74&amp;N74&amp;L74&amp;"-"&amp;M74))</f>
        <v/>
      </c>
      <c r="E74" s="392" t="str">
        <f t="shared" si="50"/>
        <v>2016EURAIG Luxembourg-COMFORTMLC</v>
      </c>
      <c r="F74" s="1236" t="str">
        <f t="shared" si="51"/>
        <v>2016EURAIG Luxembourg-Healthcare PlanCOMFORTMLC</v>
      </c>
      <c r="G74" s="1240" t="str">
        <f t="shared" si="52"/>
        <v>2016EURAIG Luxembourg-Assistance and RepatriationCOMFORTMLC</v>
      </c>
      <c r="H74" s="1240" t="str">
        <f t="shared" si="53"/>
        <v>N/A</v>
      </c>
      <c r="I74" s="1240" t="str">
        <f t="shared" si="54"/>
        <v>N/A</v>
      </c>
      <c r="J74" s="1240" t="str">
        <f t="shared" si="55"/>
        <v>N/A</v>
      </c>
      <c r="K74" s="1240" t="str">
        <f t="shared" si="56"/>
        <v>N/A</v>
      </c>
      <c r="L74" s="392" t="s">
        <v>4</v>
      </c>
      <c r="M74" s="392" t="s">
        <v>2256</v>
      </c>
      <c r="N74" s="392" t="s">
        <v>32</v>
      </c>
      <c r="O74" s="376">
        <v>2016</v>
      </c>
      <c r="P74" s="376" t="s">
        <v>26</v>
      </c>
      <c r="Q74" s="376" t="s">
        <v>1</v>
      </c>
      <c r="R74" s="378">
        <v>63.2</v>
      </c>
      <c r="S74" s="392" t="s">
        <v>2213</v>
      </c>
      <c r="T74" s="392"/>
      <c r="U74" s="392"/>
      <c r="V74" s="584">
        <v>365</v>
      </c>
      <c r="W74" s="1228">
        <f t="shared" si="57"/>
        <v>695.96153846153834</v>
      </c>
      <c r="X74" s="197" t="s">
        <v>3</v>
      </c>
      <c r="Y74" s="1188">
        <f t="shared" si="58"/>
        <v>426.77884615384608</v>
      </c>
      <c r="Z74" s="377">
        <v>0.25</v>
      </c>
      <c r="AA74" s="1189">
        <f t="shared" si="59"/>
        <v>569.03846153846143</v>
      </c>
      <c r="AB74" s="377">
        <v>0</v>
      </c>
      <c r="AC74" s="378">
        <v>0</v>
      </c>
      <c r="AD74" s="1100">
        <f t="shared" si="65"/>
        <v>569.03846153846143</v>
      </c>
      <c r="AE74" s="377">
        <v>0.04</v>
      </c>
      <c r="AF74" s="370">
        <f t="shared" si="66"/>
        <v>22.761538461538457</v>
      </c>
      <c r="AG74" s="1216">
        <v>591.79999999999995</v>
      </c>
      <c r="AH74" s="1215" t="s">
        <v>5</v>
      </c>
      <c r="AI74" s="1177">
        <f t="shared" si="60"/>
        <v>95.192307692307693</v>
      </c>
      <c r="AJ74" s="1175">
        <v>0.25</v>
      </c>
      <c r="AK74" s="1179">
        <f t="shared" si="61"/>
        <v>126.92307692307692</v>
      </c>
      <c r="AL74" s="1175">
        <v>0</v>
      </c>
      <c r="AM74" s="1174">
        <v>0</v>
      </c>
      <c r="AN74" s="1178"/>
      <c r="AO74" s="1175">
        <v>0.04</v>
      </c>
      <c r="AP74" s="1175"/>
      <c r="AQ74" s="1204">
        <v>132</v>
      </c>
      <c r="AR74" s="1202" t="s">
        <v>2224</v>
      </c>
      <c r="AS74" s="1177" t="str">
        <f t="shared" si="67"/>
        <v/>
      </c>
      <c r="AT74" s="1151"/>
      <c r="AU74" s="1179">
        <f t="shared" si="68"/>
        <v>0</v>
      </c>
      <c r="AV74" s="1109"/>
      <c r="AW74" s="1109"/>
      <c r="AX74" s="1109"/>
      <c r="AY74" s="1109"/>
      <c r="AZ74" s="1109"/>
      <c r="BA74" s="380"/>
      <c r="BB74" s="1202" t="s">
        <v>2224</v>
      </c>
      <c r="BC74" s="1177" t="str">
        <f t="shared" si="69"/>
        <v/>
      </c>
      <c r="BD74" s="1151"/>
      <c r="BE74" s="1179">
        <f t="shared" si="70"/>
        <v>0</v>
      </c>
      <c r="BF74" s="1109"/>
      <c r="BG74" s="1109"/>
      <c r="BH74" s="1109"/>
      <c r="BI74" s="1109"/>
      <c r="BJ74" s="1109"/>
      <c r="BK74" s="380"/>
      <c r="BL74" s="1202" t="s">
        <v>2224</v>
      </c>
      <c r="BM74" s="480"/>
      <c r="BN74" s="480"/>
      <c r="BO74" s="480"/>
      <c r="BP74" s="480"/>
      <c r="BQ74" s="480"/>
      <c r="BR74" s="480"/>
      <c r="BS74" s="480"/>
      <c r="BT74" s="480"/>
      <c r="BU74" s="487"/>
      <c r="BV74" s="1202" t="s">
        <v>2224</v>
      </c>
      <c r="BW74" s="480"/>
      <c r="BX74" s="480"/>
      <c r="BY74" s="480"/>
      <c r="BZ74" s="480"/>
      <c r="CA74" s="480"/>
      <c r="CB74" s="480"/>
      <c r="CC74" s="480"/>
      <c r="CD74" s="480"/>
      <c r="CE74" s="487"/>
    </row>
    <row r="75" spans="1:83">
      <c r="A75" s="291" t="b">
        <v>0</v>
      </c>
      <c r="B75" s="291" t="s">
        <v>2244</v>
      </c>
      <c r="C75" s="291" t="b">
        <f t="shared" si="64"/>
        <v>1</v>
      </c>
      <c r="D75" s="388" t="str">
        <f>IF(C75=FALSE=NAMES!$B$8,"",IF(L75="N/A","N/A",O75&amp;N75&amp;L75&amp;"-"&amp;M75))</f>
        <v/>
      </c>
      <c r="E75" s="392" t="str">
        <f t="shared" si="50"/>
        <v>2016EURAIG Luxembourg-Perfect</v>
      </c>
      <c r="F75" s="1236" t="str">
        <f t="shared" si="51"/>
        <v>2016EURAIG Luxembourg-Healthcare PlanPerfect</v>
      </c>
      <c r="G75" s="1240" t="str">
        <f t="shared" si="52"/>
        <v>2016EURAIG Luxembourg-Assistance and RepatriationPerfect</v>
      </c>
      <c r="H75" s="1240" t="str">
        <f t="shared" si="53"/>
        <v>N/A</v>
      </c>
      <c r="I75" s="1240" t="str">
        <f t="shared" si="54"/>
        <v>N/A</v>
      </c>
      <c r="J75" s="1240" t="str">
        <f t="shared" si="55"/>
        <v>N/A</v>
      </c>
      <c r="K75" s="1240" t="str">
        <f t="shared" si="56"/>
        <v>N/A</v>
      </c>
      <c r="L75" s="392" t="s">
        <v>4</v>
      </c>
      <c r="M75" s="392" t="s">
        <v>2580</v>
      </c>
      <c r="N75" s="392" t="s">
        <v>32</v>
      </c>
      <c r="O75" s="376">
        <v>2016</v>
      </c>
      <c r="P75" s="376" t="s">
        <v>26</v>
      </c>
      <c r="Q75" s="376" t="s">
        <v>1</v>
      </c>
      <c r="R75" s="378">
        <v>36.200000000000003</v>
      </c>
      <c r="S75" s="392" t="s">
        <v>2213</v>
      </c>
      <c r="T75" s="392"/>
      <c r="U75" s="392"/>
      <c r="V75" s="382">
        <v>365</v>
      </c>
      <c r="W75" s="1228">
        <f t="shared" si="57"/>
        <v>1355.7692307692307</v>
      </c>
      <c r="X75" s="197" t="s">
        <v>3</v>
      </c>
      <c r="Y75" s="1188">
        <f t="shared" si="58"/>
        <v>874.03846153846143</v>
      </c>
      <c r="Z75" s="377">
        <v>0.25</v>
      </c>
      <c r="AA75" s="1189">
        <f t="shared" si="59"/>
        <v>1165.3846153846152</v>
      </c>
      <c r="AB75" s="377">
        <v>0</v>
      </c>
      <c r="AC75" s="378">
        <v>0</v>
      </c>
      <c r="AD75" s="1100">
        <f t="shared" si="65"/>
        <v>1165.3846153846152</v>
      </c>
      <c r="AE75" s="377">
        <v>0.04</v>
      </c>
      <c r="AF75" s="370">
        <f t="shared" si="66"/>
        <v>46.615384615384613</v>
      </c>
      <c r="AG75" s="1216">
        <v>1212</v>
      </c>
      <c r="AH75" s="1215" t="s">
        <v>5</v>
      </c>
      <c r="AI75" s="1177">
        <f>IF(AH75="N/A","",AK75*(1-AJ75))</f>
        <v>142.78846153846155</v>
      </c>
      <c r="AJ75" s="1175">
        <v>0.25</v>
      </c>
      <c r="AK75" s="1179">
        <f t="shared" si="61"/>
        <v>190.38461538461539</v>
      </c>
      <c r="AL75" s="1175">
        <v>0</v>
      </c>
      <c r="AM75" s="1174">
        <v>0</v>
      </c>
      <c r="AN75" s="1178"/>
      <c r="AO75" s="1175">
        <v>0.04</v>
      </c>
      <c r="AP75" s="1175"/>
      <c r="AQ75" s="1204">
        <v>198</v>
      </c>
      <c r="AR75" s="1202" t="s">
        <v>2224</v>
      </c>
      <c r="AS75" s="1177" t="str">
        <f t="shared" si="67"/>
        <v/>
      </c>
      <c r="AT75" s="1151"/>
      <c r="AU75" s="1179">
        <f t="shared" si="68"/>
        <v>0</v>
      </c>
      <c r="AV75" s="1109"/>
      <c r="AW75" s="1109"/>
      <c r="AX75" s="1109"/>
      <c r="AY75" s="1109"/>
      <c r="AZ75" s="1109"/>
      <c r="BA75" s="380"/>
      <c r="BB75" s="1202" t="s">
        <v>2224</v>
      </c>
      <c r="BC75" s="1177" t="str">
        <f t="shared" si="69"/>
        <v/>
      </c>
      <c r="BD75" s="1151"/>
      <c r="BE75" s="1179">
        <f t="shared" si="70"/>
        <v>0</v>
      </c>
      <c r="BF75" s="1109"/>
      <c r="BG75" s="1109"/>
      <c r="BH75" s="1109"/>
      <c r="BI75" s="1109"/>
      <c r="BJ75" s="1109"/>
      <c r="BK75" s="380"/>
      <c r="BL75" s="1202" t="s">
        <v>2224</v>
      </c>
      <c r="BM75" s="1151"/>
      <c r="BN75" s="1151"/>
      <c r="BO75" s="1151"/>
      <c r="BP75" s="1151"/>
      <c r="BQ75" s="1151"/>
      <c r="BR75" s="1151"/>
      <c r="BS75" s="1151"/>
      <c r="BT75" s="1151"/>
      <c r="BU75" s="183"/>
      <c r="BV75" s="1202" t="s">
        <v>2224</v>
      </c>
      <c r="BW75" s="1151"/>
      <c r="BX75" s="1151"/>
      <c r="BY75" s="1151"/>
      <c r="BZ75" s="1151"/>
      <c r="CA75" s="1151"/>
      <c r="CB75" s="1151"/>
      <c r="CC75" s="1151"/>
      <c r="CD75" s="1151"/>
      <c r="CE75" s="183"/>
    </row>
    <row r="76" spans="1:83">
      <c r="A76" s="291" t="b">
        <v>0</v>
      </c>
      <c r="B76" s="291" t="s">
        <v>2244</v>
      </c>
      <c r="C76" s="291" t="b">
        <f t="shared" si="64"/>
        <v>1</v>
      </c>
      <c r="D76" s="388" t="str">
        <f>IF(C76=FALSE=NAMES!$B$8,"",IF(L76="N/A","N/A",O76&amp;N76&amp;L76&amp;"-"&amp;M76))</f>
        <v/>
      </c>
      <c r="E76" s="392" t="str">
        <f t="shared" si="50"/>
        <v>2016EURAIG Luxembourg-Perfect Plus</v>
      </c>
      <c r="F76" s="1236" t="str">
        <f t="shared" si="51"/>
        <v>2016EURAIG Luxembourg-Healthcare PlanPerfect Plus</v>
      </c>
      <c r="G76" s="1240" t="str">
        <f t="shared" si="52"/>
        <v>2016EURAIG Luxembourg-Assistance and RepatriationPerfect Plus</v>
      </c>
      <c r="H76" s="1240" t="str">
        <f t="shared" si="53"/>
        <v>N/A</v>
      </c>
      <c r="I76" s="1240" t="str">
        <f t="shared" si="54"/>
        <v>N/A</v>
      </c>
      <c r="J76" s="1240" t="str">
        <f t="shared" si="55"/>
        <v>N/A</v>
      </c>
      <c r="K76" s="1240" t="str">
        <f t="shared" si="56"/>
        <v>N/A</v>
      </c>
      <c r="L76" s="392" t="s">
        <v>4</v>
      </c>
      <c r="M76" s="392" t="s">
        <v>2584</v>
      </c>
      <c r="N76" s="392" t="s">
        <v>32</v>
      </c>
      <c r="O76" s="376">
        <v>2016</v>
      </c>
      <c r="P76" s="376" t="s">
        <v>26</v>
      </c>
      <c r="Q76" s="376" t="s">
        <v>1</v>
      </c>
      <c r="R76" s="378">
        <v>36.200000000000003</v>
      </c>
      <c r="S76" s="392" t="s">
        <v>2213</v>
      </c>
      <c r="T76" s="392"/>
      <c r="U76" s="392"/>
      <c r="V76" s="382">
        <v>365</v>
      </c>
      <c r="W76" s="1228">
        <f t="shared" si="57"/>
        <v>1493.2692307692305</v>
      </c>
      <c r="X76" s="197" t="s">
        <v>3</v>
      </c>
      <c r="Y76" s="1188">
        <f t="shared" si="58"/>
        <v>874.03846153846143</v>
      </c>
      <c r="Z76" s="377">
        <v>0.25</v>
      </c>
      <c r="AA76" s="1189">
        <f t="shared" si="59"/>
        <v>1165.3846153846152</v>
      </c>
      <c r="AB76" s="377">
        <v>0</v>
      </c>
      <c r="AC76" s="378">
        <v>0</v>
      </c>
      <c r="AD76" s="1100">
        <f t="shared" si="65"/>
        <v>1165.3846153846152</v>
      </c>
      <c r="AE76" s="377">
        <v>0.04</v>
      </c>
      <c r="AF76" s="370">
        <f t="shared" si="66"/>
        <v>46.615384615384613</v>
      </c>
      <c r="AG76" s="1216">
        <v>1212</v>
      </c>
      <c r="AH76" s="1215" t="s">
        <v>5</v>
      </c>
      <c r="AI76" s="1177">
        <f>IF(AH76="N/A","",AK76*(1-AJ76))</f>
        <v>245.91346153846152</v>
      </c>
      <c r="AJ76" s="1175">
        <v>0.25</v>
      </c>
      <c r="AK76" s="1179">
        <f t="shared" si="61"/>
        <v>327.88461538461536</v>
      </c>
      <c r="AL76" s="1175">
        <v>0</v>
      </c>
      <c r="AM76" s="1174">
        <v>0</v>
      </c>
      <c r="AN76" s="1178"/>
      <c r="AO76" s="1175">
        <v>0.04</v>
      </c>
      <c r="AP76" s="1175"/>
      <c r="AQ76" s="1204">
        <v>341</v>
      </c>
      <c r="AR76" s="1202" t="s">
        <v>2224</v>
      </c>
      <c r="AS76" s="1177" t="str">
        <f t="shared" si="67"/>
        <v/>
      </c>
      <c r="AT76" s="1151"/>
      <c r="AU76" s="1179">
        <f t="shared" si="68"/>
        <v>0</v>
      </c>
      <c r="AV76" s="1109"/>
      <c r="AW76" s="1109"/>
      <c r="AX76" s="1109"/>
      <c r="AY76" s="1109"/>
      <c r="AZ76" s="1109"/>
      <c r="BA76" s="380"/>
      <c r="BB76" s="1202" t="s">
        <v>2224</v>
      </c>
      <c r="BC76" s="1177" t="str">
        <f t="shared" si="69"/>
        <v/>
      </c>
      <c r="BD76" s="1151"/>
      <c r="BE76" s="1179">
        <f t="shared" si="70"/>
        <v>0</v>
      </c>
      <c r="BF76" s="1109"/>
      <c r="BG76" s="1109"/>
      <c r="BH76" s="1109"/>
      <c r="BI76" s="1109"/>
      <c r="BJ76" s="1109"/>
      <c r="BK76" s="380"/>
      <c r="BL76" s="1202" t="s">
        <v>2224</v>
      </c>
      <c r="BM76" s="1151"/>
      <c r="BN76" s="1151"/>
      <c r="BO76" s="1151"/>
      <c r="BP76" s="1151"/>
      <c r="BQ76" s="1151"/>
      <c r="BR76" s="1151"/>
      <c r="BS76" s="1151"/>
      <c r="BT76" s="1151"/>
      <c r="BU76" s="183"/>
      <c r="BV76" s="1202" t="s">
        <v>2224</v>
      </c>
      <c r="BW76" s="1151"/>
      <c r="BX76" s="1151"/>
      <c r="BY76" s="1151"/>
      <c r="BZ76" s="1151"/>
      <c r="CA76" s="1151"/>
      <c r="CB76" s="1151"/>
      <c r="CC76" s="1151"/>
      <c r="CD76" s="1151"/>
      <c r="CE76" s="183"/>
    </row>
    <row r="77" spans="1:83">
      <c r="A77" s="291" t="b">
        <v>0</v>
      </c>
      <c r="B77" s="291" t="s">
        <v>2244</v>
      </c>
      <c r="C77" s="291" t="b">
        <f t="shared" si="64"/>
        <v>1</v>
      </c>
      <c r="D77" s="388" t="str">
        <f>IF(C77=FALSE=NAMES!$B$8,"",IF(L77="N/A","N/A",O77&amp;N77&amp;L77&amp;"-"&amp;M77))</f>
        <v/>
      </c>
      <c r="E77" s="392" t="str">
        <f t="shared" si="50"/>
        <v>2016EURAIG Luxembourg-Perfect S</v>
      </c>
      <c r="F77" s="1236" t="str">
        <f t="shared" si="51"/>
        <v>2016EURAIG Luxembourg-Healthcare PlanPerfect S</v>
      </c>
      <c r="G77" s="1240" t="str">
        <f t="shared" si="52"/>
        <v>2016EURAIG Luxembourg-Assistance and RepatriationPerfect S</v>
      </c>
      <c r="H77" s="1240" t="str">
        <f t="shared" si="53"/>
        <v>N/A</v>
      </c>
      <c r="I77" s="1240" t="str">
        <f t="shared" si="54"/>
        <v>N/A</v>
      </c>
      <c r="J77" s="1240" t="str">
        <f t="shared" si="55"/>
        <v>N/A</v>
      </c>
      <c r="K77" s="1240" t="str">
        <f t="shared" si="56"/>
        <v>N/A</v>
      </c>
      <c r="L77" s="392" t="s">
        <v>4</v>
      </c>
      <c r="M77" s="392" t="s">
        <v>2583</v>
      </c>
      <c r="N77" s="392" t="s">
        <v>32</v>
      </c>
      <c r="O77" s="376">
        <v>2016</v>
      </c>
      <c r="P77" s="376" t="s">
        <v>26</v>
      </c>
      <c r="Q77" s="376" t="s">
        <v>1</v>
      </c>
      <c r="R77" s="378">
        <v>13.2</v>
      </c>
      <c r="S77" s="392" t="s">
        <v>2213</v>
      </c>
      <c r="T77" s="392"/>
      <c r="U77" s="392"/>
      <c r="V77" s="1109">
        <v>365</v>
      </c>
      <c r="W77" s="1228">
        <f t="shared" si="57"/>
        <v>1355.7692307692307</v>
      </c>
      <c r="X77" s="197" t="s">
        <v>3</v>
      </c>
      <c r="Y77" s="1188">
        <f t="shared" si="58"/>
        <v>874.03846153846143</v>
      </c>
      <c r="Z77" s="377">
        <v>0.25</v>
      </c>
      <c r="AA77" s="1189">
        <f t="shared" si="59"/>
        <v>1165.3846153846152</v>
      </c>
      <c r="AB77" s="377">
        <v>0</v>
      </c>
      <c r="AC77" s="378">
        <v>0</v>
      </c>
      <c r="AD77" s="1100">
        <f t="shared" si="65"/>
        <v>1165.3846153846152</v>
      </c>
      <c r="AE77" s="377">
        <v>0.04</v>
      </c>
      <c r="AF77" s="370">
        <f t="shared" si="66"/>
        <v>46.615384615384613</v>
      </c>
      <c r="AG77" s="1216">
        <v>1212</v>
      </c>
      <c r="AH77" s="1215" t="s">
        <v>5</v>
      </c>
      <c r="AI77" s="1177">
        <f>IF(AH77="N/A","",AK77*(1-AJ77))</f>
        <v>142.78846153846155</v>
      </c>
      <c r="AJ77" s="1175">
        <v>0.25</v>
      </c>
      <c r="AK77" s="1179">
        <f t="shared" si="61"/>
        <v>190.38461538461539</v>
      </c>
      <c r="AL77" s="1175">
        <v>0</v>
      </c>
      <c r="AM77" s="1174">
        <v>0</v>
      </c>
      <c r="AN77" s="1178"/>
      <c r="AO77" s="1175">
        <v>0.04</v>
      </c>
      <c r="AP77" s="1175"/>
      <c r="AQ77" s="1204">
        <v>198</v>
      </c>
      <c r="AR77" s="1202" t="s">
        <v>2224</v>
      </c>
      <c r="AS77" s="1177" t="str">
        <f t="shared" si="67"/>
        <v/>
      </c>
      <c r="AT77" s="1151"/>
      <c r="AU77" s="1179">
        <f t="shared" si="68"/>
        <v>0</v>
      </c>
      <c r="AV77" s="1109"/>
      <c r="AW77" s="1109"/>
      <c r="AX77" s="1109"/>
      <c r="AY77" s="1109"/>
      <c r="AZ77" s="1109"/>
      <c r="BA77" s="380"/>
      <c r="BB77" s="1202" t="s">
        <v>2224</v>
      </c>
      <c r="BC77" s="1177" t="str">
        <f t="shared" si="69"/>
        <v/>
      </c>
      <c r="BD77" s="1151"/>
      <c r="BE77" s="1179">
        <f t="shared" si="70"/>
        <v>0</v>
      </c>
      <c r="BF77" s="1109"/>
      <c r="BG77" s="1109"/>
      <c r="BH77" s="1109"/>
      <c r="BI77" s="1109"/>
      <c r="BJ77" s="1109"/>
      <c r="BK77" s="380"/>
      <c r="BL77" s="1202" t="s">
        <v>2224</v>
      </c>
      <c r="BM77" s="1151"/>
      <c r="BN77" s="1151"/>
      <c r="BO77" s="1151"/>
      <c r="BP77" s="1151"/>
      <c r="BQ77" s="1151"/>
      <c r="BR77" s="1151"/>
      <c r="BS77" s="1151"/>
      <c r="BT77" s="1151"/>
      <c r="BU77" s="183"/>
      <c r="BV77" s="1202" t="s">
        <v>2224</v>
      </c>
      <c r="BW77" s="1151"/>
      <c r="BX77" s="1151"/>
      <c r="BY77" s="1151"/>
      <c r="BZ77" s="1151"/>
      <c r="CA77" s="1151"/>
      <c r="CB77" s="1151"/>
      <c r="CC77" s="1151"/>
      <c r="CD77" s="1151"/>
      <c r="CE77" s="183"/>
    </row>
    <row r="78" spans="1:83">
      <c r="A78" s="291" t="b">
        <v>0</v>
      </c>
      <c r="B78" s="291" t="s">
        <v>2244</v>
      </c>
      <c r="C78" s="291" t="b">
        <f t="shared" si="64"/>
        <v>1</v>
      </c>
      <c r="D78" s="388" t="str">
        <f>IF(C78=FALSE=NAMES!$B$8,"",IF(L78="N/A","N/A",O78&amp;N78&amp;L78&amp;"-"&amp;M78))</f>
        <v/>
      </c>
      <c r="E78" s="392" t="str">
        <f t="shared" si="50"/>
        <v>2016EURAIG Luxembourg-PRESTIGE</v>
      </c>
      <c r="F78" s="1236" t="str">
        <f t="shared" si="51"/>
        <v>2016EURAIG Luxembourg-Healthcare PlanPRESTIGE</v>
      </c>
      <c r="G78" s="1240" t="str">
        <f t="shared" si="52"/>
        <v>2016EURAIG Luxembourg-Assistance and RepatriationPRESTIGE</v>
      </c>
      <c r="H78" s="1240" t="str">
        <f t="shared" si="53"/>
        <v>N/A</v>
      </c>
      <c r="I78" s="1240" t="str">
        <f t="shared" si="54"/>
        <v>N/A</v>
      </c>
      <c r="J78" s="1240" t="str">
        <f t="shared" si="55"/>
        <v>N/A</v>
      </c>
      <c r="K78" s="1240" t="str">
        <f t="shared" si="56"/>
        <v>N/A</v>
      </c>
      <c r="L78" s="392" t="s">
        <v>4</v>
      </c>
      <c r="M78" s="392" t="s">
        <v>86</v>
      </c>
      <c r="N78" s="392" t="s">
        <v>32</v>
      </c>
      <c r="O78" s="376">
        <v>2016</v>
      </c>
      <c r="P78" s="376" t="s">
        <v>26</v>
      </c>
      <c r="Q78" s="376" t="s">
        <v>1</v>
      </c>
      <c r="R78" s="378">
        <v>36.200000000000003</v>
      </c>
      <c r="S78" s="392" t="s">
        <v>2213</v>
      </c>
      <c r="T78" s="392"/>
      <c r="U78" s="392"/>
      <c r="V78" s="382">
        <v>365</v>
      </c>
      <c r="W78" s="1228">
        <f t="shared" si="57"/>
        <v>1351.7307692307693</v>
      </c>
      <c r="X78" s="197" t="s">
        <v>3</v>
      </c>
      <c r="Y78" s="1188">
        <f t="shared" si="58"/>
        <v>871.00961538461536</v>
      </c>
      <c r="Z78" s="377">
        <v>0.25</v>
      </c>
      <c r="AA78" s="1189">
        <f t="shared" si="59"/>
        <v>1161.3461538461538</v>
      </c>
      <c r="AB78" s="377">
        <v>0</v>
      </c>
      <c r="AC78" s="378">
        <v>0</v>
      </c>
      <c r="AD78" s="1100">
        <f t="shared" si="65"/>
        <v>1161.3461538461538</v>
      </c>
      <c r="AE78" s="377">
        <v>0.04</v>
      </c>
      <c r="AF78" s="370">
        <f t="shared" si="66"/>
        <v>46.45384615384615</v>
      </c>
      <c r="AG78" s="1216">
        <v>1207.8</v>
      </c>
      <c r="AH78" s="1215" t="s">
        <v>5</v>
      </c>
      <c r="AI78" s="1177">
        <f t="shared" si="60"/>
        <v>142.78846153846155</v>
      </c>
      <c r="AJ78" s="1175">
        <v>0.25</v>
      </c>
      <c r="AK78" s="1179">
        <f t="shared" si="61"/>
        <v>190.38461538461539</v>
      </c>
      <c r="AL78" s="1175">
        <v>0</v>
      </c>
      <c r="AM78" s="1174">
        <v>0</v>
      </c>
      <c r="AN78" s="1178"/>
      <c r="AO78" s="1175">
        <v>0.04</v>
      </c>
      <c r="AP78" s="1175"/>
      <c r="AQ78" s="1204">
        <v>198</v>
      </c>
      <c r="AR78" s="1202" t="s">
        <v>2224</v>
      </c>
      <c r="AS78" s="1177" t="str">
        <f t="shared" si="67"/>
        <v/>
      </c>
      <c r="AT78" s="1151"/>
      <c r="AU78" s="1179">
        <f t="shared" si="68"/>
        <v>0</v>
      </c>
      <c r="AV78" s="1109"/>
      <c r="AW78" s="1109"/>
      <c r="AX78" s="1109"/>
      <c r="AY78" s="1109"/>
      <c r="AZ78" s="1109"/>
      <c r="BA78" s="380"/>
      <c r="BB78" s="1202" t="s">
        <v>2224</v>
      </c>
      <c r="BC78" s="1177" t="str">
        <f t="shared" si="69"/>
        <v/>
      </c>
      <c r="BD78" s="1151"/>
      <c r="BE78" s="1179">
        <f t="shared" si="70"/>
        <v>0</v>
      </c>
      <c r="BF78" s="1109"/>
      <c r="BG78" s="1109"/>
      <c r="BH78" s="1109"/>
      <c r="BI78" s="1109"/>
      <c r="BJ78" s="1109"/>
      <c r="BK78" s="380"/>
      <c r="BL78" s="1202" t="s">
        <v>2224</v>
      </c>
      <c r="BM78" s="1151"/>
      <c r="BN78" s="1151"/>
      <c r="BO78" s="1151"/>
      <c r="BP78" s="1151"/>
      <c r="BQ78" s="1151"/>
      <c r="BR78" s="1151"/>
      <c r="BS78" s="1151"/>
      <c r="BT78" s="1151"/>
      <c r="BU78" s="183"/>
      <c r="BV78" s="1202" t="s">
        <v>2224</v>
      </c>
      <c r="BW78" s="1151"/>
      <c r="BX78" s="1151"/>
      <c r="BY78" s="1151"/>
      <c r="BZ78" s="1151"/>
      <c r="CA78" s="1151"/>
      <c r="CB78" s="1151"/>
      <c r="CC78" s="1151"/>
      <c r="CD78" s="1151"/>
      <c r="CE78" s="183"/>
    </row>
    <row r="79" spans="1:83" s="486" customFormat="1">
      <c r="A79" s="478" t="b">
        <v>1</v>
      </c>
      <c r="B79" s="478" t="s">
        <v>2244</v>
      </c>
      <c r="C79" s="478" t="b">
        <f t="shared" si="64"/>
        <v>1</v>
      </c>
      <c r="D79" s="388" t="str">
        <f>IF(C79=FALSE=NAMES!$B$8,"",IF(L79="N/A","N/A",O79&amp;N79&amp;L79&amp;"-"&amp;M79))</f>
        <v/>
      </c>
      <c r="E79" s="392" t="str">
        <f t="shared" si="50"/>
        <v>2016EURAIG Luxembourg-PRESTIGE-Family</v>
      </c>
      <c r="F79" s="1245" t="str">
        <f t="shared" si="51"/>
        <v>2016EURAIG Luxembourg-Healthcare PlanPRESTIGE-Family</v>
      </c>
      <c r="G79" s="480" t="str">
        <f t="shared" si="52"/>
        <v>2016EURAIG Luxembourg-Assistance and RepatriationPRESTIGE-Family</v>
      </c>
      <c r="H79" s="480" t="str">
        <f t="shared" si="53"/>
        <v>N/A</v>
      </c>
      <c r="I79" s="480" t="str">
        <f t="shared" si="54"/>
        <v>N/A</v>
      </c>
      <c r="J79" s="480" t="str">
        <f t="shared" si="55"/>
        <v>N/A</v>
      </c>
      <c r="K79" s="480" t="str">
        <f t="shared" si="56"/>
        <v>N/A</v>
      </c>
      <c r="L79" s="479" t="s">
        <v>4</v>
      </c>
      <c r="M79" s="392" t="s">
        <v>2824</v>
      </c>
      <c r="N79" s="479" t="s">
        <v>32</v>
      </c>
      <c r="O79" s="485">
        <v>2016</v>
      </c>
      <c r="P79" s="485" t="s">
        <v>26</v>
      </c>
      <c r="Q79" s="485" t="s">
        <v>1</v>
      </c>
      <c r="R79" s="484">
        <v>35</v>
      </c>
      <c r="S79" s="479" t="s">
        <v>2214</v>
      </c>
      <c r="T79" s="479"/>
      <c r="U79" s="479"/>
      <c r="V79" s="480">
        <v>365</v>
      </c>
      <c r="W79" s="1245">
        <f t="shared" si="57"/>
        <v>1444.278846153846</v>
      </c>
      <c r="X79" s="478" t="s">
        <v>3</v>
      </c>
      <c r="Y79" s="1246">
        <f t="shared" si="58"/>
        <v>1083.2091346153845</v>
      </c>
      <c r="Z79" s="482">
        <v>0.25</v>
      </c>
      <c r="AA79" s="483">
        <f t="shared" si="59"/>
        <v>1444.278846153846</v>
      </c>
      <c r="AB79" s="482">
        <v>0</v>
      </c>
      <c r="AC79" s="484">
        <v>0</v>
      </c>
      <c r="AD79" s="1245">
        <f t="shared" si="65"/>
        <v>1444.278846153846</v>
      </c>
      <c r="AE79" s="482">
        <v>0.04</v>
      </c>
      <c r="AF79" s="483">
        <f t="shared" si="66"/>
        <v>57.771153846153837</v>
      </c>
      <c r="AG79" s="1221">
        <v>1502.05</v>
      </c>
      <c r="AH79" s="1247" t="s">
        <v>5</v>
      </c>
      <c r="AI79" s="1248">
        <f t="shared" si="60"/>
        <v>0</v>
      </c>
      <c r="AJ79" s="481"/>
      <c r="AK79" s="1249">
        <f t="shared" si="61"/>
        <v>0</v>
      </c>
      <c r="AL79" s="481"/>
      <c r="AM79" s="481"/>
      <c r="AN79" s="481"/>
      <c r="AO79" s="481"/>
      <c r="AP79" s="481"/>
      <c r="AQ79" s="1218"/>
      <c r="AR79" s="1252" t="s">
        <v>2224</v>
      </c>
      <c r="AS79" s="1248" t="str">
        <f t="shared" si="67"/>
        <v/>
      </c>
      <c r="AT79" s="480"/>
      <c r="AU79" s="1249">
        <f t="shared" si="68"/>
        <v>0</v>
      </c>
      <c r="AV79" s="480"/>
      <c r="AW79" s="480"/>
      <c r="AX79" s="480"/>
      <c r="AY79" s="480"/>
      <c r="AZ79" s="480"/>
      <c r="BA79" s="487"/>
      <c r="BB79" s="1252" t="s">
        <v>2224</v>
      </c>
      <c r="BC79" s="1248" t="str">
        <f t="shared" si="69"/>
        <v/>
      </c>
      <c r="BD79" s="480"/>
      <c r="BE79" s="1249">
        <f t="shared" si="70"/>
        <v>0</v>
      </c>
      <c r="BF79" s="480"/>
      <c r="BG79" s="480"/>
      <c r="BH79" s="480"/>
      <c r="BI79" s="480"/>
      <c r="BJ79" s="480"/>
      <c r="BK79" s="487"/>
      <c r="BL79" s="1252" t="s">
        <v>2224</v>
      </c>
      <c r="BM79" s="480"/>
      <c r="BN79" s="480"/>
      <c r="BO79" s="480"/>
      <c r="BP79" s="480"/>
      <c r="BQ79" s="480"/>
      <c r="BR79" s="480"/>
      <c r="BS79" s="480"/>
      <c r="BT79" s="480"/>
      <c r="BU79" s="487"/>
      <c r="BV79" s="1252" t="s">
        <v>2224</v>
      </c>
      <c r="BW79" s="480"/>
      <c r="BX79" s="480"/>
      <c r="BY79" s="480"/>
      <c r="BZ79" s="480"/>
      <c r="CA79" s="480"/>
      <c r="CB79" s="480"/>
      <c r="CC79" s="480"/>
      <c r="CD79" s="480"/>
      <c r="CE79" s="487"/>
    </row>
    <row r="80" spans="1:83" s="375" customFormat="1">
      <c r="A80" s="291" t="b">
        <v>0</v>
      </c>
      <c r="B80" s="291" t="s">
        <v>2244</v>
      </c>
      <c r="C80" s="291" t="b">
        <f t="shared" si="64"/>
        <v>1</v>
      </c>
      <c r="D80" s="388" t="str">
        <f>IF(C80=FALSE=NAMES!$B$8,"",IF(L80="N/A","N/A",O80&amp;N80&amp;L80&amp;"-"&amp;M80))</f>
        <v/>
      </c>
      <c r="E80" s="392" t="str">
        <f t="shared" si="50"/>
        <v>2016EURAIG Luxembourg-Prestige Plus</v>
      </c>
      <c r="F80" s="1236" t="str">
        <f t="shared" si="51"/>
        <v>2016EURAIG Luxembourg-Healthcare PlanPrestige Plus</v>
      </c>
      <c r="G80" s="1240" t="str">
        <f t="shared" si="52"/>
        <v>2016EURAIG Luxembourg-Assistance and RepatriationPrestige Plus</v>
      </c>
      <c r="H80" s="1240" t="str">
        <f t="shared" si="53"/>
        <v>N/A</v>
      </c>
      <c r="I80" s="1240" t="str">
        <f t="shared" si="54"/>
        <v>N/A</v>
      </c>
      <c r="J80" s="1240" t="str">
        <f t="shared" si="55"/>
        <v>N/A</v>
      </c>
      <c r="K80" s="1240" t="str">
        <f t="shared" si="56"/>
        <v>N/A</v>
      </c>
      <c r="L80" s="392" t="s">
        <v>4</v>
      </c>
      <c r="M80" s="392" t="s">
        <v>2079</v>
      </c>
      <c r="N80" s="392" t="s">
        <v>32</v>
      </c>
      <c r="O80" s="376">
        <v>2016</v>
      </c>
      <c r="P80" s="376" t="s">
        <v>26</v>
      </c>
      <c r="Q80" s="376" t="s">
        <v>1</v>
      </c>
      <c r="R80" s="378">
        <v>36.200000000000003</v>
      </c>
      <c r="S80" s="392" t="s">
        <v>2213</v>
      </c>
      <c r="T80" s="392"/>
      <c r="U80" s="392"/>
      <c r="V80" s="382">
        <v>365</v>
      </c>
      <c r="W80" s="1228">
        <f t="shared" si="57"/>
        <v>1489.2307692307691</v>
      </c>
      <c r="X80" s="197" t="s">
        <v>3</v>
      </c>
      <c r="Y80" s="1188">
        <f t="shared" si="58"/>
        <v>871.00961538461536</v>
      </c>
      <c r="Z80" s="377">
        <v>0.25</v>
      </c>
      <c r="AA80" s="1189">
        <f t="shared" si="59"/>
        <v>1161.3461538461538</v>
      </c>
      <c r="AB80" s="377">
        <v>0</v>
      </c>
      <c r="AC80" s="378">
        <v>0</v>
      </c>
      <c r="AD80" s="1100">
        <f t="shared" si="65"/>
        <v>1161.3461538461538</v>
      </c>
      <c r="AE80" s="377">
        <v>0.04</v>
      </c>
      <c r="AF80" s="370">
        <f t="shared" si="66"/>
        <v>46.45384615384615</v>
      </c>
      <c r="AG80" s="1216">
        <v>1207.8</v>
      </c>
      <c r="AH80" s="1215" t="s">
        <v>5</v>
      </c>
      <c r="AI80" s="1177">
        <f>IF(AH80="N/A","",AK80*(1-AJ80))</f>
        <v>245.91346153846152</v>
      </c>
      <c r="AJ80" s="1175">
        <v>0.25</v>
      </c>
      <c r="AK80" s="1179">
        <f t="shared" si="61"/>
        <v>327.88461538461536</v>
      </c>
      <c r="AL80" s="1175">
        <v>0</v>
      </c>
      <c r="AM80" s="1174">
        <v>0</v>
      </c>
      <c r="AN80" s="1178"/>
      <c r="AO80" s="1175">
        <v>0.04</v>
      </c>
      <c r="AP80" s="1175"/>
      <c r="AQ80" s="1204">
        <v>341</v>
      </c>
      <c r="AR80" s="1202" t="s">
        <v>2224</v>
      </c>
      <c r="AS80" s="1177" t="str">
        <f t="shared" si="67"/>
        <v/>
      </c>
      <c r="AT80" s="1151"/>
      <c r="AU80" s="1179">
        <f t="shared" si="68"/>
        <v>0</v>
      </c>
      <c r="AV80" s="1109"/>
      <c r="AW80" s="1109"/>
      <c r="AX80" s="1109"/>
      <c r="AY80" s="1109"/>
      <c r="AZ80" s="1109"/>
      <c r="BA80" s="380"/>
      <c r="BB80" s="1202" t="s">
        <v>2224</v>
      </c>
      <c r="BC80" s="1177" t="str">
        <f t="shared" si="69"/>
        <v/>
      </c>
      <c r="BD80" s="1151"/>
      <c r="BE80" s="1179">
        <f t="shared" si="70"/>
        <v>0</v>
      </c>
      <c r="BF80" s="1109"/>
      <c r="BG80" s="1109"/>
      <c r="BH80" s="1109"/>
      <c r="BI80" s="1109"/>
      <c r="BJ80" s="1109"/>
      <c r="BK80" s="380"/>
      <c r="BL80" s="1202" t="s">
        <v>2224</v>
      </c>
      <c r="BM80" s="1151"/>
      <c r="BN80" s="1151"/>
      <c r="BO80" s="1151"/>
      <c r="BP80" s="1151"/>
      <c r="BQ80" s="1151"/>
      <c r="BR80" s="1151"/>
      <c r="BS80" s="1151"/>
      <c r="BT80" s="1151"/>
      <c r="BU80" s="183"/>
      <c r="BV80" s="1202" t="s">
        <v>2224</v>
      </c>
      <c r="BW80" s="1151"/>
      <c r="BX80" s="1151"/>
      <c r="BY80" s="1151"/>
      <c r="BZ80" s="1151"/>
      <c r="CA80" s="1151"/>
      <c r="CB80" s="1151"/>
      <c r="CC80" s="1151"/>
      <c r="CD80" s="1151"/>
      <c r="CE80" s="183"/>
    </row>
    <row r="81" spans="1:83" s="375" customFormat="1">
      <c r="A81" s="291" t="b">
        <v>0</v>
      </c>
      <c r="B81" s="291" t="s">
        <v>2244</v>
      </c>
      <c r="C81" s="291" t="b">
        <f t="shared" si="64"/>
        <v>1</v>
      </c>
      <c r="D81" s="388" t="str">
        <f>IF(C81=FALSE=NAMES!$B$8,"",IF(L81="N/A","N/A",O81&amp;N81&amp;L81&amp;"-"&amp;M81))</f>
        <v/>
      </c>
      <c r="E81" s="392" t="str">
        <f t="shared" si="50"/>
        <v>2016EURAIG Luxembourg-Prestige S</v>
      </c>
      <c r="F81" s="1236" t="str">
        <f t="shared" si="51"/>
        <v>2016EURAIG Luxembourg-Healthcare PlanPrestige S</v>
      </c>
      <c r="G81" s="1240" t="str">
        <f t="shared" si="52"/>
        <v>2016EURAIG Luxembourg-Assistance and RepatriationPrestige S</v>
      </c>
      <c r="H81" s="1240" t="str">
        <f t="shared" si="53"/>
        <v>N/A</v>
      </c>
      <c r="I81" s="1240" t="str">
        <f t="shared" si="54"/>
        <v>N/A</v>
      </c>
      <c r="J81" s="1240" t="str">
        <f t="shared" si="55"/>
        <v>N/A</v>
      </c>
      <c r="K81" s="1240" t="str">
        <f t="shared" si="56"/>
        <v>N/A</v>
      </c>
      <c r="L81" s="392" t="s">
        <v>4</v>
      </c>
      <c r="M81" s="392" t="s">
        <v>2068</v>
      </c>
      <c r="N81" s="392" t="s">
        <v>32</v>
      </c>
      <c r="O81" s="376">
        <v>2016</v>
      </c>
      <c r="P81" s="376" t="s">
        <v>26</v>
      </c>
      <c r="Q81" s="376" t="s">
        <v>1</v>
      </c>
      <c r="R81" s="378">
        <v>13.2</v>
      </c>
      <c r="S81" s="392" t="s">
        <v>2213</v>
      </c>
      <c r="T81" s="392"/>
      <c r="U81" s="392"/>
      <c r="V81" s="382">
        <v>365</v>
      </c>
      <c r="W81" s="1228">
        <f t="shared" si="57"/>
        <v>1351.7307692307693</v>
      </c>
      <c r="X81" s="197" t="s">
        <v>3</v>
      </c>
      <c r="Y81" s="1188">
        <f t="shared" si="58"/>
        <v>871.00961538461536</v>
      </c>
      <c r="Z81" s="377">
        <v>0.25</v>
      </c>
      <c r="AA81" s="1189">
        <f t="shared" si="59"/>
        <v>1161.3461538461538</v>
      </c>
      <c r="AB81" s="377">
        <v>0</v>
      </c>
      <c r="AC81" s="378">
        <v>0</v>
      </c>
      <c r="AD81" s="1100">
        <f t="shared" si="65"/>
        <v>1161.3461538461538</v>
      </c>
      <c r="AE81" s="377">
        <v>0.04</v>
      </c>
      <c r="AF81" s="370">
        <f t="shared" si="66"/>
        <v>46.45384615384615</v>
      </c>
      <c r="AG81" s="1216">
        <v>1207.8</v>
      </c>
      <c r="AH81" s="1215" t="s">
        <v>5</v>
      </c>
      <c r="AI81" s="1177">
        <f>IF(AH81="N/A","",AK81*(1-AJ81))</f>
        <v>142.78846153846155</v>
      </c>
      <c r="AJ81" s="1175">
        <v>0.25</v>
      </c>
      <c r="AK81" s="1179">
        <f t="shared" si="61"/>
        <v>190.38461538461539</v>
      </c>
      <c r="AL81" s="1175">
        <v>0</v>
      </c>
      <c r="AM81" s="1174">
        <v>0</v>
      </c>
      <c r="AN81" s="1178"/>
      <c r="AO81" s="1175">
        <v>0.04</v>
      </c>
      <c r="AP81" s="1175"/>
      <c r="AQ81" s="1204">
        <v>198</v>
      </c>
      <c r="AR81" s="1202" t="s">
        <v>2224</v>
      </c>
      <c r="AS81" s="1177" t="str">
        <f t="shared" si="67"/>
        <v/>
      </c>
      <c r="AT81" s="1151"/>
      <c r="AU81" s="1179">
        <f t="shared" si="68"/>
        <v>0</v>
      </c>
      <c r="AV81" s="1109"/>
      <c r="AW81" s="1109"/>
      <c r="AX81" s="1109"/>
      <c r="AY81" s="1109"/>
      <c r="AZ81" s="1109"/>
      <c r="BA81" s="380"/>
      <c r="BB81" s="1202" t="s">
        <v>2224</v>
      </c>
      <c r="BC81" s="1177" t="str">
        <f t="shared" si="69"/>
        <v/>
      </c>
      <c r="BD81" s="1151"/>
      <c r="BE81" s="1179">
        <f t="shared" si="70"/>
        <v>0</v>
      </c>
      <c r="BF81" s="1109"/>
      <c r="BG81" s="1109"/>
      <c r="BH81" s="1109"/>
      <c r="BI81" s="1109"/>
      <c r="BJ81" s="1109"/>
      <c r="BK81" s="380"/>
      <c r="BL81" s="1202" t="s">
        <v>2224</v>
      </c>
      <c r="BM81" s="1151"/>
      <c r="BN81" s="1151"/>
      <c r="BO81" s="1151"/>
      <c r="BP81" s="1151"/>
      <c r="BQ81" s="1151"/>
      <c r="BR81" s="1151"/>
      <c r="BS81" s="1151"/>
      <c r="BT81" s="1151"/>
      <c r="BU81" s="183"/>
      <c r="BV81" s="1202" t="s">
        <v>2224</v>
      </c>
      <c r="BW81" s="1151"/>
      <c r="BX81" s="1151"/>
      <c r="BY81" s="1151"/>
      <c r="BZ81" s="1151"/>
      <c r="CA81" s="1151"/>
      <c r="CB81" s="1151"/>
      <c r="CC81" s="1151"/>
      <c r="CD81" s="1151"/>
      <c r="CE81" s="183"/>
    </row>
    <row r="82" spans="1:83" s="580" customFormat="1">
      <c r="A82" s="291" t="b">
        <v>0</v>
      </c>
      <c r="B82" s="291" t="s">
        <v>2244</v>
      </c>
      <c r="C82" s="291" t="b">
        <f t="shared" si="64"/>
        <v>1</v>
      </c>
      <c r="D82" s="388" t="str">
        <f>IF(C82=FALSE=NAMES!$B$8,"",IF(L82="N/A","N/A",O82&amp;N82&amp;L82&amp;"-"&amp;M82))</f>
        <v/>
      </c>
      <c r="E82" s="392" t="str">
        <f t="shared" si="50"/>
        <v>2016EURAIG Luxembourg-PrivilegeFamily</v>
      </c>
      <c r="F82" s="1236" t="str">
        <f t="shared" si="51"/>
        <v>2016EURAIG Luxembourg-Healthcare PlanPrivilegeFamily</v>
      </c>
      <c r="G82" s="1240" t="str">
        <f t="shared" si="52"/>
        <v>2016EURAIG Luxembourg-Assistance and RepatriationPrivilegeFamily</v>
      </c>
      <c r="H82" s="1240" t="str">
        <f t="shared" si="53"/>
        <v>N/A</v>
      </c>
      <c r="I82" s="1240" t="str">
        <f t="shared" si="54"/>
        <v>N/A</v>
      </c>
      <c r="J82" s="1240" t="str">
        <f t="shared" si="55"/>
        <v>N/A</v>
      </c>
      <c r="K82" s="1240" t="str">
        <f t="shared" si="56"/>
        <v>N/A</v>
      </c>
      <c r="L82" s="392" t="s">
        <v>4</v>
      </c>
      <c r="M82" s="392" t="s">
        <v>2233</v>
      </c>
      <c r="N82" s="392" t="s">
        <v>32</v>
      </c>
      <c r="O82" s="376">
        <v>2016</v>
      </c>
      <c r="P82" s="376" t="s">
        <v>26</v>
      </c>
      <c r="Q82" s="376" t="s">
        <v>1</v>
      </c>
      <c r="R82" s="378">
        <v>293.52</v>
      </c>
      <c r="S82" s="392" t="s">
        <v>2214</v>
      </c>
      <c r="T82" s="392"/>
      <c r="U82" s="392"/>
      <c r="V82" s="584">
        <v>365</v>
      </c>
      <c r="W82" s="1228">
        <f t="shared" si="57"/>
        <v>4889.8999999999996</v>
      </c>
      <c r="X82" s="197" t="s">
        <v>3</v>
      </c>
      <c r="Y82" s="1188">
        <f t="shared" si="58"/>
        <v>3667.4249999999997</v>
      </c>
      <c r="Z82" s="377">
        <v>0.25</v>
      </c>
      <c r="AA82" s="1189">
        <f t="shared" si="59"/>
        <v>4889.8999999999996</v>
      </c>
      <c r="AB82" s="377">
        <v>0</v>
      </c>
      <c r="AC82" s="378">
        <v>977.98</v>
      </c>
      <c r="AD82" s="1100">
        <f t="shared" si="65"/>
        <v>5867.8799999999992</v>
      </c>
      <c r="AE82" s="377">
        <v>0.04</v>
      </c>
      <c r="AF82" s="370">
        <f t="shared" si="66"/>
        <v>195.596</v>
      </c>
      <c r="AG82" s="1216">
        <v>5085.4960000000001</v>
      </c>
      <c r="AH82" s="1215" t="s">
        <v>5</v>
      </c>
      <c r="AI82" s="1177">
        <f t="shared" si="60"/>
        <v>0</v>
      </c>
      <c r="AJ82" s="378"/>
      <c r="AK82" s="1179">
        <f t="shared" si="61"/>
        <v>0</v>
      </c>
      <c r="AL82" s="378"/>
      <c r="AM82" s="378"/>
      <c r="AN82" s="378"/>
      <c r="AO82" s="378"/>
      <c r="AP82" s="378"/>
      <c r="AQ82" s="1216"/>
      <c r="AR82" s="1202" t="s">
        <v>2224</v>
      </c>
      <c r="AS82" s="1177" t="str">
        <f t="shared" si="67"/>
        <v/>
      </c>
      <c r="AT82" s="1151"/>
      <c r="AU82" s="1179">
        <f t="shared" si="68"/>
        <v>0</v>
      </c>
      <c r="AV82" s="1109"/>
      <c r="AW82" s="1109"/>
      <c r="AX82" s="1109"/>
      <c r="AY82" s="1109"/>
      <c r="AZ82" s="1109"/>
      <c r="BA82" s="380"/>
      <c r="BB82" s="1202" t="s">
        <v>2224</v>
      </c>
      <c r="BC82" s="1177" t="str">
        <f t="shared" si="69"/>
        <v/>
      </c>
      <c r="BD82" s="1151"/>
      <c r="BE82" s="1179">
        <f t="shared" si="70"/>
        <v>0</v>
      </c>
      <c r="BF82" s="1109"/>
      <c r="BG82" s="1109"/>
      <c r="BH82" s="1109"/>
      <c r="BI82" s="1109"/>
      <c r="BJ82" s="1109"/>
      <c r="BK82" s="380"/>
      <c r="BL82" s="1202" t="s">
        <v>2224</v>
      </c>
      <c r="BM82" s="1151"/>
      <c r="BN82" s="1151"/>
      <c r="BO82" s="1151"/>
      <c r="BP82" s="1151"/>
      <c r="BQ82" s="1151"/>
      <c r="BR82" s="1151"/>
      <c r="BS82" s="1151"/>
      <c r="BT82" s="1151"/>
      <c r="BU82" s="183"/>
      <c r="BV82" s="1202" t="s">
        <v>2224</v>
      </c>
      <c r="BW82" s="1151"/>
      <c r="BX82" s="1151"/>
      <c r="BY82" s="1151"/>
      <c r="BZ82" s="1151"/>
      <c r="CA82" s="1151"/>
      <c r="CB82" s="1151"/>
      <c r="CC82" s="1151"/>
      <c r="CD82" s="1151"/>
      <c r="CE82" s="183"/>
    </row>
    <row r="83" spans="1:83" s="580" customFormat="1">
      <c r="A83" s="291" t="b">
        <v>0</v>
      </c>
      <c r="B83" s="291" t="s">
        <v>2244</v>
      </c>
      <c r="C83" s="291" t="b">
        <f t="shared" si="64"/>
        <v>1</v>
      </c>
      <c r="D83" s="388" t="str">
        <f>IF(C83=FALSE=NAMES!$B$8,"",IF(L83="N/A","N/A",O83&amp;N83&amp;L83&amp;"-"&amp;M83))</f>
        <v/>
      </c>
      <c r="E83" s="392" t="str">
        <f t="shared" si="50"/>
        <v>2016EURAIG Luxembourg-PrivilegeSingle</v>
      </c>
      <c r="F83" s="1236" t="str">
        <f t="shared" si="51"/>
        <v>2016EURAIG Luxembourg-Healthcare PlanPrivilegeSingle</v>
      </c>
      <c r="G83" s="1240" t="str">
        <f t="shared" si="52"/>
        <v>2016EURAIG Luxembourg-Assistance and RepatriationPrivilegeSingle</v>
      </c>
      <c r="H83" s="1240" t="str">
        <f t="shared" si="53"/>
        <v>N/A</v>
      </c>
      <c r="I83" s="1240" t="str">
        <f t="shared" si="54"/>
        <v>N/A</v>
      </c>
      <c r="J83" s="1240" t="str">
        <f t="shared" si="55"/>
        <v>N/A</v>
      </c>
      <c r="K83" s="1240" t="str">
        <f t="shared" si="56"/>
        <v>N/A</v>
      </c>
      <c r="L83" s="392" t="s">
        <v>4</v>
      </c>
      <c r="M83" s="392" t="s">
        <v>2232</v>
      </c>
      <c r="N83" s="392" t="s">
        <v>32</v>
      </c>
      <c r="O83" s="376">
        <v>2016</v>
      </c>
      <c r="P83" s="376" t="s">
        <v>26</v>
      </c>
      <c r="Q83" s="376" t="s">
        <v>1</v>
      </c>
      <c r="R83" s="378">
        <v>112.04</v>
      </c>
      <c r="S83" s="392" t="s">
        <v>2213</v>
      </c>
      <c r="T83" s="392"/>
      <c r="U83" s="392"/>
      <c r="V83" s="584">
        <v>365</v>
      </c>
      <c r="W83" s="1228">
        <f t="shared" si="57"/>
        <v>1879.81</v>
      </c>
      <c r="X83" s="197" t="s">
        <v>3</v>
      </c>
      <c r="Y83" s="1188">
        <f t="shared" si="58"/>
        <v>1409.8575000000001</v>
      </c>
      <c r="Z83" s="377">
        <v>0.25</v>
      </c>
      <c r="AA83" s="1189">
        <f t="shared" si="59"/>
        <v>1879.81</v>
      </c>
      <c r="AB83" s="377">
        <v>0</v>
      </c>
      <c r="AC83" s="378">
        <v>375.96</v>
      </c>
      <c r="AD83" s="1100">
        <f t="shared" si="65"/>
        <v>2255.77</v>
      </c>
      <c r="AE83" s="377">
        <v>0.04</v>
      </c>
      <c r="AF83" s="370">
        <f t="shared" si="66"/>
        <v>75.192400000000006</v>
      </c>
      <c r="AG83" s="1216">
        <v>1955.0024000000001</v>
      </c>
      <c r="AH83" s="1215" t="s">
        <v>5</v>
      </c>
      <c r="AI83" s="1177">
        <f t="shared" si="60"/>
        <v>0</v>
      </c>
      <c r="AJ83" s="378"/>
      <c r="AK83" s="1179">
        <f t="shared" si="61"/>
        <v>0</v>
      </c>
      <c r="AL83" s="378"/>
      <c r="AM83" s="378"/>
      <c r="AN83" s="378"/>
      <c r="AO83" s="378"/>
      <c r="AP83" s="378"/>
      <c r="AQ83" s="1216"/>
      <c r="AR83" s="1202" t="s">
        <v>2224</v>
      </c>
      <c r="AS83" s="1177" t="str">
        <f t="shared" si="67"/>
        <v/>
      </c>
      <c r="AT83" s="1151"/>
      <c r="AU83" s="1179">
        <f t="shared" si="68"/>
        <v>0</v>
      </c>
      <c r="AV83" s="1109"/>
      <c r="AW83" s="1109"/>
      <c r="AX83" s="1109"/>
      <c r="AY83" s="1109"/>
      <c r="AZ83" s="1109"/>
      <c r="BA83" s="380"/>
      <c r="BB83" s="1202" t="s">
        <v>2224</v>
      </c>
      <c r="BC83" s="1177" t="str">
        <f t="shared" si="69"/>
        <v/>
      </c>
      <c r="BD83" s="1151"/>
      <c r="BE83" s="1179">
        <f t="shared" si="70"/>
        <v>0</v>
      </c>
      <c r="BF83" s="1109"/>
      <c r="BG83" s="1109"/>
      <c r="BH83" s="1109"/>
      <c r="BI83" s="1109"/>
      <c r="BJ83" s="1109"/>
      <c r="BK83" s="380"/>
      <c r="BL83" s="1202" t="s">
        <v>2224</v>
      </c>
      <c r="BM83" s="1151"/>
      <c r="BN83" s="1151"/>
      <c r="BO83" s="1151"/>
      <c r="BP83" s="1151"/>
      <c r="BQ83" s="1151"/>
      <c r="BR83" s="1151"/>
      <c r="BS83" s="1151"/>
      <c r="BT83" s="1151"/>
      <c r="BU83" s="183"/>
      <c r="BV83" s="1202" t="s">
        <v>2224</v>
      </c>
      <c r="BW83" s="1151"/>
      <c r="BX83" s="1151"/>
      <c r="BY83" s="1151"/>
      <c r="BZ83" s="1151"/>
      <c r="CA83" s="1151"/>
      <c r="CB83" s="1151"/>
      <c r="CC83" s="1151"/>
      <c r="CD83" s="1151"/>
      <c r="CE83" s="183"/>
    </row>
    <row r="84" spans="1:83" s="659" customFormat="1">
      <c r="A84" s="291" t="b">
        <v>0</v>
      </c>
      <c r="B84" s="291" t="s">
        <v>2244</v>
      </c>
      <c r="C84" s="291" t="b">
        <f t="shared" si="64"/>
        <v>1</v>
      </c>
      <c r="D84" s="388" t="str">
        <f>IF(C84=FALSE=NAMES!$B$8,"",IF(L84="N/A","N/A",O84&amp;N84&amp;L84&amp;"-"&amp;M84))</f>
        <v/>
      </c>
      <c r="E84" s="392" t="str">
        <f t="shared" si="50"/>
        <v>2016EURAIG Luxembourg-Standard</v>
      </c>
      <c r="F84" s="1236" t="str">
        <f t="shared" si="51"/>
        <v>2016EURAIG Luxembourg-Healthcare PlanStandard</v>
      </c>
      <c r="G84" s="1240" t="str">
        <f t="shared" si="52"/>
        <v>2016EURAIG Luxembourg-Assistance and RepatriationStandard</v>
      </c>
      <c r="H84" s="1240" t="str">
        <f t="shared" si="53"/>
        <v>N/A</v>
      </c>
      <c r="I84" s="1240" t="str">
        <f t="shared" si="54"/>
        <v>N/A</v>
      </c>
      <c r="J84" s="1240" t="str">
        <f t="shared" si="55"/>
        <v>N/A</v>
      </c>
      <c r="K84" s="1240" t="str">
        <f t="shared" si="56"/>
        <v>N/A</v>
      </c>
      <c r="L84" s="392" t="s">
        <v>4</v>
      </c>
      <c r="M84" s="392" t="s">
        <v>2578</v>
      </c>
      <c r="N84" s="392" t="s">
        <v>32</v>
      </c>
      <c r="O84" s="376">
        <v>2016</v>
      </c>
      <c r="P84" s="376" t="s">
        <v>26</v>
      </c>
      <c r="Q84" s="376" t="s">
        <v>1</v>
      </c>
      <c r="R84" s="378">
        <v>63.2</v>
      </c>
      <c r="S84" s="392" t="s">
        <v>2213</v>
      </c>
      <c r="T84" s="392"/>
      <c r="U84" s="392"/>
      <c r="V84" s="584">
        <v>365</v>
      </c>
      <c r="W84" s="1228">
        <f t="shared" si="57"/>
        <v>569.03846153846143</v>
      </c>
      <c r="X84" s="197" t="s">
        <v>3</v>
      </c>
      <c r="Y84" s="1188">
        <f t="shared" si="58"/>
        <v>426.77884615384608</v>
      </c>
      <c r="Z84" s="377">
        <v>0.25</v>
      </c>
      <c r="AA84" s="1189">
        <f t="shared" si="59"/>
        <v>569.03846153846143</v>
      </c>
      <c r="AB84" s="377">
        <v>0</v>
      </c>
      <c r="AC84" s="378">
        <v>0</v>
      </c>
      <c r="AD84" s="1100">
        <f t="shared" si="65"/>
        <v>569.03846153846143</v>
      </c>
      <c r="AE84" s="377">
        <v>0.04</v>
      </c>
      <c r="AF84" s="370">
        <f t="shared" si="66"/>
        <v>22.761538461538457</v>
      </c>
      <c r="AG84" s="1216">
        <v>591.79999999999995</v>
      </c>
      <c r="AH84" s="1215" t="s">
        <v>5</v>
      </c>
      <c r="AI84" s="1177">
        <f t="shared" si="60"/>
        <v>0</v>
      </c>
      <c r="AJ84" s="378"/>
      <c r="AK84" s="1179">
        <f t="shared" si="61"/>
        <v>0</v>
      </c>
      <c r="AL84" s="378"/>
      <c r="AM84" s="378"/>
      <c r="AN84" s="378"/>
      <c r="AO84" s="378"/>
      <c r="AP84" s="378"/>
      <c r="AQ84" s="1216"/>
      <c r="AR84" s="1202" t="s">
        <v>2224</v>
      </c>
      <c r="AS84" s="1177" t="str">
        <f t="shared" si="67"/>
        <v/>
      </c>
      <c r="AT84" s="1151"/>
      <c r="AU84" s="1179">
        <f t="shared" si="68"/>
        <v>0</v>
      </c>
      <c r="AV84" s="1109"/>
      <c r="AW84" s="1109"/>
      <c r="AX84" s="1109"/>
      <c r="AY84" s="1109"/>
      <c r="AZ84" s="1109"/>
      <c r="BA84" s="380"/>
      <c r="BB84" s="1202" t="s">
        <v>2224</v>
      </c>
      <c r="BC84" s="1177" t="str">
        <f t="shared" si="69"/>
        <v/>
      </c>
      <c r="BD84" s="1151"/>
      <c r="BE84" s="1179">
        <f t="shared" si="70"/>
        <v>0</v>
      </c>
      <c r="BF84" s="1109"/>
      <c r="BG84" s="1109"/>
      <c r="BH84" s="1109"/>
      <c r="BI84" s="1109"/>
      <c r="BJ84" s="1109"/>
      <c r="BK84" s="380"/>
      <c r="BL84" s="1202" t="s">
        <v>2224</v>
      </c>
      <c r="BM84" s="1151"/>
      <c r="BN84" s="1151"/>
      <c r="BO84" s="1151"/>
      <c r="BP84" s="1151"/>
      <c r="BQ84" s="1151"/>
      <c r="BR84" s="1151"/>
      <c r="BS84" s="1151"/>
      <c r="BT84" s="1151"/>
      <c r="BU84" s="183"/>
      <c r="BV84" s="1202" t="s">
        <v>2224</v>
      </c>
      <c r="BW84" s="1151"/>
      <c r="BX84" s="1151"/>
      <c r="BY84" s="1151"/>
      <c r="BZ84" s="1151"/>
      <c r="CA84" s="1151"/>
      <c r="CB84" s="1151"/>
      <c r="CC84" s="1151"/>
      <c r="CD84" s="1151"/>
      <c r="CE84" s="183"/>
    </row>
    <row r="85" spans="1:83" s="659" customFormat="1">
      <c r="A85" s="291" t="b">
        <v>0</v>
      </c>
      <c r="B85" s="291" t="s">
        <v>2244</v>
      </c>
      <c r="C85" s="291" t="b">
        <f t="shared" si="64"/>
        <v>1</v>
      </c>
      <c r="D85" s="388" t="str">
        <f>IF(C85=FALSE=NAMES!$B$8,"",IF(L85="N/A","N/A",O85&amp;N85&amp;L85&amp;"-"&amp;M85))</f>
        <v/>
      </c>
      <c r="E85" s="392" t="str">
        <f t="shared" si="50"/>
        <v>2016EURAIG Luxembourg-Standard S</v>
      </c>
      <c r="F85" s="1236" t="str">
        <f t="shared" si="51"/>
        <v>2016EURAIG Luxembourg-Healthcare PlanStandard S</v>
      </c>
      <c r="G85" s="1240" t="str">
        <f t="shared" si="52"/>
        <v>2016EURAIG Luxembourg-Assistance and RepatriationStandard S</v>
      </c>
      <c r="H85" s="1240" t="str">
        <f t="shared" si="53"/>
        <v>N/A</v>
      </c>
      <c r="I85" s="1240" t="str">
        <f t="shared" si="54"/>
        <v>N/A</v>
      </c>
      <c r="J85" s="1240" t="str">
        <f t="shared" si="55"/>
        <v>N/A</v>
      </c>
      <c r="K85" s="1240" t="str">
        <f t="shared" si="56"/>
        <v>N/A</v>
      </c>
      <c r="L85" s="392" t="s">
        <v>4</v>
      </c>
      <c r="M85" s="392" t="s">
        <v>2581</v>
      </c>
      <c r="N85" s="392" t="s">
        <v>32</v>
      </c>
      <c r="O85" s="376">
        <v>2016</v>
      </c>
      <c r="P85" s="376" t="s">
        <v>26</v>
      </c>
      <c r="Q85" s="376" t="s">
        <v>1</v>
      </c>
      <c r="R85" s="378">
        <v>15.2</v>
      </c>
      <c r="S85" s="392" t="s">
        <v>2213</v>
      </c>
      <c r="T85" s="392"/>
      <c r="U85" s="392"/>
      <c r="V85" s="584">
        <v>365</v>
      </c>
      <c r="W85" s="1228">
        <f t="shared" si="57"/>
        <v>569.03846153846143</v>
      </c>
      <c r="X85" s="197" t="s">
        <v>3</v>
      </c>
      <c r="Y85" s="1188">
        <f t="shared" si="58"/>
        <v>426.77884615384608</v>
      </c>
      <c r="Z85" s="377">
        <v>0.25</v>
      </c>
      <c r="AA85" s="1189">
        <f t="shared" si="59"/>
        <v>569.03846153846143</v>
      </c>
      <c r="AB85" s="377">
        <v>0</v>
      </c>
      <c r="AC85" s="378">
        <v>0</v>
      </c>
      <c r="AD85" s="1100">
        <f t="shared" si="65"/>
        <v>569.03846153846143</v>
      </c>
      <c r="AE85" s="377">
        <v>0.04</v>
      </c>
      <c r="AF85" s="370">
        <f t="shared" si="66"/>
        <v>22.761538461538457</v>
      </c>
      <c r="AG85" s="1216">
        <v>591.79999999999995</v>
      </c>
      <c r="AH85" s="1215" t="s">
        <v>5</v>
      </c>
      <c r="AI85" s="1177">
        <f t="shared" si="60"/>
        <v>0</v>
      </c>
      <c r="AJ85" s="378"/>
      <c r="AK85" s="1179">
        <f t="shared" si="61"/>
        <v>0</v>
      </c>
      <c r="AL85" s="378"/>
      <c r="AM85" s="378"/>
      <c r="AN85" s="378"/>
      <c r="AO85" s="378"/>
      <c r="AP85" s="378"/>
      <c r="AQ85" s="1216"/>
      <c r="AR85" s="1202" t="s">
        <v>2224</v>
      </c>
      <c r="AS85" s="1177" t="str">
        <f t="shared" si="67"/>
        <v/>
      </c>
      <c r="AT85" s="1151"/>
      <c r="AU85" s="1179">
        <f t="shared" si="68"/>
        <v>0</v>
      </c>
      <c r="AV85" s="1109"/>
      <c r="AW85" s="1109"/>
      <c r="AX85" s="1109"/>
      <c r="AY85" s="1109"/>
      <c r="AZ85" s="1109"/>
      <c r="BA85" s="380"/>
      <c r="BB85" s="1202" t="s">
        <v>2224</v>
      </c>
      <c r="BC85" s="1177" t="str">
        <f t="shared" si="69"/>
        <v/>
      </c>
      <c r="BD85" s="1151"/>
      <c r="BE85" s="1179">
        <f t="shared" si="70"/>
        <v>0</v>
      </c>
      <c r="BF85" s="1109"/>
      <c r="BG85" s="1109"/>
      <c r="BH85" s="1109"/>
      <c r="BI85" s="1109"/>
      <c r="BJ85" s="1109"/>
      <c r="BK85" s="380"/>
      <c r="BL85" s="1202" t="s">
        <v>2224</v>
      </c>
      <c r="BM85" s="1151"/>
      <c r="BN85" s="1151"/>
      <c r="BO85" s="1151"/>
      <c r="BP85" s="1151"/>
      <c r="BQ85" s="1151"/>
      <c r="BR85" s="1151"/>
      <c r="BS85" s="1151"/>
      <c r="BT85" s="1151"/>
      <c r="BU85" s="183"/>
      <c r="BV85" s="1202" t="s">
        <v>2224</v>
      </c>
      <c r="BW85" s="1151"/>
      <c r="BX85" s="1151"/>
      <c r="BY85" s="1151"/>
      <c r="BZ85" s="1151"/>
      <c r="CA85" s="1151"/>
      <c r="CB85" s="1151"/>
      <c r="CC85" s="1151"/>
      <c r="CD85" s="1151"/>
      <c r="CE85" s="183"/>
    </row>
    <row r="86" spans="1:83" s="659" customFormat="1">
      <c r="A86" s="291" t="b">
        <v>0</v>
      </c>
      <c r="B86" s="291" t="s">
        <v>2244</v>
      </c>
      <c r="C86" s="291" t="b">
        <f t="shared" si="64"/>
        <v>1</v>
      </c>
      <c r="D86" s="388" t="str">
        <f>IF(C86=FALSE=NAMES!$B$8,"",IF(L86="N/A","N/A",O86&amp;N86&amp;L86&amp;"-"&amp;M86))</f>
        <v/>
      </c>
      <c r="E86" s="392" t="str">
        <f t="shared" si="50"/>
        <v>2016EURAIG Luxembourg-StandardMLC</v>
      </c>
      <c r="F86" s="1236" t="str">
        <f t="shared" si="51"/>
        <v>2016EURAIG Luxembourg-Healthcare PlanStandardMLC</v>
      </c>
      <c r="G86" s="1240" t="str">
        <f t="shared" si="52"/>
        <v>2016EURAIG Luxembourg-Assistance and RepatriationStandardMLC</v>
      </c>
      <c r="H86" s="1240" t="str">
        <f t="shared" si="53"/>
        <v>N/A</v>
      </c>
      <c r="I86" s="1240" t="str">
        <f t="shared" si="54"/>
        <v>N/A</v>
      </c>
      <c r="J86" s="1240" t="str">
        <f t="shared" si="55"/>
        <v>N/A</v>
      </c>
      <c r="K86" s="1240" t="str">
        <f t="shared" si="56"/>
        <v>N/A</v>
      </c>
      <c r="L86" s="392" t="s">
        <v>4</v>
      </c>
      <c r="M86" s="392" t="s">
        <v>2579</v>
      </c>
      <c r="N86" s="392" t="s">
        <v>32</v>
      </c>
      <c r="O86" s="376">
        <v>2016</v>
      </c>
      <c r="P86" s="376" t="s">
        <v>26</v>
      </c>
      <c r="Q86" s="376" t="s">
        <v>1</v>
      </c>
      <c r="R86" s="378">
        <v>63.2</v>
      </c>
      <c r="S86" s="392" t="s">
        <v>2213</v>
      </c>
      <c r="T86" s="392"/>
      <c r="U86" s="392"/>
      <c r="V86" s="584">
        <v>365</v>
      </c>
      <c r="W86" s="1228">
        <f t="shared" si="57"/>
        <v>695.96153846153834</v>
      </c>
      <c r="X86" s="197" t="s">
        <v>3</v>
      </c>
      <c r="Y86" s="1188">
        <f t="shared" si="58"/>
        <v>426.77884615384608</v>
      </c>
      <c r="Z86" s="377">
        <v>0.25</v>
      </c>
      <c r="AA86" s="1189">
        <f t="shared" si="59"/>
        <v>569.03846153846143</v>
      </c>
      <c r="AB86" s="377">
        <v>0</v>
      </c>
      <c r="AC86" s="378">
        <v>0</v>
      </c>
      <c r="AD86" s="1100">
        <f t="shared" si="65"/>
        <v>569.03846153846143</v>
      </c>
      <c r="AE86" s="377">
        <v>0.04</v>
      </c>
      <c r="AF86" s="370">
        <f t="shared" si="66"/>
        <v>22.761538461538457</v>
      </c>
      <c r="AG86" s="1216">
        <v>591.79999999999995</v>
      </c>
      <c r="AH86" s="1215" t="s">
        <v>5</v>
      </c>
      <c r="AI86" s="1177">
        <f t="shared" si="60"/>
        <v>95.192307692307693</v>
      </c>
      <c r="AJ86" s="1175">
        <v>0.25</v>
      </c>
      <c r="AK86" s="1179">
        <f t="shared" si="61"/>
        <v>126.92307692307692</v>
      </c>
      <c r="AL86" s="1175">
        <v>0</v>
      </c>
      <c r="AM86" s="1174">
        <v>0</v>
      </c>
      <c r="AN86" s="1178"/>
      <c r="AO86" s="1175">
        <v>0.04</v>
      </c>
      <c r="AP86" s="1175"/>
      <c r="AQ86" s="1204">
        <v>132</v>
      </c>
      <c r="AR86" s="1202" t="s">
        <v>2224</v>
      </c>
      <c r="AS86" s="1177" t="str">
        <f t="shared" si="67"/>
        <v/>
      </c>
      <c r="AT86" s="1151"/>
      <c r="AU86" s="1179">
        <f t="shared" si="68"/>
        <v>0</v>
      </c>
      <c r="AV86" s="1109"/>
      <c r="AW86" s="1109"/>
      <c r="AX86" s="1109"/>
      <c r="AY86" s="1109"/>
      <c r="AZ86" s="1109"/>
      <c r="BA86" s="380"/>
      <c r="BB86" s="1202" t="s">
        <v>2224</v>
      </c>
      <c r="BC86" s="1177" t="str">
        <f t="shared" si="69"/>
        <v/>
      </c>
      <c r="BD86" s="1151"/>
      <c r="BE86" s="1179">
        <f t="shared" si="70"/>
        <v>0</v>
      </c>
      <c r="BF86" s="1109"/>
      <c r="BG86" s="1109"/>
      <c r="BH86" s="1109"/>
      <c r="BI86" s="1109"/>
      <c r="BJ86" s="1109"/>
      <c r="BK86" s="380"/>
      <c r="BL86" s="1202" t="s">
        <v>2224</v>
      </c>
      <c r="BM86" s="1151"/>
      <c r="BN86" s="1151"/>
      <c r="BO86" s="1151"/>
      <c r="BP86" s="1151"/>
      <c r="BQ86" s="1151"/>
      <c r="BR86" s="1151"/>
      <c r="BS86" s="1151"/>
      <c r="BT86" s="1151"/>
      <c r="BU86" s="183"/>
      <c r="BV86" s="1202" t="s">
        <v>2224</v>
      </c>
      <c r="BW86" s="1151"/>
      <c r="BX86" s="1151"/>
      <c r="BY86" s="1151"/>
      <c r="BZ86" s="1151"/>
      <c r="CA86" s="1151"/>
      <c r="CB86" s="1151"/>
      <c r="CC86" s="1151"/>
      <c r="CD86" s="1151"/>
      <c r="CE86" s="183"/>
    </row>
    <row r="87" spans="1:83" s="659" customFormat="1">
      <c r="A87" s="291" t="b">
        <v>0</v>
      </c>
      <c r="B87" s="291" t="s">
        <v>2244</v>
      </c>
      <c r="C87" s="291" t="b">
        <f t="shared" si="64"/>
        <v>1</v>
      </c>
      <c r="D87" s="388" t="str">
        <f>IF(C87=FALSE=NAMES!$B$8,"",IF(L87="N/A","N/A",O87&amp;N87&amp;L87&amp;"-"&amp;M87))</f>
        <v/>
      </c>
      <c r="E87" s="392" t="str">
        <f t="shared" si="50"/>
        <v>2016EURAIG Luxembourg-StandardMLC S</v>
      </c>
      <c r="F87" s="1236" t="str">
        <f t="shared" si="51"/>
        <v>2016EURAIG Luxembourg-Healthcare PlanStandardMLC S</v>
      </c>
      <c r="G87" s="1240" t="str">
        <f t="shared" si="52"/>
        <v>2016EURAIG Luxembourg-Assistance and RepatriationStandardMLC S</v>
      </c>
      <c r="H87" s="1240" t="str">
        <f t="shared" si="53"/>
        <v>N/A</v>
      </c>
      <c r="I87" s="1240" t="str">
        <f t="shared" si="54"/>
        <v>N/A</v>
      </c>
      <c r="J87" s="1240" t="str">
        <f t="shared" si="55"/>
        <v>N/A</v>
      </c>
      <c r="K87" s="1240" t="str">
        <f t="shared" si="56"/>
        <v>N/A</v>
      </c>
      <c r="L87" s="392" t="s">
        <v>4</v>
      </c>
      <c r="M87" s="392" t="s">
        <v>2582</v>
      </c>
      <c r="N87" s="392" t="s">
        <v>32</v>
      </c>
      <c r="O87" s="376">
        <v>2016</v>
      </c>
      <c r="P87" s="376" t="s">
        <v>26</v>
      </c>
      <c r="Q87" s="376" t="s">
        <v>1</v>
      </c>
      <c r="R87" s="378">
        <v>15.2</v>
      </c>
      <c r="S87" s="392" t="s">
        <v>2213</v>
      </c>
      <c r="T87" s="392"/>
      <c r="U87" s="392"/>
      <c r="V87" s="584">
        <v>365</v>
      </c>
      <c r="W87" s="1228">
        <f t="shared" si="57"/>
        <v>695.96153846153834</v>
      </c>
      <c r="X87" s="197" t="s">
        <v>3</v>
      </c>
      <c r="Y87" s="1188">
        <f t="shared" si="58"/>
        <v>426.77884615384608</v>
      </c>
      <c r="Z87" s="377">
        <v>0.25</v>
      </c>
      <c r="AA87" s="1189">
        <f t="shared" si="59"/>
        <v>569.03846153846143</v>
      </c>
      <c r="AB87" s="377">
        <v>0</v>
      </c>
      <c r="AC87" s="378">
        <v>0</v>
      </c>
      <c r="AD87" s="1100">
        <f t="shared" si="65"/>
        <v>569.03846153846143</v>
      </c>
      <c r="AE87" s="377">
        <v>0.04</v>
      </c>
      <c r="AF87" s="370">
        <f t="shared" si="66"/>
        <v>22.761538461538457</v>
      </c>
      <c r="AG87" s="1216">
        <v>591.79999999999995</v>
      </c>
      <c r="AH87" s="1215" t="s">
        <v>5</v>
      </c>
      <c r="AI87" s="1177">
        <f t="shared" si="60"/>
        <v>95.192307692307693</v>
      </c>
      <c r="AJ87" s="1175">
        <v>0.25</v>
      </c>
      <c r="AK87" s="1179">
        <f t="shared" si="61"/>
        <v>126.92307692307692</v>
      </c>
      <c r="AL87" s="1175">
        <v>0</v>
      </c>
      <c r="AM87" s="1174">
        <v>0</v>
      </c>
      <c r="AN87" s="1178"/>
      <c r="AO87" s="1175">
        <v>0.04</v>
      </c>
      <c r="AP87" s="1175"/>
      <c r="AQ87" s="1204">
        <v>132</v>
      </c>
      <c r="AR87" s="1202" t="s">
        <v>2224</v>
      </c>
      <c r="AS87" s="1177" t="str">
        <f t="shared" si="67"/>
        <v/>
      </c>
      <c r="AT87" s="1151"/>
      <c r="AU87" s="1179">
        <f t="shared" si="68"/>
        <v>0</v>
      </c>
      <c r="AV87" s="1109"/>
      <c r="AW87" s="1109"/>
      <c r="AX87" s="1109"/>
      <c r="AY87" s="1109"/>
      <c r="AZ87" s="1109"/>
      <c r="BA87" s="380"/>
      <c r="BB87" s="1202" t="s">
        <v>2224</v>
      </c>
      <c r="BC87" s="1177" t="str">
        <f t="shared" si="69"/>
        <v/>
      </c>
      <c r="BD87" s="1151"/>
      <c r="BE87" s="1179">
        <f t="shared" si="70"/>
        <v>0</v>
      </c>
      <c r="BF87" s="1109"/>
      <c r="BG87" s="1109"/>
      <c r="BH87" s="1109"/>
      <c r="BI87" s="1109"/>
      <c r="BJ87" s="1109"/>
      <c r="BK87" s="380"/>
      <c r="BL87" s="1202" t="s">
        <v>2224</v>
      </c>
      <c r="BM87" s="1151"/>
      <c r="BN87" s="1151"/>
      <c r="BO87" s="1151"/>
      <c r="BP87" s="1151"/>
      <c r="BQ87" s="1151"/>
      <c r="BR87" s="1151"/>
      <c r="BS87" s="1151"/>
      <c r="BT87" s="1151"/>
      <c r="BU87" s="183"/>
      <c r="BV87" s="1202" t="s">
        <v>2224</v>
      </c>
      <c r="BW87" s="1151"/>
      <c r="BX87" s="1151"/>
      <c r="BY87" s="1151"/>
      <c r="BZ87" s="1151"/>
      <c r="CA87" s="1151"/>
      <c r="CB87" s="1151"/>
      <c r="CC87" s="1151"/>
      <c r="CD87" s="1151"/>
      <c r="CE87" s="183"/>
    </row>
    <row r="88" spans="1:83" s="659" customFormat="1">
      <c r="A88" s="291" t="b">
        <v>0</v>
      </c>
      <c r="B88" s="291" t="s">
        <v>2244</v>
      </c>
      <c r="C88" s="291" t="b">
        <f t="shared" si="64"/>
        <v>1</v>
      </c>
      <c r="D88" s="388" t="str">
        <f>IF(C88=FALSE=NAMES!$B$8,"",IF(L88="N/A","N/A",O88&amp;N88&amp;L88&amp;"-"&amp;M88))</f>
        <v/>
      </c>
      <c r="E88" s="392" t="str">
        <f t="shared" si="50"/>
        <v>2016EURAIG Luxembourg-Vitale-12months</v>
      </c>
      <c r="F88" s="1236" t="str">
        <f t="shared" si="51"/>
        <v>2016EURAIG Luxembourg-Healthcare PlanVitale-12months</v>
      </c>
      <c r="G88" s="1240" t="str">
        <f t="shared" si="52"/>
        <v>2016EURAIG Luxembourg-Assistance and RepatriationVitale-12months</v>
      </c>
      <c r="H88" s="1240" t="str">
        <f t="shared" si="53"/>
        <v>N/A</v>
      </c>
      <c r="I88" s="1240" t="str">
        <f t="shared" si="54"/>
        <v>N/A</v>
      </c>
      <c r="J88" s="1240" t="str">
        <f t="shared" si="55"/>
        <v>N/A</v>
      </c>
      <c r="K88" s="1240" t="str">
        <f t="shared" si="56"/>
        <v>N/A</v>
      </c>
      <c r="L88" s="392" t="s">
        <v>4</v>
      </c>
      <c r="M88" s="392" t="s">
        <v>2540</v>
      </c>
      <c r="N88" s="392" t="s">
        <v>32</v>
      </c>
      <c r="O88" s="376">
        <v>2016</v>
      </c>
      <c r="P88" s="376" t="s">
        <v>26</v>
      </c>
      <c r="Q88" s="376" t="s">
        <v>1</v>
      </c>
      <c r="R88" s="378">
        <v>15</v>
      </c>
      <c r="S88" s="392" t="s">
        <v>2213</v>
      </c>
      <c r="T88" s="392"/>
      <c r="U88" s="392"/>
      <c r="V88" s="584">
        <v>365</v>
      </c>
      <c r="W88" s="1228">
        <f t="shared" si="57"/>
        <v>152.4</v>
      </c>
      <c r="X88" s="197" t="s">
        <v>3</v>
      </c>
      <c r="Y88" s="1188">
        <f t="shared" si="58"/>
        <v>114.30000000000001</v>
      </c>
      <c r="Z88" s="377">
        <v>0.25</v>
      </c>
      <c r="AA88" s="1189">
        <f t="shared" si="59"/>
        <v>152.4</v>
      </c>
      <c r="AB88" s="377">
        <v>0</v>
      </c>
      <c r="AC88" s="378">
        <v>0</v>
      </c>
      <c r="AD88" s="1100">
        <f t="shared" si="65"/>
        <v>152.4</v>
      </c>
      <c r="AE88" s="377">
        <v>0.04</v>
      </c>
      <c r="AF88" s="370">
        <f t="shared" si="66"/>
        <v>6.0960000000000001</v>
      </c>
      <c r="AG88" s="1216">
        <v>158.49600000000001</v>
      </c>
      <c r="AH88" s="1215" t="s">
        <v>5</v>
      </c>
      <c r="AI88" s="1177">
        <f t="shared" si="60"/>
        <v>0</v>
      </c>
      <c r="AJ88" s="378"/>
      <c r="AK88" s="1179">
        <f t="shared" si="61"/>
        <v>0</v>
      </c>
      <c r="AL88" s="378"/>
      <c r="AM88" s="378"/>
      <c r="AN88" s="378"/>
      <c r="AO88" s="378"/>
      <c r="AP88" s="378"/>
      <c r="AQ88" s="1216"/>
      <c r="AR88" s="1202" t="s">
        <v>2224</v>
      </c>
      <c r="AS88" s="1177" t="str">
        <f t="shared" si="67"/>
        <v/>
      </c>
      <c r="AT88" s="1151"/>
      <c r="AU88" s="1179">
        <f t="shared" si="68"/>
        <v>0</v>
      </c>
      <c r="AV88" s="1109"/>
      <c r="AW88" s="1109"/>
      <c r="AX88" s="1109"/>
      <c r="AY88" s="1109"/>
      <c r="AZ88" s="1109"/>
      <c r="BA88" s="380"/>
      <c r="BB88" s="1202" t="s">
        <v>2224</v>
      </c>
      <c r="BC88" s="1177" t="str">
        <f t="shared" si="69"/>
        <v/>
      </c>
      <c r="BD88" s="1151"/>
      <c r="BE88" s="1179">
        <f t="shared" si="70"/>
        <v>0</v>
      </c>
      <c r="BF88" s="1109"/>
      <c r="BG88" s="1109"/>
      <c r="BH88" s="1109"/>
      <c r="BI88" s="1109"/>
      <c r="BJ88" s="1109"/>
      <c r="BK88" s="380"/>
      <c r="BL88" s="1202" t="s">
        <v>2224</v>
      </c>
      <c r="BM88" s="1151"/>
      <c r="BN88" s="1151"/>
      <c r="BO88" s="1151"/>
      <c r="BP88" s="1151"/>
      <c r="BQ88" s="1151"/>
      <c r="BR88" s="1151"/>
      <c r="BS88" s="1151"/>
      <c r="BT88" s="1151"/>
      <c r="BU88" s="183"/>
      <c r="BV88" s="1202" t="s">
        <v>2224</v>
      </c>
      <c r="BW88" s="1151"/>
      <c r="BX88" s="1151"/>
      <c r="BY88" s="1151"/>
      <c r="BZ88" s="1151"/>
      <c r="CA88" s="1151"/>
      <c r="CB88" s="1151"/>
      <c r="CC88" s="1151"/>
      <c r="CD88" s="1151"/>
      <c r="CE88" s="183"/>
    </row>
    <row r="89" spans="1:83" s="659" customFormat="1">
      <c r="A89" s="291" t="b">
        <v>0</v>
      </c>
      <c r="B89" s="291" t="s">
        <v>2244</v>
      </c>
      <c r="C89" s="291" t="b">
        <f t="shared" si="64"/>
        <v>1</v>
      </c>
      <c r="D89" s="388" t="str">
        <f>IF(C89=FALSE=NAMES!$B$8,"",IF(L89="N/A","N/A",O89&amp;N89&amp;L89&amp;"-"&amp;M89))</f>
        <v/>
      </c>
      <c r="E89" s="392" t="str">
        <f t="shared" si="50"/>
        <v>2016EURAIG Luxembourg-Vitale-6months</v>
      </c>
      <c r="F89" s="1236" t="str">
        <f t="shared" si="51"/>
        <v>2016EURAIG Luxembourg-Healthcare PlanVitale-6months</v>
      </c>
      <c r="G89" s="1240" t="str">
        <f t="shared" si="52"/>
        <v>2016EURAIG Luxembourg-Assistance and RepatriationVitale-6months</v>
      </c>
      <c r="H89" s="1240" t="str">
        <f t="shared" si="53"/>
        <v>N/A</v>
      </c>
      <c r="I89" s="1240" t="str">
        <f t="shared" si="54"/>
        <v>N/A</v>
      </c>
      <c r="J89" s="1240" t="str">
        <f t="shared" si="55"/>
        <v>N/A</v>
      </c>
      <c r="K89" s="1240" t="str">
        <f t="shared" si="56"/>
        <v>N/A</v>
      </c>
      <c r="L89" s="392" t="s">
        <v>4</v>
      </c>
      <c r="M89" s="392" t="s">
        <v>2541</v>
      </c>
      <c r="N89" s="392" t="s">
        <v>32</v>
      </c>
      <c r="O89" s="376">
        <v>2016</v>
      </c>
      <c r="P89" s="376" t="s">
        <v>26</v>
      </c>
      <c r="Q89" s="376" t="s">
        <v>1</v>
      </c>
      <c r="R89" s="378">
        <v>15</v>
      </c>
      <c r="S89" s="392" t="s">
        <v>2213</v>
      </c>
      <c r="T89" s="392"/>
      <c r="U89" s="392"/>
      <c r="V89" s="584">
        <v>180</v>
      </c>
      <c r="W89" s="1228">
        <f t="shared" si="57"/>
        <v>100.24</v>
      </c>
      <c r="X89" s="197" t="s">
        <v>3</v>
      </c>
      <c r="Y89" s="1188">
        <f t="shared" si="58"/>
        <v>75.179999999999993</v>
      </c>
      <c r="Z89" s="377">
        <v>0.25</v>
      </c>
      <c r="AA89" s="1189">
        <f t="shared" si="59"/>
        <v>100.24</v>
      </c>
      <c r="AB89" s="377">
        <v>0</v>
      </c>
      <c r="AC89" s="378">
        <v>0</v>
      </c>
      <c r="AD89" s="1100">
        <f t="shared" si="65"/>
        <v>100.24</v>
      </c>
      <c r="AE89" s="377">
        <v>0.04</v>
      </c>
      <c r="AF89" s="370">
        <f t="shared" si="66"/>
        <v>4.0095999999999998</v>
      </c>
      <c r="AG89" s="1216">
        <v>104.2496</v>
      </c>
      <c r="AH89" s="1215" t="s">
        <v>5</v>
      </c>
      <c r="AI89" s="1177">
        <f t="shared" si="60"/>
        <v>0</v>
      </c>
      <c r="AJ89" s="378"/>
      <c r="AK89" s="1179">
        <f t="shared" si="61"/>
        <v>0</v>
      </c>
      <c r="AL89" s="378"/>
      <c r="AM89" s="378"/>
      <c r="AN89" s="378"/>
      <c r="AO89" s="378"/>
      <c r="AP89" s="378"/>
      <c r="AQ89" s="1216"/>
      <c r="AR89" s="1202" t="s">
        <v>2224</v>
      </c>
      <c r="AS89" s="1177" t="str">
        <f t="shared" si="67"/>
        <v/>
      </c>
      <c r="AT89" s="1151"/>
      <c r="AU89" s="1179">
        <f t="shared" si="68"/>
        <v>0</v>
      </c>
      <c r="AV89" s="1109"/>
      <c r="AW89" s="1109"/>
      <c r="AX89" s="1109"/>
      <c r="AY89" s="1109"/>
      <c r="AZ89" s="1109"/>
      <c r="BA89" s="380"/>
      <c r="BB89" s="1202" t="s">
        <v>2224</v>
      </c>
      <c r="BC89" s="1177" t="str">
        <f t="shared" si="69"/>
        <v/>
      </c>
      <c r="BD89" s="1151"/>
      <c r="BE89" s="1179">
        <f t="shared" si="70"/>
        <v>0</v>
      </c>
      <c r="BF89" s="1109"/>
      <c r="BG89" s="1109"/>
      <c r="BH89" s="1109"/>
      <c r="BI89" s="1109"/>
      <c r="BJ89" s="1109"/>
      <c r="BK89" s="380"/>
      <c r="BL89" s="1202" t="s">
        <v>2224</v>
      </c>
      <c r="BM89" s="1151"/>
      <c r="BN89" s="1151"/>
      <c r="BO89" s="1151"/>
      <c r="BP89" s="1151"/>
      <c r="BQ89" s="1151"/>
      <c r="BR89" s="1151"/>
      <c r="BS89" s="1151"/>
      <c r="BT89" s="1151"/>
      <c r="BU89" s="183"/>
      <c r="BV89" s="1202" t="s">
        <v>2224</v>
      </c>
      <c r="BW89" s="1151"/>
      <c r="BX89" s="1151"/>
      <c r="BY89" s="1151"/>
      <c r="BZ89" s="1151"/>
      <c r="CA89" s="1151"/>
      <c r="CB89" s="1151"/>
      <c r="CC89" s="1151"/>
      <c r="CD89" s="1151"/>
      <c r="CE89" s="183"/>
    </row>
    <row r="90" spans="1:83" s="659" customFormat="1">
      <c r="A90" s="291" t="b">
        <v>0</v>
      </c>
      <c r="B90" s="291" t="s">
        <v>2244</v>
      </c>
      <c r="C90" s="291" t="b">
        <f t="shared" si="64"/>
        <v>1</v>
      </c>
      <c r="D90" s="388" t="str">
        <f>IF(C90=FALSE=NAMES!$B$8,"",IF(L90="N/A","N/A",O90&amp;N90&amp;L90&amp;"-"&amp;M90))</f>
        <v/>
      </c>
      <c r="E90" s="392" t="str">
        <f t="shared" si="50"/>
        <v>2016EURAnker Verzekeringen n.v.-Medical Excellent and Homeland</v>
      </c>
      <c r="F90" s="1236" t="str">
        <f t="shared" si="51"/>
        <v>2016EURAnker Verzekeringen n.v.-Healthcare PlanMedical Excellent and Homeland</v>
      </c>
      <c r="G90" s="1240" t="str">
        <f t="shared" si="52"/>
        <v>2016EURAnker Verzekeringen n.v.-Assistance and RepatriationMedical Excellent and Homeland</v>
      </c>
      <c r="H90" s="1240" t="str">
        <f t="shared" si="53"/>
        <v>N/A</v>
      </c>
      <c r="I90" s="1240" t="str">
        <f t="shared" si="54"/>
        <v>N/A</v>
      </c>
      <c r="J90" s="1240" t="str">
        <f t="shared" si="55"/>
        <v>N/A</v>
      </c>
      <c r="K90" s="1240" t="str">
        <f t="shared" si="56"/>
        <v>N/A</v>
      </c>
      <c r="L90" s="392" t="s">
        <v>7</v>
      </c>
      <c r="M90" s="392" t="s">
        <v>2121</v>
      </c>
      <c r="N90" s="392" t="s">
        <v>32</v>
      </c>
      <c r="O90" s="376">
        <v>2016</v>
      </c>
      <c r="P90" s="376" t="s">
        <v>2234</v>
      </c>
      <c r="Q90" s="376" t="s">
        <v>1</v>
      </c>
      <c r="R90" s="378">
        <v>547.5</v>
      </c>
      <c r="S90" s="392" t="s">
        <v>2213</v>
      </c>
      <c r="T90" s="392"/>
      <c r="U90" s="392"/>
      <c r="V90" s="584">
        <v>365</v>
      </c>
      <c r="W90" s="1228">
        <f t="shared" si="57"/>
        <v>1008.0288461538461</v>
      </c>
      <c r="X90" s="197" t="s">
        <v>3</v>
      </c>
      <c r="Y90" s="1188">
        <f t="shared" si="58"/>
        <v>647.16706730769226</v>
      </c>
      <c r="Z90" s="377">
        <v>0.27500000000000002</v>
      </c>
      <c r="AA90" s="1189">
        <f t="shared" si="59"/>
        <v>892.64423076923072</v>
      </c>
      <c r="AB90" s="377">
        <v>0</v>
      </c>
      <c r="AC90" s="378">
        <v>0</v>
      </c>
      <c r="AD90" s="1100">
        <f t="shared" si="65"/>
        <v>892.64423076923072</v>
      </c>
      <c r="AE90" s="377">
        <v>0.04</v>
      </c>
      <c r="AF90" s="370">
        <f t="shared" si="66"/>
        <v>35.705769230769228</v>
      </c>
      <c r="AG90" s="1216">
        <v>928.35</v>
      </c>
      <c r="AH90" s="1215" t="s">
        <v>5</v>
      </c>
      <c r="AI90" s="1177">
        <f t="shared" si="60"/>
        <v>83.653846153846146</v>
      </c>
      <c r="AJ90" s="1175">
        <v>0.27500000000000002</v>
      </c>
      <c r="AK90" s="1179">
        <f t="shared" si="61"/>
        <v>115.38461538461539</v>
      </c>
      <c r="AL90" s="1175">
        <v>0</v>
      </c>
      <c r="AM90" s="1174">
        <v>0</v>
      </c>
      <c r="AN90" s="1178"/>
      <c r="AO90" s="1175">
        <v>0.04</v>
      </c>
      <c r="AP90" s="1175"/>
      <c r="AQ90" s="1204">
        <v>120</v>
      </c>
      <c r="AR90" s="1202" t="s">
        <v>2224</v>
      </c>
      <c r="AS90" s="1177" t="str">
        <f t="shared" si="67"/>
        <v/>
      </c>
      <c r="AT90" s="1151"/>
      <c r="AU90" s="1179">
        <f t="shared" si="68"/>
        <v>0</v>
      </c>
      <c r="AV90" s="1109"/>
      <c r="AW90" s="1109"/>
      <c r="AX90" s="1109"/>
      <c r="AY90" s="1109"/>
      <c r="AZ90" s="1109"/>
      <c r="BA90" s="380"/>
      <c r="BB90" s="1202" t="s">
        <v>2224</v>
      </c>
      <c r="BC90" s="1177" t="str">
        <f t="shared" si="69"/>
        <v/>
      </c>
      <c r="BD90" s="1151"/>
      <c r="BE90" s="1179">
        <f t="shared" si="70"/>
        <v>0</v>
      </c>
      <c r="BF90" s="1109"/>
      <c r="BG90" s="1109"/>
      <c r="BH90" s="1109"/>
      <c r="BI90" s="1109"/>
      <c r="BJ90" s="1109"/>
      <c r="BK90" s="380"/>
      <c r="BL90" s="1202" t="s">
        <v>2224</v>
      </c>
      <c r="BM90" s="1151"/>
      <c r="BN90" s="1151"/>
      <c r="BO90" s="1151"/>
      <c r="BP90" s="1151"/>
      <c r="BQ90" s="1151"/>
      <c r="BR90" s="1151"/>
      <c r="BS90" s="1151"/>
      <c r="BT90" s="1151"/>
      <c r="BU90" s="183"/>
      <c r="BV90" s="1202" t="s">
        <v>2224</v>
      </c>
      <c r="BW90" s="1151"/>
      <c r="BX90" s="1151"/>
      <c r="BY90" s="1151"/>
      <c r="BZ90" s="1151"/>
      <c r="CA90" s="1151"/>
      <c r="CB90" s="1151"/>
      <c r="CC90" s="1151"/>
      <c r="CD90" s="1151"/>
      <c r="CE90" s="183"/>
    </row>
    <row r="91" spans="1:83" s="375" customFormat="1">
      <c r="A91" s="291" t="b">
        <v>0</v>
      </c>
      <c r="B91" s="291" t="s">
        <v>2244</v>
      </c>
      <c r="C91" s="291" t="b">
        <f t="shared" si="49"/>
        <v>1</v>
      </c>
      <c r="D91" s="388" t="str">
        <f>IF(C91=FALSE=NAMES!$B$8,"",IF(L91="N/A","N/A",O91&amp;N91&amp;L91&amp;"-"&amp;M91))</f>
        <v/>
      </c>
      <c r="E91" s="392" t="str">
        <f t="shared" si="50"/>
        <v>N/A</v>
      </c>
      <c r="F91" s="1236" t="str">
        <f t="shared" si="51"/>
        <v>N/A</v>
      </c>
      <c r="G91" s="1240" t="str">
        <f t="shared" si="52"/>
        <v>N/A</v>
      </c>
      <c r="H91" s="1240" t="str">
        <f t="shared" si="53"/>
        <v>N/A</v>
      </c>
      <c r="I91" s="1240" t="str">
        <f t="shared" si="54"/>
        <v>N/A</v>
      </c>
      <c r="J91" s="1240" t="str">
        <f t="shared" si="55"/>
        <v>N/A</v>
      </c>
      <c r="K91" s="1240" t="str">
        <f t="shared" si="56"/>
        <v>N/A</v>
      </c>
      <c r="L91" s="389" t="s">
        <v>2224</v>
      </c>
      <c r="M91" s="392"/>
      <c r="N91" s="392"/>
      <c r="O91" s="376"/>
      <c r="P91" s="376"/>
      <c r="Q91" s="376"/>
      <c r="R91" s="378"/>
      <c r="S91" s="392"/>
      <c r="T91" s="392"/>
      <c r="U91" s="392"/>
      <c r="V91" s="382"/>
      <c r="W91" s="1228" t="str">
        <f t="shared" si="57"/>
        <v/>
      </c>
      <c r="X91" s="388" t="s">
        <v>2224</v>
      </c>
      <c r="Y91" s="1188" t="str">
        <f t="shared" si="58"/>
        <v/>
      </c>
      <c r="Z91" s="377"/>
      <c r="AA91" s="1189" t="str">
        <f t="shared" si="59"/>
        <v/>
      </c>
      <c r="AB91" s="377" t="s">
        <v>2231</v>
      </c>
      <c r="AC91" s="378"/>
      <c r="AD91" s="1100" t="str">
        <f t="shared" si="65"/>
        <v/>
      </c>
      <c r="AE91" s="377"/>
      <c r="AF91" s="370" t="str">
        <f t="shared" si="66"/>
        <v/>
      </c>
      <c r="AG91" s="1216"/>
      <c r="AH91" s="1202" t="s">
        <v>2224</v>
      </c>
      <c r="AI91" s="1177" t="str">
        <f t="shared" ref="AI91:AI95" si="71">IF(AH91="N/A","",AK91*(1-AJ91))</f>
        <v/>
      </c>
      <c r="AJ91" s="1109"/>
      <c r="AK91" s="1179" t="str">
        <f t="shared" si="61"/>
        <v/>
      </c>
      <c r="AL91" s="1109"/>
      <c r="AM91" s="1109"/>
      <c r="AN91" s="1109"/>
      <c r="AO91" s="1109"/>
      <c r="AP91" s="1109"/>
      <c r="AQ91" s="380"/>
      <c r="AR91" s="1202" t="s">
        <v>2224</v>
      </c>
      <c r="AS91" s="1177" t="str">
        <f t="shared" si="67"/>
        <v/>
      </c>
      <c r="AT91" s="1151"/>
      <c r="AU91" s="1179">
        <f t="shared" si="68"/>
        <v>0</v>
      </c>
      <c r="AV91" s="1109"/>
      <c r="AW91" s="1109"/>
      <c r="AX91" s="1109"/>
      <c r="AY91" s="1109"/>
      <c r="AZ91" s="1109"/>
      <c r="BA91" s="380"/>
      <c r="BB91" s="1202" t="s">
        <v>2224</v>
      </c>
      <c r="BC91" s="1177" t="str">
        <f t="shared" si="69"/>
        <v/>
      </c>
      <c r="BD91" s="1151"/>
      <c r="BE91" s="1179">
        <f t="shared" si="70"/>
        <v>0</v>
      </c>
      <c r="BF91" s="1109"/>
      <c r="BG91" s="1109"/>
      <c r="BH91" s="1109"/>
      <c r="BI91" s="1109"/>
      <c r="BJ91" s="1109"/>
      <c r="BK91" s="380"/>
      <c r="BL91" s="1202" t="s">
        <v>2224</v>
      </c>
      <c r="BM91" s="1151"/>
      <c r="BN91" s="1151"/>
      <c r="BO91" s="1151"/>
      <c r="BP91" s="1151"/>
      <c r="BQ91" s="1151"/>
      <c r="BR91" s="1151"/>
      <c r="BS91" s="1151"/>
      <c r="BT91" s="1151"/>
      <c r="BU91" s="183"/>
      <c r="BV91" s="1202" t="s">
        <v>2224</v>
      </c>
      <c r="BW91" s="1151"/>
      <c r="BX91" s="1151"/>
      <c r="BY91" s="1151"/>
      <c r="BZ91" s="1151"/>
      <c r="CA91" s="1151"/>
      <c r="CB91" s="1151"/>
      <c r="CC91" s="1151"/>
      <c r="CD91" s="1151"/>
      <c r="CE91" s="183"/>
    </row>
    <row r="92" spans="1:83">
      <c r="A92" s="291" t="b">
        <v>0</v>
      </c>
      <c r="B92" s="291" t="s">
        <v>2244</v>
      </c>
      <c r="C92" s="291" t="b">
        <f t="shared" ref="C92:C111" si="72">IF(B92="N/A","",IF(B92="newRates",FALSE,TRUE))</f>
        <v>1</v>
      </c>
      <c r="D92" s="388" t="str">
        <f>IF(C92=FALSE=NAMES!$B$8,"",IF(L92="N/A","N/A",O92&amp;N92&amp;L92&amp;"-"&amp;M92))</f>
        <v/>
      </c>
      <c r="E92" s="392" t="str">
        <f t="shared" si="50"/>
        <v>2016USDAIG Luxembourg-Comfort</v>
      </c>
      <c r="F92" s="1236" t="str">
        <f t="shared" si="51"/>
        <v>2016USDAIG Luxembourg-Healthcare PlanComfort</v>
      </c>
      <c r="G92" s="1240" t="str">
        <f t="shared" si="52"/>
        <v>2016USDAIG Luxembourg-Assistance and RepatriationComfort</v>
      </c>
      <c r="H92" s="1240" t="str">
        <f t="shared" si="53"/>
        <v>N/A</v>
      </c>
      <c r="I92" s="1240" t="str">
        <f t="shared" si="54"/>
        <v>N/A</v>
      </c>
      <c r="J92" s="1240" t="str">
        <f t="shared" si="55"/>
        <v>N/A</v>
      </c>
      <c r="K92" s="1240" t="str">
        <f t="shared" si="56"/>
        <v>N/A</v>
      </c>
      <c r="L92" s="392" t="s">
        <v>4</v>
      </c>
      <c r="M92" s="392" t="s">
        <v>2116</v>
      </c>
      <c r="N92" s="392" t="s">
        <v>87</v>
      </c>
      <c r="O92" s="376">
        <v>2016</v>
      </c>
      <c r="P92" s="376" t="s">
        <v>26</v>
      </c>
      <c r="Q92" s="376" t="s">
        <v>1</v>
      </c>
      <c r="R92" s="378">
        <v>63.2</v>
      </c>
      <c r="S92" s="392" t="s">
        <v>2213</v>
      </c>
      <c r="T92" s="392"/>
      <c r="U92" s="392"/>
      <c r="V92" s="382">
        <v>365</v>
      </c>
      <c r="W92" s="1228">
        <f t="shared" si="57"/>
        <v>569.03846153846143</v>
      </c>
      <c r="X92" s="197" t="s">
        <v>3</v>
      </c>
      <c r="Y92" s="1188">
        <f t="shared" si="58"/>
        <v>426.77884615384608</v>
      </c>
      <c r="Z92" s="377">
        <v>0.25</v>
      </c>
      <c r="AA92" s="1189">
        <f t="shared" si="59"/>
        <v>569.03846153846143</v>
      </c>
      <c r="AB92" s="377">
        <v>0</v>
      </c>
      <c r="AC92" s="378">
        <v>0</v>
      </c>
      <c r="AD92" s="1100">
        <f t="shared" si="65"/>
        <v>569.03846153846143</v>
      </c>
      <c r="AE92" s="377">
        <v>0.04</v>
      </c>
      <c r="AF92" s="370">
        <f t="shared" si="66"/>
        <v>22.761538461538457</v>
      </c>
      <c r="AG92" s="1216">
        <v>591.79999999999995</v>
      </c>
      <c r="AH92" s="1215" t="s">
        <v>5</v>
      </c>
      <c r="AI92" s="1177">
        <f t="shared" si="71"/>
        <v>0</v>
      </c>
      <c r="AJ92" s="378"/>
      <c r="AK92" s="1179">
        <f t="shared" si="61"/>
        <v>0</v>
      </c>
      <c r="AL92" s="378"/>
      <c r="AM92" s="378"/>
      <c r="AN92" s="378"/>
      <c r="AO92" s="378"/>
      <c r="AP92" s="378"/>
      <c r="AQ92" s="1216"/>
      <c r="AR92" s="1202" t="s">
        <v>2224</v>
      </c>
      <c r="AS92" s="1177" t="str">
        <f t="shared" si="67"/>
        <v/>
      </c>
      <c r="AT92" s="1151"/>
      <c r="AU92" s="1179">
        <f t="shared" si="68"/>
        <v>0</v>
      </c>
      <c r="AV92" s="1109"/>
      <c r="AW92" s="1109"/>
      <c r="AX92" s="1109"/>
      <c r="AY92" s="1109"/>
      <c r="AZ92" s="1109"/>
      <c r="BA92" s="380"/>
      <c r="BB92" s="1202" t="s">
        <v>2224</v>
      </c>
      <c r="BC92" s="1177" t="str">
        <f t="shared" si="69"/>
        <v/>
      </c>
      <c r="BD92" s="1151"/>
      <c r="BE92" s="1179">
        <f t="shared" si="70"/>
        <v>0</v>
      </c>
      <c r="BF92" s="1109"/>
      <c r="BG92" s="1109"/>
      <c r="BH92" s="1109"/>
      <c r="BI92" s="1109"/>
      <c r="BJ92" s="1109"/>
      <c r="BK92" s="380"/>
      <c r="BL92" s="1202" t="s">
        <v>2224</v>
      </c>
      <c r="BM92" s="1151"/>
      <c r="BN92" s="1151"/>
      <c r="BO92" s="1151"/>
      <c r="BP92" s="1151"/>
      <c r="BQ92" s="1151"/>
      <c r="BR92" s="1151"/>
      <c r="BS92" s="1151"/>
      <c r="BT92" s="1151"/>
      <c r="BU92" s="183"/>
      <c r="BV92" s="1202" t="s">
        <v>2224</v>
      </c>
      <c r="BW92" s="1151"/>
      <c r="BX92" s="1151"/>
      <c r="BY92" s="1151"/>
      <c r="BZ92" s="1151"/>
      <c r="CA92" s="1151"/>
      <c r="CB92" s="1151"/>
      <c r="CC92" s="1151"/>
      <c r="CD92" s="1151"/>
      <c r="CE92" s="183"/>
    </row>
    <row r="93" spans="1:83">
      <c r="A93" s="291" t="b">
        <v>0</v>
      </c>
      <c r="B93" s="291" t="s">
        <v>2244</v>
      </c>
      <c r="C93" s="291" t="b">
        <f t="shared" si="72"/>
        <v>1</v>
      </c>
      <c r="D93" s="388" t="str">
        <f>IF(C93=FALSE=NAMES!$B$8,"",IF(L93="N/A","N/A",O93&amp;N93&amp;L93&amp;"-"&amp;M93))</f>
        <v/>
      </c>
      <c r="E93" s="392" t="str">
        <f t="shared" si="50"/>
        <v>2016USDAIG Luxembourg-Comfort MLC S</v>
      </c>
      <c r="F93" s="1236" t="str">
        <f t="shared" si="51"/>
        <v>2016USDAIG Luxembourg-Healthcare PlanComfort MLC S</v>
      </c>
      <c r="G93" s="1240" t="str">
        <f t="shared" si="52"/>
        <v>2016USDAIG Luxembourg-Assistance and RepatriationComfort MLC S</v>
      </c>
      <c r="H93" s="1240" t="str">
        <f t="shared" si="53"/>
        <v>N/A</v>
      </c>
      <c r="I93" s="1240" t="str">
        <f t="shared" si="54"/>
        <v>N/A</v>
      </c>
      <c r="J93" s="1240" t="str">
        <f t="shared" si="55"/>
        <v>N/A</v>
      </c>
      <c r="K93" s="1240" t="str">
        <f t="shared" si="56"/>
        <v>N/A</v>
      </c>
      <c r="L93" s="392" t="s">
        <v>4</v>
      </c>
      <c r="M93" s="392" t="s">
        <v>2118</v>
      </c>
      <c r="N93" s="392" t="s">
        <v>87</v>
      </c>
      <c r="O93" s="376">
        <v>2016</v>
      </c>
      <c r="P93" s="376" t="s">
        <v>26</v>
      </c>
      <c r="Q93" s="376" t="s">
        <v>1</v>
      </c>
      <c r="R93" s="378">
        <v>15.2</v>
      </c>
      <c r="S93" s="392" t="s">
        <v>2213</v>
      </c>
      <c r="T93" s="392"/>
      <c r="U93" s="392"/>
      <c r="V93" s="382">
        <v>365</v>
      </c>
      <c r="W93" s="1228">
        <f t="shared" si="57"/>
        <v>695.96153846153834</v>
      </c>
      <c r="X93" s="197" t="s">
        <v>3</v>
      </c>
      <c r="Y93" s="1188">
        <f t="shared" si="58"/>
        <v>426.77884615384608</v>
      </c>
      <c r="Z93" s="377">
        <v>0.25</v>
      </c>
      <c r="AA93" s="1189">
        <f t="shared" si="59"/>
        <v>569.03846153846143</v>
      </c>
      <c r="AB93" s="377">
        <v>0</v>
      </c>
      <c r="AC93" s="378">
        <v>0</v>
      </c>
      <c r="AD93" s="1100">
        <f t="shared" si="65"/>
        <v>569.03846153846143</v>
      </c>
      <c r="AE93" s="377">
        <v>0.04</v>
      </c>
      <c r="AF93" s="370">
        <f t="shared" si="66"/>
        <v>22.761538461538457</v>
      </c>
      <c r="AG93" s="1216">
        <v>591.79999999999995</v>
      </c>
      <c r="AH93" s="1215" t="s">
        <v>5</v>
      </c>
      <c r="AI93" s="1177">
        <f t="shared" si="71"/>
        <v>95.192307692307693</v>
      </c>
      <c r="AJ93" s="1175">
        <v>0.25</v>
      </c>
      <c r="AK93" s="1179">
        <f t="shared" si="61"/>
        <v>126.92307692307692</v>
      </c>
      <c r="AL93" s="1175">
        <v>0</v>
      </c>
      <c r="AM93" s="1174">
        <v>0</v>
      </c>
      <c r="AN93" s="1178"/>
      <c r="AO93" s="1175">
        <v>0.04</v>
      </c>
      <c r="AP93" s="1175"/>
      <c r="AQ93" s="1204">
        <v>132</v>
      </c>
      <c r="AR93" s="1202" t="s">
        <v>2224</v>
      </c>
      <c r="AS93" s="1177" t="str">
        <f t="shared" si="67"/>
        <v/>
      </c>
      <c r="AT93" s="1151"/>
      <c r="AU93" s="1179">
        <f t="shared" si="68"/>
        <v>0</v>
      </c>
      <c r="AV93" s="1109"/>
      <c r="AW93" s="1109"/>
      <c r="AX93" s="1109"/>
      <c r="AY93" s="1109"/>
      <c r="AZ93" s="1109"/>
      <c r="BA93" s="380"/>
      <c r="BB93" s="1202" t="s">
        <v>2224</v>
      </c>
      <c r="BC93" s="1177" t="str">
        <f t="shared" si="69"/>
        <v/>
      </c>
      <c r="BD93" s="1151"/>
      <c r="BE93" s="1179">
        <f t="shared" si="70"/>
        <v>0</v>
      </c>
      <c r="BF93" s="1109"/>
      <c r="BG93" s="1109"/>
      <c r="BH93" s="1109"/>
      <c r="BI93" s="1109"/>
      <c r="BJ93" s="1109"/>
      <c r="BK93" s="380"/>
      <c r="BL93" s="1202" t="s">
        <v>2224</v>
      </c>
      <c r="BM93" s="1151"/>
      <c r="BN93" s="1151"/>
      <c r="BO93" s="1151"/>
      <c r="BP93" s="1151"/>
      <c r="BQ93" s="1151"/>
      <c r="BR93" s="1151"/>
      <c r="BS93" s="1151"/>
      <c r="BT93" s="1151"/>
      <c r="BU93" s="183"/>
      <c r="BV93" s="1202" t="s">
        <v>2224</v>
      </c>
      <c r="BW93" s="1151"/>
      <c r="BX93" s="1151"/>
      <c r="BY93" s="1151"/>
      <c r="BZ93" s="1151"/>
      <c r="CA93" s="1151"/>
      <c r="CB93" s="1151"/>
      <c r="CC93" s="1151"/>
      <c r="CD93" s="1151"/>
      <c r="CE93" s="183"/>
    </row>
    <row r="94" spans="1:83">
      <c r="A94" s="291" t="b">
        <v>0</v>
      </c>
      <c r="B94" s="291" t="s">
        <v>2244</v>
      </c>
      <c r="C94" s="291" t="b">
        <f t="shared" si="72"/>
        <v>1</v>
      </c>
      <c r="D94" s="388" t="str">
        <f>IF(C94=FALSE=NAMES!$B$8,"",IF(L94="N/A","N/A",O94&amp;N94&amp;L94&amp;"-"&amp;M94))</f>
        <v/>
      </c>
      <c r="E94" s="392" t="str">
        <f t="shared" si="50"/>
        <v>2016USDAIG Luxembourg-Comfort S</v>
      </c>
      <c r="F94" s="1236" t="str">
        <f t="shared" si="51"/>
        <v>2016USDAIG Luxembourg-Healthcare PlanComfort S</v>
      </c>
      <c r="G94" s="1240" t="str">
        <f t="shared" si="52"/>
        <v>2016USDAIG Luxembourg-Assistance and RepatriationComfort S</v>
      </c>
      <c r="H94" s="1240" t="str">
        <f t="shared" si="53"/>
        <v>N/A</v>
      </c>
      <c r="I94" s="1240" t="str">
        <f t="shared" si="54"/>
        <v>N/A</v>
      </c>
      <c r="J94" s="1240" t="str">
        <f t="shared" si="55"/>
        <v>N/A</v>
      </c>
      <c r="K94" s="1240" t="str">
        <f t="shared" si="56"/>
        <v>N/A</v>
      </c>
      <c r="L94" s="392" t="s">
        <v>4</v>
      </c>
      <c r="M94" s="392" t="s">
        <v>2117</v>
      </c>
      <c r="N94" s="392" t="s">
        <v>87</v>
      </c>
      <c r="O94" s="376">
        <v>2016</v>
      </c>
      <c r="P94" s="376" t="s">
        <v>26</v>
      </c>
      <c r="Q94" s="376" t="s">
        <v>1</v>
      </c>
      <c r="R94" s="378">
        <v>15.2</v>
      </c>
      <c r="S94" s="392" t="s">
        <v>2213</v>
      </c>
      <c r="T94" s="392"/>
      <c r="U94" s="392"/>
      <c r="V94" s="382">
        <v>365</v>
      </c>
      <c r="W94" s="1228">
        <f t="shared" si="57"/>
        <v>569.03846153846143</v>
      </c>
      <c r="X94" s="197" t="s">
        <v>3</v>
      </c>
      <c r="Y94" s="1188">
        <f t="shared" si="58"/>
        <v>426.77884615384608</v>
      </c>
      <c r="Z94" s="377">
        <v>0.25</v>
      </c>
      <c r="AA94" s="1189">
        <f t="shared" si="59"/>
        <v>569.03846153846143</v>
      </c>
      <c r="AB94" s="377">
        <v>0</v>
      </c>
      <c r="AC94" s="378">
        <v>0</v>
      </c>
      <c r="AD94" s="1100">
        <f t="shared" si="65"/>
        <v>569.03846153846143</v>
      </c>
      <c r="AE94" s="377">
        <v>0.04</v>
      </c>
      <c r="AF94" s="370">
        <f t="shared" si="66"/>
        <v>22.761538461538457</v>
      </c>
      <c r="AG94" s="1216">
        <v>591.79999999999995</v>
      </c>
      <c r="AH94" s="1215" t="s">
        <v>5</v>
      </c>
      <c r="AI94" s="1177">
        <f t="shared" si="71"/>
        <v>0</v>
      </c>
      <c r="AJ94" s="378"/>
      <c r="AK94" s="1179">
        <f t="shared" si="61"/>
        <v>0</v>
      </c>
      <c r="AL94" s="378"/>
      <c r="AM94" s="378"/>
      <c r="AN94" s="378"/>
      <c r="AO94" s="378"/>
      <c r="AP94" s="378"/>
      <c r="AQ94" s="1216"/>
      <c r="AR94" s="1202" t="s">
        <v>2224</v>
      </c>
      <c r="AS94" s="1177" t="str">
        <f t="shared" si="67"/>
        <v/>
      </c>
      <c r="AT94" s="1151"/>
      <c r="AU94" s="1179">
        <f t="shared" si="68"/>
        <v>0</v>
      </c>
      <c r="AV94" s="1109"/>
      <c r="AW94" s="1109"/>
      <c r="AX94" s="1109"/>
      <c r="AY94" s="1109"/>
      <c r="AZ94" s="1109"/>
      <c r="BA94" s="380"/>
      <c r="BB94" s="1202" t="s">
        <v>2224</v>
      </c>
      <c r="BC94" s="1177" t="str">
        <f t="shared" si="69"/>
        <v/>
      </c>
      <c r="BD94" s="1151"/>
      <c r="BE94" s="1179">
        <f t="shared" si="70"/>
        <v>0</v>
      </c>
      <c r="BF94" s="1109"/>
      <c r="BG94" s="1109"/>
      <c r="BH94" s="1109"/>
      <c r="BI94" s="1109"/>
      <c r="BJ94" s="1109"/>
      <c r="BK94" s="380"/>
      <c r="BL94" s="1202" t="s">
        <v>2224</v>
      </c>
      <c r="BM94" s="1151"/>
      <c r="BN94" s="1151"/>
      <c r="BO94" s="1151"/>
      <c r="BP94" s="1151"/>
      <c r="BQ94" s="1151"/>
      <c r="BR94" s="1151"/>
      <c r="BS94" s="1151"/>
      <c r="BT94" s="1151"/>
      <c r="BU94" s="183"/>
      <c r="BV94" s="1202" t="s">
        <v>2224</v>
      </c>
      <c r="BW94" s="1151"/>
      <c r="BX94" s="1151"/>
      <c r="BY94" s="1151"/>
      <c r="BZ94" s="1151"/>
      <c r="CA94" s="1151"/>
      <c r="CB94" s="1151"/>
      <c r="CC94" s="1151"/>
      <c r="CD94" s="1151"/>
      <c r="CE94" s="183"/>
    </row>
    <row r="95" spans="1:83">
      <c r="A95" s="291" t="b">
        <v>0</v>
      </c>
      <c r="B95" s="291" t="s">
        <v>2244</v>
      </c>
      <c r="C95" s="291" t="b">
        <f t="shared" si="72"/>
        <v>1</v>
      </c>
      <c r="D95" s="388" t="str">
        <f>IF(C95=FALSE=NAMES!$B$8,"",IF(L95="N/A","N/A",O95&amp;N95&amp;L95&amp;"-"&amp;M95))</f>
        <v/>
      </c>
      <c r="E95" s="392" t="str">
        <f t="shared" si="50"/>
        <v>2016USDAIG Luxembourg-COMFORTMLC</v>
      </c>
      <c r="F95" s="1236" t="str">
        <f t="shared" si="51"/>
        <v>2016USDAIG Luxembourg-Healthcare PlanCOMFORTMLC</v>
      </c>
      <c r="G95" s="1240" t="str">
        <f t="shared" si="52"/>
        <v>2016USDAIG Luxembourg-Assistance and RepatriationCOMFORTMLC</v>
      </c>
      <c r="H95" s="1240" t="str">
        <f t="shared" si="53"/>
        <v>N/A</v>
      </c>
      <c r="I95" s="1240" t="str">
        <f t="shared" si="54"/>
        <v>N/A</v>
      </c>
      <c r="J95" s="1240" t="str">
        <f t="shared" si="55"/>
        <v>N/A</v>
      </c>
      <c r="K95" s="1240" t="str">
        <f t="shared" si="56"/>
        <v>N/A</v>
      </c>
      <c r="L95" s="392" t="s">
        <v>4</v>
      </c>
      <c r="M95" s="392" t="s">
        <v>2256</v>
      </c>
      <c r="N95" s="392" t="s">
        <v>87</v>
      </c>
      <c r="O95" s="376">
        <v>2016</v>
      </c>
      <c r="P95" s="376" t="s">
        <v>26</v>
      </c>
      <c r="Q95" s="376" t="s">
        <v>1</v>
      </c>
      <c r="R95" s="378">
        <v>63.2</v>
      </c>
      <c r="S95" s="392" t="s">
        <v>2213</v>
      </c>
      <c r="T95" s="392"/>
      <c r="U95" s="392"/>
      <c r="V95" s="584">
        <v>365</v>
      </c>
      <c r="W95" s="1228">
        <f t="shared" si="57"/>
        <v>695.96153846153834</v>
      </c>
      <c r="X95" s="197" t="s">
        <v>3</v>
      </c>
      <c r="Y95" s="1188">
        <f t="shared" si="58"/>
        <v>426.77884615384608</v>
      </c>
      <c r="Z95" s="377">
        <v>0.25</v>
      </c>
      <c r="AA95" s="1189">
        <f t="shared" si="59"/>
        <v>569.03846153846143</v>
      </c>
      <c r="AB95" s="377">
        <v>0</v>
      </c>
      <c r="AC95" s="378">
        <v>0</v>
      </c>
      <c r="AD95" s="1100">
        <f t="shared" si="65"/>
        <v>569.03846153846143</v>
      </c>
      <c r="AE95" s="377">
        <v>0.04</v>
      </c>
      <c r="AF95" s="370">
        <f t="shared" si="66"/>
        <v>22.761538461538457</v>
      </c>
      <c r="AG95" s="1216">
        <v>591.79999999999995</v>
      </c>
      <c r="AH95" s="1215" t="s">
        <v>5</v>
      </c>
      <c r="AI95" s="1177">
        <f t="shared" si="71"/>
        <v>95.192307692307693</v>
      </c>
      <c r="AJ95" s="1175">
        <v>0.25</v>
      </c>
      <c r="AK95" s="1179">
        <f t="shared" si="61"/>
        <v>126.92307692307692</v>
      </c>
      <c r="AL95" s="1175">
        <v>0</v>
      </c>
      <c r="AM95" s="1174">
        <v>0</v>
      </c>
      <c r="AN95" s="1178"/>
      <c r="AO95" s="1175">
        <v>0.04</v>
      </c>
      <c r="AP95" s="1175"/>
      <c r="AQ95" s="1204">
        <v>132</v>
      </c>
      <c r="AR95" s="1202" t="s">
        <v>2224</v>
      </c>
      <c r="AS95" s="1177" t="str">
        <f t="shared" si="67"/>
        <v/>
      </c>
      <c r="AT95" s="1151"/>
      <c r="AU95" s="1179">
        <f t="shared" si="68"/>
        <v>0</v>
      </c>
      <c r="AV95" s="1109"/>
      <c r="AW95" s="1109"/>
      <c r="AX95" s="1109"/>
      <c r="AY95" s="1109"/>
      <c r="AZ95" s="1109"/>
      <c r="BA95" s="380"/>
      <c r="BB95" s="1202" t="s">
        <v>2224</v>
      </c>
      <c r="BC95" s="1177" t="str">
        <f t="shared" si="69"/>
        <v/>
      </c>
      <c r="BD95" s="1151"/>
      <c r="BE95" s="1179">
        <f t="shared" si="70"/>
        <v>0</v>
      </c>
      <c r="BF95" s="1109"/>
      <c r="BG95" s="1109"/>
      <c r="BH95" s="1109"/>
      <c r="BI95" s="1109"/>
      <c r="BJ95" s="1109"/>
      <c r="BK95" s="380"/>
      <c r="BL95" s="1202" t="s">
        <v>2224</v>
      </c>
      <c r="BM95" s="1151"/>
      <c r="BN95" s="1151"/>
      <c r="BO95" s="1151"/>
      <c r="BP95" s="1151"/>
      <c r="BQ95" s="1151"/>
      <c r="BR95" s="1151"/>
      <c r="BS95" s="1151"/>
      <c r="BT95" s="1151"/>
      <c r="BU95" s="183"/>
      <c r="BV95" s="1202" t="s">
        <v>2224</v>
      </c>
      <c r="BW95" s="1151"/>
      <c r="BX95" s="1151"/>
      <c r="BY95" s="1151"/>
      <c r="BZ95" s="1151"/>
      <c r="CA95" s="1151"/>
      <c r="CB95" s="1151"/>
      <c r="CC95" s="1151"/>
      <c r="CD95" s="1151"/>
      <c r="CE95" s="183"/>
    </row>
    <row r="96" spans="1:83" s="486" customFormat="1">
      <c r="A96" s="291" t="b">
        <v>0</v>
      </c>
      <c r="B96" s="291" t="s">
        <v>2244</v>
      </c>
      <c r="C96" s="291" t="b">
        <f t="shared" si="72"/>
        <v>1</v>
      </c>
      <c r="D96" s="388" t="str">
        <f>IF(C96=FALSE=NAMES!$B$8,"",IF(L96="N/A","N/A",O96&amp;N96&amp;L96&amp;"-"&amp;M96))</f>
        <v/>
      </c>
      <c r="E96" s="392" t="str">
        <f t="shared" si="50"/>
        <v>2016USDAIG Luxembourg-Perfect</v>
      </c>
      <c r="F96" s="1236" t="str">
        <f t="shared" si="51"/>
        <v>2016USDAIG Luxembourg-Healthcare PlanPerfect</v>
      </c>
      <c r="G96" s="1240" t="str">
        <f t="shared" si="52"/>
        <v>2016USDAIG Luxembourg-Assistance and RepatriationPerfect</v>
      </c>
      <c r="H96" s="1240" t="str">
        <f t="shared" si="53"/>
        <v>N/A</v>
      </c>
      <c r="I96" s="1240" t="str">
        <f t="shared" si="54"/>
        <v>N/A</v>
      </c>
      <c r="J96" s="1240" t="str">
        <f t="shared" si="55"/>
        <v>N/A</v>
      </c>
      <c r="K96" s="1240" t="str">
        <f t="shared" si="56"/>
        <v>N/A</v>
      </c>
      <c r="L96" s="392" t="s">
        <v>4</v>
      </c>
      <c r="M96" s="392" t="s">
        <v>2580</v>
      </c>
      <c r="N96" s="392" t="s">
        <v>87</v>
      </c>
      <c r="O96" s="376">
        <v>2016</v>
      </c>
      <c r="P96" s="376" t="s">
        <v>26</v>
      </c>
      <c r="Q96" s="376" t="s">
        <v>1</v>
      </c>
      <c r="R96" s="378">
        <v>36.200000000000003</v>
      </c>
      <c r="S96" s="392" t="s">
        <v>2213</v>
      </c>
      <c r="T96" s="392"/>
      <c r="U96" s="392"/>
      <c r="V96" s="584">
        <v>365</v>
      </c>
      <c r="W96" s="1228">
        <f t="shared" si="57"/>
        <v>1355.7692307692307</v>
      </c>
      <c r="X96" s="197" t="s">
        <v>3</v>
      </c>
      <c r="Y96" s="1188">
        <f t="shared" si="58"/>
        <v>874.03846153846143</v>
      </c>
      <c r="Z96" s="377">
        <v>0.25</v>
      </c>
      <c r="AA96" s="1189">
        <f t="shared" si="59"/>
        <v>1165.3846153846152</v>
      </c>
      <c r="AB96" s="377">
        <v>0</v>
      </c>
      <c r="AC96" s="378">
        <v>0</v>
      </c>
      <c r="AD96" s="1100">
        <f t="shared" si="65"/>
        <v>1165.3846153846152</v>
      </c>
      <c r="AE96" s="377">
        <v>0.04</v>
      </c>
      <c r="AF96" s="370">
        <f t="shared" si="66"/>
        <v>46.615384615384613</v>
      </c>
      <c r="AG96" s="1216">
        <v>1212</v>
      </c>
      <c r="AH96" s="1215" t="s">
        <v>5</v>
      </c>
      <c r="AI96" s="1177">
        <f>IF(AH96="N/A","",AK96*(1-AJ96))</f>
        <v>142.78846153846155</v>
      </c>
      <c r="AJ96" s="1175">
        <v>0.25</v>
      </c>
      <c r="AK96" s="1179">
        <f t="shared" si="61"/>
        <v>190.38461538461539</v>
      </c>
      <c r="AL96" s="1175">
        <v>0</v>
      </c>
      <c r="AM96" s="1174">
        <v>0</v>
      </c>
      <c r="AN96" s="1178"/>
      <c r="AO96" s="1175">
        <v>0.04</v>
      </c>
      <c r="AP96" s="1175"/>
      <c r="AQ96" s="1204">
        <v>198</v>
      </c>
      <c r="AR96" s="1202" t="s">
        <v>2224</v>
      </c>
      <c r="AS96" s="1177" t="str">
        <f t="shared" si="67"/>
        <v/>
      </c>
      <c r="AT96" s="1151"/>
      <c r="AU96" s="1179">
        <f t="shared" si="68"/>
        <v>0</v>
      </c>
      <c r="AV96" s="1109"/>
      <c r="AW96" s="1109"/>
      <c r="AX96" s="1109"/>
      <c r="AY96" s="1109"/>
      <c r="AZ96" s="1109"/>
      <c r="BA96" s="380"/>
      <c r="BB96" s="1202" t="s">
        <v>2224</v>
      </c>
      <c r="BC96" s="1177" t="str">
        <f t="shared" si="69"/>
        <v/>
      </c>
      <c r="BD96" s="1151"/>
      <c r="BE96" s="1179">
        <f t="shared" si="70"/>
        <v>0</v>
      </c>
      <c r="BF96" s="1109"/>
      <c r="BG96" s="1109"/>
      <c r="BH96" s="1109"/>
      <c r="BI96" s="1109"/>
      <c r="BJ96" s="1109"/>
      <c r="BK96" s="380"/>
      <c r="BL96" s="1202" t="s">
        <v>2224</v>
      </c>
      <c r="BM96" s="1151"/>
      <c r="BN96" s="1151"/>
      <c r="BO96" s="1151"/>
      <c r="BP96" s="1151"/>
      <c r="BQ96" s="1151"/>
      <c r="BR96" s="1151"/>
      <c r="BS96" s="1151"/>
      <c r="BT96" s="1151"/>
      <c r="BU96" s="183"/>
      <c r="BV96" s="1202" t="s">
        <v>2224</v>
      </c>
      <c r="BW96" s="480"/>
      <c r="BX96" s="480"/>
      <c r="BY96" s="480"/>
      <c r="BZ96" s="480"/>
      <c r="CA96" s="480"/>
      <c r="CB96" s="480"/>
      <c r="CC96" s="480"/>
      <c r="CD96" s="480"/>
      <c r="CE96" s="487"/>
    </row>
    <row r="97" spans="1:83">
      <c r="A97" s="291" t="b">
        <v>0</v>
      </c>
      <c r="B97" s="291" t="s">
        <v>2244</v>
      </c>
      <c r="C97" s="291" t="b">
        <f t="shared" si="72"/>
        <v>1</v>
      </c>
      <c r="D97" s="388" t="str">
        <f>IF(C97=FALSE=NAMES!$B$8,"",IF(L97="N/A","N/A",O97&amp;N97&amp;L97&amp;"-"&amp;M97))</f>
        <v/>
      </c>
      <c r="E97" s="392" t="str">
        <f t="shared" si="50"/>
        <v>2016USDAIG Luxembourg-Perfect Plus</v>
      </c>
      <c r="F97" s="1236" t="str">
        <f t="shared" si="51"/>
        <v>2016USDAIG Luxembourg-Healthcare PlanPerfect Plus</v>
      </c>
      <c r="G97" s="1240" t="str">
        <f t="shared" si="52"/>
        <v>2016USDAIG Luxembourg-Assistance and RepatriationPerfect Plus</v>
      </c>
      <c r="H97" s="1240" t="str">
        <f t="shared" si="53"/>
        <v>N/A</v>
      </c>
      <c r="I97" s="1240" t="str">
        <f t="shared" si="54"/>
        <v>N/A</v>
      </c>
      <c r="J97" s="1240" t="str">
        <f t="shared" si="55"/>
        <v>N/A</v>
      </c>
      <c r="K97" s="1240" t="str">
        <f t="shared" si="56"/>
        <v>N/A</v>
      </c>
      <c r="L97" s="392" t="s">
        <v>4</v>
      </c>
      <c r="M97" s="392" t="s">
        <v>2584</v>
      </c>
      <c r="N97" s="392" t="s">
        <v>87</v>
      </c>
      <c r="O97" s="376">
        <v>2016</v>
      </c>
      <c r="P97" s="376" t="s">
        <v>26</v>
      </c>
      <c r="Q97" s="376" t="s">
        <v>1</v>
      </c>
      <c r="R97" s="378">
        <v>36.200000000000003</v>
      </c>
      <c r="S97" s="392" t="s">
        <v>2213</v>
      </c>
      <c r="T97" s="392"/>
      <c r="U97" s="392"/>
      <c r="V97" s="382">
        <v>365</v>
      </c>
      <c r="W97" s="1228">
        <f t="shared" si="57"/>
        <v>1493.2692307692305</v>
      </c>
      <c r="X97" s="197" t="s">
        <v>3</v>
      </c>
      <c r="Y97" s="1188">
        <f t="shared" si="58"/>
        <v>874.03846153846143</v>
      </c>
      <c r="Z97" s="377">
        <v>0.25</v>
      </c>
      <c r="AA97" s="1189">
        <f t="shared" si="59"/>
        <v>1165.3846153846152</v>
      </c>
      <c r="AB97" s="377">
        <v>0</v>
      </c>
      <c r="AC97" s="378">
        <v>0</v>
      </c>
      <c r="AD97" s="1100">
        <f t="shared" si="65"/>
        <v>1165.3846153846152</v>
      </c>
      <c r="AE97" s="377">
        <v>0.04</v>
      </c>
      <c r="AF97" s="370">
        <f t="shared" si="66"/>
        <v>46.615384615384613</v>
      </c>
      <c r="AG97" s="1216">
        <v>1212</v>
      </c>
      <c r="AH97" s="1215" t="s">
        <v>5</v>
      </c>
      <c r="AI97" s="1177">
        <f>IF(AH97="N/A","",AK97*(1-AJ97))</f>
        <v>245.91346153846152</v>
      </c>
      <c r="AJ97" s="1175">
        <v>0.25</v>
      </c>
      <c r="AK97" s="1179">
        <f t="shared" si="61"/>
        <v>327.88461538461536</v>
      </c>
      <c r="AL97" s="1175">
        <v>0</v>
      </c>
      <c r="AM97" s="1174">
        <v>0</v>
      </c>
      <c r="AN97" s="1178"/>
      <c r="AO97" s="1175">
        <v>0.04</v>
      </c>
      <c r="AP97" s="1175"/>
      <c r="AQ97" s="1204">
        <v>341</v>
      </c>
      <c r="AR97" s="1202" t="s">
        <v>2224</v>
      </c>
      <c r="AS97" s="1177" t="str">
        <f t="shared" si="67"/>
        <v/>
      </c>
      <c r="AT97" s="1151"/>
      <c r="AU97" s="1179">
        <f t="shared" si="68"/>
        <v>0</v>
      </c>
      <c r="AV97" s="1109"/>
      <c r="AW97" s="1109"/>
      <c r="AX97" s="1109"/>
      <c r="AY97" s="1109"/>
      <c r="AZ97" s="1109"/>
      <c r="BA97" s="380"/>
      <c r="BB97" s="1202" t="s">
        <v>2224</v>
      </c>
      <c r="BC97" s="1177" t="str">
        <f t="shared" si="69"/>
        <v/>
      </c>
      <c r="BD97" s="1151"/>
      <c r="BE97" s="1179">
        <f t="shared" si="70"/>
        <v>0</v>
      </c>
      <c r="BF97" s="1109"/>
      <c r="BG97" s="1109"/>
      <c r="BH97" s="1109"/>
      <c r="BI97" s="1109"/>
      <c r="BJ97" s="1109"/>
      <c r="BK97" s="380"/>
      <c r="BL97" s="1202" t="s">
        <v>2224</v>
      </c>
      <c r="BM97" s="1151"/>
      <c r="BN97" s="1151"/>
      <c r="BO97" s="1151"/>
      <c r="BP97" s="1151"/>
      <c r="BQ97" s="1151"/>
      <c r="BR97" s="1151"/>
      <c r="BS97" s="1151"/>
      <c r="BT97" s="1151"/>
      <c r="BU97" s="183"/>
      <c r="BV97" s="1202" t="s">
        <v>2224</v>
      </c>
      <c r="BW97" s="1151"/>
      <c r="BX97" s="1151"/>
      <c r="BY97" s="1151"/>
      <c r="BZ97" s="1151"/>
      <c r="CA97" s="1151"/>
      <c r="CB97" s="1151"/>
      <c r="CC97" s="1151"/>
      <c r="CD97" s="1151"/>
      <c r="CE97" s="183"/>
    </row>
    <row r="98" spans="1:83">
      <c r="A98" s="291" t="b">
        <v>0</v>
      </c>
      <c r="B98" s="291" t="s">
        <v>2244</v>
      </c>
      <c r="C98" s="291" t="b">
        <f t="shared" si="72"/>
        <v>1</v>
      </c>
      <c r="D98" s="388" t="str">
        <f>IF(C98=FALSE=NAMES!$B$8,"",IF(L98="N/A","N/A",O98&amp;N98&amp;L98&amp;"-"&amp;M98))</f>
        <v/>
      </c>
      <c r="E98" s="392" t="str">
        <f t="shared" si="50"/>
        <v>2016USDAIG Luxembourg-Perfect S</v>
      </c>
      <c r="F98" s="1236" t="str">
        <f t="shared" si="51"/>
        <v>2016USDAIG Luxembourg-Healthcare PlanPerfect S</v>
      </c>
      <c r="G98" s="1240" t="str">
        <f t="shared" si="52"/>
        <v>2016USDAIG Luxembourg-Assistance and RepatriationPerfect S</v>
      </c>
      <c r="H98" s="1240" t="str">
        <f t="shared" si="53"/>
        <v>N/A</v>
      </c>
      <c r="I98" s="1240" t="str">
        <f t="shared" si="54"/>
        <v>N/A</v>
      </c>
      <c r="J98" s="1240" t="str">
        <f t="shared" si="55"/>
        <v>N/A</v>
      </c>
      <c r="K98" s="1240" t="str">
        <f t="shared" si="56"/>
        <v>N/A</v>
      </c>
      <c r="L98" s="392" t="s">
        <v>4</v>
      </c>
      <c r="M98" s="392" t="s">
        <v>2583</v>
      </c>
      <c r="N98" s="392" t="s">
        <v>87</v>
      </c>
      <c r="O98" s="376">
        <v>2016</v>
      </c>
      <c r="P98" s="376" t="s">
        <v>26</v>
      </c>
      <c r="Q98" s="376" t="s">
        <v>1</v>
      </c>
      <c r="R98" s="378">
        <v>13.2</v>
      </c>
      <c r="S98" s="392" t="s">
        <v>2213</v>
      </c>
      <c r="T98" s="392"/>
      <c r="U98" s="392"/>
      <c r="V98" s="1109">
        <v>365</v>
      </c>
      <c r="W98" s="1228">
        <f t="shared" si="57"/>
        <v>1355.7692307692307</v>
      </c>
      <c r="X98" s="197" t="s">
        <v>3</v>
      </c>
      <c r="Y98" s="1188">
        <f t="shared" si="58"/>
        <v>874.03846153846143</v>
      </c>
      <c r="Z98" s="377">
        <v>0.25</v>
      </c>
      <c r="AA98" s="1189">
        <f t="shared" si="59"/>
        <v>1165.3846153846152</v>
      </c>
      <c r="AB98" s="377">
        <v>0</v>
      </c>
      <c r="AC98" s="378">
        <v>0</v>
      </c>
      <c r="AD98" s="1100">
        <f t="shared" si="65"/>
        <v>1165.3846153846152</v>
      </c>
      <c r="AE98" s="377">
        <v>0.04</v>
      </c>
      <c r="AF98" s="370">
        <f t="shared" si="66"/>
        <v>46.615384615384613</v>
      </c>
      <c r="AG98" s="1216">
        <v>1212</v>
      </c>
      <c r="AH98" s="1215" t="s">
        <v>5</v>
      </c>
      <c r="AI98" s="1177">
        <f>IF(AH98="N/A","",AK98*(1-AJ98))</f>
        <v>142.78846153846155</v>
      </c>
      <c r="AJ98" s="1175">
        <v>0.25</v>
      </c>
      <c r="AK98" s="1179">
        <f t="shared" si="61"/>
        <v>190.38461538461539</v>
      </c>
      <c r="AL98" s="1175">
        <v>0</v>
      </c>
      <c r="AM98" s="1174">
        <v>0</v>
      </c>
      <c r="AN98" s="1178"/>
      <c r="AO98" s="1175">
        <v>0.04</v>
      </c>
      <c r="AP98" s="1175"/>
      <c r="AQ98" s="1204">
        <v>198</v>
      </c>
      <c r="AR98" s="1202" t="s">
        <v>2224</v>
      </c>
      <c r="AS98" s="1177" t="str">
        <f t="shared" si="67"/>
        <v/>
      </c>
      <c r="AT98" s="1151"/>
      <c r="AU98" s="1179">
        <f t="shared" si="68"/>
        <v>0</v>
      </c>
      <c r="AV98" s="1109"/>
      <c r="AW98" s="1109"/>
      <c r="AX98" s="1109"/>
      <c r="AY98" s="1109"/>
      <c r="AZ98" s="1109"/>
      <c r="BA98" s="380"/>
      <c r="BB98" s="1202" t="s">
        <v>2224</v>
      </c>
      <c r="BC98" s="1177" t="str">
        <f t="shared" si="69"/>
        <v/>
      </c>
      <c r="BD98" s="1151"/>
      <c r="BE98" s="1179">
        <f t="shared" si="70"/>
        <v>0</v>
      </c>
      <c r="BF98" s="1109"/>
      <c r="BG98" s="1109"/>
      <c r="BH98" s="1109"/>
      <c r="BI98" s="1109"/>
      <c r="BJ98" s="1109"/>
      <c r="BK98" s="380"/>
      <c r="BL98" s="1202" t="s">
        <v>2224</v>
      </c>
      <c r="BM98" s="1151"/>
      <c r="BN98" s="1151"/>
      <c r="BO98" s="1151"/>
      <c r="BP98" s="1151"/>
      <c r="BQ98" s="1151"/>
      <c r="BR98" s="1151"/>
      <c r="BS98" s="1151"/>
      <c r="BT98" s="1151"/>
      <c r="BU98" s="183"/>
      <c r="BV98" s="1202" t="s">
        <v>2224</v>
      </c>
      <c r="BW98" s="1151"/>
      <c r="BX98" s="1151"/>
      <c r="BY98" s="1151"/>
      <c r="BZ98" s="1151"/>
      <c r="CA98" s="1151"/>
      <c r="CB98" s="1151"/>
      <c r="CC98" s="1151"/>
      <c r="CD98" s="1151"/>
      <c r="CE98" s="183"/>
    </row>
    <row r="99" spans="1:83">
      <c r="A99" s="291" t="b">
        <v>0</v>
      </c>
      <c r="B99" s="291" t="s">
        <v>2244</v>
      </c>
      <c r="C99" s="291" t="b">
        <f t="shared" si="72"/>
        <v>1</v>
      </c>
      <c r="D99" s="388" t="str">
        <f>IF(C99=FALSE=NAMES!$B$8,"",IF(L99="N/A","N/A",O99&amp;N99&amp;L99&amp;"-"&amp;M99))</f>
        <v/>
      </c>
      <c r="E99" s="392" t="str">
        <f t="shared" si="50"/>
        <v>2016USDAIG Luxembourg-PRESTIGE</v>
      </c>
      <c r="F99" s="1236" t="str">
        <f t="shared" si="51"/>
        <v>2016USDAIG Luxembourg-Healthcare PlanPRESTIGE</v>
      </c>
      <c r="G99" s="1240" t="str">
        <f t="shared" si="52"/>
        <v>2016USDAIG Luxembourg-Assistance and RepatriationPRESTIGE</v>
      </c>
      <c r="H99" s="1240" t="str">
        <f t="shared" si="53"/>
        <v>N/A</v>
      </c>
      <c r="I99" s="1240" t="str">
        <f t="shared" si="54"/>
        <v>N/A</v>
      </c>
      <c r="J99" s="1240" t="str">
        <f t="shared" si="55"/>
        <v>N/A</v>
      </c>
      <c r="K99" s="1240" t="str">
        <f t="shared" si="56"/>
        <v>N/A</v>
      </c>
      <c r="L99" s="392" t="s">
        <v>4</v>
      </c>
      <c r="M99" s="392" t="s">
        <v>86</v>
      </c>
      <c r="N99" s="392" t="s">
        <v>87</v>
      </c>
      <c r="O99" s="376">
        <v>2016</v>
      </c>
      <c r="P99" s="376" t="s">
        <v>26</v>
      </c>
      <c r="Q99" s="376" t="s">
        <v>1</v>
      </c>
      <c r="R99" s="378">
        <v>36.200000000000003</v>
      </c>
      <c r="S99" s="392" t="s">
        <v>2213</v>
      </c>
      <c r="T99" s="392"/>
      <c r="U99" s="392"/>
      <c r="V99" s="382">
        <v>365</v>
      </c>
      <c r="W99" s="1228">
        <f t="shared" si="57"/>
        <v>1351.7307692307693</v>
      </c>
      <c r="X99" s="197" t="s">
        <v>3</v>
      </c>
      <c r="Y99" s="1188">
        <f t="shared" si="58"/>
        <v>871.00961538461536</v>
      </c>
      <c r="Z99" s="377">
        <v>0.25</v>
      </c>
      <c r="AA99" s="1189">
        <f t="shared" si="59"/>
        <v>1161.3461538461538</v>
      </c>
      <c r="AB99" s="377">
        <v>0</v>
      </c>
      <c r="AC99" s="378">
        <v>0</v>
      </c>
      <c r="AD99" s="1100">
        <f t="shared" si="65"/>
        <v>1161.3461538461538</v>
      </c>
      <c r="AE99" s="377">
        <v>0.04</v>
      </c>
      <c r="AF99" s="370">
        <f t="shared" si="66"/>
        <v>46.45384615384615</v>
      </c>
      <c r="AG99" s="1216">
        <v>1207.8</v>
      </c>
      <c r="AH99" s="1215" t="s">
        <v>5</v>
      </c>
      <c r="AI99" s="1177">
        <f t="shared" ref="AI99:AI100" si="73">IF(AH99="N/A","",AK99*(1-AJ99))</f>
        <v>142.78846153846155</v>
      </c>
      <c r="AJ99" s="1175">
        <v>0.25</v>
      </c>
      <c r="AK99" s="1179">
        <f t="shared" si="61"/>
        <v>190.38461538461539</v>
      </c>
      <c r="AL99" s="1175">
        <v>0</v>
      </c>
      <c r="AM99" s="1174">
        <v>0</v>
      </c>
      <c r="AN99" s="1178"/>
      <c r="AO99" s="1175">
        <v>0.04</v>
      </c>
      <c r="AP99" s="1175"/>
      <c r="AQ99" s="1204">
        <v>198</v>
      </c>
      <c r="AR99" s="1202" t="s">
        <v>2224</v>
      </c>
      <c r="AS99" s="1177" t="str">
        <f t="shared" si="67"/>
        <v/>
      </c>
      <c r="AT99" s="1151"/>
      <c r="AU99" s="1179">
        <f t="shared" si="68"/>
        <v>0</v>
      </c>
      <c r="AV99" s="1109"/>
      <c r="AW99" s="1109"/>
      <c r="AX99" s="1109"/>
      <c r="AY99" s="1109"/>
      <c r="AZ99" s="1109"/>
      <c r="BA99" s="380"/>
      <c r="BB99" s="1202" t="s">
        <v>2224</v>
      </c>
      <c r="BC99" s="1177" t="str">
        <f t="shared" si="69"/>
        <v/>
      </c>
      <c r="BD99" s="1151"/>
      <c r="BE99" s="1179">
        <f t="shared" si="70"/>
        <v>0</v>
      </c>
      <c r="BF99" s="1109"/>
      <c r="BG99" s="1109"/>
      <c r="BH99" s="1109"/>
      <c r="BI99" s="1109"/>
      <c r="BJ99" s="1109"/>
      <c r="BK99" s="380"/>
      <c r="BL99" s="1202" t="s">
        <v>2224</v>
      </c>
      <c r="BM99" s="1151"/>
      <c r="BN99" s="1151"/>
      <c r="BO99" s="1151"/>
      <c r="BP99" s="1151"/>
      <c r="BQ99" s="1151"/>
      <c r="BR99" s="1151"/>
      <c r="BS99" s="1151"/>
      <c r="BT99" s="1151"/>
      <c r="BU99" s="183"/>
      <c r="BV99" s="1202" t="s">
        <v>2224</v>
      </c>
      <c r="BW99" s="1151"/>
      <c r="BX99" s="1151"/>
      <c r="BY99" s="1151"/>
      <c r="BZ99" s="1151"/>
      <c r="CA99" s="1151"/>
      <c r="CB99" s="1151"/>
      <c r="CC99" s="1151"/>
      <c r="CD99" s="1151"/>
      <c r="CE99" s="183"/>
    </row>
    <row r="100" spans="1:83">
      <c r="A100" s="478" t="b">
        <v>1</v>
      </c>
      <c r="B100" s="291" t="s">
        <v>2244</v>
      </c>
      <c r="C100" s="478" t="b">
        <f t="shared" si="72"/>
        <v>1</v>
      </c>
      <c r="D100" s="388" t="str">
        <f>IF(C100=FALSE=NAMES!$B$8,"",IF(L100="N/A","N/A",O100&amp;N100&amp;L100&amp;"-"&amp;M100))</f>
        <v/>
      </c>
      <c r="E100" s="392" t="str">
        <f t="shared" si="50"/>
        <v>2016USDAIG Luxembourg-PRESTIGE-Family</v>
      </c>
      <c r="F100" s="1236" t="str">
        <f t="shared" si="51"/>
        <v>2016USDAIG Luxembourg-Healthcare PlanPRESTIGE-Family</v>
      </c>
      <c r="G100" s="1240" t="str">
        <f t="shared" si="52"/>
        <v>2016USDAIG Luxembourg-Assistance and RepatriationPRESTIGE-Family</v>
      </c>
      <c r="H100" s="1240" t="str">
        <f t="shared" si="53"/>
        <v>N/A</v>
      </c>
      <c r="I100" s="1240" t="str">
        <f t="shared" si="54"/>
        <v>N/A</v>
      </c>
      <c r="J100" s="1240" t="str">
        <f t="shared" si="55"/>
        <v>N/A</v>
      </c>
      <c r="K100" s="1240" t="str">
        <f t="shared" si="56"/>
        <v>N/A</v>
      </c>
      <c r="L100" s="392" t="s">
        <v>4</v>
      </c>
      <c r="M100" s="392" t="s">
        <v>2824</v>
      </c>
      <c r="N100" s="479" t="s">
        <v>87</v>
      </c>
      <c r="O100" s="485">
        <v>2016</v>
      </c>
      <c r="P100" s="485" t="s">
        <v>26</v>
      </c>
      <c r="Q100" s="376" t="s">
        <v>1</v>
      </c>
      <c r="R100" s="484">
        <v>35</v>
      </c>
      <c r="S100" s="392" t="s">
        <v>2214</v>
      </c>
      <c r="T100" s="479"/>
      <c r="U100" s="479"/>
      <c r="V100" s="480">
        <v>365</v>
      </c>
      <c r="W100" s="1228">
        <f t="shared" si="57"/>
        <v>1444.278846153846</v>
      </c>
      <c r="X100" s="197" t="s">
        <v>3</v>
      </c>
      <c r="Y100" s="1188">
        <f t="shared" si="58"/>
        <v>1083.2091346153845</v>
      </c>
      <c r="Z100" s="482">
        <v>0.25</v>
      </c>
      <c r="AA100" s="1189">
        <f t="shared" si="59"/>
        <v>1444.278846153846</v>
      </c>
      <c r="AB100" s="377">
        <v>0</v>
      </c>
      <c r="AC100" s="484">
        <v>0</v>
      </c>
      <c r="AD100" s="1100">
        <f t="shared" si="65"/>
        <v>1444.278846153846</v>
      </c>
      <c r="AE100" s="482">
        <v>0.04</v>
      </c>
      <c r="AF100" s="370">
        <f t="shared" si="66"/>
        <v>57.771153846153837</v>
      </c>
      <c r="AG100" s="1221">
        <v>1502.05</v>
      </c>
      <c r="AH100" s="1215" t="s">
        <v>5</v>
      </c>
      <c r="AI100" s="1177">
        <f t="shared" si="73"/>
        <v>0</v>
      </c>
      <c r="AJ100" s="371"/>
      <c r="AK100" s="1179">
        <f t="shared" si="61"/>
        <v>0</v>
      </c>
      <c r="AL100" s="371"/>
      <c r="AM100" s="371"/>
      <c r="AN100" s="371"/>
      <c r="AO100" s="371"/>
      <c r="AP100" s="371"/>
      <c r="AQ100" s="1216"/>
      <c r="AR100" s="1202" t="s">
        <v>2224</v>
      </c>
      <c r="AS100" s="1177" t="str">
        <f t="shared" si="67"/>
        <v/>
      </c>
      <c r="AT100" s="1151"/>
      <c r="AU100" s="1179">
        <f t="shared" si="68"/>
        <v>0</v>
      </c>
      <c r="AV100" s="1151"/>
      <c r="AW100" s="1151"/>
      <c r="AX100" s="1151"/>
      <c r="AY100" s="1151"/>
      <c r="AZ100" s="1151"/>
      <c r="BA100" s="183"/>
      <c r="BB100" s="1202" t="s">
        <v>2224</v>
      </c>
      <c r="BC100" s="1177" t="str">
        <f t="shared" si="69"/>
        <v/>
      </c>
      <c r="BD100" s="1151"/>
      <c r="BE100" s="1179">
        <f t="shared" si="70"/>
        <v>0</v>
      </c>
      <c r="BF100" s="1151"/>
      <c r="BG100" s="1151"/>
      <c r="BH100" s="1151"/>
      <c r="BI100" s="1151"/>
      <c r="BJ100" s="1151"/>
      <c r="BK100" s="183"/>
      <c r="BL100" s="1202" t="s">
        <v>2224</v>
      </c>
      <c r="BM100" s="1151"/>
      <c r="BN100" s="1151"/>
      <c r="BO100" s="1151"/>
      <c r="BP100" s="1151"/>
      <c r="BQ100" s="1151"/>
      <c r="BR100" s="1151"/>
      <c r="BS100" s="1151"/>
      <c r="BT100" s="1151"/>
      <c r="BU100" s="183"/>
      <c r="BV100" s="1202" t="s">
        <v>2224</v>
      </c>
      <c r="BW100" s="1151"/>
      <c r="BX100" s="1151"/>
      <c r="BY100" s="1151"/>
      <c r="BZ100" s="1151"/>
      <c r="CA100" s="1151"/>
      <c r="CB100" s="1151"/>
      <c r="CC100" s="1151"/>
      <c r="CD100" s="1151"/>
      <c r="CE100" s="183"/>
    </row>
    <row r="101" spans="1:83" s="375" customFormat="1">
      <c r="A101" s="291" t="b">
        <v>0</v>
      </c>
      <c r="B101" s="291" t="s">
        <v>2244</v>
      </c>
      <c r="C101" s="291" t="b">
        <f t="shared" si="72"/>
        <v>1</v>
      </c>
      <c r="D101" s="388" t="str">
        <f>IF(C101=FALSE=NAMES!$B$8,"",IF(L101="N/A","N/A",O101&amp;N101&amp;L101&amp;"-"&amp;M101))</f>
        <v/>
      </c>
      <c r="E101" s="392" t="str">
        <f t="shared" si="50"/>
        <v>2016USDAIG Luxembourg-Prestige Plus</v>
      </c>
      <c r="F101" s="1236" t="str">
        <f t="shared" si="51"/>
        <v>2016USDAIG Luxembourg-Healthcare PlanPrestige Plus</v>
      </c>
      <c r="G101" s="1240" t="str">
        <f t="shared" si="52"/>
        <v>2016USDAIG Luxembourg-Assistance and RepatriationPrestige Plus</v>
      </c>
      <c r="H101" s="1240" t="str">
        <f t="shared" si="53"/>
        <v>N/A</v>
      </c>
      <c r="I101" s="1240" t="str">
        <f t="shared" si="54"/>
        <v>N/A</v>
      </c>
      <c r="J101" s="1240" t="str">
        <f t="shared" si="55"/>
        <v>N/A</v>
      </c>
      <c r="K101" s="1240" t="str">
        <f t="shared" si="56"/>
        <v>N/A</v>
      </c>
      <c r="L101" s="392" t="s">
        <v>4</v>
      </c>
      <c r="M101" s="392" t="s">
        <v>2079</v>
      </c>
      <c r="N101" s="392" t="s">
        <v>87</v>
      </c>
      <c r="O101" s="376">
        <v>2016</v>
      </c>
      <c r="P101" s="376" t="s">
        <v>26</v>
      </c>
      <c r="Q101" s="376" t="s">
        <v>1</v>
      </c>
      <c r="R101" s="378">
        <v>36.200000000000003</v>
      </c>
      <c r="S101" s="392" t="s">
        <v>2213</v>
      </c>
      <c r="T101" s="392"/>
      <c r="U101" s="392"/>
      <c r="V101" s="382">
        <v>365</v>
      </c>
      <c r="W101" s="1228">
        <f t="shared" si="57"/>
        <v>1489.2307692307691</v>
      </c>
      <c r="X101" s="197" t="s">
        <v>3</v>
      </c>
      <c r="Y101" s="1188">
        <f t="shared" si="58"/>
        <v>871.00961538461536</v>
      </c>
      <c r="Z101" s="377">
        <v>0.25</v>
      </c>
      <c r="AA101" s="1189">
        <f t="shared" si="59"/>
        <v>1161.3461538461538</v>
      </c>
      <c r="AB101" s="377">
        <v>0</v>
      </c>
      <c r="AC101" s="378">
        <v>0</v>
      </c>
      <c r="AD101" s="1100">
        <f t="shared" si="65"/>
        <v>1161.3461538461538</v>
      </c>
      <c r="AE101" s="377">
        <v>0.04</v>
      </c>
      <c r="AF101" s="370">
        <f t="shared" si="66"/>
        <v>46.45384615384615</v>
      </c>
      <c r="AG101" s="1216">
        <v>1207.8</v>
      </c>
      <c r="AH101" s="1215" t="s">
        <v>5</v>
      </c>
      <c r="AI101" s="1177">
        <f>IF(AH101="N/A","",AK101*(1-AJ101))</f>
        <v>245.91346153846152</v>
      </c>
      <c r="AJ101" s="1175">
        <v>0.25</v>
      </c>
      <c r="AK101" s="1179">
        <f t="shared" si="61"/>
        <v>327.88461538461536</v>
      </c>
      <c r="AL101" s="1175">
        <v>0</v>
      </c>
      <c r="AM101" s="1174">
        <v>0</v>
      </c>
      <c r="AN101" s="1178"/>
      <c r="AO101" s="1175">
        <v>0.04</v>
      </c>
      <c r="AP101" s="1175"/>
      <c r="AQ101" s="1204">
        <v>341</v>
      </c>
      <c r="AR101" s="1202" t="s">
        <v>2224</v>
      </c>
      <c r="AS101" s="1177" t="str">
        <f t="shared" si="67"/>
        <v/>
      </c>
      <c r="AT101" s="1151"/>
      <c r="AU101" s="1179">
        <f t="shared" si="68"/>
        <v>0</v>
      </c>
      <c r="AV101" s="1151"/>
      <c r="AW101" s="1151"/>
      <c r="AX101" s="1151"/>
      <c r="AY101" s="1151"/>
      <c r="AZ101" s="1151"/>
      <c r="BA101" s="183"/>
      <c r="BB101" s="1202" t="s">
        <v>2224</v>
      </c>
      <c r="BC101" s="1177" t="str">
        <f t="shared" si="69"/>
        <v/>
      </c>
      <c r="BD101" s="1151"/>
      <c r="BE101" s="1179">
        <f t="shared" si="70"/>
        <v>0</v>
      </c>
      <c r="BF101" s="1151"/>
      <c r="BG101" s="1151"/>
      <c r="BH101" s="1151"/>
      <c r="BI101" s="1151"/>
      <c r="BJ101" s="1151"/>
      <c r="BK101" s="183"/>
      <c r="BL101" s="1202" t="s">
        <v>2224</v>
      </c>
      <c r="BM101" s="1151"/>
      <c r="BN101" s="1151"/>
      <c r="BO101" s="1151"/>
      <c r="BP101" s="1151"/>
      <c r="BQ101" s="1151"/>
      <c r="BR101" s="1151"/>
      <c r="BS101" s="1151"/>
      <c r="BT101" s="1151"/>
      <c r="BU101" s="183"/>
      <c r="BV101" s="1202" t="s">
        <v>2224</v>
      </c>
      <c r="BW101" s="1151"/>
      <c r="BX101" s="1151"/>
      <c r="BY101" s="1151"/>
      <c r="BZ101" s="1151"/>
      <c r="CA101" s="1151"/>
      <c r="CB101" s="1151"/>
      <c r="CC101" s="1151"/>
      <c r="CD101" s="1151"/>
      <c r="CE101" s="183"/>
    </row>
    <row r="102" spans="1:83" s="375" customFormat="1">
      <c r="A102" s="291" t="b">
        <v>0</v>
      </c>
      <c r="B102" s="291" t="s">
        <v>2244</v>
      </c>
      <c r="C102" s="291" t="b">
        <f t="shared" si="72"/>
        <v>1</v>
      </c>
      <c r="D102" s="388" t="str">
        <f>IF(C102=FALSE=NAMES!$B$8,"",IF(L102="N/A","N/A",O102&amp;N102&amp;L102&amp;"-"&amp;M102))</f>
        <v/>
      </c>
      <c r="E102" s="392" t="str">
        <f t="shared" si="50"/>
        <v>2016USDAIG Luxembourg-Prestige S</v>
      </c>
      <c r="F102" s="1236" t="str">
        <f t="shared" ref="F102:F133" si="74">IF(X102="N/A","N/A",O102&amp;N102&amp;L102&amp;"-"&amp;X102&amp;M102)</f>
        <v>2016USDAIG Luxembourg-Healthcare PlanPrestige S</v>
      </c>
      <c r="G102" s="1240" t="str">
        <f t="shared" ref="G102:G133" si="75">IF(AH102="N/A","N/A",O102&amp;N102&amp;L102&amp;"-"&amp;AH102&amp;M102)</f>
        <v>2016USDAIG Luxembourg-Assistance and RepatriationPrestige S</v>
      </c>
      <c r="H102" s="1240" t="str">
        <f t="shared" ref="H102:H133" si="76">IF(AR102="N/A","N/A",O102&amp;N102&amp;L102&amp;"-"&amp;AR102&amp;M102)</f>
        <v>N/A</v>
      </c>
      <c r="I102" s="1240" t="str">
        <f t="shared" ref="I102:I133" si="77">IF(BB102="N/A","N/A",O102&amp;N102&amp;L102&amp;"-"&amp;BB102&amp;M102)</f>
        <v>N/A</v>
      </c>
      <c r="J102" s="1240" t="str">
        <f t="shared" ref="J102:J133" si="78">IF(BL102="N/A","N/A",O102&amp;N102&amp;L102&amp;"-"&amp;BL102&amp;M102)</f>
        <v>N/A</v>
      </c>
      <c r="K102" s="1240" t="str">
        <f t="shared" ref="K102:K133" si="79">IF(BV102="N/A","N/A",O102&amp;N102&amp;L102&amp;"-"&amp;BV102&amp;M102)</f>
        <v>N/A</v>
      </c>
      <c r="L102" s="392" t="s">
        <v>4</v>
      </c>
      <c r="M102" s="392" t="s">
        <v>2068</v>
      </c>
      <c r="N102" s="392" t="s">
        <v>87</v>
      </c>
      <c r="O102" s="376">
        <v>2016</v>
      </c>
      <c r="P102" s="376" t="s">
        <v>26</v>
      </c>
      <c r="Q102" s="376" t="s">
        <v>1</v>
      </c>
      <c r="R102" s="378">
        <v>13.2</v>
      </c>
      <c r="S102" s="392" t="s">
        <v>2213</v>
      </c>
      <c r="T102" s="392"/>
      <c r="U102" s="392"/>
      <c r="V102" s="382">
        <v>365</v>
      </c>
      <c r="W102" s="1228">
        <f t="shared" ref="W102:W133" si="80">IF(X102="N/A","",AA102+AK102+AU102+BE102)</f>
        <v>1351.7307692307693</v>
      </c>
      <c r="X102" s="197" t="s">
        <v>3</v>
      </c>
      <c r="Y102" s="1188">
        <f t="shared" si="58"/>
        <v>871.00961538461536</v>
      </c>
      <c r="Z102" s="377">
        <v>0.25</v>
      </c>
      <c r="AA102" s="1189">
        <f t="shared" si="59"/>
        <v>1161.3461538461538</v>
      </c>
      <c r="AB102" s="377">
        <v>0</v>
      </c>
      <c r="AC102" s="378">
        <v>0</v>
      </c>
      <c r="AD102" s="1100">
        <f t="shared" si="65"/>
        <v>1161.3461538461538</v>
      </c>
      <c r="AE102" s="377">
        <v>0.04</v>
      </c>
      <c r="AF102" s="370">
        <f t="shared" si="66"/>
        <v>46.45384615384615</v>
      </c>
      <c r="AG102" s="1216">
        <v>1207.8</v>
      </c>
      <c r="AH102" s="1215" t="s">
        <v>5</v>
      </c>
      <c r="AI102" s="1177">
        <f>IF(AH102="N/A","",AK102*(1-AJ102))</f>
        <v>142.78846153846155</v>
      </c>
      <c r="AJ102" s="1175">
        <v>0.25</v>
      </c>
      <c r="AK102" s="1179">
        <f t="shared" si="61"/>
        <v>190.38461538461539</v>
      </c>
      <c r="AL102" s="1175">
        <v>0</v>
      </c>
      <c r="AM102" s="1174">
        <v>0</v>
      </c>
      <c r="AN102" s="1178"/>
      <c r="AO102" s="1175">
        <v>0.04</v>
      </c>
      <c r="AP102" s="1175"/>
      <c r="AQ102" s="1204">
        <v>198</v>
      </c>
      <c r="AR102" s="1202" t="s">
        <v>2224</v>
      </c>
      <c r="AS102" s="1177" t="str">
        <f t="shared" si="67"/>
        <v/>
      </c>
      <c r="AT102" s="1151"/>
      <c r="AU102" s="1179">
        <f t="shared" si="68"/>
        <v>0</v>
      </c>
      <c r="AV102" s="1151"/>
      <c r="AW102" s="1151"/>
      <c r="AX102" s="1151"/>
      <c r="AY102" s="1151"/>
      <c r="AZ102" s="1151"/>
      <c r="BA102" s="183"/>
      <c r="BB102" s="1202" t="s">
        <v>2224</v>
      </c>
      <c r="BC102" s="1177" t="str">
        <f t="shared" si="69"/>
        <v/>
      </c>
      <c r="BD102" s="1151"/>
      <c r="BE102" s="1179">
        <f t="shared" si="70"/>
        <v>0</v>
      </c>
      <c r="BF102" s="1151"/>
      <c r="BG102" s="1151"/>
      <c r="BH102" s="1151"/>
      <c r="BI102" s="1151"/>
      <c r="BJ102" s="1151"/>
      <c r="BK102" s="183"/>
      <c r="BL102" s="1202" t="s">
        <v>2224</v>
      </c>
      <c r="BM102" s="1151"/>
      <c r="BN102" s="1151"/>
      <c r="BO102" s="1151"/>
      <c r="BP102" s="1151"/>
      <c r="BQ102" s="1151"/>
      <c r="BR102" s="1151"/>
      <c r="BS102" s="1151"/>
      <c r="BT102" s="1151"/>
      <c r="BU102" s="183"/>
      <c r="BV102" s="1202" t="s">
        <v>2224</v>
      </c>
      <c r="BW102" s="1151"/>
      <c r="BX102" s="1151"/>
      <c r="BY102" s="1151"/>
      <c r="BZ102" s="1151"/>
      <c r="CA102" s="1151"/>
      <c r="CB102" s="1151"/>
      <c r="CC102" s="1151"/>
      <c r="CD102" s="1151"/>
      <c r="CE102" s="183"/>
    </row>
    <row r="103" spans="1:83" s="1105" customFormat="1">
      <c r="A103" s="291" t="b">
        <v>0</v>
      </c>
      <c r="B103" s="291" t="s">
        <v>2244</v>
      </c>
      <c r="C103" s="291" t="b">
        <f t="shared" si="72"/>
        <v>1</v>
      </c>
      <c r="D103" s="388" t="str">
        <f>IF(C103=FALSE=NAMES!$B$8,"",IF(L103="N/A","N/A",O103&amp;N103&amp;L103&amp;"-"&amp;M103))</f>
        <v/>
      </c>
      <c r="E103" s="392" t="str">
        <f t="shared" si="50"/>
        <v>2016USDAIG Luxembourg-PrivilegeFamily</v>
      </c>
      <c r="F103" s="1236" t="str">
        <f t="shared" si="74"/>
        <v>2016USDAIG Luxembourg-Healthcare PlanPrivilegeFamily</v>
      </c>
      <c r="G103" s="1240" t="str">
        <f t="shared" si="75"/>
        <v>2016USDAIG Luxembourg-Assistance and RepatriationPrivilegeFamily</v>
      </c>
      <c r="H103" s="1240" t="str">
        <f t="shared" si="76"/>
        <v>N/A</v>
      </c>
      <c r="I103" s="1240" t="str">
        <f t="shared" si="77"/>
        <v>N/A</v>
      </c>
      <c r="J103" s="1240" t="str">
        <f t="shared" si="78"/>
        <v>N/A</v>
      </c>
      <c r="K103" s="1240" t="str">
        <f t="shared" si="79"/>
        <v>N/A</v>
      </c>
      <c r="L103" s="392" t="s">
        <v>4</v>
      </c>
      <c r="M103" s="392" t="s">
        <v>2233</v>
      </c>
      <c r="N103" s="392" t="s">
        <v>87</v>
      </c>
      <c r="O103" s="376">
        <v>2016</v>
      </c>
      <c r="P103" s="376" t="s">
        <v>26</v>
      </c>
      <c r="Q103" s="376" t="s">
        <v>1</v>
      </c>
      <c r="R103" s="378">
        <v>293.52</v>
      </c>
      <c r="S103" s="392" t="s">
        <v>2214</v>
      </c>
      <c r="T103" s="392"/>
      <c r="U103" s="392"/>
      <c r="V103" s="1109">
        <v>365</v>
      </c>
      <c r="W103" s="1228">
        <f t="shared" si="80"/>
        <v>4889.8999999999996</v>
      </c>
      <c r="X103" s="197" t="s">
        <v>3</v>
      </c>
      <c r="Y103" s="1188">
        <f t="shared" si="58"/>
        <v>3667.4249999999997</v>
      </c>
      <c r="Z103" s="377">
        <v>0.25</v>
      </c>
      <c r="AA103" s="1189">
        <f t="shared" si="59"/>
        <v>4889.8999999999996</v>
      </c>
      <c r="AB103" s="377">
        <v>0</v>
      </c>
      <c r="AC103" s="378">
        <v>1054.96</v>
      </c>
      <c r="AD103" s="1100">
        <f t="shared" ref="AD103:AD134" si="81">IF(E103="N/A","",AA103+AC103)</f>
        <v>5944.86</v>
      </c>
      <c r="AE103" s="377">
        <v>0.04</v>
      </c>
      <c r="AF103" s="370">
        <f t="shared" ref="AF103:AF134" si="82">IF(L103="N/A","",AA103*AE103)</f>
        <v>195.596</v>
      </c>
      <c r="AG103" s="1222">
        <v>5085.4960000000001</v>
      </c>
      <c r="AH103" s="1215" t="s">
        <v>5</v>
      </c>
      <c r="AI103" s="1177">
        <f t="shared" ref="AI103:AI111" si="83">IF(AH103="N/A","",AK103*(1-AJ103))</f>
        <v>0</v>
      </c>
      <c r="AJ103" s="378"/>
      <c r="AK103" s="1179">
        <f t="shared" si="61"/>
        <v>0</v>
      </c>
      <c r="AL103" s="378"/>
      <c r="AM103" s="378"/>
      <c r="AN103" s="378"/>
      <c r="AO103" s="378"/>
      <c r="AP103" s="378"/>
      <c r="AQ103" s="1216"/>
      <c r="AR103" s="1202" t="s">
        <v>2224</v>
      </c>
      <c r="AS103" s="1177" t="str">
        <f t="shared" si="67"/>
        <v/>
      </c>
      <c r="AT103" s="1151"/>
      <c r="AU103" s="1179">
        <f t="shared" si="68"/>
        <v>0</v>
      </c>
      <c r="AV103" s="1151"/>
      <c r="AW103" s="1151"/>
      <c r="AX103" s="1151"/>
      <c r="AY103" s="1151"/>
      <c r="AZ103" s="1151"/>
      <c r="BA103" s="183"/>
      <c r="BB103" s="1202" t="s">
        <v>2224</v>
      </c>
      <c r="BC103" s="1177" t="str">
        <f t="shared" si="69"/>
        <v/>
      </c>
      <c r="BD103" s="1151"/>
      <c r="BE103" s="1179">
        <f t="shared" si="70"/>
        <v>0</v>
      </c>
      <c r="BF103" s="1151"/>
      <c r="BG103" s="1151"/>
      <c r="BH103" s="1151"/>
      <c r="BI103" s="1151"/>
      <c r="BJ103" s="1151"/>
      <c r="BK103" s="183"/>
      <c r="BL103" s="1202" t="s">
        <v>2224</v>
      </c>
      <c r="BM103" s="1151"/>
      <c r="BN103" s="1151"/>
      <c r="BO103" s="1151"/>
      <c r="BP103" s="1151"/>
      <c r="BQ103" s="1151"/>
      <c r="BR103" s="1151"/>
      <c r="BS103" s="1151"/>
      <c r="BT103" s="1151"/>
      <c r="BU103" s="183"/>
      <c r="BV103" s="1202" t="s">
        <v>2224</v>
      </c>
      <c r="BW103" s="1151"/>
      <c r="BX103" s="1151"/>
      <c r="BY103" s="1151"/>
      <c r="BZ103" s="1151"/>
      <c r="CA103" s="1151"/>
      <c r="CB103" s="1151"/>
      <c r="CC103" s="1151"/>
      <c r="CD103" s="1151"/>
      <c r="CE103" s="183"/>
    </row>
    <row r="104" spans="1:83" s="580" customFormat="1">
      <c r="A104" s="291" t="b">
        <v>0</v>
      </c>
      <c r="B104" s="291" t="s">
        <v>2244</v>
      </c>
      <c r="C104" s="291" t="b">
        <f t="shared" si="72"/>
        <v>1</v>
      </c>
      <c r="D104" s="388" t="str">
        <f>IF(C104=FALSE=NAMES!$B$8,"",IF(L104="N/A","N/A",O104&amp;N104&amp;L104&amp;"-"&amp;M104))</f>
        <v/>
      </c>
      <c r="E104" s="392" t="str">
        <f t="shared" si="50"/>
        <v>2016USDAIG Luxembourg-PrivilegeSingle</v>
      </c>
      <c r="F104" s="1236" t="str">
        <f t="shared" si="74"/>
        <v>2016USDAIG Luxembourg-Healthcare PlanPrivilegeSingle</v>
      </c>
      <c r="G104" s="1240" t="str">
        <f t="shared" si="75"/>
        <v>2016USDAIG Luxembourg-Assistance and RepatriationPrivilegeSingle</v>
      </c>
      <c r="H104" s="1240" t="str">
        <f t="shared" si="76"/>
        <v>N/A</v>
      </c>
      <c r="I104" s="1240" t="str">
        <f t="shared" si="77"/>
        <v>N/A</v>
      </c>
      <c r="J104" s="1240" t="str">
        <f t="shared" si="78"/>
        <v>N/A</v>
      </c>
      <c r="K104" s="1240" t="str">
        <f t="shared" si="79"/>
        <v>N/A</v>
      </c>
      <c r="L104" s="392" t="s">
        <v>4</v>
      </c>
      <c r="M104" s="392" t="s">
        <v>2232</v>
      </c>
      <c r="N104" s="392" t="s">
        <v>87</v>
      </c>
      <c r="O104" s="376">
        <v>2016</v>
      </c>
      <c r="P104" s="376" t="s">
        <v>26</v>
      </c>
      <c r="Q104" s="376" t="s">
        <v>1</v>
      </c>
      <c r="R104" s="378">
        <v>112.04</v>
      </c>
      <c r="S104" s="392" t="s">
        <v>2213</v>
      </c>
      <c r="T104" s="392"/>
      <c r="U104" s="392"/>
      <c r="V104" s="584">
        <v>365</v>
      </c>
      <c r="W104" s="1228">
        <f t="shared" si="80"/>
        <v>1879.81</v>
      </c>
      <c r="X104" s="197" t="s">
        <v>3</v>
      </c>
      <c r="Y104" s="1188">
        <f t="shared" si="58"/>
        <v>1409.8575000000001</v>
      </c>
      <c r="Z104" s="377">
        <v>0.25</v>
      </c>
      <c r="AA104" s="1189">
        <f t="shared" si="59"/>
        <v>1879.81</v>
      </c>
      <c r="AB104" s="377">
        <v>0</v>
      </c>
      <c r="AC104" s="378">
        <v>714.32690000000002</v>
      </c>
      <c r="AD104" s="1100">
        <f t="shared" si="81"/>
        <v>2594.1369</v>
      </c>
      <c r="AE104" s="377">
        <v>0.04</v>
      </c>
      <c r="AF104" s="370">
        <f t="shared" si="82"/>
        <v>75.192400000000006</v>
      </c>
      <c r="AG104" s="1222">
        <v>1955.0024000000001</v>
      </c>
      <c r="AH104" s="1215" t="s">
        <v>5</v>
      </c>
      <c r="AI104" s="1177">
        <f t="shared" si="83"/>
        <v>0</v>
      </c>
      <c r="AJ104" s="378"/>
      <c r="AK104" s="1179">
        <f t="shared" si="61"/>
        <v>0</v>
      </c>
      <c r="AL104" s="378"/>
      <c r="AM104" s="378"/>
      <c r="AN104" s="378"/>
      <c r="AO104" s="378"/>
      <c r="AP104" s="378"/>
      <c r="AQ104" s="1216"/>
      <c r="AR104" s="1202" t="s">
        <v>2224</v>
      </c>
      <c r="AS104" s="1177" t="str">
        <f t="shared" si="67"/>
        <v/>
      </c>
      <c r="AT104" s="1151"/>
      <c r="AU104" s="1179">
        <f t="shared" si="68"/>
        <v>0</v>
      </c>
      <c r="AV104" s="1151"/>
      <c r="AW104" s="1151"/>
      <c r="AX104" s="1151"/>
      <c r="AY104" s="1151"/>
      <c r="AZ104" s="1151"/>
      <c r="BA104" s="183"/>
      <c r="BB104" s="1202" t="s">
        <v>2224</v>
      </c>
      <c r="BC104" s="1177" t="str">
        <f t="shared" si="69"/>
        <v/>
      </c>
      <c r="BD104" s="1151"/>
      <c r="BE104" s="1179">
        <f t="shared" si="70"/>
        <v>0</v>
      </c>
      <c r="BF104" s="1151"/>
      <c r="BG104" s="1151"/>
      <c r="BH104" s="1151"/>
      <c r="BI104" s="1151"/>
      <c r="BJ104" s="1151"/>
      <c r="BK104" s="183"/>
      <c r="BL104" s="1202" t="s">
        <v>2224</v>
      </c>
      <c r="BM104" s="1151"/>
      <c r="BN104" s="1151"/>
      <c r="BO104" s="1151"/>
      <c r="BP104" s="1151"/>
      <c r="BQ104" s="1151"/>
      <c r="BR104" s="1151"/>
      <c r="BS104" s="1151"/>
      <c r="BT104" s="1151"/>
      <c r="BU104" s="183"/>
      <c r="BV104" s="1202" t="s">
        <v>2224</v>
      </c>
      <c r="BW104" s="1151"/>
      <c r="BX104" s="1151"/>
      <c r="BY104" s="1151"/>
      <c r="BZ104" s="1151"/>
      <c r="CA104" s="1151"/>
      <c r="CB104" s="1151"/>
      <c r="CC104" s="1151"/>
      <c r="CD104" s="1151"/>
      <c r="CE104" s="183"/>
    </row>
    <row r="105" spans="1:83" s="659" customFormat="1">
      <c r="A105" s="291" t="b">
        <v>0</v>
      </c>
      <c r="B105" s="291" t="s">
        <v>2244</v>
      </c>
      <c r="C105" s="291" t="b">
        <f t="shared" si="72"/>
        <v>1</v>
      </c>
      <c r="D105" s="388" t="str">
        <f>IF(C105=FALSE=NAMES!$B$8,"",IF(L105="N/A","N/A",O105&amp;N105&amp;L105&amp;"-"&amp;M105))</f>
        <v/>
      </c>
      <c r="E105" s="392" t="str">
        <f t="shared" si="50"/>
        <v>2016USDAIG Luxembourg-Standard</v>
      </c>
      <c r="F105" s="1236" t="str">
        <f t="shared" si="74"/>
        <v>2016USDAIG Luxembourg-Healthcare PlanStandard</v>
      </c>
      <c r="G105" s="1240" t="str">
        <f t="shared" si="75"/>
        <v>2016USDAIG Luxembourg-Assistance and RepatriationStandard</v>
      </c>
      <c r="H105" s="1240" t="str">
        <f t="shared" si="76"/>
        <v>N/A</v>
      </c>
      <c r="I105" s="1240" t="str">
        <f t="shared" si="77"/>
        <v>N/A</v>
      </c>
      <c r="J105" s="1240" t="str">
        <f t="shared" si="78"/>
        <v>N/A</v>
      </c>
      <c r="K105" s="1240" t="str">
        <f t="shared" si="79"/>
        <v>N/A</v>
      </c>
      <c r="L105" s="392" t="s">
        <v>4</v>
      </c>
      <c r="M105" s="392" t="s">
        <v>2578</v>
      </c>
      <c r="N105" s="392" t="s">
        <v>87</v>
      </c>
      <c r="O105" s="376">
        <v>2016</v>
      </c>
      <c r="P105" s="376" t="s">
        <v>26</v>
      </c>
      <c r="Q105" s="376" t="s">
        <v>1</v>
      </c>
      <c r="R105" s="378">
        <v>63.2</v>
      </c>
      <c r="S105" s="392" t="s">
        <v>2213</v>
      </c>
      <c r="T105" s="392"/>
      <c r="U105" s="392"/>
      <c r="V105" s="584">
        <v>365</v>
      </c>
      <c r="W105" s="1228">
        <f t="shared" si="80"/>
        <v>569.03846153846143</v>
      </c>
      <c r="X105" s="197" t="s">
        <v>3</v>
      </c>
      <c r="Y105" s="1188">
        <f t="shared" si="58"/>
        <v>426.77884615384608</v>
      </c>
      <c r="Z105" s="377">
        <v>0.25</v>
      </c>
      <c r="AA105" s="1189">
        <f t="shared" si="59"/>
        <v>569.03846153846143</v>
      </c>
      <c r="AB105" s="377">
        <v>0</v>
      </c>
      <c r="AC105" s="378">
        <v>0</v>
      </c>
      <c r="AD105" s="1100">
        <f t="shared" si="81"/>
        <v>569.03846153846143</v>
      </c>
      <c r="AE105" s="377">
        <v>0.04</v>
      </c>
      <c r="AF105" s="370">
        <f t="shared" si="82"/>
        <v>22.761538461538457</v>
      </c>
      <c r="AG105" s="1216">
        <v>591.79999999999995</v>
      </c>
      <c r="AH105" s="1215" t="s">
        <v>5</v>
      </c>
      <c r="AI105" s="1177">
        <f t="shared" si="83"/>
        <v>0</v>
      </c>
      <c r="AJ105" s="378"/>
      <c r="AK105" s="1179">
        <f t="shared" si="61"/>
        <v>0</v>
      </c>
      <c r="AL105" s="378"/>
      <c r="AM105" s="378"/>
      <c r="AN105" s="378"/>
      <c r="AO105" s="378"/>
      <c r="AP105" s="378"/>
      <c r="AQ105" s="1216"/>
      <c r="AR105" s="1202" t="s">
        <v>2224</v>
      </c>
      <c r="AS105" s="1177" t="str">
        <f t="shared" si="67"/>
        <v/>
      </c>
      <c r="AT105" s="1151"/>
      <c r="AU105" s="1179">
        <f t="shared" si="68"/>
        <v>0</v>
      </c>
      <c r="AV105" s="1151"/>
      <c r="AW105" s="1151"/>
      <c r="AX105" s="1151"/>
      <c r="AY105" s="1151"/>
      <c r="AZ105" s="1151"/>
      <c r="BA105" s="183"/>
      <c r="BB105" s="1202" t="s">
        <v>2224</v>
      </c>
      <c r="BC105" s="1177" t="str">
        <f t="shared" si="69"/>
        <v/>
      </c>
      <c r="BD105" s="1151"/>
      <c r="BE105" s="1179">
        <f t="shared" si="70"/>
        <v>0</v>
      </c>
      <c r="BF105" s="1151"/>
      <c r="BG105" s="1151"/>
      <c r="BH105" s="1151"/>
      <c r="BI105" s="1151"/>
      <c r="BJ105" s="1151"/>
      <c r="BK105" s="183"/>
      <c r="BL105" s="1202" t="s">
        <v>2224</v>
      </c>
      <c r="BM105" s="1151"/>
      <c r="BN105" s="1151"/>
      <c r="BO105" s="1151"/>
      <c r="BP105" s="1151"/>
      <c r="BQ105" s="1151"/>
      <c r="BR105" s="1151"/>
      <c r="BS105" s="1151"/>
      <c r="BT105" s="1151"/>
      <c r="BU105" s="183"/>
      <c r="BV105" s="1202" t="s">
        <v>2224</v>
      </c>
      <c r="BW105" s="1151"/>
      <c r="BX105" s="1151"/>
      <c r="BY105" s="1151"/>
      <c r="BZ105" s="1151"/>
      <c r="CA105" s="1151"/>
      <c r="CB105" s="1151"/>
      <c r="CC105" s="1151"/>
      <c r="CD105" s="1151"/>
      <c r="CE105" s="183"/>
    </row>
    <row r="106" spans="1:83" s="659" customFormat="1">
      <c r="A106" s="291" t="b">
        <v>0</v>
      </c>
      <c r="B106" s="291" t="s">
        <v>2244</v>
      </c>
      <c r="C106" s="291" t="b">
        <f t="shared" si="72"/>
        <v>1</v>
      </c>
      <c r="D106" s="388" t="str">
        <f>IF(C106=FALSE=NAMES!$B$8,"",IF(L106="N/A","N/A",O106&amp;N106&amp;L106&amp;"-"&amp;M106))</f>
        <v/>
      </c>
      <c r="E106" s="392" t="str">
        <f t="shared" si="50"/>
        <v>2016USDAIG Luxembourg-Standard S</v>
      </c>
      <c r="F106" s="1236" t="str">
        <f t="shared" si="74"/>
        <v>2016USDAIG Luxembourg-Healthcare PlanStandard S</v>
      </c>
      <c r="G106" s="1240" t="str">
        <f t="shared" si="75"/>
        <v>2016USDAIG Luxembourg-Assistance and RepatriationStandard S</v>
      </c>
      <c r="H106" s="1240" t="str">
        <f t="shared" si="76"/>
        <v>N/A</v>
      </c>
      <c r="I106" s="1240" t="str">
        <f t="shared" si="77"/>
        <v>N/A</v>
      </c>
      <c r="J106" s="1240" t="str">
        <f t="shared" si="78"/>
        <v>N/A</v>
      </c>
      <c r="K106" s="1240" t="str">
        <f t="shared" si="79"/>
        <v>N/A</v>
      </c>
      <c r="L106" s="392" t="s">
        <v>4</v>
      </c>
      <c r="M106" s="392" t="s">
        <v>2581</v>
      </c>
      <c r="N106" s="392" t="s">
        <v>87</v>
      </c>
      <c r="O106" s="376">
        <v>2016</v>
      </c>
      <c r="P106" s="376" t="s">
        <v>26</v>
      </c>
      <c r="Q106" s="376" t="s">
        <v>1</v>
      </c>
      <c r="R106" s="378">
        <v>15.2</v>
      </c>
      <c r="S106" s="392" t="s">
        <v>2213</v>
      </c>
      <c r="T106" s="392"/>
      <c r="U106" s="392"/>
      <c r="V106" s="584">
        <v>365</v>
      </c>
      <c r="W106" s="1228">
        <f t="shared" si="80"/>
        <v>569.03846153846143</v>
      </c>
      <c r="X106" s="197" t="s">
        <v>3</v>
      </c>
      <c r="Y106" s="1188">
        <f t="shared" si="58"/>
        <v>426.77884615384608</v>
      </c>
      <c r="Z106" s="377">
        <v>0.25</v>
      </c>
      <c r="AA106" s="1189">
        <f t="shared" si="59"/>
        <v>569.03846153846143</v>
      </c>
      <c r="AB106" s="377">
        <v>0</v>
      </c>
      <c r="AC106" s="378">
        <v>0</v>
      </c>
      <c r="AD106" s="1100">
        <f t="shared" si="81"/>
        <v>569.03846153846143</v>
      </c>
      <c r="AE106" s="377">
        <v>0.04</v>
      </c>
      <c r="AF106" s="370">
        <f t="shared" si="82"/>
        <v>22.761538461538457</v>
      </c>
      <c r="AG106" s="1216">
        <v>591.79999999999995</v>
      </c>
      <c r="AH106" s="1215" t="s">
        <v>5</v>
      </c>
      <c r="AI106" s="1177">
        <f t="shared" si="83"/>
        <v>0</v>
      </c>
      <c r="AJ106" s="378"/>
      <c r="AK106" s="1179">
        <f t="shared" si="61"/>
        <v>0</v>
      </c>
      <c r="AL106" s="378"/>
      <c r="AM106" s="378"/>
      <c r="AN106" s="378"/>
      <c r="AO106" s="378"/>
      <c r="AP106" s="378"/>
      <c r="AQ106" s="1216"/>
      <c r="AR106" s="1202" t="s">
        <v>2224</v>
      </c>
      <c r="AS106" s="1177" t="str">
        <f t="shared" si="67"/>
        <v/>
      </c>
      <c r="AT106" s="1151"/>
      <c r="AU106" s="1179">
        <f t="shared" si="68"/>
        <v>0</v>
      </c>
      <c r="AV106" s="1151"/>
      <c r="AW106" s="1151"/>
      <c r="AX106" s="1151"/>
      <c r="AY106" s="1151"/>
      <c r="AZ106" s="1151"/>
      <c r="BA106" s="183"/>
      <c r="BB106" s="1202" t="s">
        <v>2224</v>
      </c>
      <c r="BC106" s="1177" t="str">
        <f t="shared" si="69"/>
        <v/>
      </c>
      <c r="BD106" s="1151"/>
      <c r="BE106" s="1179">
        <f t="shared" si="70"/>
        <v>0</v>
      </c>
      <c r="BF106" s="1151"/>
      <c r="BG106" s="1151"/>
      <c r="BH106" s="1151"/>
      <c r="BI106" s="1151"/>
      <c r="BJ106" s="1151"/>
      <c r="BK106" s="183"/>
      <c r="BL106" s="1202" t="s">
        <v>2224</v>
      </c>
      <c r="BM106" s="1151"/>
      <c r="BN106" s="1151"/>
      <c r="BO106" s="1151"/>
      <c r="BP106" s="1151"/>
      <c r="BQ106" s="1151"/>
      <c r="BR106" s="1151"/>
      <c r="BS106" s="1151"/>
      <c r="BT106" s="1151"/>
      <c r="BU106" s="183"/>
      <c r="BV106" s="1202" t="s">
        <v>2224</v>
      </c>
      <c r="BW106" s="1151"/>
      <c r="BX106" s="1151"/>
      <c r="BY106" s="1151"/>
      <c r="BZ106" s="1151"/>
      <c r="CA106" s="1151"/>
      <c r="CB106" s="1151"/>
      <c r="CC106" s="1151"/>
      <c r="CD106" s="1151"/>
      <c r="CE106" s="183"/>
    </row>
    <row r="107" spans="1:83" s="659" customFormat="1">
      <c r="A107" s="291" t="b">
        <v>0</v>
      </c>
      <c r="B107" s="291" t="s">
        <v>2244</v>
      </c>
      <c r="C107" s="291" t="b">
        <f t="shared" si="72"/>
        <v>1</v>
      </c>
      <c r="D107" s="388" t="str">
        <f>IF(C107=FALSE=NAMES!$B$8,"",IF(L107="N/A","N/A",O107&amp;N107&amp;L107&amp;"-"&amp;M107))</f>
        <v/>
      </c>
      <c r="E107" s="392" t="str">
        <f t="shared" si="50"/>
        <v>2016USDAIG Luxembourg-StandardMLC</v>
      </c>
      <c r="F107" s="1236" t="str">
        <f t="shared" si="74"/>
        <v>2016USDAIG Luxembourg-Healthcare PlanStandardMLC</v>
      </c>
      <c r="G107" s="1240" t="str">
        <f t="shared" si="75"/>
        <v>2016USDAIG Luxembourg-Assistance and RepatriationStandardMLC</v>
      </c>
      <c r="H107" s="1240" t="str">
        <f t="shared" si="76"/>
        <v>N/A</v>
      </c>
      <c r="I107" s="1240" t="str">
        <f t="shared" si="77"/>
        <v>N/A</v>
      </c>
      <c r="J107" s="1240" t="str">
        <f t="shared" si="78"/>
        <v>N/A</v>
      </c>
      <c r="K107" s="1240" t="str">
        <f t="shared" si="79"/>
        <v>N/A</v>
      </c>
      <c r="L107" s="392" t="s">
        <v>4</v>
      </c>
      <c r="M107" s="392" t="s">
        <v>2579</v>
      </c>
      <c r="N107" s="392" t="s">
        <v>87</v>
      </c>
      <c r="O107" s="376">
        <v>2016</v>
      </c>
      <c r="P107" s="376" t="s">
        <v>26</v>
      </c>
      <c r="Q107" s="376" t="s">
        <v>1</v>
      </c>
      <c r="R107" s="378">
        <v>63.2</v>
      </c>
      <c r="S107" s="392" t="s">
        <v>2213</v>
      </c>
      <c r="T107" s="392"/>
      <c r="U107" s="392"/>
      <c r="V107" s="584">
        <v>365</v>
      </c>
      <c r="W107" s="1228">
        <f t="shared" si="80"/>
        <v>695.96153846153834</v>
      </c>
      <c r="X107" s="197" t="s">
        <v>3</v>
      </c>
      <c r="Y107" s="1188">
        <f t="shared" si="58"/>
        <v>426.77884615384608</v>
      </c>
      <c r="Z107" s="377">
        <v>0.25</v>
      </c>
      <c r="AA107" s="1189">
        <f t="shared" si="59"/>
        <v>569.03846153846143</v>
      </c>
      <c r="AB107" s="377">
        <v>0</v>
      </c>
      <c r="AC107" s="378">
        <v>0</v>
      </c>
      <c r="AD107" s="1100">
        <f t="shared" si="81"/>
        <v>569.03846153846143</v>
      </c>
      <c r="AE107" s="377">
        <v>0.04</v>
      </c>
      <c r="AF107" s="370">
        <f t="shared" si="82"/>
        <v>22.761538461538457</v>
      </c>
      <c r="AG107" s="1216">
        <v>591.79999999999995</v>
      </c>
      <c r="AH107" s="1215" t="s">
        <v>5</v>
      </c>
      <c r="AI107" s="1177">
        <f t="shared" si="83"/>
        <v>95.192307692307693</v>
      </c>
      <c r="AJ107" s="1175">
        <v>0.25</v>
      </c>
      <c r="AK107" s="1179">
        <f t="shared" si="61"/>
        <v>126.92307692307692</v>
      </c>
      <c r="AL107" s="1175">
        <v>0</v>
      </c>
      <c r="AM107" s="1174">
        <v>0</v>
      </c>
      <c r="AN107" s="1178"/>
      <c r="AO107" s="1175">
        <v>0.04</v>
      </c>
      <c r="AP107" s="1175"/>
      <c r="AQ107" s="1204">
        <v>132</v>
      </c>
      <c r="AR107" s="1202" t="s">
        <v>2224</v>
      </c>
      <c r="AS107" s="1177" t="str">
        <f t="shared" si="67"/>
        <v/>
      </c>
      <c r="AT107" s="1151"/>
      <c r="AU107" s="1179">
        <f t="shared" si="68"/>
        <v>0</v>
      </c>
      <c r="AV107" s="1151"/>
      <c r="AW107" s="1151"/>
      <c r="AX107" s="1151"/>
      <c r="AY107" s="1151"/>
      <c r="AZ107" s="1151"/>
      <c r="BA107" s="183"/>
      <c r="BB107" s="1202" t="s">
        <v>2224</v>
      </c>
      <c r="BC107" s="1177" t="str">
        <f t="shared" si="69"/>
        <v/>
      </c>
      <c r="BD107" s="1151"/>
      <c r="BE107" s="1179">
        <f t="shared" si="70"/>
        <v>0</v>
      </c>
      <c r="BF107" s="1151"/>
      <c r="BG107" s="1151"/>
      <c r="BH107" s="1151"/>
      <c r="BI107" s="1151"/>
      <c r="BJ107" s="1151"/>
      <c r="BK107" s="183"/>
      <c r="BL107" s="1202" t="s">
        <v>2224</v>
      </c>
      <c r="BM107" s="1151"/>
      <c r="BN107" s="1151"/>
      <c r="BO107" s="1151"/>
      <c r="BP107" s="1151"/>
      <c r="BQ107" s="1151"/>
      <c r="BR107" s="1151"/>
      <c r="BS107" s="1151"/>
      <c r="BT107" s="1151"/>
      <c r="BU107" s="183"/>
      <c r="BV107" s="1202" t="s">
        <v>2224</v>
      </c>
      <c r="BW107" s="1151"/>
      <c r="BX107" s="1151"/>
      <c r="BY107" s="1151"/>
      <c r="BZ107" s="1151"/>
      <c r="CA107" s="1151"/>
      <c r="CB107" s="1151"/>
      <c r="CC107" s="1151"/>
      <c r="CD107" s="1151"/>
      <c r="CE107" s="183"/>
    </row>
    <row r="108" spans="1:83" s="659" customFormat="1">
      <c r="A108" s="291" t="b">
        <v>0</v>
      </c>
      <c r="B108" s="291" t="s">
        <v>2244</v>
      </c>
      <c r="C108" s="291" t="b">
        <f t="shared" si="72"/>
        <v>1</v>
      </c>
      <c r="D108" s="388" t="str">
        <f>IF(C108=FALSE=NAMES!$B$8,"",IF(L108="N/A","N/A",O108&amp;N108&amp;L108&amp;"-"&amp;M108))</f>
        <v/>
      </c>
      <c r="E108" s="392" t="str">
        <f t="shared" si="50"/>
        <v>2016USDAIG Luxembourg-StandardMLC S</v>
      </c>
      <c r="F108" s="1236" t="str">
        <f t="shared" si="74"/>
        <v>2016USDAIG Luxembourg-Healthcare PlanStandardMLC S</v>
      </c>
      <c r="G108" s="1240" t="str">
        <f t="shared" si="75"/>
        <v>2016USDAIG Luxembourg-Assistance and RepatriationStandardMLC S</v>
      </c>
      <c r="H108" s="1240" t="str">
        <f t="shared" si="76"/>
        <v>N/A</v>
      </c>
      <c r="I108" s="1240" t="str">
        <f t="shared" si="77"/>
        <v>N/A</v>
      </c>
      <c r="J108" s="1240" t="str">
        <f t="shared" si="78"/>
        <v>N/A</v>
      </c>
      <c r="K108" s="1240" t="str">
        <f t="shared" si="79"/>
        <v>N/A</v>
      </c>
      <c r="L108" s="392" t="s">
        <v>4</v>
      </c>
      <c r="M108" s="392" t="s">
        <v>2582</v>
      </c>
      <c r="N108" s="392" t="s">
        <v>87</v>
      </c>
      <c r="O108" s="376">
        <v>2016</v>
      </c>
      <c r="P108" s="376" t="s">
        <v>26</v>
      </c>
      <c r="Q108" s="376" t="s">
        <v>1</v>
      </c>
      <c r="R108" s="378">
        <v>15.2</v>
      </c>
      <c r="S108" s="392" t="s">
        <v>2213</v>
      </c>
      <c r="T108" s="392"/>
      <c r="U108" s="392"/>
      <c r="V108" s="584">
        <v>365</v>
      </c>
      <c r="W108" s="1228">
        <f t="shared" si="80"/>
        <v>695.96153846153834</v>
      </c>
      <c r="X108" s="197" t="s">
        <v>3</v>
      </c>
      <c r="Y108" s="1188">
        <f t="shared" si="58"/>
        <v>426.77884615384608</v>
      </c>
      <c r="Z108" s="377">
        <v>0.25</v>
      </c>
      <c r="AA108" s="1189">
        <f t="shared" si="59"/>
        <v>569.03846153846143</v>
      </c>
      <c r="AB108" s="377">
        <v>0</v>
      </c>
      <c r="AC108" s="378">
        <v>0</v>
      </c>
      <c r="AD108" s="1100">
        <f t="shared" si="81"/>
        <v>569.03846153846143</v>
      </c>
      <c r="AE108" s="377">
        <v>0.04</v>
      </c>
      <c r="AF108" s="370">
        <f t="shared" si="82"/>
        <v>22.761538461538457</v>
      </c>
      <c r="AG108" s="1216">
        <v>591.79999999999995</v>
      </c>
      <c r="AH108" s="1215" t="s">
        <v>5</v>
      </c>
      <c r="AI108" s="1177">
        <f t="shared" si="83"/>
        <v>95.192307692307693</v>
      </c>
      <c r="AJ108" s="1175">
        <v>0.25</v>
      </c>
      <c r="AK108" s="1179">
        <f t="shared" si="61"/>
        <v>126.92307692307692</v>
      </c>
      <c r="AL108" s="1175">
        <v>0</v>
      </c>
      <c r="AM108" s="1174">
        <v>0</v>
      </c>
      <c r="AN108" s="1178"/>
      <c r="AO108" s="1175">
        <v>0.04</v>
      </c>
      <c r="AP108" s="1175"/>
      <c r="AQ108" s="1204">
        <v>132</v>
      </c>
      <c r="AR108" s="1202" t="s">
        <v>2224</v>
      </c>
      <c r="AS108" s="1177" t="str">
        <f t="shared" si="67"/>
        <v/>
      </c>
      <c r="AT108" s="1151"/>
      <c r="AU108" s="1179">
        <f t="shared" si="68"/>
        <v>0</v>
      </c>
      <c r="AV108" s="1151"/>
      <c r="AW108" s="1151"/>
      <c r="AX108" s="1151"/>
      <c r="AY108" s="1151"/>
      <c r="AZ108" s="1151"/>
      <c r="BA108" s="183"/>
      <c r="BB108" s="1202" t="s">
        <v>2224</v>
      </c>
      <c r="BC108" s="1177" t="str">
        <f t="shared" si="69"/>
        <v/>
      </c>
      <c r="BD108" s="1151"/>
      <c r="BE108" s="1179">
        <f t="shared" si="70"/>
        <v>0</v>
      </c>
      <c r="BF108" s="1151"/>
      <c r="BG108" s="1151"/>
      <c r="BH108" s="1151"/>
      <c r="BI108" s="1151"/>
      <c r="BJ108" s="1151"/>
      <c r="BK108" s="183"/>
      <c r="BL108" s="1202" t="s">
        <v>2224</v>
      </c>
      <c r="BM108" s="1151"/>
      <c r="BN108" s="1151"/>
      <c r="BO108" s="1151"/>
      <c r="BP108" s="1151"/>
      <c r="BQ108" s="1151"/>
      <c r="BR108" s="1151"/>
      <c r="BS108" s="1151"/>
      <c r="BT108" s="1151"/>
      <c r="BU108" s="183"/>
      <c r="BV108" s="1202" t="s">
        <v>2224</v>
      </c>
      <c r="BW108" s="1151"/>
      <c r="BX108" s="1151"/>
      <c r="BY108" s="1151"/>
      <c r="BZ108" s="1151"/>
      <c r="CA108" s="1151"/>
      <c r="CB108" s="1151"/>
      <c r="CC108" s="1151"/>
      <c r="CD108" s="1151"/>
      <c r="CE108" s="183"/>
    </row>
    <row r="109" spans="1:83" s="659" customFormat="1">
      <c r="A109" s="291" t="b">
        <v>0</v>
      </c>
      <c r="B109" s="291" t="s">
        <v>2244</v>
      </c>
      <c r="C109" s="291" t="b">
        <f t="shared" si="72"/>
        <v>1</v>
      </c>
      <c r="D109" s="388" t="str">
        <f>IF(C109=FALSE=NAMES!$B$8,"",IF(L109="N/A","N/A",O109&amp;N109&amp;L109&amp;"-"&amp;M109))</f>
        <v/>
      </c>
      <c r="E109" s="392" t="str">
        <f t="shared" si="50"/>
        <v>2016USDAIG Luxembourg-Vitale-12months</v>
      </c>
      <c r="F109" s="1236" t="str">
        <f t="shared" si="74"/>
        <v>2016USDAIG Luxembourg-Healthcare PlanVitale-12months</v>
      </c>
      <c r="G109" s="1240" t="str">
        <f t="shared" si="75"/>
        <v>2016USDAIG Luxembourg-Assistance and RepatriationVitale-12months</v>
      </c>
      <c r="H109" s="1240" t="str">
        <f t="shared" si="76"/>
        <v>N/A</v>
      </c>
      <c r="I109" s="1240" t="str">
        <f t="shared" si="77"/>
        <v>N/A</v>
      </c>
      <c r="J109" s="1240" t="str">
        <f t="shared" si="78"/>
        <v>N/A</v>
      </c>
      <c r="K109" s="1240" t="str">
        <f t="shared" si="79"/>
        <v>N/A</v>
      </c>
      <c r="L109" s="392" t="s">
        <v>4</v>
      </c>
      <c r="M109" s="392" t="s">
        <v>2540</v>
      </c>
      <c r="N109" s="392" t="s">
        <v>87</v>
      </c>
      <c r="O109" s="376">
        <v>2016</v>
      </c>
      <c r="P109" s="376" t="s">
        <v>26</v>
      </c>
      <c r="Q109" s="376" t="s">
        <v>1</v>
      </c>
      <c r="R109" s="378">
        <v>15</v>
      </c>
      <c r="S109" s="392" t="s">
        <v>2213</v>
      </c>
      <c r="T109" s="392"/>
      <c r="U109" s="392"/>
      <c r="V109" s="584">
        <v>365</v>
      </c>
      <c r="W109" s="1228">
        <f t="shared" si="80"/>
        <v>152.4</v>
      </c>
      <c r="X109" s="197" t="s">
        <v>3</v>
      </c>
      <c r="Y109" s="1188">
        <f t="shared" si="58"/>
        <v>114.30000000000001</v>
      </c>
      <c r="Z109" s="377">
        <v>0.25</v>
      </c>
      <c r="AA109" s="1189">
        <f t="shared" si="59"/>
        <v>152.4</v>
      </c>
      <c r="AB109" s="377">
        <v>0</v>
      </c>
      <c r="AC109" s="378">
        <v>0</v>
      </c>
      <c r="AD109" s="1100">
        <f t="shared" si="81"/>
        <v>152.4</v>
      </c>
      <c r="AE109" s="377">
        <v>0.04</v>
      </c>
      <c r="AF109" s="370">
        <f t="shared" si="82"/>
        <v>6.0960000000000001</v>
      </c>
      <c r="AG109" s="1222">
        <v>158.49600000000001</v>
      </c>
      <c r="AH109" s="1215" t="s">
        <v>5</v>
      </c>
      <c r="AI109" s="1177">
        <f t="shared" si="83"/>
        <v>0</v>
      </c>
      <c r="AJ109" s="378"/>
      <c r="AK109" s="1179">
        <f t="shared" si="61"/>
        <v>0</v>
      </c>
      <c r="AL109" s="378"/>
      <c r="AM109" s="378"/>
      <c r="AN109" s="378"/>
      <c r="AO109" s="378"/>
      <c r="AP109" s="378"/>
      <c r="AQ109" s="1216"/>
      <c r="AR109" s="1202" t="s">
        <v>2224</v>
      </c>
      <c r="AS109" s="1177" t="str">
        <f t="shared" si="67"/>
        <v/>
      </c>
      <c r="AT109" s="1151"/>
      <c r="AU109" s="1179">
        <f t="shared" si="68"/>
        <v>0</v>
      </c>
      <c r="AV109" s="1151"/>
      <c r="AW109" s="1151"/>
      <c r="AX109" s="1151"/>
      <c r="AY109" s="1151"/>
      <c r="AZ109" s="1151"/>
      <c r="BA109" s="183"/>
      <c r="BB109" s="1202" t="s">
        <v>2224</v>
      </c>
      <c r="BC109" s="1177" t="str">
        <f t="shared" si="69"/>
        <v/>
      </c>
      <c r="BD109" s="1151"/>
      <c r="BE109" s="1179">
        <f t="shared" si="70"/>
        <v>0</v>
      </c>
      <c r="BF109" s="1151"/>
      <c r="BG109" s="1151"/>
      <c r="BH109" s="1151"/>
      <c r="BI109" s="1151"/>
      <c r="BJ109" s="1151"/>
      <c r="BK109" s="183"/>
      <c r="BL109" s="1202" t="s">
        <v>2224</v>
      </c>
      <c r="BM109" s="1151"/>
      <c r="BN109" s="1151"/>
      <c r="BO109" s="1151"/>
      <c r="BP109" s="1151"/>
      <c r="BQ109" s="1151"/>
      <c r="BR109" s="1151"/>
      <c r="BS109" s="1151"/>
      <c r="BT109" s="1151"/>
      <c r="BU109" s="183"/>
      <c r="BV109" s="1202" t="s">
        <v>2224</v>
      </c>
      <c r="BW109" s="1151"/>
      <c r="BX109" s="1151"/>
      <c r="BY109" s="1151"/>
      <c r="BZ109" s="1151"/>
      <c r="CA109" s="1151"/>
      <c r="CB109" s="1151"/>
      <c r="CC109" s="1151"/>
      <c r="CD109" s="1151"/>
      <c r="CE109" s="183"/>
    </row>
    <row r="110" spans="1:83" s="659" customFormat="1">
      <c r="A110" s="291" t="b">
        <v>0</v>
      </c>
      <c r="B110" s="291" t="s">
        <v>2244</v>
      </c>
      <c r="C110" s="291" t="b">
        <f t="shared" si="72"/>
        <v>1</v>
      </c>
      <c r="D110" s="388" t="str">
        <f>IF(C110=FALSE=NAMES!$B$8,"",IF(L110="N/A","N/A",O110&amp;N110&amp;L110&amp;"-"&amp;M110))</f>
        <v/>
      </c>
      <c r="E110" s="392" t="str">
        <f t="shared" si="50"/>
        <v>2016USDAIG Luxembourg-Vitale-6months</v>
      </c>
      <c r="F110" s="1236" t="str">
        <f t="shared" si="74"/>
        <v>2016USDAIG Luxembourg-Healthcare PlanVitale-6months</v>
      </c>
      <c r="G110" s="1240" t="str">
        <f t="shared" si="75"/>
        <v>2016USDAIG Luxembourg-Assistance and RepatriationVitale-6months</v>
      </c>
      <c r="H110" s="1240" t="str">
        <f t="shared" si="76"/>
        <v>N/A</v>
      </c>
      <c r="I110" s="1240" t="str">
        <f t="shared" si="77"/>
        <v>N/A</v>
      </c>
      <c r="J110" s="1240" t="str">
        <f t="shared" si="78"/>
        <v>N/A</v>
      </c>
      <c r="K110" s="1240" t="str">
        <f t="shared" si="79"/>
        <v>N/A</v>
      </c>
      <c r="L110" s="392" t="s">
        <v>4</v>
      </c>
      <c r="M110" s="392" t="s">
        <v>2541</v>
      </c>
      <c r="N110" s="392" t="s">
        <v>87</v>
      </c>
      <c r="O110" s="376">
        <v>2016</v>
      </c>
      <c r="P110" s="376" t="s">
        <v>26</v>
      </c>
      <c r="Q110" s="376" t="s">
        <v>1</v>
      </c>
      <c r="R110" s="378">
        <v>15</v>
      </c>
      <c r="S110" s="392" t="s">
        <v>2213</v>
      </c>
      <c r="T110" s="392"/>
      <c r="U110" s="392"/>
      <c r="V110" s="584">
        <v>180</v>
      </c>
      <c r="W110" s="1228">
        <f t="shared" si="80"/>
        <v>100.24</v>
      </c>
      <c r="X110" s="197" t="s">
        <v>3</v>
      </c>
      <c r="Y110" s="1188">
        <f t="shared" si="58"/>
        <v>75.179999999999993</v>
      </c>
      <c r="Z110" s="377">
        <v>0.25</v>
      </c>
      <c r="AA110" s="1189">
        <f t="shared" si="59"/>
        <v>100.24</v>
      </c>
      <c r="AB110" s="377">
        <v>0</v>
      </c>
      <c r="AC110" s="378">
        <v>0</v>
      </c>
      <c r="AD110" s="1100">
        <f t="shared" si="81"/>
        <v>100.24</v>
      </c>
      <c r="AE110" s="377">
        <v>0.04</v>
      </c>
      <c r="AF110" s="370">
        <f t="shared" si="82"/>
        <v>4.0095999999999998</v>
      </c>
      <c r="AG110" s="1222">
        <v>104.2496</v>
      </c>
      <c r="AH110" s="1215" t="s">
        <v>5</v>
      </c>
      <c r="AI110" s="1177">
        <f t="shared" si="83"/>
        <v>0</v>
      </c>
      <c r="AJ110" s="378"/>
      <c r="AK110" s="1179">
        <f t="shared" si="61"/>
        <v>0</v>
      </c>
      <c r="AL110" s="378"/>
      <c r="AM110" s="378"/>
      <c r="AN110" s="378"/>
      <c r="AO110" s="378"/>
      <c r="AP110" s="378"/>
      <c r="AQ110" s="1216"/>
      <c r="AR110" s="1202" t="s">
        <v>2224</v>
      </c>
      <c r="AS110" s="1177" t="str">
        <f t="shared" si="67"/>
        <v/>
      </c>
      <c r="AT110" s="1151"/>
      <c r="AU110" s="1179">
        <f t="shared" si="68"/>
        <v>0</v>
      </c>
      <c r="AV110" s="1151"/>
      <c r="AW110" s="1151"/>
      <c r="AX110" s="1151"/>
      <c r="AY110" s="1151"/>
      <c r="AZ110" s="1151"/>
      <c r="BA110" s="183"/>
      <c r="BB110" s="1202" t="s">
        <v>2224</v>
      </c>
      <c r="BC110" s="1177" t="str">
        <f t="shared" si="69"/>
        <v/>
      </c>
      <c r="BD110" s="1151"/>
      <c r="BE110" s="1179">
        <f t="shared" si="70"/>
        <v>0</v>
      </c>
      <c r="BF110" s="1151"/>
      <c r="BG110" s="1151"/>
      <c r="BH110" s="1151"/>
      <c r="BI110" s="1151"/>
      <c r="BJ110" s="1151"/>
      <c r="BK110" s="183"/>
      <c r="BL110" s="1202" t="s">
        <v>2224</v>
      </c>
      <c r="BM110" s="1151"/>
      <c r="BN110" s="1151"/>
      <c r="BO110" s="1151"/>
      <c r="BP110" s="1151"/>
      <c r="BQ110" s="1151"/>
      <c r="BR110" s="1151"/>
      <c r="BS110" s="1151"/>
      <c r="BT110" s="1151"/>
      <c r="BU110" s="183"/>
      <c r="BV110" s="1202" t="s">
        <v>2224</v>
      </c>
      <c r="BW110" s="1151"/>
      <c r="BX110" s="1151"/>
      <c r="BY110" s="1151"/>
      <c r="BZ110" s="1151"/>
      <c r="CA110" s="1151"/>
      <c r="CB110" s="1151"/>
      <c r="CC110" s="1151"/>
      <c r="CD110" s="1151"/>
      <c r="CE110" s="183"/>
    </row>
    <row r="111" spans="1:83" s="659" customFormat="1">
      <c r="A111" s="291" t="b">
        <v>0</v>
      </c>
      <c r="B111" s="291" t="s">
        <v>2244</v>
      </c>
      <c r="C111" s="291" t="b">
        <f t="shared" si="72"/>
        <v>1</v>
      </c>
      <c r="D111" s="388" t="str">
        <f>IF(C111=FALSE=NAMES!$B$8,"",IF(L111="N/A","N/A",O111&amp;N111&amp;L111&amp;"-"&amp;M111))</f>
        <v/>
      </c>
      <c r="E111" s="392" t="str">
        <f t="shared" si="50"/>
        <v>2016USDAnker Verzekeringen n.v.-Medical Excellent and Homeland</v>
      </c>
      <c r="F111" s="1236" t="str">
        <f t="shared" si="74"/>
        <v>2016USDAnker Verzekeringen n.v.-Healthcare PlanMedical Excellent and Homeland</v>
      </c>
      <c r="G111" s="1240" t="str">
        <f t="shared" si="75"/>
        <v>2016USDAnker Verzekeringen n.v.-Assistance and RepatriationMedical Excellent and Homeland</v>
      </c>
      <c r="H111" s="1240" t="str">
        <f t="shared" si="76"/>
        <v>N/A</v>
      </c>
      <c r="I111" s="1240" t="str">
        <f t="shared" si="77"/>
        <v>N/A</v>
      </c>
      <c r="J111" s="1240" t="str">
        <f t="shared" si="78"/>
        <v>N/A</v>
      </c>
      <c r="K111" s="1240" t="str">
        <f t="shared" si="79"/>
        <v>N/A</v>
      </c>
      <c r="L111" s="392" t="s">
        <v>7</v>
      </c>
      <c r="M111" s="392" t="s">
        <v>2121</v>
      </c>
      <c r="N111" s="392" t="s">
        <v>87</v>
      </c>
      <c r="O111" s="376">
        <v>2016</v>
      </c>
      <c r="P111" s="376" t="s">
        <v>2234</v>
      </c>
      <c r="Q111" s="376" t="s">
        <v>1</v>
      </c>
      <c r="R111" s="378">
        <v>547.5</v>
      </c>
      <c r="S111" s="392" t="s">
        <v>2213</v>
      </c>
      <c r="T111" s="392"/>
      <c r="U111" s="392"/>
      <c r="V111" s="584">
        <v>365</v>
      </c>
      <c r="W111" s="1228">
        <f t="shared" si="80"/>
        <v>1275.0769230769231</v>
      </c>
      <c r="X111" s="197" t="s">
        <v>3</v>
      </c>
      <c r="Y111" s="1188">
        <f t="shared" si="58"/>
        <v>840.77692307692303</v>
      </c>
      <c r="Z111" s="377">
        <v>0.27500000000000002</v>
      </c>
      <c r="AA111" s="1189">
        <f t="shared" si="59"/>
        <v>1159.6923076923076</v>
      </c>
      <c r="AB111" s="377">
        <v>0</v>
      </c>
      <c r="AC111" s="378">
        <v>0</v>
      </c>
      <c r="AD111" s="1100">
        <f t="shared" si="81"/>
        <v>1159.6923076923076</v>
      </c>
      <c r="AE111" s="377">
        <v>0.04</v>
      </c>
      <c r="AF111" s="370">
        <f t="shared" si="82"/>
        <v>46.387692307692305</v>
      </c>
      <c r="AG111" s="1222">
        <v>1206.08</v>
      </c>
      <c r="AH111" s="1215" t="s">
        <v>5</v>
      </c>
      <c r="AI111" s="1177">
        <f t="shared" si="83"/>
        <v>83.653846153846146</v>
      </c>
      <c r="AJ111" s="1175">
        <v>0.27500000000000002</v>
      </c>
      <c r="AK111" s="1179">
        <f t="shared" si="61"/>
        <v>115.38461538461539</v>
      </c>
      <c r="AL111" s="1175">
        <v>0</v>
      </c>
      <c r="AM111" s="1174">
        <v>0</v>
      </c>
      <c r="AN111" s="1178"/>
      <c r="AO111" s="1175">
        <v>0.04</v>
      </c>
      <c r="AP111" s="1175"/>
      <c r="AQ111" s="1204">
        <v>120</v>
      </c>
      <c r="AR111" s="1202" t="s">
        <v>2224</v>
      </c>
      <c r="AS111" s="1177" t="str">
        <f t="shared" si="67"/>
        <v/>
      </c>
      <c r="AT111" s="1151"/>
      <c r="AU111" s="1179">
        <f t="shared" si="68"/>
        <v>0</v>
      </c>
      <c r="AV111" s="1151"/>
      <c r="AW111" s="1151"/>
      <c r="AX111" s="1151"/>
      <c r="AY111" s="1151"/>
      <c r="AZ111" s="1151"/>
      <c r="BA111" s="183"/>
      <c r="BB111" s="1202" t="s">
        <v>2224</v>
      </c>
      <c r="BC111" s="1177" t="str">
        <f t="shared" si="69"/>
        <v/>
      </c>
      <c r="BD111" s="1151"/>
      <c r="BE111" s="1179">
        <f t="shared" si="70"/>
        <v>0</v>
      </c>
      <c r="BF111" s="1151"/>
      <c r="BG111" s="1151"/>
      <c r="BH111" s="1151"/>
      <c r="BI111" s="1151"/>
      <c r="BJ111" s="1151"/>
      <c r="BK111" s="183"/>
      <c r="BL111" s="1202" t="s">
        <v>2224</v>
      </c>
      <c r="BM111" s="480"/>
      <c r="BN111" s="480"/>
      <c r="BO111" s="480"/>
      <c r="BP111" s="480"/>
      <c r="BQ111" s="480"/>
      <c r="BR111" s="480"/>
      <c r="BS111" s="480"/>
      <c r="BT111" s="480"/>
      <c r="BU111" s="487"/>
      <c r="BV111" s="1202" t="s">
        <v>2224</v>
      </c>
      <c r="BW111" s="1151"/>
      <c r="BX111" s="1151"/>
      <c r="BY111" s="1151"/>
      <c r="BZ111" s="1151"/>
      <c r="CA111" s="1151"/>
      <c r="CB111" s="1151"/>
      <c r="CC111" s="1151"/>
      <c r="CD111" s="1151"/>
      <c r="CE111" s="183"/>
    </row>
    <row r="112" spans="1:83" s="375" customFormat="1">
      <c r="A112" s="291" t="b">
        <v>0</v>
      </c>
      <c r="B112" s="291" t="s">
        <v>2244</v>
      </c>
      <c r="C112" s="291" t="b">
        <f t="shared" ref="C112:C171" si="84">IF(B112="N/A","",IF(B112="newRates",FALSE,TRUE))</f>
        <v>1</v>
      </c>
      <c r="D112" s="388" t="str">
        <f>IF(C112=FALSE=NAMES!$B$8,"",IF(L112="N/A","N/A",O112&amp;N112&amp;L112&amp;"-"&amp;M112))</f>
        <v/>
      </c>
      <c r="E112" s="392" t="str">
        <f t="shared" si="50"/>
        <v>N/A</v>
      </c>
      <c r="F112" s="1236" t="str">
        <f t="shared" si="74"/>
        <v>N/A</v>
      </c>
      <c r="G112" s="1240" t="str">
        <f t="shared" si="75"/>
        <v>N/A</v>
      </c>
      <c r="H112" s="1240" t="str">
        <f t="shared" si="76"/>
        <v>N/A</v>
      </c>
      <c r="I112" s="1240" t="str">
        <f t="shared" si="77"/>
        <v>N/A</v>
      </c>
      <c r="J112" s="1240" t="str">
        <f t="shared" si="78"/>
        <v>N/A</v>
      </c>
      <c r="K112" s="1240" t="str">
        <f t="shared" si="79"/>
        <v>N/A</v>
      </c>
      <c r="L112" s="389" t="s">
        <v>2224</v>
      </c>
      <c r="M112" s="392"/>
      <c r="N112" s="392"/>
      <c r="O112" s="376"/>
      <c r="P112" s="376"/>
      <c r="Q112" s="376"/>
      <c r="R112" s="378"/>
      <c r="S112" s="392"/>
      <c r="T112" s="392"/>
      <c r="U112" s="392"/>
      <c r="V112" s="382"/>
      <c r="W112" s="1228" t="str">
        <f t="shared" si="80"/>
        <v/>
      </c>
      <c r="X112" s="388" t="s">
        <v>2224</v>
      </c>
      <c r="Y112" s="1188" t="str">
        <f t="shared" si="58"/>
        <v/>
      </c>
      <c r="Z112" s="377"/>
      <c r="AA112" s="1189" t="str">
        <f t="shared" si="59"/>
        <v/>
      </c>
      <c r="AB112" s="377" t="str">
        <f>IF(E112="N/A","",$AB$2)</f>
        <v/>
      </c>
      <c r="AC112" s="371"/>
      <c r="AD112" s="1100" t="str">
        <f t="shared" si="81"/>
        <v/>
      </c>
      <c r="AE112" s="377"/>
      <c r="AF112" s="370" t="str">
        <f t="shared" si="82"/>
        <v/>
      </c>
      <c r="AG112" s="1216"/>
      <c r="AH112" s="1202" t="s">
        <v>2224</v>
      </c>
      <c r="AI112" s="1177" t="str">
        <f t="shared" si="60"/>
        <v/>
      </c>
      <c r="AJ112" s="378"/>
      <c r="AK112" s="1179" t="str">
        <f t="shared" si="61"/>
        <v/>
      </c>
      <c r="AL112" s="378"/>
      <c r="AM112" s="378"/>
      <c r="AN112" s="378"/>
      <c r="AO112" s="378"/>
      <c r="AP112" s="378"/>
      <c r="AQ112" s="1216"/>
      <c r="AR112" s="1202" t="s">
        <v>2224</v>
      </c>
      <c r="AS112" s="1177" t="str">
        <f t="shared" si="67"/>
        <v/>
      </c>
      <c r="AT112" s="1151"/>
      <c r="AU112" s="1179">
        <f t="shared" si="68"/>
        <v>0</v>
      </c>
      <c r="AV112" s="1151"/>
      <c r="AW112" s="1151"/>
      <c r="AX112" s="1151"/>
      <c r="AY112" s="1151"/>
      <c r="AZ112" s="1151"/>
      <c r="BA112" s="183"/>
      <c r="BB112" s="1202" t="s">
        <v>2224</v>
      </c>
      <c r="BC112" s="1177" t="str">
        <f t="shared" si="69"/>
        <v/>
      </c>
      <c r="BD112" s="1151"/>
      <c r="BE112" s="1179">
        <f t="shared" si="70"/>
        <v>0</v>
      </c>
      <c r="BF112" s="1151"/>
      <c r="BG112" s="1151"/>
      <c r="BH112" s="1151"/>
      <c r="BI112" s="1151"/>
      <c r="BJ112" s="1151"/>
      <c r="BK112" s="183"/>
      <c r="BL112" s="1202" t="s">
        <v>2224</v>
      </c>
      <c r="BM112" s="1151"/>
      <c r="BN112" s="1151"/>
      <c r="BO112" s="1151"/>
      <c r="BP112" s="1151"/>
      <c r="BQ112" s="1151"/>
      <c r="BR112" s="1151"/>
      <c r="BS112" s="1151"/>
      <c r="BT112" s="1151"/>
      <c r="BU112" s="183"/>
      <c r="BV112" s="1202" t="s">
        <v>2224</v>
      </c>
      <c r="BW112" s="1151"/>
      <c r="BX112" s="1151"/>
      <c r="BY112" s="1151"/>
      <c r="BZ112" s="1151"/>
      <c r="CA112" s="1151"/>
      <c r="CB112" s="1151"/>
      <c r="CC112" s="1151"/>
      <c r="CD112" s="1151"/>
      <c r="CE112" s="183"/>
    </row>
    <row r="113" spans="1:83" s="375" customFormat="1">
      <c r="A113" s="197" t="b">
        <v>0</v>
      </c>
      <c r="B113" s="197" t="s">
        <v>2244</v>
      </c>
      <c r="C113" s="197" t="b">
        <f t="shared" ref="C113:C135" si="85">IF(B113="N/A","",IF(B113="newRates",FALSE,TRUE))</f>
        <v>1</v>
      </c>
      <c r="D113" s="388" t="str">
        <f>IF(C113=FALSE=NAMES!$B$8,"",IF(L113="N/A","N/A",O113&amp;N113&amp;L113&amp;"-"&amp;M113))</f>
        <v/>
      </c>
      <c r="E113" s="392" t="str">
        <f t="shared" si="50"/>
        <v>2015USDAIG Luxembourg-Adulte AIG expat 100% excluding USA/Canada</v>
      </c>
      <c r="F113" s="1236" t="str">
        <f t="shared" si="74"/>
        <v>2015USDAIG Luxembourg-Healthcare PlanAdulte AIG expat 100% excluding USA/Canada</v>
      </c>
      <c r="G113" s="1240" t="str">
        <f t="shared" si="75"/>
        <v>2015USDAIG Luxembourg-Assistance and RepatriationAdulte AIG expat 100% excluding USA/Canada</v>
      </c>
      <c r="H113" s="1240" t="str">
        <f t="shared" si="76"/>
        <v>N/A</v>
      </c>
      <c r="I113" s="1240" t="str">
        <f t="shared" si="77"/>
        <v>N/A</v>
      </c>
      <c r="J113" s="1240" t="str">
        <f t="shared" si="78"/>
        <v>N/A</v>
      </c>
      <c r="K113" s="1240" t="str">
        <f t="shared" si="79"/>
        <v>N/A</v>
      </c>
      <c r="L113" s="392" t="s">
        <v>4</v>
      </c>
      <c r="M113" s="1127" t="s">
        <v>2325</v>
      </c>
      <c r="N113" s="392" t="s">
        <v>87</v>
      </c>
      <c r="O113" s="376">
        <v>2015</v>
      </c>
      <c r="P113" s="376" t="s">
        <v>26</v>
      </c>
      <c r="Q113" s="376" t="s">
        <v>2169</v>
      </c>
      <c r="R113" s="378">
        <v>15</v>
      </c>
      <c r="S113" s="392" t="s">
        <v>2214</v>
      </c>
      <c r="T113" s="392"/>
      <c r="U113" s="392"/>
      <c r="V113" s="382">
        <v>365</v>
      </c>
      <c r="W113" s="1228">
        <f t="shared" si="80"/>
        <v>2612.1799999999998</v>
      </c>
      <c r="X113" s="197" t="s">
        <v>3</v>
      </c>
      <c r="Y113" s="1188">
        <f t="shared" si="58"/>
        <v>2220.3529999999996</v>
      </c>
      <c r="Z113" s="377">
        <v>0.15</v>
      </c>
      <c r="AA113" s="1189">
        <f t="shared" si="59"/>
        <v>2612.1799999999998</v>
      </c>
      <c r="AB113" s="377">
        <v>0</v>
      </c>
      <c r="AC113" s="378">
        <v>261.21800000000002</v>
      </c>
      <c r="AD113" s="1100">
        <f t="shared" si="81"/>
        <v>2873.3979999999997</v>
      </c>
      <c r="AE113" s="377">
        <v>0.04</v>
      </c>
      <c r="AF113" s="370">
        <f t="shared" si="82"/>
        <v>104.4872</v>
      </c>
      <c r="AG113" s="1216">
        <v>2716.6671999999999</v>
      </c>
      <c r="AH113" s="1215" t="s">
        <v>5</v>
      </c>
      <c r="AI113" s="1177">
        <f t="shared" si="60"/>
        <v>0</v>
      </c>
      <c r="AJ113" s="378"/>
      <c r="AK113" s="1179">
        <f t="shared" si="61"/>
        <v>0</v>
      </c>
      <c r="AL113" s="378"/>
      <c r="AM113" s="378"/>
      <c r="AN113" s="378"/>
      <c r="AO113" s="378"/>
      <c r="AP113" s="378"/>
      <c r="AQ113" s="1216"/>
      <c r="AR113" s="1202" t="s">
        <v>2224</v>
      </c>
      <c r="AS113" s="1177" t="str">
        <f t="shared" si="67"/>
        <v/>
      </c>
      <c r="AT113" s="1151"/>
      <c r="AU113" s="1179">
        <f t="shared" si="68"/>
        <v>0</v>
      </c>
      <c r="AV113" s="1151"/>
      <c r="AW113" s="1151"/>
      <c r="AX113" s="1151"/>
      <c r="AY113" s="1151"/>
      <c r="AZ113" s="1151"/>
      <c r="BA113" s="183"/>
      <c r="BB113" s="1202" t="s">
        <v>2224</v>
      </c>
      <c r="BC113" s="1177" t="str">
        <f t="shared" si="69"/>
        <v/>
      </c>
      <c r="BD113" s="1151"/>
      <c r="BE113" s="1179">
        <f t="shared" si="70"/>
        <v>0</v>
      </c>
      <c r="BF113" s="1151"/>
      <c r="BG113" s="1151"/>
      <c r="BH113" s="1151"/>
      <c r="BI113" s="1151"/>
      <c r="BJ113" s="1151"/>
      <c r="BK113" s="183"/>
      <c r="BL113" s="1202" t="s">
        <v>2224</v>
      </c>
      <c r="BM113" s="1109"/>
      <c r="BN113" s="1109"/>
      <c r="BO113" s="1109"/>
      <c r="BP113" s="1109"/>
      <c r="BQ113" s="1109"/>
      <c r="BR113" s="1109"/>
      <c r="BS113" s="1109"/>
      <c r="BT113" s="1109"/>
      <c r="BU113" s="380"/>
      <c r="BV113" s="1202" t="s">
        <v>2224</v>
      </c>
      <c r="BW113" s="1151"/>
      <c r="BX113" s="1151"/>
      <c r="BY113" s="1151"/>
      <c r="BZ113" s="1151"/>
      <c r="CA113" s="1151"/>
      <c r="CB113" s="1151"/>
      <c r="CC113" s="1151"/>
      <c r="CD113" s="1151"/>
      <c r="CE113" s="183"/>
    </row>
    <row r="114" spans="1:83" s="375" customFormat="1">
      <c r="A114" s="197" t="b">
        <v>0</v>
      </c>
      <c r="B114" s="197" t="s">
        <v>2244</v>
      </c>
      <c r="C114" s="197" t="b">
        <f t="shared" si="85"/>
        <v>1</v>
      </c>
      <c r="D114" s="388" t="str">
        <f>IF(C114=FALSE=NAMES!$B$8,"",IF(L114="N/A","N/A",O114&amp;N114&amp;L114&amp;"-"&amp;M114))</f>
        <v/>
      </c>
      <c r="E114" s="392" t="str">
        <f t="shared" si="50"/>
        <v>2015USDAIG Luxembourg-Adulte AIG expat 100% including USA/Canada</v>
      </c>
      <c r="F114" s="1236" t="str">
        <f t="shared" si="74"/>
        <v>2015USDAIG Luxembourg-Healthcare PlanAdulte AIG expat 100% including USA/Canada</v>
      </c>
      <c r="G114" s="1240" t="str">
        <f t="shared" si="75"/>
        <v>2015USDAIG Luxembourg-Assistance and RepatriationAdulte AIG expat 100% including USA/Canada</v>
      </c>
      <c r="H114" s="1240" t="str">
        <f t="shared" si="76"/>
        <v>N/A</v>
      </c>
      <c r="I114" s="1240" t="str">
        <f t="shared" si="77"/>
        <v>N/A</v>
      </c>
      <c r="J114" s="1240" t="str">
        <f t="shared" si="78"/>
        <v>N/A</v>
      </c>
      <c r="K114" s="1240" t="str">
        <f t="shared" si="79"/>
        <v>N/A</v>
      </c>
      <c r="L114" s="392" t="s">
        <v>4</v>
      </c>
      <c r="M114" s="1127" t="s">
        <v>2326</v>
      </c>
      <c r="N114" s="392" t="s">
        <v>87</v>
      </c>
      <c r="O114" s="376">
        <v>2015</v>
      </c>
      <c r="P114" s="376" t="s">
        <v>26</v>
      </c>
      <c r="Q114" s="376" t="s">
        <v>2169</v>
      </c>
      <c r="R114" s="378">
        <v>15</v>
      </c>
      <c r="S114" s="392" t="s">
        <v>2214</v>
      </c>
      <c r="T114" s="392"/>
      <c r="U114" s="392"/>
      <c r="V114" s="382">
        <v>365</v>
      </c>
      <c r="W114" s="1228">
        <f t="shared" si="80"/>
        <v>6000</v>
      </c>
      <c r="X114" s="197" t="s">
        <v>3</v>
      </c>
      <c r="Y114" s="1188">
        <f t="shared" si="58"/>
        <v>5100</v>
      </c>
      <c r="Z114" s="377">
        <v>0.15</v>
      </c>
      <c r="AA114" s="1189">
        <f t="shared" si="59"/>
        <v>6000</v>
      </c>
      <c r="AB114" s="377">
        <v>0</v>
      </c>
      <c r="AC114" s="378">
        <v>600</v>
      </c>
      <c r="AD114" s="1100">
        <f t="shared" si="81"/>
        <v>6600</v>
      </c>
      <c r="AE114" s="377">
        <v>0.04</v>
      </c>
      <c r="AF114" s="370">
        <f t="shared" si="82"/>
        <v>240</v>
      </c>
      <c r="AG114" s="1216">
        <v>6240</v>
      </c>
      <c r="AH114" s="1215" t="s">
        <v>5</v>
      </c>
      <c r="AI114" s="1177">
        <f t="shared" si="60"/>
        <v>0</v>
      </c>
      <c r="AJ114" s="378"/>
      <c r="AK114" s="1179">
        <f t="shared" si="61"/>
        <v>0</v>
      </c>
      <c r="AL114" s="378"/>
      <c r="AM114" s="378"/>
      <c r="AN114" s="378"/>
      <c r="AO114" s="378"/>
      <c r="AP114" s="378"/>
      <c r="AQ114" s="1216"/>
      <c r="AR114" s="1202" t="s">
        <v>2224</v>
      </c>
      <c r="AS114" s="1177" t="str">
        <f t="shared" si="67"/>
        <v/>
      </c>
      <c r="AT114" s="1151"/>
      <c r="AU114" s="1179">
        <f t="shared" si="68"/>
        <v>0</v>
      </c>
      <c r="AV114" s="1151"/>
      <c r="AW114" s="1151"/>
      <c r="AX114" s="1151"/>
      <c r="AY114" s="1151"/>
      <c r="AZ114" s="1151"/>
      <c r="BA114" s="183"/>
      <c r="BB114" s="1202" t="s">
        <v>2224</v>
      </c>
      <c r="BC114" s="1177" t="str">
        <f t="shared" si="69"/>
        <v/>
      </c>
      <c r="BD114" s="1151"/>
      <c r="BE114" s="1179">
        <f t="shared" si="70"/>
        <v>0</v>
      </c>
      <c r="BF114" s="1151"/>
      <c r="BG114" s="1151"/>
      <c r="BH114" s="1151"/>
      <c r="BI114" s="1151"/>
      <c r="BJ114" s="1151"/>
      <c r="BK114" s="183"/>
      <c r="BL114" s="1202" t="s">
        <v>2224</v>
      </c>
      <c r="BM114" s="1109"/>
      <c r="BN114" s="1109"/>
      <c r="BO114" s="1109"/>
      <c r="BP114" s="1109"/>
      <c r="BQ114" s="1109"/>
      <c r="BR114" s="1109"/>
      <c r="BS114" s="1109"/>
      <c r="BT114" s="1109"/>
      <c r="BU114" s="380"/>
      <c r="BV114" s="1202" t="s">
        <v>2224</v>
      </c>
      <c r="BW114" s="1151"/>
      <c r="BX114" s="1151"/>
      <c r="BY114" s="1151"/>
      <c r="BZ114" s="1151"/>
      <c r="CA114" s="1151"/>
      <c r="CB114" s="1151"/>
      <c r="CC114" s="1151"/>
      <c r="CD114" s="1151"/>
      <c r="CE114" s="183"/>
    </row>
    <row r="115" spans="1:83" s="375" customFormat="1">
      <c r="A115" s="197" t="b">
        <v>0</v>
      </c>
      <c r="B115" s="197" t="s">
        <v>2244</v>
      </c>
      <c r="C115" s="197" t="b">
        <f t="shared" si="85"/>
        <v>1</v>
      </c>
      <c r="D115" s="388" t="str">
        <f>IF(C115=FALSE=NAMES!$B$8,"",IF(L115="N/A","N/A",O115&amp;N115&amp;L115&amp;"-"&amp;M115))</f>
        <v/>
      </c>
      <c r="E115" s="392" t="str">
        <f t="shared" si="50"/>
        <v>2015USDAIG Luxembourg-Adulte AIG expat 80% excluding USA/Canada</v>
      </c>
      <c r="F115" s="1236" t="str">
        <f t="shared" si="74"/>
        <v>2015USDAIG Luxembourg-Healthcare PlanAdulte AIG expat 80% excluding USA/Canada</v>
      </c>
      <c r="G115" s="1240" t="str">
        <f t="shared" si="75"/>
        <v>2015USDAIG Luxembourg-Assistance and RepatriationAdulte AIG expat 80% excluding USA/Canada</v>
      </c>
      <c r="H115" s="1240" t="str">
        <f t="shared" si="76"/>
        <v>N/A</v>
      </c>
      <c r="I115" s="1240" t="str">
        <f t="shared" si="77"/>
        <v>N/A</v>
      </c>
      <c r="J115" s="1240" t="str">
        <f t="shared" si="78"/>
        <v>N/A</v>
      </c>
      <c r="K115" s="1240" t="str">
        <f t="shared" si="79"/>
        <v>N/A</v>
      </c>
      <c r="L115" s="392" t="s">
        <v>4</v>
      </c>
      <c r="M115" s="1127" t="s">
        <v>2327</v>
      </c>
      <c r="N115" s="392" t="s">
        <v>87</v>
      </c>
      <c r="O115" s="376">
        <v>2015</v>
      </c>
      <c r="P115" s="376" t="s">
        <v>26</v>
      </c>
      <c r="Q115" s="376" t="s">
        <v>2169</v>
      </c>
      <c r="R115" s="378">
        <v>15</v>
      </c>
      <c r="S115" s="392" t="s">
        <v>2214</v>
      </c>
      <c r="T115" s="392"/>
      <c r="U115" s="392"/>
      <c r="V115" s="382">
        <v>365</v>
      </c>
      <c r="W115" s="1228">
        <f t="shared" si="80"/>
        <v>2148.9423076923076</v>
      </c>
      <c r="X115" s="197" t="s">
        <v>3</v>
      </c>
      <c r="Y115" s="1188">
        <f t="shared" si="58"/>
        <v>1826.6009615384614</v>
      </c>
      <c r="Z115" s="377">
        <v>0.15</v>
      </c>
      <c r="AA115" s="1189">
        <f t="shared" si="59"/>
        <v>2148.9423076923076</v>
      </c>
      <c r="AB115" s="377">
        <v>0</v>
      </c>
      <c r="AC115" s="378">
        <v>214.89400000000001</v>
      </c>
      <c r="AD115" s="1100">
        <f t="shared" si="81"/>
        <v>2363.8363076923079</v>
      </c>
      <c r="AE115" s="377">
        <v>0.04</v>
      </c>
      <c r="AF115" s="370">
        <f t="shared" si="82"/>
        <v>85.957692307692312</v>
      </c>
      <c r="AG115" s="1216">
        <v>2234.9</v>
      </c>
      <c r="AH115" s="1215" t="s">
        <v>5</v>
      </c>
      <c r="AI115" s="1177">
        <f t="shared" si="60"/>
        <v>0</v>
      </c>
      <c r="AJ115" s="378"/>
      <c r="AK115" s="1179">
        <f t="shared" si="61"/>
        <v>0</v>
      </c>
      <c r="AL115" s="378"/>
      <c r="AM115" s="378"/>
      <c r="AN115" s="378"/>
      <c r="AO115" s="378"/>
      <c r="AP115" s="378"/>
      <c r="AQ115" s="1216"/>
      <c r="AR115" s="1202" t="s">
        <v>2224</v>
      </c>
      <c r="AS115" s="1177" t="str">
        <f t="shared" si="67"/>
        <v/>
      </c>
      <c r="AT115" s="1151"/>
      <c r="AU115" s="1179">
        <f t="shared" si="68"/>
        <v>0</v>
      </c>
      <c r="AV115" s="1151"/>
      <c r="AW115" s="1151"/>
      <c r="AX115" s="1151"/>
      <c r="AY115" s="1151"/>
      <c r="AZ115" s="1151"/>
      <c r="BA115" s="183"/>
      <c r="BB115" s="1202" t="s">
        <v>2224</v>
      </c>
      <c r="BC115" s="1177" t="str">
        <f t="shared" si="69"/>
        <v/>
      </c>
      <c r="BD115" s="1151"/>
      <c r="BE115" s="1179">
        <f t="shared" si="70"/>
        <v>0</v>
      </c>
      <c r="BF115" s="1151"/>
      <c r="BG115" s="1151"/>
      <c r="BH115" s="1151"/>
      <c r="BI115" s="1151"/>
      <c r="BJ115" s="1151"/>
      <c r="BK115" s="183"/>
      <c r="BL115" s="1202" t="s">
        <v>2224</v>
      </c>
      <c r="BM115" s="1109"/>
      <c r="BN115" s="1109"/>
      <c r="BO115" s="1109"/>
      <c r="BP115" s="1109"/>
      <c r="BQ115" s="1109"/>
      <c r="BR115" s="1109"/>
      <c r="BS115" s="1109"/>
      <c r="BT115" s="1109"/>
      <c r="BU115" s="380"/>
      <c r="BV115" s="1202" t="s">
        <v>2224</v>
      </c>
      <c r="BW115" s="1151"/>
      <c r="BX115" s="1151"/>
      <c r="BY115" s="1151"/>
      <c r="BZ115" s="1151"/>
      <c r="CA115" s="1151"/>
      <c r="CB115" s="1151"/>
      <c r="CC115" s="1151"/>
      <c r="CD115" s="1151"/>
      <c r="CE115" s="183"/>
    </row>
    <row r="116" spans="1:83" s="375" customFormat="1">
      <c r="A116" s="197" t="b">
        <v>0</v>
      </c>
      <c r="B116" s="197" t="s">
        <v>2244</v>
      </c>
      <c r="C116" s="197" t="b">
        <f t="shared" si="85"/>
        <v>1</v>
      </c>
      <c r="D116" s="388" t="str">
        <f>IF(C116=FALSE=NAMES!$B$8,"",IF(L116="N/A","N/A",O116&amp;N116&amp;L116&amp;"-"&amp;M116))</f>
        <v/>
      </c>
      <c r="E116" s="392" t="str">
        <f t="shared" si="50"/>
        <v>2015USDAIG Luxembourg-Adulte AIG expat 80% including USA/Canada</v>
      </c>
      <c r="F116" s="1236" t="str">
        <f t="shared" si="74"/>
        <v>2015USDAIG Luxembourg-Healthcare PlanAdulte AIG expat 80% including USA/Canada</v>
      </c>
      <c r="G116" s="1240" t="str">
        <f t="shared" si="75"/>
        <v>2015USDAIG Luxembourg-Assistance and RepatriationAdulte AIG expat 80% including USA/Canada</v>
      </c>
      <c r="H116" s="1240" t="str">
        <f t="shared" si="76"/>
        <v>N/A</v>
      </c>
      <c r="I116" s="1240" t="str">
        <f t="shared" si="77"/>
        <v>N/A</v>
      </c>
      <c r="J116" s="1240" t="str">
        <f t="shared" si="78"/>
        <v>N/A</v>
      </c>
      <c r="K116" s="1240" t="str">
        <f t="shared" si="79"/>
        <v>N/A</v>
      </c>
      <c r="L116" s="392" t="s">
        <v>4</v>
      </c>
      <c r="M116" s="1127" t="s">
        <v>2328</v>
      </c>
      <c r="N116" s="392" t="s">
        <v>87</v>
      </c>
      <c r="O116" s="376">
        <v>2015</v>
      </c>
      <c r="P116" s="376" t="s">
        <v>26</v>
      </c>
      <c r="Q116" s="376" t="s">
        <v>2169</v>
      </c>
      <c r="R116" s="378">
        <v>15</v>
      </c>
      <c r="S116" s="392" t="s">
        <v>2214</v>
      </c>
      <c r="T116" s="392"/>
      <c r="U116" s="392"/>
      <c r="V116" s="382">
        <v>365</v>
      </c>
      <c r="W116" s="1228">
        <f t="shared" si="80"/>
        <v>4900</v>
      </c>
      <c r="X116" s="197" t="s">
        <v>3</v>
      </c>
      <c r="Y116" s="1188">
        <f t="shared" si="58"/>
        <v>4165</v>
      </c>
      <c r="Z116" s="377">
        <v>0.15</v>
      </c>
      <c r="AA116" s="1189">
        <f t="shared" si="59"/>
        <v>4900</v>
      </c>
      <c r="AB116" s="377">
        <v>0</v>
      </c>
      <c r="AC116" s="378">
        <v>490</v>
      </c>
      <c r="AD116" s="1100">
        <f t="shared" si="81"/>
        <v>5390</v>
      </c>
      <c r="AE116" s="377">
        <v>0.04</v>
      </c>
      <c r="AF116" s="370">
        <f t="shared" si="82"/>
        <v>196</v>
      </c>
      <c r="AG116" s="1216">
        <v>5096</v>
      </c>
      <c r="AH116" s="1215" t="s">
        <v>5</v>
      </c>
      <c r="AI116" s="1177">
        <f t="shared" si="60"/>
        <v>0</v>
      </c>
      <c r="AJ116" s="378"/>
      <c r="AK116" s="1179">
        <f t="shared" si="61"/>
        <v>0</v>
      </c>
      <c r="AL116" s="378"/>
      <c r="AM116" s="378"/>
      <c r="AN116" s="378"/>
      <c r="AO116" s="378"/>
      <c r="AP116" s="378"/>
      <c r="AQ116" s="1216"/>
      <c r="AR116" s="1202" t="s">
        <v>2224</v>
      </c>
      <c r="AS116" s="1177" t="str">
        <f t="shared" si="67"/>
        <v/>
      </c>
      <c r="AT116" s="1151"/>
      <c r="AU116" s="1179">
        <f t="shared" si="68"/>
        <v>0</v>
      </c>
      <c r="AV116" s="1151"/>
      <c r="AW116" s="1151"/>
      <c r="AX116" s="1151"/>
      <c r="AY116" s="1151"/>
      <c r="AZ116" s="1151"/>
      <c r="BA116" s="183"/>
      <c r="BB116" s="1202" t="s">
        <v>2224</v>
      </c>
      <c r="BC116" s="1177" t="str">
        <f t="shared" si="69"/>
        <v/>
      </c>
      <c r="BD116" s="1151"/>
      <c r="BE116" s="1179">
        <f t="shared" si="70"/>
        <v>0</v>
      </c>
      <c r="BF116" s="1151"/>
      <c r="BG116" s="1151"/>
      <c r="BH116" s="1151"/>
      <c r="BI116" s="1151"/>
      <c r="BJ116" s="1151"/>
      <c r="BK116" s="183"/>
      <c r="BL116" s="1202" t="s">
        <v>2224</v>
      </c>
      <c r="BM116" s="1109"/>
      <c r="BN116" s="1109"/>
      <c r="BO116" s="1109"/>
      <c r="BP116" s="1109"/>
      <c r="BQ116" s="1109"/>
      <c r="BR116" s="1109"/>
      <c r="BS116" s="1109"/>
      <c r="BT116" s="1109"/>
      <c r="BU116" s="380"/>
      <c r="BV116" s="1202" t="s">
        <v>2224</v>
      </c>
      <c r="BW116" s="1151"/>
      <c r="BX116" s="1151"/>
      <c r="BY116" s="1151"/>
      <c r="BZ116" s="1151"/>
      <c r="CA116" s="1151"/>
      <c r="CB116" s="1151"/>
      <c r="CC116" s="1151"/>
      <c r="CD116" s="1151"/>
      <c r="CE116" s="183"/>
    </row>
    <row r="117" spans="1:83" s="375" customFormat="1">
      <c r="A117" s="197" t="b">
        <v>0</v>
      </c>
      <c r="B117" s="197" t="s">
        <v>2244</v>
      </c>
      <c r="C117" s="197" t="b">
        <f t="shared" si="85"/>
        <v>1</v>
      </c>
      <c r="D117" s="388" t="str">
        <f>IF(C117=FALSE=NAMES!$B$8,"",IF(L117="N/A","N/A",O117&amp;N117&amp;L117&amp;"-"&amp;M117))</f>
        <v/>
      </c>
      <c r="E117" s="392" t="str">
        <f t="shared" si="50"/>
        <v>2015USDAIG Luxembourg-Adulte AIG expat 90% excluding USA/Canada</v>
      </c>
      <c r="F117" s="1236" t="str">
        <f t="shared" si="74"/>
        <v>2015USDAIG Luxembourg-Healthcare PlanAdulte AIG expat 90% excluding USA/Canada</v>
      </c>
      <c r="G117" s="1240" t="str">
        <f t="shared" si="75"/>
        <v>2015USDAIG Luxembourg-Assistance and RepatriationAdulte AIG expat 90% excluding USA/Canada</v>
      </c>
      <c r="H117" s="1240" t="str">
        <f t="shared" si="76"/>
        <v>N/A</v>
      </c>
      <c r="I117" s="1240" t="str">
        <f t="shared" si="77"/>
        <v>N/A</v>
      </c>
      <c r="J117" s="1240" t="str">
        <f t="shared" si="78"/>
        <v>N/A</v>
      </c>
      <c r="K117" s="1240" t="str">
        <f t="shared" si="79"/>
        <v>N/A</v>
      </c>
      <c r="L117" s="392" t="s">
        <v>4</v>
      </c>
      <c r="M117" s="1127" t="s">
        <v>2329</v>
      </c>
      <c r="N117" s="392" t="s">
        <v>87</v>
      </c>
      <c r="O117" s="376">
        <v>2015</v>
      </c>
      <c r="P117" s="376" t="s">
        <v>26</v>
      </c>
      <c r="Q117" s="376" t="s">
        <v>2169</v>
      </c>
      <c r="R117" s="378">
        <v>15</v>
      </c>
      <c r="S117" s="392" t="s">
        <v>2214</v>
      </c>
      <c r="T117" s="392"/>
      <c r="U117" s="392"/>
      <c r="V117" s="382">
        <v>365</v>
      </c>
      <c r="W117" s="1228">
        <f t="shared" si="80"/>
        <v>2380.5576923076924</v>
      </c>
      <c r="X117" s="197" t="s">
        <v>3</v>
      </c>
      <c r="Y117" s="1188">
        <f t="shared" si="58"/>
        <v>2023.4740384615384</v>
      </c>
      <c r="Z117" s="377">
        <v>0.15</v>
      </c>
      <c r="AA117" s="1189">
        <f t="shared" si="59"/>
        <v>2380.5576923076924</v>
      </c>
      <c r="AB117" s="377">
        <v>0</v>
      </c>
      <c r="AC117" s="378">
        <v>238.05600000000001</v>
      </c>
      <c r="AD117" s="1100">
        <f t="shared" si="81"/>
        <v>2618.6136923076924</v>
      </c>
      <c r="AE117" s="377">
        <v>0.04</v>
      </c>
      <c r="AF117" s="370">
        <f t="shared" si="82"/>
        <v>95.222307692307695</v>
      </c>
      <c r="AG117" s="1216">
        <v>2475.7800000000002</v>
      </c>
      <c r="AH117" s="1215" t="s">
        <v>5</v>
      </c>
      <c r="AI117" s="1177">
        <f t="shared" si="60"/>
        <v>0</v>
      </c>
      <c r="AJ117" s="378"/>
      <c r="AK117" s="1179">
        <f t="shared" si="61"/>
        <v>0</v>
      </c>
      <c r="AL117" s="378"/>
      <c r="AM117" s="378"/>
      <c r="AN117" s="378"/>
      <c r="AO117" s="378"/>
      <c r="AP117" s="378"/>
      <c r="AQ117" s="1216"/>
      <c r="AR117" s="1202" t="s">
        <v>2224</v>
      </c>
      <c r="AS117" s="1177" t="str">
        <f t="shared" si="67"/>
        <v/>
      </c>
      <c r="AT117" s="1151"/>
      <c r="AU117" s="1179">
        <f t="shared" si="68"/>
        <v>0</v>
      </c>
      <c r="AV117" s="1151"/>
      <c r="AW117" s="1151"/>
      <c r="AX117" s="1151"/>
      <c r="AY117" s="1151"/>
      <c r="AZ117" s="1151"/>
      <c r="BA117" s="183"/>
      <c r="BB117" s="1202" t="s">
        <v>2224</v>
      </c>
      <c r="BC117" s="1177" t="str">
        <f t="shared" si="69"/>
        <v/>
      </c>
      <c r="BD117" s="1151"/>
      <c r="BE117" s="1179">
        <f t="shared" si="70"/>
        <v>0</v>
      </c>
      <c r="BF117" s="1151"/>
      <c r="BG117" s="1151"/>
      <c r="BH117" s="1151"/>
      <c r="BI117" s="1151"/>
      <c r="BJ117" s="1151"/>
      <c r="BK117" s="183"/>
      <c r="BL117" s="1202" t="s">
        <v>2224</v>
      </c>
      <c r="BM117" s="1109"/>
      <c r="BN117" s="1109"/>
      <c r="BO117" s="1109"/>
      <c r="BP117" s="1109"/>
      <c r="BQ117" s="1109"/>
      <c r="BR117" s="1109"/>
      <c r="BS117" s="1109"/>
      <c r="BT117" s="1109"/>
      <c r="BU117" s="380"/>
      <c r="BV117" s="1202" t="s">
        <v>2224</v>
      </c>
      <c r="BW117" s="1151"/>
      <c r="BX117" s="1151"/>
      <c r="BY117" s="1151"/>
      <c r="BZ117" s="1151"/>
      <c r="CA117" s="1151"/>
      <c r="CB117" s="1151"/>
      <c r="CC117" s="1151"/>
      <c r="CD117" s="1151"/>
      <c r="CE117" s="183"/>
    </row>
    <row r="118" spans="1:83" s="383" customFormat="1">
      <c r="A118" s="197" t="b">
        <v>0</v>
      </c>
      <c r="B118" s="197" t="s">
        <v>2244</v>
      </c>
      <c r="C118" s="197" t="b">
        <f t="shared" si="85"/>
        <v>1</v>
      </c>
      <c r="D118" s="388" t="str">
        <f>IF(C118=FALSE=NAMES!$B$8,"",IF(L118="N/A","N/A",O118&amp;N118&amp;L118&amp;"-"&amp;M118))</f>
        <v/>
      </c>
      <c r="E118" s="392" t="str">
        <f t="shared" si="50"/>
        <v>2015USDAIG Luxembourg-Adulte AIG expat 90% including USA/Canada</v>
      </c>
      <c r="F118" s="1236" t="str">
        <f t="shared" si="74"/>
        <v>2015USDAIG Luxembourg-Healthcare PlanAdulte AIG expat 90% including USA/Canada</v>
      </c>
      <c r="G118" s="1240" t="str">
        <f t="shared" si="75"/>
        <v>2015USDAIG Luxembourg-Assistance and RepatriationAdulte AIG expat 90% including USA/Canada</v>
      </c>
      <c r="H118" s="1240" t="str">
        <f t="shared" si="76"/>
        <v>N/A</v>
      </c>
      <c r="I118" s="1240" t="str">
        <f t="shared" si="77"/>
        <v>N/A</v>
      </c>
      <c r="J118" s="1240" t="str">
        <f t="shared" si="78"/>
        <v>N/A</v>
      </c>
      <c r="K118" s="1240" t="str">
        <f t="shared" si="79"/>
        <v>N/A</v>
      </c>
      <c r="L118" s="392" t="s">
        <v>4</v>
      </c>
      <c r="M118" s="1127" t="s">
        <v>2330</v>
      </c>
      <c r="N118" s="392" t="s">
        <v>87</v>
      </c>
      <c r="O118" s="376">
        <v>2015</v>
      </c>
      <c r="P118" s="376" t="s">
        <v>26</v>
      </c>
      <c r="Q118" s="376" t="s">
        <v>2169</v>
      </c>
      <c r="R118" s="378">
        <v>15</v>
      </c>
      <c r="S118" s="392" t="s">
        <v>2214</v>
      </c>
      <c r="T118" s="392"/>
      <c r="U118" s="392"/>
      <c r="V118" s="382">
        <v>365</v>
      </c>
      <c r="W118" s="1228">
        <f t="shared" si="80"/>
        <v>5450</v>
      </c>
      <c r="X118" s="197" t="s">
        <v>3</v>
      </c>
      <c r="Y118" s="1188">
        <f t="shared" si="58"/>
        <v>4632.5</v>
      </c>
      <c r="Z118" s="377">
        <v>0.15</v>
      </c>
      <c r="AA118" s="1189">
        <f t="shared" si="59"/>
        <v>5450</v>
      </c>
      <c r="AB118" s="377">
        <v>0</v>
      </c>
      <c r="AC118" s="378">
        <v>545</v>
      </c>
      <c r="AD118" s="1100">
        <f t="shared" si="81"/>
        <v>5995</v>
      </c>
      <c r="AE118" s="377">
        <v>0.04</v>
      </c>
      <c r="AF118" s="370">
        <f t="shared" si="82"/>
        <v>218</v>
      </c>
      <c r="AG118" s="1216">
        <v>5668</v>
      </c>
      <c r="AH118" s="1215" t="s">
        <v>5</v>
      </c>
      <c r="AI118" s="1177">
        <f t="shared" si="60"/>
        <v>0</v>
      </c>
      <c r="AJ118" s="378"/>
      <c r="AK118" s="1179">
        <f t="shared" si="61"/>
        <v>0</v>
      </c>
      <c r="AL118" s="378"/>
      <c r="AM118" s="378"/>
      <c r="AN118" s="378"/>
      <c r="AO118" s="378"/>
      <c r="AP118" s="378"/>
      <c r="AQ118" s="1216"/>
      <c r="AR118" s="1202" t="s">
        <v>2224</v>
      </c>
      <c r="AS118" s="1177" t="str">
        <f t="shared" si="67"/>
        <v/>
      </c>
      <c r="AT118" s="1151"/>
      <c r="AU118" s="1179">
        <f t="shared" si="68"/>
        <v>0</v>
      </c>
      <c r="AV118" s="1151"/>
      <c r="AW118" s="1151"/>
      <c r="AX118" s="1151"/>
      <c r="AY118" s="1151"/>
      <c r="AZ118" s="1151"/>
      <c r="BA118" s="183"/>
      <c r="BB118" s="1202" t="s">
        <v>2224</v>
      </c>
      <c r="BC118" s="1177" t="str">
        <f t="shared" si="69"/>
        <v/>
      </c>
      <c r="BD118" s="1151"/>
      <c r="BE118" s="1179">
        <f t="shared" si="70"/>
        <v>0</v>
      </c>
      <c r="BF118" s="1151"/>
      <c r="BG118" s="1151"/>
      <c r="BH118" s="1151"/>
      <c r="BI118" s="1151"/>
      <c r="BJ118" s="1151"/>
      <c r="BK118" s="183"/>
      <c r="BL118" s="1202" t="s">
        <v>2224</v>
      </c>
      <c r="BM118" s="1109"/>
      <c r="BN118" s="1109"/>
      <c r="BO118" s="1109"/>
      <c r="BP118" s="1109"/>
      <c r="BQ118" s="1109"/>
      <c r="BR118" s="1109"/>
      <c r="BS118" s="1109"/>
      <c r="BT118" s="1109"/>
      <c r="BU118" s="380"/>
      <c r="BV118" s="1202" t="s">
        <v>2224</v>
      </c>
      <c r="BW118" s="1109"/>
      <c r="BX118" s="1109"/>
      <c r="BY118" s="1109"/>
      <c r="BZ118" s="1109"/>
      <c r="CA118" s="1109"/>
      <c r="CB118" s="1109"/>
      <c r="CC118" s="1109"/>
      <c r="CD118" s="1109"/>
      <c r="CE118" s="380"/>
    </row>
    <row r="119" spans="1:83" s="383" customFormat="1">
      <c r="A119" s="197" t="b">
        <v>0</v>
      </c>
      <c r="B119" s="197" t="s">
        <v>2244</v>
      </c>
      <c r="C119" s="197" t="b">
        <f t="shared" si="85"/>
        <v>1</v>
      </c>
      <c r="D119" s="388" t="str">
        <f>IF(C119=FALSE=NAMES!$B$8,"",IF(L119="N/A","N/A",O119&amp;N119&amp;L119&amp;"-"&amp;M119))</f>
        <v/>
      </c>
      <c r="E119" s="392" t="str">
        <f t="shared" si="50"/>
        <v>2015USDAIG Luxembourg-Child AIG expat 100% excluding USA/Canada</v>
      </c>
      <c r="F119" s="1236" t="str">
        <f t="shared" si="74"/>
        <v>2015USDAIG Luxembourg-Healthcare PlanChild AIG expat 100% excluding USA/Canada</v>
      </c>
      <c r="G119" s="1240" t="str">
        <f t="shared" si="75"/>
        <v>2015USDAIG Luxembourg-Assistance and RepatriationChild AIG expat 100% excluding USA/Canada</v>
      </c>
      <c r="H119" s="1240" t="str">
        <f t="shared" si="76"/>
        <v>N/A</v>
      </c>
      <c r="I119" s="1240" t="str">
        <f t="shared" si="77"/>
        <v>N/A</v>
      </c>
      <c r="J119" s="1240" t="str">
        <f t="shared" si="78"/>
        <v>N/A</v>
      </c>
      <c r="K119" s="1240" t="str">
        <f t="shared" si="79"/>
        <v>N/A</v>
      </c>
      <c r="L119" s="392" t="s">
        <v>4</v>
      </c>
      <c r="M119" s="1127" t="s">
        <v>2331</v>
      </c>
      <c r="N119" s="392" t="s">
        <v>87</v>
      </c>
      <c r="O119" s="376">
        <v>2015</v>
      </c>
      <c r="P119" s="376" t="s">
        <v>26</v>
      </c>
      <c r="Q119" s="376" t="s">
        <v>2169</v>
      </c>
      <c r="R119" s="378">
        <v>15</v>
      </c>
      <c r="S119" s="392" t="s">
        <v>2214</v>
      </c>
      <c r="T119" s="392"/>
      <c r="U119" s="392"/>
      <c r="V119" s="382">
        <v>365</v>
      </c>
      <c r="W119" s="1228">
        <f t="shared" si="80"/>
        <v>1110</v>
      </c>
      <c r="X119" s="197" t="s">
        <v>3</v>
      </c>
      <c r="Y119" s="1188">
        <f t="shared" si="58"/>
        <v>943.5</v>
      </c>
      <c r="Z119" s="377">
        <v>0.15</v>
      </c>
      <c r="AA119" s="1189">
        <f t="shared" si="59"/>
        <v>1110</v>
      </c>
      <c r="AB119" s="377">
        <v>0</v>
      </c>
      <c r="AC119" s="378">
        <v>111</v>
      </c>
      <c r="AD119" s="1100">
        <f t="shared" si="81"/>
        <v>1221</v>
      </c>
      <c r="AE119" s="377">
        <v>0.04</v>
      </c>
      <c r="AF119" s="370">
        <f t="shared" si="82"/>
        <v>44.4</v>
      </c>
      <c r="AG119" s="1216">
        <v>1154.4000000000001</v>
      </c>
      <c r="AH119" s="1215" t="s">
        <v>5</v>
      </c>
      <c r="AI119" s="1177">
        <f t="shared" si="60"/>
        <v>0</v>
      </c>
      <c r="AJ119" s="378"/>
      <c r="AK119" s="1179">
        <f t="shared" si="61"/>
        <v>0</v>
      </c>
      <c r="AL119" s="378"/>
      <c r="AM119" s="378"/>
      <c r="AN119" s="378"/>
      <c r="AO119" s="378"/>
      <c r="AP119" s="378"/>
      <c r="AQ119" s="1216"/>
      <c r="AR119" s="1202" t="s">
        <v>2224</v>
      </c>
      <c r="AS119" s="1177" t="str">
        <f t="shared" si="67"/>
        <v/>
      </c>
      <c r="AT119" s="1151"/>
      <c r="AU119" s="1179">
        <f t="shared" si="68"/>
        <v>0</v>
      </c>
      <c r="AV119" s="1151"/>
      <c r="AW119" s="1151"/>
      <c r="AX119" s="1151"/>
      <c r="AY119" s="1151"/>
      <c r="AZ119" s="1151"/>
      <c r="BA119" s="183"/>
      <c r="BB119" s="1202" t="s">
        <v>2224</v>
      </c>
      <c r="BC119" s="1177" t="str">
        <f t="shared" si="69"/>
        <v/>
      </c>
      <c r="BD119" s="1151"/>
      <c r="BE119" s="1179">
        <f t="shared" si="70"/>
        <v>0</v>
      </c>
      <c r="BF119" s="1151"/>
      <c r="BG119" s="1151"/>
      <c r="BH119" s="1151"/>
      <c r="BI119" s="1151"/>
      <c r="BJ119" s="1151"/>
      <c r="BK119" s="183"/>
      <c r="BL119" s="1202" t="s">
        <v>2224</v>
      </c>
      <c r="BM119" s="1109"/>
      <c r="BN119" s="1109"/>
      <c r="BO119" s="1109"/>
      <c r="BP119" s="1109"/>
      <c r="BQ119" s="1109"/>
      <c r="BR119" s="1109"/>
      <c r="BS119" s="1109"/>
      <c r="BT119" s="1109"/>
      <c r="BU119" s="380"/>
      <c r="BV119" s="1202" t="s">
        <v>2224</v>
      </c>
      <c r="BW119" s="1109"/>
      <c r="BX119" s="1109"/>
      <c r="BY119" s="1109"/>
      <c r="BZ119" s="1109"/>
      <c r="CA119" s="1109"/>
      <c r="CB119" s="1109"/>
      <c r="CC119" s="1109"/>
      <c r="CD119" s="1109"/>
      <c r="CE119" s="380"/>
    </row>
    <row r="120" spans="1:83" s="383" customFormat="1">
      <c r="A120" s="197" t="b">
        <v>0</v>
      </c>
      <c r="B120" s="197" t="s">
        <v>2244</v>
      </c>
      <c r="C120" s="197" t="b">
        <f t="shared" si="85"/>
        <v>1</v>
      </c>
      <c r="D120" s="388" t="str">
        <f>IF(C120=FALSE=NAMES!$B$8,"",IF(L120="N/A","N/A",O120&amp;N120&amp;L120&amp;"-"&amp;M120))</f>
        <v/>
      </c>
      <c r="E120" s="392" t="str">
        <f t="shared" si="50"/>
        <v>2015USDAIG Luxembourg-Child AIG expat 100% including USA/Canada</v>
      </c>
      <c r="F120" s="1236" t="str">
        <f t="shared" si="74"/>
        <v>2015USDAIG Luxembourg-Healthcare PlanChild AIG expat 100% including USA/Canada</v>
      </c>
      <c r="G120" s="1240" t="str">
        <f t="shared" si="75"/>
        <v>2015USDAIG Luxembourg-Assistance and RepatriationChild AIG expat 100% including USA/Canada</v>
      </c>
      <c r="H120" s="1240" t="str">
        <f t="shared" si="76"/>
        <v>N/A</v>
      </c>
      <c r="I120" s="1240" t="str">
        <f t="shared" si="77"/>
        <v>N/A</v>
      </c>
      <c r="J120" s="1240" t="str">
        <f t="shared" si="78"/>
        <v>N/A</v>
      </c>
      <c r="K120" s="1240" t="str">
        <f t="shared" si="79"/>
        <v>N/A</v>
      </c>
      <c r="L120" s="392" t="s">
        <v>4</v>
      </c>
      <c r="M120" s="1127" t="s">
        <v>2332</v>
      </c>
      <c r="N120" s="392" t="s">
        <v>87</v>
      </c>
      <c r="O120" s="376">
        <v>2015</v>
      </c>
      <c r="P120" s="376" t="s">
        <v>26</v>
      </c>
      <c r="Q120" s="376" t="s">
        <v>2169</v>
      </c>
      <c r="R120" s="378">
        <v>15</v>
      </c>
      <c r="S120" s="392" t="s">
        <v>2214</v>
      </c>
      <c r="T120" s="392"/>
      <c r="U120" s="392"/>
      <c r="V120" s="382">
        <v>365</v>
      </c>
      <c r="W120" s="1228">
        <f t="shared" si="80"/>
        <v>2409</v>
      </c>
      <c r="X120" s="197" t="s">
        <v>3</v>
      </c>
      <c r="Y120" s="1188">
        <f t="shared" si="58"/>
        <v>2047.6499999999999</v>
      </c>
      <c r="Z120" s="377">
        <v>0.15</v>
      </c>
      <c r="AA120" s="1189">
        <f t="shared" si="59"/>
        <v>2409</v>
      </c>
      <c r="AB120" s="377">
        <v>0</v>
      </c>
      <c r="AC120" s="378">
        <v>240.9</v>
      </c>
      <c r="AD120" s="1100">
        <f t="shared" si="81"/>
        <v>2649.9</v>
      </c>
      <c r="AE120" s="377">
        <v>0.04</v>
      </c>
      <c r="AF120" s="370">
        <f t="shared" si="82"/>
        <v>96.36</v>
      </c>
      <c r="AG120" s="1216">
        <v>2505.36</v>
      </c>
      <c r="AH120" s="1215" t="s">
        <v>5</v>
      </c>
      <c r="AI120" s="1177">
        <f t="shared" si="60"/>
        <v>0</v>
      </c>
      <c r="AJ120" s="378"/>
      <c r="AK120" s="1179">
        <f t="shared" si="61"/>
        <v>0</v>
      </c>
      <c r="AL120" s="378"/>
      <c r="AM120" s="378"/>
      <c r="AN120" s="378"/>
      <c r="AO120" s="378"/>
      <c r="AP120" s="378"/>
      <c r="AQ120" s="1216"/>
      <c r="AR120" s="1202" t="s">
        <v>2224</v>
      </c>
      <c r="AS120" s="1177" t="str">
        <f t="shared" si="67"/>
        <v/>
      </c>
      <c r="AT120" s="1151"/>
      <c r="AU120" s="1179">
        <f t="shared" si="68"/>
        <v>0</v>
      </c>
      <c r="AV120" s="1151"/>
      <c r="AW120" s="1151"/>
      <c r="AX120" s="1151"/>
      <c r="AY120" s="1151"/>
      <c r="AZ120" s="1151"/>
      <c r="BA120" s="183"/>
      <c r="BB120" s="1202" t="s">
        <v>2224</v>
      </c>
      <c r="BC120" s="1177" t="str">
        <f t="shared" si="69"/>
        <v/>
      </c>
      <c r="BD120" s="1151"/>
      <c r="BE120" s="1179">
        <f t="shared" si="70"/>
        <v>0</v>
      </c>
      <c r="BF120" s="1151"/>
      <c r="BG120" s="1151"/>
      <c r="BH120" s="1151"/>
      <c r="BI120" s="1151"/>
      <c r="BJ120" s="1151"/>
      <c r="BK120" s="183"/>
      <c r="BL120" s="1202" t="s">
        <v>2224</v>
      </c>
      <c r="BM120" s="1109"/>
      <c r="BN120" s="1109"/>
      <c r="BO120" s="1109"/>
      <c r="BP120" s="1109"/>
      <c r="BQ120" s="1109"/>
      <c r="BR120" s="1109"/>
      <c r="BS120" s="1109"/>
      <c r="BT120" s="1109"/>
      <c r="BU120" s="380"/>
      <c r="BV120" s="1202" t="s">
        <v>2224</v>
      </c>
      <c r="BW120" s="1109"/>
      <c r="BX120" s="1109"/>
      <c r="BY120" s="1109"/>
      <c r="BZ120" s="1109"/>
      <c r="CA120" s="1109"/>
      <c r="CB120" s="1109"/>
      <c r="CC120" s="1109"/>
      <c r="CD120" s="1109"/>
      <c r="CE120" s="380"/>
    </row>
    <row r="121" spans="1:83" s="383" customFormat="1">
      <c r="A121" s="197" t="b">
        <v>0</v>
      </c>
      <c r="B121" s="197" t="s">
        <v>2244</v>
      </c>
      <c r="C121" s="197" t="b">
        <f t="shared" si="85"/>
        <v>1</v>
      </c>
      <c r="D121" s="388" t="str">
        <f>IF(C121=FALSE=NAMES!$B$8,"",IF(L121="N/A","N/A",O121&amp;N121&amp;L121&amp;"-"&amp;M121))</f>
        <v/>
      </c>
      <c r="E121" s="392" t="str">
        <f t="shared" si="50"/>
        <v>2015USDAIG Luxembourg-Child AIG expat 80% excluding USA/Canada</v>
      </c>
      <c r="F121" s="1236" t="str">
        <f t="shared" si="74"/>
        <v>2015USDAIG Luxembourg-Healthcare PlanChild AIG expat 80% excluding USA/Canada</v>
      </c>
      <c r="G121" s="1240" t="str">
        <f t="shared" si="75"/>
        <v>2015USDAIG Luxembourg-Assistance and RepatriationChild AIG expat 80% excluding USA/Canada</v>
      </c>
      <c r="H121" s="1240" t="str">
        <f t="shared" si="76"/>
        <v>N/A</v>
      </c>
      <c r="I121" s="1240" t="str">
        <f t="shared" si="77"/>
        <v>N/A</v>
      </c>
      <c r="J121" s="1240" t="str">
        <f t="shared" si="78"/>
        <v>N/A</v>
      </c>
      <c r="K121" s="1240" t="str">
        <f t="shared" si="79"/>
        <v>N/A</v>
      </c>
      <c r="L121" s="392" t="s">
        <v>4</v>
      </c>
      <c r="M121" s="1127" t="s">
        <v>2333</v>
      </c>
      <c r="N121" s="392" t="s">
        <v>87</v>
      </c>
      <c r="O121" s="376">
        <v>2015</v>
      </c>
      <c r="P121" s="376" t="s">
        <v>26</v>
      </c>
      <c r="Q121" s="376" t="s">
        <v>2169</v>
      </c>
      <c r="R121" s="378">
        <v>15</v>
      </c>
      <c r="S121" s="392" t="s">
        <v>2214</v>
      </c>
      <c r="T121" s="392"/>
      <c r="U121" s="392"/>
      <c r="V121" s="382">
        <v>365</v>
      </c>
      <c r="W121" s="1228">
        <f t="shared" si="80"/>
        <v>912</v>
      </c>
      <c r="X121" s="197" t="s">
        <v>3</v>
      </c>
      <c r="Y121" s="1188">
        <f t="shared" si="58"/>
        <v>775.19999999999993</v>
      </c>
      <c r="Z121" s="377">
        <v>0.15</v>
      </c>
      <c r="AA121" s="1189">
        <f t="shared" si="59"/>
        <v>912</v>
      </c>
      <c r="AB121" s="377">
        <v>0</v>
      </c>
      <c r="AC121" s="378">
        <v>91.2</v>
      </c>
      <c r="AD121" s="1100">
        <f t="shared" si="81"/>
        <v>1003.2</v>
      </c>
      <c r="AE121" s="377">
        <v>0.04</v>
      </c>
      <c r="AF121" s="370">
        <f t="shared" si="82"/>
        <v>36.480000000000004</v>
      </c>
      <c r="AG121" s="1216">
        <v>948.48</v>
      </c>
      <c r="AH121" s="1215" t="s">
        <v>5</v>
      </c>
      <c r="AI121" s="1177">
        <f t="shared" si="60"/>
        <v>0</v>
      </c>
      <c r="AJ121" s="378"/>
      <c r="AK121" s="1179">
        <f t="shared" si="61"/>
        <v>0</v>
      </c>
      <c r="AL121" s="378"/>
      <c r="AM121" s="378"/>
      <c r="AN121" s="378"/>
      <c r="AO121" s="378"/>
      <c r="AP121" s="378"/>
      <c r="AQ121" s="1216"/>
      <c r="AR121" s="1202" t="s">
        <v>2224</v>
      </c>
      <c r="AS121" s="1177" t="str">
        <f t="shared" si="67"/>
        <v/>
      </c>
      <c r="AT121" s="1151"/>
      <c r="AU121" s="1179">
        <f t="shared" si="68"/>
        <v>0</v>
      </c>
      <c r="AV121" s="1151"/>
      <c r="AW121" s="1151"/>
      <c r="AX121" s="1151"/>
      <c r="AY121" s="1151"/>
      <c r="AZ121" s="1151"/>
      <c r="BA121" s="183"/>
      <c r="BB121" s="1202" t="s">
        <v>2224</v>
      </c>
      <c r="BC121" s="1177" t="str">
        <f t="shared" si="69"/>
        <v/>
      </c>
      <c r="BD121" s="1151"/>
      <c r="BE121" s="1179">
        <f t="shared" si="70"/>
        <v>0</v>
      </c>
      <c r="BF121" s="1151"/>
      <c r="BG121" s="1151"/>
      <c r="BH121" s="1151"/>
      <c r="BI121" s="1151"/>
      <c r="BJ121" s="1151"/>
      <c r="BK121" s="183"/>
      <c r="BL121" s="1202" t="s">
        <v>2224</v>
      </c>
      <c r="BM121" s="1109"/>
      <c r="BN121" s="1109"/>
      <c r="BO121" s="1109"/>
      <c r="BP121" s="1109"/>
      <c r="BQ121" s="1109"/>
      <c r="BR121" s="1109"/>
      <c r="BS121" s="1109"/>
      <c r="BT121" s="1109"/>
      <c r="BU121" s="380"/>
      <c r="BV121" s="1202" t="s">
        <v>2224</v>
      </c>
      <c r="BW121" s="1109"/>
      <c r="BX121" s="1109"/>
      <c r="BY121" s="1109"/>
      <c r="BZ121" s="1109"/>
      <c r="CA121" s="1109"/>
      <c r="CB121" s="1109"/>
      <c r="CC121" s="1109"/>
      <c r="CD121" s="1109"/>
      <c r="CE121" s="380"/>
    </row>
    <row r="122" spans="1:83" s="383" customFormat="1">
      <c r="A122" s="197" t="b">
        <v>0</v>
      </c>
      <c r="B122" s="197" t="s">
        <v>2244</v>
      </c>
      <c r="C122" s="197" t="b">
        <f t="shared" si="85"/>
        <v>1</v>
      </c>
      <c r="D122" s="388" t="str">
        <f>IF(C122=FALSE=NAMES!$B$8,"",IF(L122="N/A","N/A",O122&amp;N122&amp;L122&amp;"-"&amp;M122))</f>
        <v/>
      </c>
      <c r="E122" s="392" t="str">
        <f t="shared" si="50"/>
        <v>2015USDAIG Luxembourg-Child AIG expat 80% including USA/Canada</v>
      </c>
      <c r="F122" s="1236" t="str">
        <f t="shared" si="74"/>
        <v>2015USDAIG Luxembourg-Healthcare PlanChild AIG expat 80% including USA/Canada</v>
      </c>
      <c r="G122" s="1240" t="str">
        <f t="shared" si="75"/>
        <v>2015USDAIG Luxembourg-Assistance and RepatriationChild AIG expat 80% including USA/Canada</v>
      </c>
      <c r="H122" s="1240" t="str">
        <f t="shared" si="76"/>
        <v>N/A</v>
      </c>
      <c r="I122" s="1240" t="str">
        <f t="shared" si="77"/>
        <v>N/A</v>
      </c>
      <c r="J122" s="1240" t="str">
        <f t="shared" si="78"/>
        <v>N/A</v>
      </c>
      <c r="K122" s="1240" t="str">
        <f t="shared" si="79"/>
        <v>N/A</v>
      </c>
      <c r="L122" s="392" t="s">
        <v>4</v>
      </c>
      <c r="M122" s="1127" t="s">
        <v>2334</v>
      </c>
      <c r="N122" s="392" t="s">
        <v>87</v>
      </c>
      <c r="O122" s="376">
        <v>2015</v>
      </c>
      <c r="P122" s="376" t="s">
        <v>26</v>
      </c>
      <c r="Q122" s="376" t="s">
        <v>2169</v>
      </c>
      <c r="R122" s="378">
        <v>15</v>
      </c>
      <c r="S122" s="392" t="s">
        <v>2214</v>
      </c>
      <c r="T122" s="392"/>
      <c r="U122" s="392"/>
      <c r="V122" s="382">
        <v>365</v>
      </c>
      <c r="W122" s="1228">
        <f t="shared" si="80"/>
        <v>1937.9615384615383</v>
      </c>
      <c r="X122" s="197" t="s">
        <v>3</v>
      </c>
      <c r="Y122" s="1188">
        <f t="shared" si="58"/>
        <v>1647.2673076923074</v>
      </c>
      <c r="Z122" s="377">
        <v>0.15</v>
      </c>
      <c r="AA122" s="1189">
        <f t="shared" si="59"/>
        <v>1937.9615384615383</v>
      </c>
      <c r="AB122" s="377">
        <v>0</v>
      </c>
      <c r="AC122" s="378">
        <v>193.79599999999999</v>
      </c>
      <c r="AD122" s="1100">
        <f t="shared" si="81"/>
        <v>2131.7575384615384</v>
      </c>
      <c r="AE122" s="377">
        <v>0.04</v>
      </c>
      <c r="AF122" s="370">
        <f t="shared" si="82"/>
        <v>77.518461538461537</v>
      </c>
      <c r="AG122" s="1216">
        <v>2015.48</v>
      </c>
      <c r="AH122" s="1215" t="s">
        <v>5</v>
      </c>
      <c r="AI122" s="1177">
        <f t="shared" si="60"/>
        <v>0</v>
      </c>
      <c r="AJ122" s="378"/>
      <c r="AK122" s="1179">
        <f t="shared" si="61"/>
        <v>0</v>
      </c>
      <c r="AL122" s="378"/>
      <c r="AM122" s="378"/>
      <c r="AN122" s="378"/>
      <c r="AO122" s="378"/>
      <c r="AP122" s="378"/>
      <c r="AQ122" s="1216"/>
      <c r="AR122" s="1202" t="s">
        <v>2224</v>
      </c>
      <c r="AS122" s="1177" t="str">
        <f t="shared" si="67"/>
        <v/>
      </c>
      <c r="AT122" s="1151"/>
      <c r="AU122" s="1179">
        <f t="shared" si="68"/>
        <v>0</v>
      </c>
      <c r="AV122" s="1151"/>
      <c r="AW122" s="1151"/>
      <c r="AX122" s="1151"/>
      <c r="AY122" s="1151"/>
      <c r="AZ122" s="1151"/>
      <c r="BA122" s="183"/>
      <c r="BB122" s="1202" t="s">
        <v>2224</v>
      </c>
      <c r="BC122" s="1177" t="str">
        <f t="shared" si="69"/>
        <v/>
      </c>
      <c r="BD122" s="1151"/>
      <c r="BE122" s="1179">
        <f t="shared" si="70"/>
        <v>0</v>
      </c>
      <c r="BF122" s="1151"/>
      <c r="BG122" s="1151"/>
      <c r="BH122" s="1151"/>
      <c r="BI122" s="1151"/>
      <c r="BJ122" s="1151"/>
      <c r="BK122" s="183"/>
      <c r="BL122" s="1202" t="s">
        <v>2224</v>
      </c>
      <c r="BM122" s="1109"/>
      <c r="BN122" s="1109"/>
      <c r="BO122" s="1109"/>
      <c r="BP122" s="1109"/>
      <c r="BQ122" s="1109"/>
      <c r="BR122" s="1109"/>
      <c r="BS122" s="1109"/>
      <c r="BT122" s="1109"/>
      <c r="BU122" s="380"/>
      <c r="BV122" s="1202" t="s">
        <v>2224</v>
      </c>
      <c r="BW122" s="1109"/>
      <c r="BX122" s="1109"/>
      <c r="BY122" s="1109"/>
      <c r="BZ122" s="1109"/>
      <c r="CA122" s="1109"/>
      <c r="CB122" s="1109"/>
      <c r="CC122" s="1109"/>
      <c r="CD122" s="1109"/>
      <c r="CE122" s="380"/>
    </row>
    <row r="123" spans="1:83" s="383" customFormat="1">
      <c r="A123" s="197" t="b">
        <v>0</v>
      </c>
      <c r="B123" s="197" t="s">
        <v>2244</v>
      </c>
      <c r="C123" s="197" t="b">
        <f t="shared" si="85"/>
        <v>1</v>
      </c>
      <c r="D123" s="388" t="str">
        <f>IF(C123=FALSE=NAMES!$B$8,"",IF(L123="N/A","N/A",O123&amp;N123&amp;L123&amp;"-"&amp;M123))</f>
        <v/>
      </c>
      <c r="E123" s="392" t="str">
        <f t="shared" si="50"/>
        <v>2015USDAIG Luxembourg-Child AIG expat 90% excluding USA/Canada</v>
      </c>
      <c r="F123" s="1236" t="str">
        <f t="shared" si="74"/>
        <v>2015USDAIG Luxembourg-Healthcare PlanChild AIG expat 90% excluding USA/Canada</v>
      </c>
      <c r="G123" s="1240" t="str">
        <f t="shared" si="75"/>
        <v>2015USDAIG Luxembourg-Assistance and RepatriationChild AIG expat 90% excluding USA/Canada</v>
      </c>
      <c r="H123" s="1240" t="str">
        <f t="shared" si="76"/>
        <v>N/A</v>
      </c>
      <c r="I123" s="1240" t="str">
        <f t="shared" si="77"/>
        <v>N/A</v>
      </c>
      <c r="J123" s="1240" t="str">
        <f t="shared" si="78"/>
        <v>N/A</v>
      </c>
      <c r="K123" s="1240" t="str">
        <f t="shared" si="79"/>
        <v>N/A</v>
      </c>
      <c r="L123" s="392" t="s">
        <v>4</v>
      </c>
      <c r="M123" s="383" t="s">
        <v>2335</v>
      </c>
      <c r="N123" s="392" t="s">
        <v>87</v>
      </c>
      <c r="O123" s="376">
        <v>2015</v>
      </c>
      <c r="P123" s="376" t="s">
        <v>26</v>
      </c>
      <c r="Q123" s="376" t="s">
        <v>2169</v>
      </c>
      <c r="R123" s="378">
        <v>15</v>
      </c>
      <c r="S123" s="392" t="s">
        <v>2214</v>
      </c>
      <c r="T123" s="392"/>
      <c r="U123" s="392"/>
      <c r="V123" s="382">
        <v>365</v>
      </c>
      <c r="W123" s="1228">
        <f t="shared" si="80"/>
        <v>1011</v>
      </c>
      <c r="X123" s="197" t="s">
        <v>3</v>
      </c>
      <c r="Y123" s="1188">
        <f t="shared" si="58"/>
        <v>859.35</v>
      </c>
      <c r="Z123" s="377">
        <v>0.15</v>
      </c>
      <c r="AA123" s="1189">
        <f t="shared" si="59"/>
        <v>1011</v>
      </c>
      <c r="AB123" s="377">
        <v>0</v>
      </c>
      <c r="AC123" s="378">
        <v>101.1</v>
      </c>
      <c r="AD123" s="1100">
        <f t="shared" si="81"/>
        <v>1112.0999999999999</v>
      </c>
      <c r="AE123" s="377">
        <v>0.04</v>
      </c>
      <c r="AF123" s="370">
        <f t="shared" si="82"/>
        <v>40.44</v>
      </c>
      <c r="AG123" s="1216">
        <v>1051.44</v>
      </c>
      <c r="AH123" s="1215" t="s">
        <v>5</v>
      </c>
      <c r="AI123" s="1177">
        <f t="shared" si="60"/>
        <v>0</v>
      </c>
      <c r="AJ123" s="378"/>
      <c r="AK123" s="1179">
        <f t="shared" si="61"/>
        <v>0</v>
      </c>
      <c r="AL123" s="378"/>
      <c r="AM123" s="378"/>
      <c r="AN123" s="378"/>
      <c r="AO123" s="378"/>
      <c r="AP123" s="378"/>
      <c r="AQ123" s="1216"/>
      <c r="AR123" s="1202" t="s">
        <v>2224</v>
      </c>
      <c r="AS123" s="1177" t="str">
        <f t="shared" si="67"/>
        <v/>
      </c>
      <c r="AT123" s="1151"/>
      <c r="AU123" s="1179">
        <f t="shared" si="68"/>
        <v>0</v>
      </c>
      <c r="AV123" s="1151"/>
      <c r="AW123" s="1151"/>
      <c r="AX123" s="1151"/>
      <c r="AY123" s="1151"/>
      <c r="AZ123" s="1151"/>
      <c r="BA123" s="183"/>
      <c r="BB123" s="1202" t="s">
        <v>2224</v>
      </c>
      <c r="BC123" s="1177" t="str">
        <f t="shared" si="69"/>
        <v/>
      </c>
      <c r="BD123" s="1151"/>
      <c r="BE123" s="1179">
        <f t="shared" si="70"/>
        <v>0</v>
      </c>
      <c r="BF123" s="1151"/>
      <c r="BG123" s="1151"/>
      <c r="BH123" s="1151"/>
      <c r="BI123" s="1151"/>
      <c r="BJ123" s="1151"/>
      <c r="BK123" s="183"/>
      <c r="BL123" s="1202" t="s">
        <v>2224</v>
      </c>
      <c r="BM123" s="1109"/>
      <c r="BN123" s="1109"/>
      <c r="BO123" s="1109"/>
      <c r="BP123" s="1109"/>
      <c r="BQ123" s="1109"/>
      <c r="BR123" s="1109"/>
      <c r="BS123" s="1109"/>
      <c r="BT123" s="1109"/>
      <c r="BU123" s="380"/>
      <c r="BV123" s="1202" t="s">
        <v>2224</v>
      </c>
      <c r="BW123" s="1109"/>
      <c r="BX123" s="1109"/>
      <c r="BY123" s="1109"/>
      <c r="BZ123" s="1109"/>
      <c r="CA123" s="1109"/>
      <c r="CB123" s="1109"/>
      <c r="CC123" s="1109"/>
      <c r="CD123" s="1109"/>
      <c r="CE123" s="380"/>
    </row>
    <row r="124" spans="1:83" s="383" customFormat="1">
      <c r="A124" s="197" t="b">
        <v>0</v>
      </c>
      <c r="B124" s="197" t="s">
        <v>2244</v>
      </c>
      <c r="C124" s="197" t="b">
        <f t="shared" si="85"/>
        <v>1</v>
      </c>
      <c r="D124" s="388" t="str">
        <f>IF(C124=FALSE=NAMES!$B$8,"",IF(L124="N/A","N/A",O124&amp;N124&amp;L124&amp;"-"&amp;M124))</f>
        <v/>
      </c>
      <c r="E124" s="392" t="str">
        <f t="shared" si="50"/>
        <v>2015USDAIG Luxembourg-Child AIG expat 90% including USA/Canada</v>
      </c>
      <c r="F124" s="1236" t="str">
        <f t="shared" si="74"/>
        <v>2015USDAIG Luxembourg-Healthcare PlanChild AIG expat 90% including USA/Canada</v>
      </c>
      <c r="G124" s="1240" t="str">
        <f t="shared" si="75"/>
        <v>2015USDAIG Luxembourg-Assistance and RepatriationChild AIG expat 90% including USA/Canada</v>
      </c>
      <c r="H124" s="1240" t="str">
        <f t="shared" si="76"/>
        <v>N/A</v>
      </c>
      <c r="I124" s="1240" t="str">
        <f t="shared" si="77"/>
        <v>N/A</v>
      </c>
      <c r="J124" s="1240" t="str">
        <f t="shared" si="78"/>
        <v>N/A</v>
      </c>
      <c r="K124" s="1240" t="str">
        <f t="shared" si="79"/>
        <v>N/A</v>
      </c>
      <c r="L124" s="392" t="s">
        <v>4</v>
      </c>
      <c r="M124" s="383" t="s">
        <v>2336</v>
      </c>
      <c r="N124" s="392" t="s">
        <v>87</v>
      </c>
      <c r="O124" s="376">
        <v>2015</v>
      </c>
      <c r="P124" s="376" t="s">
        <v>26</v>
      </c>
      <c r="Q124" s="376" t="s">
        <v>2169</v>
      </c>
      <c r="R124" s="378">
        <v>15</v>
      </c>
      <c r="S124" s="392" t="s">
        <v>2214</v>
      </c>
      <c r="T124" s="392"/>
      <c r="U124" s="392"/>
      <c r="V124" s="382">
        <v>365</v>
      </c>
      <c r="W124" s="1228">
        <f t="shared" si="80"/>
        <v>2173.1826923076924</v>
      </c>
      <c r="X124" s="197" t="s">
        <v>3</v>
      </c>
      <c r="Y124" s="1188">
        <f t="shared" si="58"/>
        <v>1847.2052884615384</v>
      </c>
      <c r="Z124" s="377">
        <v>0.15</v>
      </c>
      <c r="AA124" s="1189">
        <f t="shared" si="59"/>
        <v>2173.1826923076924</v>
      </c>
      <c r="AB124" s="377">
        <v>0</v>
      </c>
      <c r="AC124" s="378">
        <v>217.31800000000001</v>
      </c>
      <c r="AD124" s="1100">
        <f t="shared" si="81"/>
        <v>2390.5006923076926</v>
      </c>
      <c r="AE124" s="377">
        <v>0.04</v>
      </c>
      <c r="AF124" s="370">
        <f t="shared" si="82"/>
        <v>86.927307692307693</v>
      </c>
      <c r="AG124" s="1216">
        <v>2260.11</v>
      </c>
      <c r="AH124" s="1215" t="s">
        <v>5</v>
      </c>
      <c r="AI124" s="1177">
        <f t="shared" si="60"/>
        <v>0</v>
      </c>
      <c r="AJ124" s="378"/>
      <c r="AK124" s="1179">
        <f t="shared" si="61"/>
        <v>0</v>
      </c>
      <c r="AL124" s="378"/>
      <c r="AM124" s="378"/>
      <c r="AN124" s="378"/>
      <c r="AO124" s="378"/>
      <c r="AP124" s="378"/>
      <c r="AQ124" s="1216"/>
      <c r="AR124" s="1202" t="s">
        <v>2224</v>
      </c>
      <c r="AS124" s="1177" t="str">
        <f t="shared" si="67"/>
        <v/>
      </c>
      <c r="AT124" s="1151"/>
      <c r="AU124" s="1179">
        <f t="shared" si="68"/>
        <v>0</v>
      </c>
      <c r="AV124" s="1151"/>
      <c r="AW124" s="1151"/>
      <c r="AX124" s="1151"/>
      <c r="AY124" s="1151"/>
      <c r="AZ124" s="1151"/>
      <c r="BA124" s="183"/>
      <c r="BB124" s="1202" t="s">
        <v>2224</v>
      </c>
      <c r="BC124" s="1177" t="str">
        <f t="shared" si="69"/>
        <v/>
      </c>
      <c r="BD124" s="1151"/>
      <c r="BE124" s="1179">
        <f t="shared" si="70"/>
        <v>0</v>
      </c>
      <c r="BF124" s="1151"/>
      <c r="BG124" s="1151"/>
      <c r="BH124" s="1151"/>
      <c r="BI124" s="1151"/>
      <c r="BJ124" s="1151"/>
      <c r="BK124" s="183"/>
      <c r="BL124" s="1202" t="s">
        <v>2224</v>
      </c>
      <c r="BM124" s="1109"/>
      <c r="BN124" s="1109"/>
      <c r="BO124" s="1109"/>
      <c r="BP124" s="1109"/>
      <c r="BQ124" s="1109"/>
      <c r="BR124" s="1109"/>
      <c r="BS124" s="1109"/>
      <c r="BT124" s="1109"/>
      <c r="BU124" s="380"/>
      <c r="BV124" s="1202" t="s">
        <v>2224</v>
      </c>
      <c r="BW124" s="1109"/>
      <c r="BX124" s="1109"/>
      <c r="BY124" s="1109"/>
      <c r="BZ124" s="1109"/>
      <c r="CA124" s="1109"/>
      <c r="CB124" s="1109"/>
      <c r="CC124" s="1109"/>
      <c r="CD124" s="1109"/>
      <c r="CE124" s="380"/>
    </row>
    <row r="125" spans="1:83" s="383" customFormat="1">
      <c r="A125" s="291" t="b">
        <v>0</v>
      </c>
      <c r="B125" s="291" t="s">
        <v>2244</v>
      </c>
      <c r="C125" s="291" t="b">
        <f t="shared" si="85"/>
        <v>1</v>
      </c>
      <c r="D125" s="388" t="str">
        <f>IF(C125=FALSE=NAMES!$B$8,"",IF(L125="N/A","N/A",O125&amp;N125&amp;L125&amp;"-"&amp;M125))</f>
        <v/>
      </c>
      <c r="E125" s="392" t="str">
        <f t="shared" si="50"/>
        <v>2015USDAIG Luxembourg-Comfort</v>
      </c>
      <c r="F125" s="1236" t="str">
        <f t="shared" si="74"/>
        <v>2015USDAIG Luxembourg-Healthcare PlanComfort</v>
      </c>
      <c r="G125" s="1240" t="str">
        <f t="shared" si="75"/>
        <v>2015USDAIG Luxembourg-Assistance and RepatriationComfort</v>
      </c>
      <c r="H125" s="1240" t="str">
        <f t="shared" si="76"/>
        <v>N/A</v>
      </c>
      <c r="I125" s="1240" t="str">
        <f t="shared" si="77"/>
        <v>N/A</v>
      </c>
      <c r="J125" s="1240" t="str">
        <f t="shared" si="78"/>
        <v>N/A</v>
      </c>
      <c r="K125" s="1240" t="str">
        <f t="shared" si="79"/>
        <v>N/A</v>
      </c>
      <c r="L125" s="392" t="s">
        <v>4</v>
      </c>
      <c r="M125" s="392" t="s">
        <v>2116</v>
      </c>
      <c r="N125" s="392" t="s">
        <v>87</v>
      </c>
      <c r="O125" s="376">
        <v>2015</v>
      </c>
      <c r="P125" s="376" t="s">
        <v>26</v>
      </c>
      <c r="Q125" s="376" t="s">
        <v>1</v>
      </c>
      <c r="R125" s="378">
        <v>65</v>
      </c>
      <c r="S125" s="392" t="s">
        <v>2213</v>
      </c>
      <c r="T125" s="392"/>
      <c r="U125" s="392"/>
      <c r="V125" s="382">
        <v>365</v>
      </c>
      <c r="W125" s="1228">
        <f t="shared" si="80"/>
        <v>517.30769230769226</v>
      </c>
      <c r="X125" s="197" t="s">
        <v>3</v>
      </c>
      <c r="Y125" s="1188">
        <f t="shared" si="58"/>
        <v>387.98076923076917</v>
      </c>
      <c r="Z125" s="377">
        <v>0.25</v>
      </c>
      <c r="AA125" s="1189">
        <f t="shared" si="59"/>
        <v>517.30769230769226</v>
      </c>
      <c r="AB125" s="377">
        <v>0</v>
      </c>
      <c r="AC125" s="378">
        <v>0</v>
      </c>
      <c r="AD125" s="1100">
        <f t="shared" si="81"/>
        <v>517.30769230769226</v>
      </c>
      <c r="AE125" s="377">
        <v>0.04</v>
      </c>
      <c r="AF125" s="370">
        <f t="shared" si="82"/>
        <v>20.69230769230769</v>
      </c>
      <c r="AG125" s="1216">
        <v>538</v>
      </c>
      <c r="AH125" s="1215" t="s">
        <v>5</v>
      </c>
      <c r="AI125" s="1177">
        <f t="shared" si="60"/>
        <v>0</v>
      </c>
      <c r="AJ125" s="378"/>
      <c r="AK125" s="1179">
        <f t="shared" si="61"/>
        <v>0</v>
      </c>
      <c r="AL125" s="378"/>
      <c r="AM125" s="378"/>
      <c r="AN125" s="378"/>
      <c r="AO125" s="378"/>
      <c r="AP125" s="378"/>
      <c r="AQ125" s="1216"/>
      <c r="AR125" s="1202" t="s">
        <v>2224</v>
      </c>
      <c r="AS125" s="1177" t="str">
        <f t="shared" si="67"/>
        <v/>
      </c>
      <c r="AT125" s="1151"/>
      <c r="AU125" s="1179">
        <f t="shared" si="68"/>
        <v>0</v>
      </c>
      <c r="AV125" s="1151"/>
      <c r="AW125" s="1151"/>
      <c r="AX125" s="1151"/>
      <c r="AY125" s="1151"/>
      <c r="AZ125" s="1151"/>
      <c r="BA125" s="183"/>
      <c r="BB125" s="1202" t="s">
        <v>2224</v>
      </c>
      <c r="BC125" s="1177" t="str">
        <f t="shared" si="69"/>
        <v/>
      </c>
      <c r="BD125" s="1151"/>
      <c r="BE125" s="1179">
        <f t="shared" si="70"/>
        <v>0</v>
      </c>
      <c r="BF125" s="1151"/>
      <c r="BG125" s="1151"/>
      <c r="BH125" s="1151"/>
      <c r="BI125" s="1151"/>
      <c r="BJ125" s="1151"/>
      <c r="BK125" s="183"/>
      <c r="BL125" s="1202" t="s">
        <v>2224</v>
      </c>
      <c r="BM125" s="1151"/>
      <c r="BN125" s="1151"/>
      <c r="BO125" s="1151"/>
      <c r="BP125" s="1151"/>
      <c r="BQ125" s="1151"/>
      <c r="BR125" s="1151"/>
      <c r="BS125" s="1151"/>
      <c r="BT125" s="1151"/>
      <c r="BU125" s="183"/>
      <c r="BV125" s="1202" t="s">
        <v>2224</v>
      </c>
      <c r="BW125" s="1109"/>
      <c r="BX125" s="1109"/>
      <c r="BY125" s="1109"/>
      <c r="BZ125" s="1109"/>
      <c r="CA125" s="1109"/>
      <c r="CB125" s="1109"/>
      <c r="CC125" s="1109"/>
      <c r="CD125" s="1109"/>
      <c r="CE125" s="380"/>
    </row>
    <row r="126" spans="1:83" s="383" customFormat="1">
      <c r="A126" s="197" t="b">
        <v>0</v>
      </c>
      <c r="B126" s="197" t="s">
        <v>2244</v>
      </c>
      <c r="C126" s="197" t="b">
        <f t="shared" si="85"/>
        <v>1</v>
      </c>
      <c r="D126" s="388" t="str">
        <f>IF(C126=FALSE=NAMES!$B$8,"",IF(L126="N/A","N/A",O126&amp;N126&amp;L126&amp;"-"&amp;M126))</f>
        <v/>
      </c>
      <c r="E126" s="392" t="str">
        <f t="shared" si="50"/>
        <v>2015USDAIG Luxembourg-Comfort MLC S</v>
      </c>
      <c r="F126" s="1236" t="str">
        <f t="shared" si="74"/>
        <v>2015USDAIG Luxembourg-Healthcare PlanComfort MLC S</v>
      </c>
      <c r="G126" s="1240" t="str">
        <f t="shared" si="75"/>
        <v>2015USDAIG Luxembourg-Assistance and RepatriationComfort MLC S</v>
      </c>
      <c r="H126" s="1240" t="str">
        <f t="shared" si="76"/>
        <v>N/A</v>
      </c>
      <c r="I126" s="1240" t="str">
        <f t="shared" si="77"/>
        <v>N/A</v>
      </c>
      <c r="J126" s="1240" t="str">
        <f t="shared" si="78"/>
        <v>N/A</v>
      </c>
      <c r="K126" s="1240" t="str">
        <f t="shared" si="79"/>
        <v>N/A</v>
      </c>
      <c r="L126" s="392" t="s">
        <v>4</v>
      </c>
      <c r="M126" s="392" t="s">
        <v>2118</v>
      </c>
      <c r="N126" s="392" t="s">
        <v>87</v>
      </c>
      <c r="O126" s="376">
        <v>2015</v>
      </c>
      <c r="P126" s="376" t="s">
        <v>26</v>
      </c>
      <c r="Q126" s="376" t="s">
        <v>1</v>
      </c>
      <c r="R126" s="378">
        <v>10</v>
      </c>
      <c r="S126" s="392" t="s">
        <v>2213</v>
      </c>
      <c r="T126" s="392"/>
      <c r="U126" s="392"/>
      <c r="V126" s="382">
        <v>365</v>
      </c>
      <c r="W126" s="1228">
        <f t="shared" si="80"/>
        <v>632.69230769230762</v>
      </c>
      <c r="X126" s="197" t="s">
        <v>3</v>
      </c>
      <c r="Y126" s="1188">
        <f t="shared" si="58"/>
        <v>387.98076923076917</v>
      </c>
      <c r="Z126" s="377">
        <v>0.25</v>
      </c>
      <c r="AA126" s="1189">
        <f t="shared" si="59"/>
        <v>517.30769230769226</v>
      </c>
      <c r="AB126" s="377">
        <v>0</v>
      </c>
      <c r="AC126" s="378">
        <v>0</v>
      </c>
      <c r="AD126" s="1100">
        <f t="shared" si="81"/>
        <v>517.30769230769226</v>
      </c>
      <c r="AE126" s="377">
        <v>0.04</v>
      </c>
      <c r="AF126" s="370">
        <f t="shared" si="82"/>
        <v>20.69230769230769</v>
      </c>
      <c r="AG126" s="1216">
        <v>538</v>
      </c>
      <c r="AH126" s="1215" t="s">
        <v>5</v>
      </c>
      <c r="AI126" s="1177">
        <f t="shared" si="60"/>
        <v>86.538461538461547</v>
      </c>
      <c r="AJ126" s="1175">
        <v>0.25</v>
      </c>
      <c r="AK126" s="1179">
        <f t="shared" si="61"/>
        <v>115.38461538461539</v>
      </c>
      <c r="AL126" s="1175">
        <v>0</v>
      </c>
      <c r="AM126" s="1174">
        <v>0</v>
      </c>
      <c r="AN126" s="1178"/>
      <c r="AO126" s="1175">
        <v>0.04</v>
      </c>
      <c r="AP126" s="1175"/>
      <c r="AQ126" s="1204">
        <v>120</v>
      </c>
      <c r="AR126" s="1202" t="s">
        <v>2224</v>
      </c>
      <c r="AS126" s="1177" t="str">
        <f t="shared" si="67"/>
        <v/>
      </c>
      <c r="AT126" s="1151"/>
      <c r="AU126" s="1179">
        <f t="shared" si="68"/>
        <v>0</v>
      </c>
      <c r="AV126" s="1151"/>
      <c r="AW126" s="1151"/>
      <c r="AX126" s="1151"/>
      <c r="AY126" s="1151"/>
      <c r="AZ126" s="1151"/>
      <c r="BA126" s="183"/>
      <c r="BB126" s="1202" t="s">
        <v>2224</v>
      </c>
      <c r="BC126" s="1177" t="str">
        <f t="shared" si="69"/>
        <v/>
      </c>
      <c r="BD126" s="1151"/>
      <c r="BE126" s="1179">
        <f t="shared" si="70"/>
        <v>0</v>
      </c>
      <c r="BF126" s="1151"/>
      <c r="BG126" s="1151"/>
      <c r="BH126" s="1151"/>
      <c r="BI126" s="1151"/>
      <c r="BJ126" s="1151"/>
      <c r="BK126" s="183"/>
      <c r="BL126" s="1202" t="s">
        <v>2224</v>
      </c>
      <c r="BM126" s="1109"/>
      <c r="BN126" s="1109"/>
      <c r="BO126" s="1109"/>
      <c r="BP126" s="1109"/>
      <c r="BQ126" s="1109"/>
      <c r="BR126" s="1109"/>
      <c r="BS126" s="1109"/>
      <c r="BT126" s="1109"/>
      <c r="BU126" s="380"/>
      <c r="BV126" s="1202" t="s">
        <v>2224</v>
      </c>
      <c r="BW126" s="1109"/>
      <c r="BX126" s="1109"/>
      <c r="BY126" s="1109"/>
      <c r="BZ126" s="1109"/>
      <c r="CA126" s="1109"/>
      <c r="CB126" s="1109"/>
      <c r="CC126" s="1109"/>
      <c r="CD126" s="1109"/>
      <c r="CE126" s="380"/>
    </row>
    <row r="127" spans="1:83" s="383" customFormat="1">
      <c r="A127" s="197" t="b">
        <v>0</v>
      </c>
      <c r="B127" s="197" t="s">
        <v>2244</v>
      </c>
      <c r="C127" s="197" t="b">
        <f t="shared" si="85"/>
        <v>1</v>
      </c>
      <c r="D127" s="388" t="str">
        <f>IF(C127=FALSE=NAMES!$B$8,"",IF(L127="N/A","N/A",O127&amp;N127&amp;L127&amp;"-"&amp;M127))</f>
        <v/>
      </c>
      <c r="E127" s="392" t="str">
        <f t="shared" si="50"/>
        <v>2015USDAIG Luxembourg-Comfort S</v>
      </c>
      <c r="F127" s="1236" t="str">
        <f t="shared" si="74"/>
        <v>2015USDAIG Luxembourg-Healthcare PlanComfort S</v>
      </c>
      <c r="G127" s="1240" t="str">
        <f t="shared" si="75"/>
        <v>2015USDAIG Luxembourg-Assistance and RepatriationComfort S</v>
      </c>
      <c r="H127" s="1240" t="str">
        <f t="shared" si="76"/>
        <v>N/A</v>
      </c>
      <c r="I127" s="1240" t="str">
        <f t="shared" si="77"/>
        <v>N/A</v>
      </c>
      <c r="J127" s="1240" t="str">
        <f t="shared" si="78"/>
        <v>N/A</v>
      </c>
      <c r="K127" s="1240" t="str">
        <f t="shared" si="79"/>
        <v>N/A</v>
      </c>
      <c r="L127" s="392" t="s">
        <v>4</v>
      </c>
      <c r="M127" s="392" t="s">
        <v>2117</v>
      </c>
      <c r="N127" s="392" t="s">
        <v>87</v>
      </c>
      <c r="O127" s="376">
        <v>2015</v>
      </c>
      <c r="P127" s="376" t="s">
        <v>26</v>
      </c>
      <c r="Q127" s="376" t="s">
        <v>1</v>
      </c>
      <c r="R127" s="378">
        <v>10</v>
      </c>
      <c r="S127" s="392" t="s">
        <v>2213</v>
      </c>
      <c r="T127" s="392"/>
      <c r="U127" s="392"/>
      <c r="V127" s="382">
        <v>365</v>
      </c>
      <c r="W127" s="1228">
        <f t="shared" si="80"/>
        <v>517.30769230769226</v>
      </c>
      <c r="X127" s="197" t="s">
        <v>3</v>
      </c>
      <c r="Y127" s="1188">
        <f t="shared" si="58"/>
        <v>387.98076923076917</v>
      </c>
      <c r="Z127" s="377">
        <v>0.25</v>
      </c>
      <c r="AA127" s="1189">
        <f t="shared" si="59"/>
        <v>517.30769230769226</v>
      </c>
      <c r="AB127" s="377">
        <v>0</v>
      </c>
      <c r="AC127" s="378">
        <v>0</v>
      </c>
      <c r="AD127" s="1100">
        <f t="shared" si="81"/>
        <v>517.30769230769226</v>
      </c>
      <c r="AE127" s="377">
        <v>0.04</v>
      </c>
      <c r="AF127" s="370">
        <f t="shared" si="82"/>
        <v>20.69230769230769</v>
      </c>
      <c r="AG127" s="1216">
        <v>538</v>
      </c>
      <c r="AH127" s="1215" t="s">
        <v>5</v>
      </c>
      <c r="AI127" s="1177">
        <f t="shared" si="60"/>
        <v>0</v>
      </c>
      <c r="AJ127" s="378"/>
      <c r="AK127" s="1179">
        <f t="shared" si="61"/>
        <v>0</v>
      </c>
      <c r="AL127" s="378"/>
      <c r="AM127" s="378"/>
      <c r="AN127" s="378"/>
      <c r="AO127" s="378"/>
      <c r="AP127" s="378"/>
      <c r="AQ127" s="1216"/>
      <c r="AR127" s="1202" t="s">
        <v>2224</v>
      </c>
      <c r="AS127" s="1177" t="str">
        <f t="shared" si="67"/>
        <v/>
      </c>
      <c r="AT127" s="1151"/>
      <c r="AU127" s="1179">
        <f t="shared" si="68"/>
        <v>0</v>
      </c>
      <c r="AV127" s="1151"/>
      <c r="AW127" s="1151"/>
      <c r="AX127" s="1151"/>
      <c r="AY127" s="1151"/>
      <c r="AZ127" s="1151"/>
      <c r="BA127" s="183"/>
      <c r="BB127" s="1202" t="s">
        <v>2224</v>
      </c>
      <c r="BC127" s="1177" t="str">
        <f t="shared" si="69"/>
        <v/>
      </c>
      <c r="BD127" s="1151"/>
      <c r="BE127" s="1179">
        <f t="shared" si="70"/>
        <v>0</v>
      </c>
      <c r="BF127" s="1151"/>
      <c r="BG127" s="1151"/>
      <c r="BH127" s="1151"/>
      <c r="BI127" s="1151"/>
      <c r="BJ127" s="1151"/>
      <c r="BK127" s="183"/>
      <c r="BL127" s="1202" t="s">
        <v>2224</v>
      </c>
      <c r="BM127" s="1109"/>
      <c r="BN127" s="1109"/>
      <c r="BO127" s="1109"/>
      <c r="BP127" s="1109"/>
      <c r="BQ127" s="1109"/>
      <c r="BR127" s="1109"/>
      <c r="BS127" s="1109"/>
      <c r="BT127" s="1109"/>
      <c r="BU127" s="380"/>
      <c r="BV127" s="1202" t="s">
        <v>2224</v>
      </c>
      <c r="BW127" s="1109"/>
      <c r="BX127" s="1109"/>
      <c r="BY127" s="1109"/>
      <c r="BZ127" s="1109"/>
      <c r="CA127" s="1109"/>
      <c r="CB127" s="1109"/>
      <c r="CC127" s="1109"/>
      <c r="CD127" s="1109"/>
      <c r="CE127" s="380"/>
    </row>
    <row r="128" spans="1:83" s="383" customFormat="1">
      <c r="A128" s="291" t="b">
        <v>0</v>
      </c>
      <c r="B128" s="291" t="s">
        <v>2244</v>
      </c>
      <c r="C128" s="291" t="b">
        <f t="shared" si="85"/>
        <v>1</v>
      </c>
      <c r="D128" s="388" t="str">
        <f>IF(C128=FALSE=NAMES!$B$8,"",IF(L128="N/A","N/A",O128&amp;N128&amp;L128&amp;"-"&amp;M128))</f>
        <v/>
      </c>
      <c r="E128" s="392" t="str">
        <f t="shared" si="50"/>
        <v>2015USDAIG Luxembourg-COMFORTMLC</v>
      </c>
      <c r="F128" s="1236" t="str">
        <f t="shared" si="74"/>
        <v>2015USDAIG Luxembourg-Healthcare PlanCOMFORTMLC</v>
      </c>
      <c r="G128" s="1240" t="str">
        <f t="shared" si="75"/>
        <v>2015USDAIG Luxembourg-Assistance and RepatriationCOMFORTMLC</v>
      </c>
      <c r="H128" s="1240" t="str">
        <f t="shared" si="76"/>
        <v>N/A</v>
      </c>
      <c r="I128" s="1240" t="str">
        <f t="shared" si="77"/>
        <v>N/A</v>
      </c>
      <c r="J128" s="1240" t="str">
        <f t="shared" si="78"/>
        <v>N/A</v>
      </c>
      <c r="K128" s="1240" t="str">
        <f t="shared" si="79"/>
        <v>N/A</v>
      </c>
      <c r="L128" s="392" t="s">
        <v>4</v>
      </c>
      <c r="M128" s="392" t="s">
        <v>2256</v>
      </c>
      <c r="N128" s="392" t="s">
        <v>87</v>
      </c>
      <c r="O128" s="376">
        <v>2015</v>
      </c>
      <c r="P128" s="376" t="s">
        <v>26</v>
      </c>
      <c r="Q128" s="376" t="s">
        <v>1</v>
      </c>
      <c r="R128" s="378">
        <v>65</v>
      </c>
      <c r="S128" s="392" t="s">
        <v>2213</v>
      </c>
      <c r="T128" s="392"/>
      <c r="U128" s="392"/>
      <c r="V128" s="382">
        <v>365</v>
      </c>
      <c r="W128" s="1228">
        <f t="shared" si="80"/>
        <v>632.69230769230762</v>
      </c>
      <c r="X128" s="197" t="s">
        <v>3</v>
      </c>
      <c r="Y128" s="1188">
        <f t="shared" si="58"/>
        <v>387.98076923076917</v>
      </c>
      <c r="Z128" s="377">
        <v>0.25</v>
      </c>
      <c r="AA128" s="1189">
        <f t="shared" si="59"/>
        <v>517.30769230769226</v>
      </c>
      <c r="AB128" s="377">
        <v>0</v>
      </c>
      <c r="AC128" s="378">
        <v>0</v>
      </c>
      <c r="AD128" s="1100">
        <f t="shared" si="81"/>
        <v>517.30769230769226</v>
      </c>
      <c r="AE128" s="377">
        <v>0.04</v>
      </c>
      <c r="AF128" s="370">
        <f t="shared" si="82"/>
        <v>20.69230769230769</v>
      </c>
      <c r="AG128" s="1216">
        <v>538</v>
      </c>
      <c r="AH128" s="1215" t="s">
        <v>5</v>
      </c>
      <c r="AI128" s="1177">
        <f t="shared" si="60"/>
        <v>86.538461538461547</v>
      </c>
      <c r="AJ128" s="1175">
        <v>0.25</v>
      </c>
      <c r="AK128" s="1179">
        <f t="shared" si="61"/>
        <v>115.38461538461539</v>
      </c>
      <c r="AL128" s="1175">
        <v>0</v>
      </c>
      <c r="AM128" s="1174">
        <v>0</v>
      </c>
      <c r="AN128" s="1178"/>
      <c r="AO128" s="1175">
        <v>0.04</v>
      </c>
      <c r="AP128" s="1175"/>
      <c r="AQ128" s="1204">
        <v>120</v>
      </c>
      <c r="AR128" s="1202" t="s">
        <v>2224</v>
      </c>
      <c r="AS128" s="1177" t="str">
        <f t="shared" si="67"/>
        <v/>
      </c>
      <c r="AT128" s="1151"/>
      <c r="AU128" s="1179">
        <f t="shared" si="68"/>
        <v>0</v>
      </c>
      <c r="AV128" s="1151"/>
      <c r="AW128" s="1151"/>
      <c r="AX128" s="1151"/>
      <c r="AY128" s="1151"/>
      <c r="AZ128" s="1151"/>
      <c r="BA128" s="183"/>
      <c r="BB128" s="1202" t="s">
        <v>2224</v>
      </c>
      <c r="BC128" s="1177" t="str">
        <f t="shared" si="69"/>
        <v/>
      </c>
      <c r="BD128" s="1151"/>
      <c r="BE128" s="1179">
        <f t="shared" si="70"/>
        <v>0</v>
      </c>
      <c r="BF128" s="1151"/>
      <c r="BG128" s="1151"/>
      <c r="BH128" s="1151"/>
      <c r="BI128" s="1151"/>
      <c r="BJ128" s="1151"/>
      <c r="BK128" s="183"/>
      <c r="BL128" s="1202" t="s">
        <v>2224</v>
      </c>
      <c r="BM128" s="1151"/>
      <c r="BN128" s="1151"/>
      <c r="BO128" s="1151"/>
      <c r="BP128" s="1151"/>
      <c r="BQ128" s="1151"/>
      <c r="BR128" s="1151"/>
      <c r="BS128" s="1151"/>
      <c r="BT128" s="1151"/>
      <c r="BU128" s="183"/>
      <c r="BV128" s="1202" t="s">
        <v>2224</v>
      </c>
      <c r="BW128" s="1109"/>
      <c r="BX128" s="1109"/>
      <c r="BY128" s="1109"/>
      <c r="BZ128" s="1109"/>
      <c r="CA128" s="1109"/>
      <c r="CB128" s="1109"/>
      <c r="CC128" s="1109"/>
      <c r="CD128" s="1109"/>
      <c r="CE128" s="380"/>
    </row>
    <row r="129" spans="1:83" s="383" customFormat="1">
      <c r="A129" s="291" t="b">
        <v>0</v>
      </c>
      <c r="B129" s="291" t="s">
        <v>2244</v>
      </c>
      <c r="C129" s="291" t="b">
        <f t="shared" si="85"/>
        <v>1</v>
      </c>
      <c r="D129" s="388" t="str">
        <f>IF(C129=FALSE=NAMES!$B$8,"",IF(L129="N/A","N/A",O129&amp;N129&amp;L129&amp;"-"&amp;M129))</f>
        <v/>
      </c>
      <c r="E129" s="392" t="str">
        <f t="shared" si="50"/>
        <v>2015USDAIG Luxembourg-PRESTIGE</v>
      </c>
      <c r="F129" s="1236" t="str">
        <f t="shared" si="74"/>
        <v>2015USDAIG Luxembourg-Healthcare PlanPRESTIGE</v>
      </c>
      <c r="G129" s="1240" t="str">
        <f t="shared" si="75"/>
        <v>2015USDAIG Luxembourg-Assistance and RepatriationPRESTIGE</v>
      </c>
      <c r="H129" s="1240" t="str">
        <f t="shared" si="76"/>
        <v>N/A</v>
      </c>
      <c r="I129" s="1240" t="str">
        <f t="shared" si="77"/>
        <v>N/A</v>
      </c>
      <c r="J129" s="1240" t="str">
        <f t="shared" si="78"/>
        <v>N/A</v>
      </c>
      <c r="K129" s="1240" t="str">
        <f t="shared" si="79"/>
        <v>N/A</v>
      </c>
      <c r="L129" s="392" t="s">
        <v>4</v>
      </c>
      <c r="M129" s="392" t="s">
        <v>86</v>
      </c>
      <c r="N129" s="392" t="s">
        <v>87</v>
      </c>
      <c r="O129" s="376">
        <v>2015</v>
      </c>
      <c r="P129" s="376" t="s">
        <v>26</v>
      </c>
      <c r="Q129" s="376" t="s">
        <v>1</v>
      </c>
      <c r="R129" s="378">
        <v>35</v>
      </c>
      <c r="S129" s="392" t="s">
        <v>2213</v>
      </c>
      <c r="T129" s="392"/>
      <c r="U129" s="392"/>
      <c r="V129" s="382">
        <v>365</v>
      </c>
      <c r="W129" s="1228">
        <f t="shared" si="80"/>
        <v>1228.8461538461538</v>
      </c>
      <c r="X129" s="197" t="s">
        <v>3</v>
      </c>
      <c r="Y129" s="1188">
        <f t="shared" si="58"/>
        <v>791.82692307692309</v>
      </c>
      <c r="Z129" s="377">
        <v>0.25</v>
      </c>
      <c r="AA129" s="1189">
        <f t="shared" si="59"/>
        <v>1055.7692307692307</v>
      </c>
      <c r="AB129" s="377">
        <v>0</v>
      </c>
      <c r="AC129" s="378">
        <v>0</v>
      </c>
      <c r="AD129" s="1100">
        <f t="shared" si="81"/>
        <v>1055.7692307692307</v>
      </c>
      <c r="AE129" s="377">
        <v>0.04</v>
      </c>
      <c r="AF129" s="370">
        <f t="shared" si="82"/>
        <v>42.230769230769226</v>
      </c>
      <c r="AG129" s="1216">
        <v>1098</v>
      </c>
      <c r="AH129" s="1215" t="s">
        <v>5</v>
      </c>
      <c r="AI129" s="1177">
        <f t="shared" si="60"/>
        <v>129.80769230769229</v>
      </c>
      <c r="AJ129" s="1175">
        <v>0.25</v>
      </c>
      <c r="AK129" s="1179">
        <f t="shared" si="61"/>
        <v>173.07692307692307</v>
      </c>
      <c r="AL129" s="1175">
        <v>0</v>
      </c>
      <c r="AM129" s="1174">
        <v>0</v>
      </c>
      <c r="AN129" s="1180"/>
      <c r="AO129" s="1175">
        <v>0.04</v>
      </c>
      <c r="AP129" s="1175"/>
      <c r="AQ129" s="1204">
        <v>180</v>
      </c>
      <c r="AR129" s="1202" t="s">
        <v>2224</v>
      </c>
      <c r="AS129" s="1177" t="str">
        <f t="shared" si="67"/>
        <v/>
      </c>
      <c r="AT129" s="1151"/>
      <c r="AU129" s="1179">
        <f t="shared" si="68"/>
        <v>0</v>
      </c>
      <c r="AV129" s="1151"/>
      <c r="AW129" s="1151"/>
      <c r="AX129" s="1151"/>
      <c r="AY129" s="1151"/>
      <c r="AZ129" s="1151"/>
      <c r="BA129" s="183"/>
      <c r="BB129" s="1202" t="s">
        <v>2224</v>
      </c>
      <c r="BC129" s="1177" t="str">
        <f t="shared" si="69"/>
        <v/>
      </c>
      <c r="BD129" s="1151"/>
      <c r="BE129" s="1179">
        <f t="shared" si="70"/>
        <v>0</v>
      </c>
      <c r="BF129" s="1151"/>
      <c r="BG129" s="1151"/>
      <c r="BH129" s="1151"/>
      <c r="BI129" s="1151"/>
      <c r="BJ129" s="1151"/>
      <c r="BK129" s="183"/>
      <c r="BL129" s="1202" t="s">
        <v>2224</v>
      </c>
      <c r="BM129" s="1151"/>
      <c r="BN129" s="1151"/>
      <c r="BO129" s="1151"/>
      <c r="BP129" s="1151"/>
      <c r="BQ129" s="1151"/>
      <c r="BR129" s="1151"/>
      <c r="BS129" s="1151"/>
      <c r="BT129" s="1151"/>
      <c r="BU129" s="183"/>
      <c r="BV129" s="1202" t="s">
        <v>2224</v>
      </c>
      <c r="BW129" s="1109"/>
      <c r="BX129" s="1109"/>
      <c r="BY129" s="1109"/>
      <c r="BZ129" s="1109"/>
      <c r="CA129" s="1109"/>
      <c r="CB129" s="1109"/>
      <c r="CC129" s="1109"/>
      <c r="CD129" s="1109"/>
      <c r="CE129" s="380"/>
    </row>
    <row r="130" spans="1:83" s="1127" customFormat="1">
      <c r="A130" s="291" t="b">
        <v>0</v>
      </c>
      <c r="B130" s="291" t="s">
        <v>2244</v>
      </c>
      <c r="C130" s="478" t="b">
        <f t="shared" si="85"/>
        <v>1</v>
      </c>
      <c r="D130" s="388" t="str">
        <f>IF(C130=FALSE=NAMES!$B$8,"",IF(L130="N/A","N/A",O130&amp;N130&amp;L130&amp;"-"&amp;M130))</f>
        <v/>
      </c>
      <c r="E130" s="392" t="str">
        <f t="shared" si="50"/>
        <v>2015USDAIG Luxembourg-PRESTIGE-Family</v>
      </c>
      <c r="F130" s="1236" t="str">
        <f t="shared" si="74"/>
        <v>2015USDAIG Luxembourg-Healthcare PlanPRESTIGE-Family</v>
      </c>
      <c r="G130" s="1240" t="str">
        <f t="shared" si="75"/>
        <v>2015USDAIG Luxembourg-Assistance and RepatriationPRESTIGE-Family</v>
      </c>
      <c r="H130" s="1240" t="str">
        <f t="shared" si="76"/>
        <v>N/A</v>
      </c>
      <c r="I130" s="1240" t="str">
        <f t="shared" si="77"/>
        <v>N/A</v>
      </c>
      <c r="J130" s="1240" t="str">
        <f t="shared" si="78"/>
        <v>N/A</v>
      </c>
      <c r="K130" s="1240" t="str">
        <f t="shared" si="79"/>
        <v>N/A</v>
      </c>
      <c r="L130" s="479" t="s">
        <v>4</v>
      </c>
      <c r="M130" s="392" t="s">
        <v>2824</v>
      </c>
      <c r="N130" s="392" t="s">
        <v>87</v>
      </c>
      <c r="O130" s="485">
        <v>2015</v>
      </c>
      <c r="P130" s="485" t="s">
        <v>26</v>
      </c>
      <c r="Q130" s="376" t="s">
        <v>1</v>
      </c>
      <c r="R130" s="484">
        <v>35</v>
      </c>
      <c r="S130" s="479" t="s">
        <v>2214</v>
      </c>
      <c r="T130" s="479"/>
      <c r="U130" s="479"/>
      <c r="V130" s="480">
        <v>365</v>
      </c>
      <c r="W130" s="1228">
        <f t="shared" si="80"/>
        <v>1444.278846153846</v>
      </c>
      <c r="X130" s="478" t="s">
        <v>3</v>
      </c>
      <c r="Y130" s="1188">
        <f t="shared" si="58"/>
        <v>1083.2091346153845</v>
      </c>
      <c r="Z130" s="482">
        <v>0.25</v>
      </c>
      <c r="AA130" s="1189">
        <f t="shared" si="59"/>
        <v>1444.278846153846</v>
      </c>
      <c r="AB130" s="377">
        <v>0</v>
      </c>
      <c r="AC130" s="484">
        <v>0</v>
      </c>
      <c r="AD130" s="1100">
        <f t="shared" si="81"/>
        <v>1444.278846153846</v>
      </c>
      <c r="AE130" s="482">
        <v>0.04</v>
      </c>
      <c r="AF130" s="483">
        <f t="shared" si="82"/>
        <v>57.771153846153837</v>
      </c>
      <c r="AG130" s="1221">
        <v>1502.05</v>
      </c>
      <c r="AH130" s="1215" t="s">
        <v>5</v>
      </c>
      <c r="AI130" s="1177">
        <f t="shared" si="60"/>
        <v>0</v>
      </c>
      <c r="AJ130" s="481"/>
      <c r="AK130" s="1179">
        <f t="shared" si="61"/>
        <v>0</v>
      </c>
      <c r="AL130" s="481"/>
      <c r="AM130" s="481"/>
      <c r="AN130" s="481"/>
      <c r="AO130" s="481"/>
      <c r="AP130" s="481"/>
      <c r="AQ130" s="1218"/>
      <c r="AR130" s="1202" t="s">
        <v>2224</v>
      </c>
      <c r="AS130" s="1177" t="str">
        <f t="shared" si="67"/>
        <v/>
      </c>
      <c r="AT130" s="1151"/>
      <c r="AU130" s="1179">
        <f t="shared" si="68"/>
        <v>0</v>
      </c>
      <c r="AV130" s="1151"/>
      <c r="AW130" s="1151"/>
      <c r="AX130" s="1151"/>
      <c r="AY130" s="1151"/>
      <c r="AZ130" s="1151"/>
      <c r="BA130" s="183"/>
      <c r="BB130" s="1202" t="s">
        <v>2224</v>
      </c>
      <c r="BC130" s="1177" t="str">
        <f t="shared" si="69"/>
        <v/>
      </c>
      <c r="BD130" s="1151"/>
      <c r="BE130" s="1179">
        <f t="shared" si="70"/>
        <v>0</v>
      </c>
      <c r="BF130" s="1151"/>
      <c r="BG130" s="1151"/>
      <c r="BH130" s="1151"/>
      <c r="BI130" s="1151"/>
      <c r="BJ130" s="1151"/>
      <c r="BK130" s="183"/>
      <c r="BL130" s="1202" t="s">
        <v>2224</v>
      </c>
      <c r="BM130" s="480"/>
      <c r="BN130" s="480"/>
      <c r="BO130" s="480"/>
      <c r="BP130" s="480"/>
      <c r="BQ130" s="480"/>
      <c r="BR130" s="480"/>
      <c r="BS130" s="480"/>
      <c r="BT130" s="480"/>
      <c r="BU130" s="487"/>
      <c r="BV130" s="1202" t="s">
        <v>2224</v>
      </c>
      <c r="BW130" s="1109"/>
      <c r="BX130" s="1109"/>
      <c r="BY130" s="1109"/>
      <c r="BZ130" s="1109"/>
      <c r="CA130" s="1109"/>
      <c r="CB130" s="1109"/>
      <c r="CC130" s="1109"/>
      <c r="CD130" s="1109"/>
      <c r="CE130" s="380"/>
    </row>
    <row r="131" spans="1:83" s="383" customFormat="1">
      <c r="A131" s="291" t="b">
        <v>0</v>
      </c>
      <c r="B131" s="291" t="s">
        <v>2244</v>
      </c>
      <c r="C131" s="291" t="b">
        <f t="shared" si="85"/>
        <v>1</v>
      </c>
      <c r="D131" s="388" t="str">
        <f>IF(C131=FALSE=NAMES!$B$8,"",IF(L131="N/A","N/A",O131&amp;N131&amp;L131&amp;"-"&amp;M131))</f>
        <v/>
      </c>
      <c r="E131" s="392" t="str">
        <f t="shared" si="50"/>
        <v>2015USDAIG Luxembourg-Prestige Plus</v>
      </c>
      <c r="F131" s="1236" t="str">
        <f t="shared" si="74"/>
        <v>2015USDAIG Luxembourg-Healthcare PlanPrestige Plus</v>
      </c>
      <c r="G131" s="1240" t="str">
        <f t="shared" si="75"/>
        <v>2015USDAIG Luxembourg-Assistance and RepatriationPrestige Plus</v>
      </c>
      <c r="H131" s="1240" t="str">
        <f t="shared" si="76"/>
        <v>N/A</v>
      </c>
      <c r="I131" s="1240" t="str">
        <f t="shared" si="77"/>
        <v>N/A</v>
      </c>
      <c r="J131" s="1240" t="str">
        <f t="shared" si="78"/>
        <v>N/A</v>
      </c>
      <c r="K131" s="1240" t="str">
        <f t="shared" si="79"/>
        <v>N/A</v>
      </c>
      <c r="L131" s="392" t="s">
        <v>4</v>
      </c>
      <c r="M131" s="392" t="s">
        <v>2079</v>
      </c>
      <c r="N131" s="392" t="s">
        <v>87</v>
      </c>
      <c r="O131" s="376">
        <v>2015</v>
      </c>
      <c r="P131" s="376" t="s">
        <v>26</v>
      </c>
      <c r="Q131" s="376" t="s">
        <v>1</v>
      </c>
      <c r="R131" s="378">
        <v>35</v>
      </c>
      <c r="S131" s="392" t="s">
        <v>2213</v>
      </c>
      <c r="T131" s="392"/>
      <c r="U131" s="392"/>
      <c r="V131" s="382">
        <v>365</v>
      </c>
      <c r="W131" s="1228">
        <f t="shared" si="80"/>
        <v>1353.8492307692306</v>
      </c>
      <c r="X131" s="197" t="s">
        <v>3</v>
      </c>
      <c r="Y131" s="1188">
        <f t="shared" si="58"/>
        <v>791.82692307692309</v>
      </c>
      <c r="Z131" s="377">
        <v>0.25</v>
      </c>
      <c r="AA131" s="1189">
        <f t="shared" si="59"/>
        <v>1055.7692307692307</v>
      </c>
      <c r="AB131" s="377">
        <v>0</v>
      </c>
      <c r="AC131" s="378">
        <v>0</v>
      </c>
      <c r="AD131" s="1100">
        <f t="shared" si="81"/>
        <v>1055.7692307692307</v>
      </c>
      <c r="AE131" s="377">
        <v>0.04</v>
      </c>
      <c r="AF131" s="370">
        <f t="shared" si="82"/>
        <v>42.230769230769226</v>
      </c>
      <c r="AG131" s="1216">
        <v>1098</v>
      </c>
      <c r="AH131" s="1215" t="s">
        <v>5</v>
      </c>
      <c r="AI131" s="1177">
        <f t="shared" si="60"/>
        <v>223.56</v>
      </c>
      <c r="AJ131" s="1175">
        <v>0.25</v>
      </c>
      <c r="AK131" s="1179">
        <f t="shared" si="61"/>
        <v>298.08</v>
      </c>
      <c r="AL131" s="1175">
        <v>0</v>
      </c>
      <c r="AM131" s="1174">
        <v>0</v>
      </c>
      <c r="AN131" s="1180"/>
      <c r="AO131" s="1175">
        <v>0.04</v>
      </c>
      <c r="AP131" s="1175"/>
      <c r="AQ131" s="1204">
        <v>310.00319999999999</v>
      </c>
      <c r="AR131" s="1202" t="s">
        <v>2224</v>
      </c>
      <c r="AS131" s="1177" t="str">
        <f t="shared" si="67"/>
        <v/>
      </c>
      <c r="AT131" s="1151"/>
      <c r="AU131" s="1179">
        <f t="shared" si="68"/>
        <v>0</v>
      </c>
      <c r="AV131" s="1109"/>
      <c r="AW131" s="1109"/>
      <c r="AX131" s="1109"/>
      <c r="AY131" s="1109"/>
      <c r="AZ131" s="1109"/>
      <c r="BA131" s="380"/>
      <c r="BB131" s="1202" t="s">
        <v>2224</v>
      </c>
      <c r="BC131" s="1177" t="str">
        <f t="shared" si="69"/>
        <v/>
      </c>
      <c r="BD131" s="1151"/>
      <c r="BE131" s="1179">
        <f t="shared" si="70"/>
        <v>0</v>
      </c>
      <c r="BF131" s="1109"/>
      <c r="BG131" s="1109"/>
      <c r="BH131" s="1109"/>
      <c r="BI131" s="1109"/>
      <c r="BJ131" s="1109"/>
      <c r="BK131" s="380"/>
      <c r="BL131" s="1202" t="s">
        <v>2224</v>
      </c>
      <c r="BM131" s="1151"/>
      <c r="BN131" s="1151"/>
      <c r="BO131" s="1151"/>
      <c r="BP131" s="1151"/>
      <c r="BQ131" s="1151"/>
      <c r="BR131" s="1151"/>
      <c r="BS131" s="1151"/>
      <c r="BT131" s="1151"/>
      <c r="BU131" s="183"/>
      <c r="BV131" s="1202" t="s">
        <v>2224</v>
      </c>
      <c r="BW131" s="1109"/>
      <c r="BX131" s="1109"/>
      <c r="BY131" s="1109"/>
      <c r="BZ131" s="1109"/>
      <c r="CA131" s="1109"/>
      <c r="CB131" s="1109"/>
      <c r="CC131" s="1109"/>
      <c r="CD131" s="1109"/>
      <c r="CE131" s="380"/>
    </row>
    <row r="132" spans="1:83" s="383" customFormat="1">
      <c r="A132" s="197" t="b">
        <v>0</v>
      </c>
      <c r="B132" s="197" t="s">
        <v>2244</v>
      </c>
      <c r="C132" s="197" t="b">
        <f t="shared" si="85"/>
        <v>1</v>
      </c>
      <c r="D132" s="388" t="str">
        <f>IF(C132=FALSE=NAMES!$B$8,"",IF(L132="N/A","N/A",O132&amp;N132&amp;L132&amp;"-"&amp;M132))</f>
        <v/>
      </c>
      <c r="E132" s="392" t="str">
        <f t="shared" si="50"/>
        <v>2015USDAIG Luxembourg-Prestige S</v>
      </c>
      <c r="F132" s="1236" t="str">
        <f t="shared" si="74"/>
        <v>2015USDAIG Luxembourg-Healthcare PlanPrestige S</v>
      </c>
      <c r="G132" s="1240" t="str">
        <f t="shared" si="75"/>
        <v>2015USDAIG Luxembourg-Assistance and RepatriationPrestige S</v>
      </c>
      <c r="H132" s="1240" t="str">
        <f t="shared" si="76"/>
        <v>N/A</v>
      </c>
      <c r="I132" s="1240" t="str">
        <f t="shared" si="77"/>
        <v>N/A</v>
      </c>
      <c r="J132" s="1240" t="str">
        <f t="shared" si="78"/>
        <v>N/A</v>
      </c>
      <c r="K132" s="1240" t="str">
        <f t="shared" si="79"/>
        <v>N/A</v>
      </c>
      <c r="L132" s="392" t="s">
        <v>4</v>
      </c>
      <c r="M132" s="392" t="s">
        <v>2068</v>
      </c>
      <c r="N132" s="392" t="s">
        <v>87</v>
      </c>
      <c r="O132" s="376">
        <v>2015</v>
      </c>
      <c r="P132" s="376" t="s">
        <v>26</v>
      </c>
      <c r="Q132" s="376" t="s">
        <v>1</v>
      </c>
      <c r="R132" s="378">
        <v>10</v>
      </c>
      <c r="S132" s="392" t="s">
        <v>2213</v>
      </c>
      <c r="T132" s="392"/>
      <c r="U132" s="392"/>
      <c r="V132" s="382">
        <v>365</v>
      </c>
      <c r="W132" s="1228">
        <f t="shared" si="80"/>
        <v>1228.8461538461538</v>
      </c>
      <c r="X132" s="197" t="s">
        <v>3</v>
      </c>
      <c r="Y132" s="1188">
        <f t="shared" si="58"/>
        <v>791.82692307692309</v>
      </c>
      <c r="Z132" s="377">
        <v>0.25</v>
      </c>
      <c r="AA132" s="1189">
        <f t="shared" si="59"/>
        <v>1055.7692307692307</v>
      </c>
      <c r="AB132" s="377">
        <v>0</v>
      </c>
      <c r="AC132" s="378">
        <v>0</v>
      </c>
      <c r="AD132" s="1100">
        <f t="shared" si="81"/>
        <v>1055.7692307692307</v>
      </c>
      <c r="AE132" s="377">
        <v>0.04</v>
      </c>
      <c r="AF132" s="370">
        <f t="shared" si="82"/>
        <v>42.230769230769226</v>
      </c>
      <c r="AG132" s="1216">
        <v>1098</v>
      </c>
      <c r="AH132" s="1215" t="s">
        <v>5</v>
      </c>
      <c r="AI132" s="1177">
        <f t="shared" si="60"/>
        <v>129.80769230769229</v>
      </c>
      <c r="AJ132" s="1175">
        <v>0.25</v>
      </c>
      <c r="AK132" s="1179">
        <f t="shared" si="61"/>
        <v>173.07692307692307</v>
      </c>
      <c r="AL132" s="1175">
        <v>0</v>
      </c>
      <c r="AM132" s="1174">
        <v>0</v>
      </c>
      <c r="AN132" s="1180"/>
      <c r="AO132" s="1175">
        <v>0.04</v>
      </c>
      <c r="AP132" s="1175"/>
      <c r="AQ132" s="1204">
        <v>180</v>
      </c>
      <c r="AR132" s="1202" t="s">
        <v>2224</v>
      </c>
      <c r="AS132" s="1177" t="str">
        <f t="shared" si="67"/>
        <v/>
      </c>
      <c r="AT132" s="1151"/>
      <c r="AU132" s="1179">
        <f t="shared" si="68"/>
        <v>0</v>
      </c>
      <c r="AV132" s="1109"/>
      <c r="AW132" s="1109"/>
      <c r="AX132" s="1109"/>
      <c r="AY132" s="1109"/>
      <c r="AZ132" s="1109"/>
      <c r="BA132" s="380"/>
      <c r="BB132" s="1202" t="s">
        <v>2224</v>
      </c>
      <c r="BC132" s="1177" t="str">
        <f t="shared" si="69"/>
        <v/>
      </c>
      <c r="BD132" s="1151"/>
      <c r="BE132" s="1179">
        <f t="shared" si="70"/>
        <v>0</v>
      </c>
      <c r="BF132" s="1109"/>
      <c r="BG132" s="1109"/>
      <c r="BH132" s="1109"/>
      <c r="BI132" s="1109"/>
      <c r="BJ132" s="1109"/>
      <c r="BK132" s="380"/>
      <c r="BL132" s="1202" t="s">
        <v>2224</v>
      </c>
      <c r="BM132" s="1109"/>
      <c r="BN132" s="1109"/>
      <c r="BO132" s="1109"/>
      <c r="BP132" s="1109"/>
      <c r="BQ132" s="1109"/>
      <c r="BR132" s="1109"/>
      <c r="BS132" s="1109"/>
      <c r="BT132" s="1109"/>
      <c r="BU132" s="380"/>
      <c r="BV132" s="1202" t="s">
        <v>2224</v>
      </c>
      <c r="BW132" s="1109"/>
      <c r="BX132" s="1109"/>
      <c r="BY132" s="1109"/>
      <c r="BZ132" s="1109"/>
      <c r="CA132" s="1109"/>
      <c r="CB132" s="1109"/>
      <c r="CC132" s="1109"/>
      <c r="CD132" s="1109"/>
      <c r="CE132" s="380"/>
    </row>
    <row r="133" spans="1:83" s="383" customFormat="1">
      <c r="A133" s="197" t="b">
        <v>0</v>
      </c>
      <c r="B133" s="197" t="s">
        <v>2244</v>
      </c>
      <c r="C133" s="197" t="b">
        <f t="shared" si="85"/>
        <v>1</v>
      </c>
      <c r="D133" s="388" t="str">
        <f>IF(C133=FALSE=NAMES!$B$8,"",IF(L133="N/A","N/A",O133&amp;N133&amp;L133&amp;"-"&amp;M133))</f>
        <v/>
      </c>
      <c r="E133" s="392" t="str">
        <f t="shared" si="50"/>
        <v>2015USDAllianz-Privilege 100</v>
      </c>
      <c r="F133" s="1236" t="str">
        <f t="shared" si="74"/>
        <v>2015USDAllianz-Healthcare PlanPrivilege 100</v>
      </c>
      <c r="G133" s="1240" t="str">
        <f t="shared" si="75"/>
        <v>2015USDAllianz-Assistance and RepatriationPrivilege 100</v>
      </c>
      <c r="H133" s="1240" t="str">
        <f t="shared" si="76"/>
        <v>N/A</v>
      </c>
      <c r="I133" s="1240" t="str">
        <f t="shared" si="77"/>
        <v>N/A</v>
      </c>
      <c r="J133" s="1240" t="str">
        <f t="shared" si="78"/>
        <v>N/A</v>
      </c>
      <c r="K133" s="1240" t="str">
        <f t="shared" si="79"/>
        <v>N/A</v>
      </c>
      <c r="L133" s="392" t="s">
        <v>2119</v>
      </c>
      <c r="M133" s="392" t="s">
        <v>2120</v>
      </c>
      <c r="N133" s="392" t="s">
        <v>87</v>
      </c>
      <c r="O133" s="376">
        <v>2015</v>
      </c>
      <c r="P133" s="376" t="s">
        <v>26</v>
      </c>
      <c r="Q133" s="376" t="s">
        <v>1</v>
      </c>
      <c r="R133" s="378"/>
      <c r="S133" s="392" t="s">
        <v>2213</v>
      </c>
      <c r="T133" s="392"/>
      <c r="U133" s="392"/>
      <c r="V133" s="382">
        <v>365</v>
      </c>
      <c r="W133" s="1228">
        <f t="shared" si="80"/>
        <v>3050.9615384615386</v>
      </c>
      <c r="X133" s="197" t="s">
        <v>3</v>
      </c>
      <c r="Y133" s="1188">
        <f t="shared" si="58"/>
        <v>2593.3173076923076</v>
      </c>
      <c r="Z133" s="377">
        <v>0.15</v>
      </c>
      <c r="AA133" s="1189">
        <f t="shared" si="59"/>
        <v>3050.9615384615386</v>
      </c>
      <c r="AB133" s="377">
        <v>0</v>
      </c>
      <c r="AC133" s="378">
        <v>0</v>
      </c>
      <c r="AD133" s="1100">
        <f t="shared" si="81"/>
        <v>3050.9615384615386</v>
      </c>
      <c r="AE133" s="377">
        <v>0.04</v>
      </c>
      <c r="AF133" s="370">
        <f t="shared" si="82"/>
        <v>122.03846153846155</v>
      </c>
      <c r="AG133" s="1216">
        <v>3173</v>
      </c>
      <c r="AH133" s="1215" t="s">
        <v>5</v>
      </c>
      <c r="AI133" s="1177">
        <f t="shared" si="60"/>
        <v>0</v>
      </c>
      <c r="AJ133" s="378"/>
      <c r="AK133" s="1179">
        <f t="shared" si="61"/>
        <v>0</v>
      </c>
      <c r="AL133" s="378"/>
      <c r="AM133" s="378"/>
      <c r="AN133" s="378"/>
      <c r="AO133" s="378"/>
      <c r="AP133" s="378"/>
      <c r="AQ133" s="1216"/>
      <c r="AR133" s="1202" t="s">
        <v>2224</v>
      </c>
      <c r="AS133" s="1177" t="str">
        <f t="shared" si="67"/>
        <v/>
      </c>
      <c r="AT133" s="1151"/>
      <c r="AU133" s="1179">
        <f t="shared" si="68"/>
        <v>0</v>
      </c>
      <c r="AV133" s="1109"/>
      <c r="AW133" s="1109"/>
      <c r="AX133" s="1109"/>
      <c r="AY133" s="1109"/>
      <c r="AZ133" s="1109"/>
      <c r="BA133" s="380"/>
      <c r="BB133" s="1202" t="s">
        <v>2224</v>
      </c>
      <c r="BC133" s="1177" t="str">
        <f t="shared" si="69"/>
        <v/>
      </c>
      <c r="BD133" s="1151"/>
      <c r="BE133" s="1179">
        <f t="shared" si="70"/>
        <v>0</v>
      </c>
      <c r="BF133" s="1109"/>
      <c r="BG133" s="1109"/>
      <c r="BH133" s="1109"/>
      <c r="BI133" s="1109"/>
      <c r="BJ133" s="1109"/>
      <c r="BK133" s="380"/>
      <c r="BL133" s="1202" t="s">
        <v>2224</v>
      </c>
      <c r="BM133" s="1109"/>
      <c r="BN133" s="1109"/>
      <c r="BO133" s="1109"/>
      <c r="BP133" s="1109"/>
      <c r="BQ133" s="1109"/>
      <c r="BR133" s="1109"/>
      <c r="BS133" s="1109"/>
      <c r="BT133" s="1109"/>
      <c r="BU133" s="380"/>
      <c r="BV133" s="1202" t="s">
        <v>2224</v>
      </c>
      <c r="BW133" s="1109"/>
      <c r="BX133" s="1109"/>
      <c r="BY133" s="1109"/>
      <c r="BZ133" s="1109"/>
      <c r="CA133" s="1109"/>
      <c r="CB133" s="1109"/>
      <c r="CC133" s="1109"/>
      <c r="CD133" s="1109"/>
      <c r="CE133" s="380"/>
    </row>
    <row r="134" spans="1:83" s="383" customFormat="1">
      <c r="A134" s="197" t="b">
        <v>0</v>
      </c>
      <c r="B134" s="197" t="s">
        <v>2244</v>
      </c>
      <c r="C134" s="197" t="b">
        <f t="shared" si="85"/>
        <v>1</v>
      </c>
      <c r="D134" s="388" t="str">
        <f>IF(C134=FALSE=NAMES!$B$8,"",IF(L134="N/A","N/A",O134&amp;N134&amp;L134&amp;"-"&amp;M134))</f>
        <v/>
      </c>
      <c r="E134" s="392" t="str">
        <f t="shared" ref="E134:E182" si="86">IF(L134="N/A","N/A",O134&amp;N134&amp;L134&amp;"-"&amp;M134)</f>
        <v>2015USDAllianz-Privilege 100</v>
      </c>
      <c r="F134" s="1236" t="str">
        <f t="shared" ref="F134:F165" si="87">IF(X134="N/A","N/A",O134&amp;N134&amp;L134&amp;"-"&amp;X134&amp;M134)</f>
        <v>2015USDAllianz-Healthcare PlanPrivilege 100</v>
      </c>
      <c r="G134" s="1240" t="str">
        <f t="shared" ref="G134:G165" si="88">IF(AH134="N/A","N/A",O134&amp;N134&amp;L134&amp;"-"&amp;AH134&amp;M134)</f>
        <v>2015USDAllianz-Assistance and RepatriationPrivilege 100</v>
      </c>
      <c r="H134" s="1240" t="str">
        <f t="shared" ref="H134:H165" si="89">IF(AR134="N/A","N/A",O134&amp;N134&amp;L134&amp;"-"&amp;AR134&amp;M134)</f>
        <v>N/A</v>
      </c>
      <c r="I134" s="1240" t="str">
        <f t="shared" ref="I134:I165" si="90">IF(BB134="N/A","N/A",O134&amp;N134&amp;L134&amp;"-"&amp;BB134&amp;M134)</f>
        <v>N/A</v>
      </c>
      <c r="J134" s="1240" t="str">
        <f t="shared" ref="J134:J165" si="91">IF(BL134="N/A","N/A",O134&amp;N134&amp;L134&amp;"-"&amp;BL134&amp;M134)</f>
        <v>N/A</v>
      </c>
      <c r="K134" s="1240" t="str">
        <f t="shared" ref="K134:K165" si="92">IF(BV134="N/A","N/A",O134&amp;N134&amp;L134&amp;"-"&amp;BV134&amp;M134)</f>
        <v>N/A</v>
      </c>
      <c r="L134" s="392" t="s">
        <v>2119</v>
      </c>
      <c r="M134" s="392" t="s">
        <v>2120</v>
      </c>
      <c r="N134" s="392" t="s">
        <v>87</v>
      </c>
      <c r="O134" s="376">
        <v>2015</v>
      </c>
      <c r="P134" s="376" t="s">
        <v>26</v>
      </c>
      <c r="Q134" s="376" t="s">
        <v>1</v>
      </c>
      <c r="R134" s="378"/>
      <c r="S134" s="392" t="s">
        <v>2214</v>
      </c>
      <c r="T134" s="392"/>
      <c r="U134" s="392"/>
      <c r="V134" s="382">
        <v>365</v>
      </c>
      <c r="W134" s="1228">
        <f t="shared" ref="W134:W165" si="93">IF(X134="N/A","",AA134+AK134+AU134+BE134)</f>
        <v>7486.538461538461</v>
      </c>
      <c r="X134" s="197" t="s">
        <v>3</v>
      </c>
      <c r="Y134" s="1188">
        <f t="shared" ref="Y134:Y182" si="94">IF(X134="N/A","",AA134*(1-Z134))</f>
        <v>6363.5576923076915</v>
      </c>
      <c r="Z134" s="377">
        <v>0.15</v>
      </c>
      <c r="AA134" s="1189">
        <f t="shared" ref="AA134:AA182" si="95">IF(X134="N/A","",AG134/1.04)</f>
        <v>7486.538461538461</v>
      </c>
      <c r="AB134" s="377">
        <v>0</v>
      </c>
      <c r="AC134" s="378">
        <v>0</v>
      </c>
      <c r="AD134" s="1100">
        <f t="shared" si="81"/>
        <v>7486.538461538461</v>
      </c>
      <c r="AE134" s="377">
        <v>0.04</v>
      </c>
      <c r="AF134" s="370">
        <f t="shared" si="82"/>
        <v>299.46153846153845</v>
      </c>
      <c r="AG134" s="1216">
        <v>7786</v>
      </c>
      <c r="AH134" s="1215" t="s">
        <v>5</v>
      </c>
      <c r="AI134" s="1177">
        <f t="shared" si="60"/>
        <v>0</v>
      </c>
      <c r="AJ134" s="378"/>
      <c r="AK134" s="1179">
        <f t="shared" ref="AK134:AK182" si="96">IF(AH134="N/A","",IF(AQ134="",0,AQ134/1.04))</f>
        <v>0</v>
      </c>
      <c r="AL134" s="378"/>
      <c r="AM134" s="378"/>
      <c r="AN134" s="378"/>
      <c r="AO134" s="378"/>
      <c r="AP134" s="378"/>
      <c r="AQ134" s="1216"/>
      <c r="AR134" s="1202" t="s">
        <v>2224</v>
      </c>
      <c r="AS134" s="1177" t="str">
        <f t="shared" si="67"/>
        <v/>
      </c>
      <c r="AT134" s="1151"/>
      <c r="AU134" s="1179">
        <f t="shared" si="68"/>
        <v>0</v>
      </c>
      <c r="AV134" s="1109"/>
      <c r="AW134" s="1109"/>
      <c r="AX134" s="1109"/>
      <c r="AY134" s="1109"/>
      <c r="AZ134" s="1109"/>
      <c r="BA134" s="380"/>
      <c r="BB134" s="1202" t="s">
        <v>2224</v>
      </c>
      <c r="BC134" s="1177" t="str">
        <f t="shared" si="69"/>
        <v/>
      </c>
      <c r="BD134" s="1151"/>
      <c r="BE134" s="1179">
        <f t="shared" si="70"/>
        <v>0</v>
      </c>
      <c r="BF134" s="1109"/>
      <c r="BG134" s="1109"/>
      <c r="BH134" s="1109"/>
      <c r="BI134" s="1109"/>
      <c r="BJ134" s="1109"/>
      <c r="BK134" s="380"/>
      <c r="BL134" s="1202" t="s">
        <v>2224</v>
      </c>
      <c r="BM134" s="1109"/>
      <c r="BN134" s="1109"/>
      <c r="BO134" s="1109"/>
      <c r="BP134" s="1109"/>
      <c r="BQ134" s="1109"/>
      <c r="BR134" s="1109"/>
      <c r="BS134" s="1109"/>
      <c r="BT134" s="1109"/>
      <c r="BU134" s="380"/>
      <c r="BV134" s="1202" t="s">
        <v>2224</v>
      </c>
      <c r="BW134" s="1109"/>
      <c r="BX134" s="1109"/>
      <c r="BY134" s="1109"/>
      <c r="BZ134" s="1109"/>
      <c r="CA134" s="1109"/>
      <c r="CB134" s="1109"/>
      <c r="CC134" s="1109"/>
      <c r="CD134" s="1109"/>
      <c r="CE134" s="380"/>
    </row>
    <row r="135" spans="1:83" s="383" customFormat="1">
      <c r="A135" s="291" t="b">
        <v>0</v>
      </c>
      <c r="B135" s="291" t="s">
        <v>2244</v>
      </c>
      <c r="C135" s="291" t="b">
        <f t="shared" si="85"/>
        <v>1</v>
      </c>
      <c r="D135" s="388" t="str">
        <f>IF(C135=FALSE=NAMES!$B$8,"",IF(L135="N/A","N/A",O135&amp;N135&amp;L135&amp;"-"&amp;M135))</f>
        <v/>
      </c>
      <c r="E135" s="392" t="str">
        <f t="shared" si="86"/>
        <v>2015USDAnker Verzekeringen n.v.-Medical Excellent and Homeland</v>
      </c>
      <c r="F135" s="1236" t="str">
        <f t="shared" si="87"/>
        <v>2015USDAnker Verzekeringen n.v.-Healthcare PlanMedical Excellent and Homeland</v>
      </c>
      <c r="G135" s="1240" t="str">
        <f t="shared" si="88"/>
        <v>2015USDAnker Verzekeringen n.v.-Assistance and RepatriationMedical Excellent and Homeland</v>
      </c>
      <c r="H135" s="1240" t="str">
        <f t="shared" si="89"/>
        <v>N/A</v>
      </c>
      <c r="I135" s="1240" t="str">
        <f t="shared" si="90"/>
        <v>N/A</v>
      </c>
      <c r="J135" s="1240" t="str">
        <f t="shared" si="91"/>
        <v>N/A</v>
      </c>
      <c r="K135" s="1240" t="str">
        <f t="shared" si="92"/>
        <v>N/A</v>
      </c>
      <c r="L135" s="392" t="s">
        <v>7</v>
      </c>
      <c r="M135" s="392" t="s">
        <v>2121</v>
      </c>
      <c r="N135" s="392" t="s">
        <v>87</v>
      </c>
      <c r="O135" s="376">
        <v>2015</v>
      </c>
      <c r="P135" s="376" t="s">
        <v>2234</v>
      </c>
      <c r="Q135" s="376" t="s">
        <v>1</v>
      </c>
      <c r="R135" s="378">
        <v>547.5</v>
      </c>
      <c r="S135" s="392" t="s">
        <v>2213</v>
      </c>
      <c r="T135" s="392"/>
      <c r="U135" s="392"/>
      <c r="V135" s="382">
        <v>365</v>
      </c>
      <c r="W135" s="1228">
        <f t="shared" si="93"/>
        <v>1275.0769230769231</v>
      </c>
      <c r="X135" s="197" t="s">
        <v>3</v>
      </c>
      <c r="Y135" s="1188">
        <f t="shared" si="94"/>
        <v>840.77692307692303</v>
      </c>
      <c r="Z135" s="377">
        <v>0.27500000000000002</v>
      </c>
      <c r="AA135" s="1189">
        <f t="shared" si="95"/>
        <v>1159.6923076923076</v>
      </c>
      <c r="AB135" s="377">
        <v>0</v>
      </c>
      <c r="AC135" s="378">
        <v>0</v>
      </c>
      <c r="AD135" s="1100">
        <f t="shared" ref="AD135:AD166" si="97">IF(E135="N/A","",AA135+AC135)</f>
        <v>1159.6923076923076</v>
      </c>
      <c r="AE135" s="377">
        <v>0.04</v>
      </c>
      <c r="AF135" s="370">
        <f t="shared" ref="AF135:AF159" si="98">IF(L135="N/A","",AA135*AE135)</f>
        <v>46.387692307692305</v>
      </c>
      <c r="AG135" s="1216">
        <v>1206.08</v>
      </c>
      <c r="AH135" s="1215" t="s">
        <v>5</v>
      </c>
      <c r="AI135" s="1177">
        <f t="shared" ref="AI135:AI158" si="99">IF(AH135="N/A","",AK135*(1-AJ135))</f>
        <v>83.653846153846146</v>
      </c>
      <c r="AJ135" s="1175">
        <v>0.27500000000000002</v>
      </c>
      <c r="AK135" s="1179">
        <f t="shared" si="96"/>
        <v>115.38461538461539</v>
      </c>
      <c r="AL135" s="1175">
        <v>0</v>
      </c>
      <c r="AM135" s="1174">
        <v>0</v>
      </c>
      <c r="AN135" s="1180"/>
      <c r="AO135" s="1175">
        <v>0.04</v>
      </c>
      <c r="AP135" s="1175"/>
      <c r="AQ135" s="1204">
        <v>120</v>
      </c>
      <c r="AR135" s="1202" t="s">
        <v>2224</v>
      </c>
      <c r="AS135" s="1177" t="str">
        <f t="shared" ref="AS135:AS182" si="100">IF(AR135="N/A","",AU135*(1-AT135))</f>
        <v/>
      </c>
      <c r="AT135" s="1151"/>
      <c r="AU135" s="1179">
        <f t="shared" ref="AU135:AU182" si="101">IF(AR135="N/A",0,IF(BA135="",0,BA135/1.04))</f>
        <v>0</v>
      </c>
      <c r="AV135" s="1109"/>
      <c r="AW135" s="1109"/>
      <c r="AX135" s="1109"/>
      <c r="AY135" s="1109"/>
      <c r="AZ135" s="1109"/>
      <c r="BA135" s="380"/>
      <c r="BB135" s="1202" t="s">
        <v>2224</v>
      </c>
      <c r="BC135" s="1177" t="str">
        <f t="shared" ref="BC135:BC182" si="102">IF(BB135="N/A","",BE135*(1-BD135))</f>
        <v/>
      </c>
      <c r="BD135" s="1151"/>
      <c r="BE135" s="1179">
        <f t="shared" ref="BE135:BE182" si="103">IF(BB135="N/A",0,IF(BK135="",0,BK135/1.04))</f>
        <v>0</v>
      </c>
      <c r="BF135" s="1109"/>
      <c r="BG135" s="1109"/>
      <c r="BH135" s="1109"/>
      <c r="BI135" s="1109"/>
      <c r="BJ135" s="1109"/>
      <c r="BK135" s="380"/>
      <c r="BL135" s="1202" t="s">
        <v>2224</v>
      </c>
      <c r="BM135" s="1151"/>
      <c r="BN135" s="1151"/>
      <c r="BO135" s="1151"/>
      <c r="BP135" s="1151"/>
      <c r="BQ135" s="1151"/>
      <c r="BR135" s="1151"/>
      <c r="BS135" s="1151"/>
      <c r="BT135" s="1151"/>
      <c r="BU135" s="183"/>
      <c r="BV135" s="1202" t="s">
        <v>2224</v>
      </c>
      <c r="BW135" s="1109"/>
      <c r="BX135" s="1109"/>
      <c r="BY135" s="1109"/>
      <c r="BZ135" s="1109"/>
      <c r="CA135" s="1109"/>
      <c r="CB135" s="1109"/>
      <c r="CC135" s="1109"/>
      <c r="CD135" s="1109"/>
      <c r="CE135" s="380"/>
    </row>
    <row r="136" spans="1:83" s="375" customFormat="1">
      <c r="A136" s="291" t="b">
        <v>0</v>
      </c>
      <c r="B136" s="291" t="s">
        <v>2244</v>
      </c>
      <c r="C136" s="291" t="b">
        <f t="shared" si="84"/>
        <v>1</v>
      </c>
      <c r="D136" s="388" t="str">
        <f>IF(C136=FALSE=NAMES!$B$8,"",IF(L136="N/A","N/A",O136&amp;N136&amp;L136&amp;"-"&amp;M136))</f>
        <v/>
      </c>
      <c r="E136" s="392" t="str">
        <f t="shared" si="86"/>
        <v>N/A</v>
      </c>
      <c r="F136" s="1236" t="str">
        <f t="shared" si="87"/>
        <v>N/A</v>
      </c>
      <c r="G136" s="1240" t="str">
        <f t="shared" si="88"/>
        <v>N/A</v>
      </c>
      <c r="H136" s="1240" t="str">
        <f t="shared" si="89"/>
        <v>N/A</v>
      </c>
      <c r="I136" s="1240" t="str">
        <f t="shared" si="90"/>
        <v>N/A</v>
      </c>
      <c r="J136" s="1240" t="str">
        <f t="shared" si="91"/>
        <v>N/A</v>
      </c>
      <c r="K136" s="1240" t="str">
        <f t="shared" si="92"/>
        <v>N/A</v>
      </c>
      <c r="L136" s="389" t="s">
        <v>2224</v>
      </c>
      <c r="M136" s="392"/>
      <c r="N136" s="392"/>
      <c r="O136" s="376"/>
      <c r="P136" s="376"/>
      <c r="Q136" s="376"/>
      <c r="R136" s="378"/>
      <c r="S136" s="392"/>
      <c r="T136" s="392"/>
      <c r="U136" s="392"/>
      <c r="V136" s="382"/>
      <c r="W136" s="1228" t="str">
        <f t="shared" si="93"/>
        <v/>
      </c>
      <c r="X136" s="388" t="s">
        <v>2224</v>
      </c>
      <c r="Y136" s="1188" t="str">
        <f t="shared" si="94"/>
        <v/>
      </c>
      <c r="Z136" s="377"/>
      <c r="AA136" s="1189" t="str">
        <f t="shared" si="95"/>
        <v/>
      </c>
      <c r="AB136" s="377">
        <v>0</v>
      </c>
      <c r="AC136" s="378"/>
      <c r="AD136" s="1100" t="str">
        <f t="shared" si="97"/>
        <v/>
      </c>
      <c r="AE136" s="377"/>
      <c r="AF136" s="370" t="str">
        <f t="shared" si="98"/>
        <v/>
      </c>
      <c r="AG136" s="1216"/>
      <c r="AH136" s="1202" t="s">
        <v>2224</v>
      </c>
      <c r="AI136" s="1177" t="str">
        <f t="shared" si="99"/>
        <v/>
      </c>
      <c r="AJ136" s="378"/>
      <c r="AK136" s="1179" t="str">
        <f t="shared" si="96"/>
        <v/>
      </c>
      <c r="AL136" s="378"/>
      <c r="AM136" s="378"/>
      <c r="AN136" s="378"/>
      <c r="AO136" s="378"/>
      <c r="AP136" s="378"/>
      <c r="AQ136" s="1216"/>
      <c r="AR136" s="1202" t="s">
        <v>2224</v>
      </c>
      <c r="AS136" s="1177" t="str">
        <f t="shared" si="100"/>
        <v/>
      </c>
      <c r="AT136" s="1151"/>
      <c r="AU136" s="1179">
        <f t="shared" si="101"/>
        <v>0</v>
      </c>
      <c r="AV136" s="1151"/>
      <c r="AW136" s="1151"/>
      <c r="AX136" s="1151"/>
      <c r="AY136" s="1151"/>
      <c r="AZ136" s="1151"/>
      <c r="BA136" s="183"/>
      <c r="BB136" s="1202" t="s">
        <v>2224</v>
      </c>
      <c r="BC136" s="1177" t="str">
        <f t="shared" si="102"/>
        <v/>
      </c>
      <c r="BD136" s="1151"/>
      <c r="BE136" s="1179">
        <f t="shared" si="103"/>
        <v>0</v>
      </c>
      <c r="BF136" s="1151"/>
      <c r="BG136" s="1151"/>
      <c r="BH136" s="1151"/>
      <c r="BI136" s="1151"/>
      <c r="BJ136" s="1151"/>
      <c r="BK136" s="183"/>
      <c r="BL136" s="1202" t="s">
        <v>2224</v>
      </c>
      <c r="BM136" s="1151"/>
      <c r="BN136" s="1151"/>
      <c r="BO136" s="1151"/>
      <c r="BP136" s="1151"/>
      <c r="BQ136" s="1151"/>
      <c r="BR136" s="1151"/>
      <c r="BS136" s="1151"/>
      <c r="BT136" s="1151"/>
      <c r="BU136" s="183"/>
      <c r="BV136" s="1202" t="s">
        <v>2224</v>
      </c>
      <c r="BW136" s="1151"/>
      <c r="BX136" s="1151"/>
      <c r="BY136" s="1151"/>
      <c r="BZ136" s="1151"/>
      <c r="CA136" s="1151"/>
      <c r="CB136" s="1151"/>
      <c r="CC136" s="1151"/>
      <c r="CD136" s="1151"/>
      <c r="CE136" s="183"/>
    </row>
    <row r="137" spans="1:83" s="375" customFormat="1">
      <c r="A137" s="197" t="b">
        <v>0</v>
      </c>
      <c r="B137" s="197" t="s">
        <v>2244</v>
      </c>
      <c r="C137" s="197" t="b">
        <f t="shared" ref="C137:C159" si="104">IF(B137="N/A","",IF(B137="newRates",FALSE,TRUE))</f>
        <v>1</v>
      </c>
      <c r="D137" s="388" t="str">
        <f>IF(C137=FALSE=NAMES!$B$8,"",IF(L137="N/A","N/A",O137&amp;N137&amp;L137&amp;"-"&amp;M137))</f>
        <v/>
      </c>
      <c r="E137" s="392" t="str">
        <f t="shared" si="86"/>
        <v>2015EURAIG Luxembourg-Adulte AIG expat 100% excluding USA/Canada</v>
      </c>
      <c r="F137" s="1236" t="str">
        <f t="shared" si="87"/>
        <v>2015EURAIG Luxembourg-Healthcare PlanAdulte AIG expat 100% excluding USA/Canada</v>
      </c>
      <c r="G137" s="1240" t="str">
        <f t="shared" si="88"/>
        <v>2015EURAIG Luxembourg-Assistance and RepatriationAdulte AIG expat 100% excluding USA/Canada</v>
      </c>
      <c r="H137" s="1240" t="str">
        <f t="shared" si="89"/>
        <v>N/A</v>
      </c>
      <c r="I137" s="1240" t="str">
        <f t="shared" si="90"/>
        <v>N/A</v>
      </c>
      <c r="J137" s="1240" t="str">
        <f t="shared" si="91"/>
        <v>N/A</v>
      </c>
      <c r="K137" s="1240" t="str">
        <f t="shared" si="92"/>
        <v>N/A</v>
      </c>
      <c r="L137" s="392" t="s">
        <v>4</v>
      </c>
      <c r="M137" s="1127" t="s">
        <v>2325</v>
      </c>
      <c r="N137" s="392" t="s">
        <v>32</v>
      </c>
      <c r="O137" s="376">
        <v>2015</v>
      </c>
      <c r="P137" s="376" t="s">
        <v>26</v>
      </c>
      <c r="Q137" s="376" t="s">
        <v>2169</v>
      </c>
      <c r="R137" s="378">
        <v>15</v>
      </c>
      <c r="S137" s="392" t="s">
        <v>2214</v>
      </c>
      <c r="T137" s="392"/>
      <c r="U137" s="392"/>
      <c r="V137" s="382">
        <v>365</v>
      </c>
      <c r="W137" s="1228">
        <f t="shared" si="93"/>
        <v>2612.1799999999998</v>
      </c>
      <c r="X137" s="197" t="s">
        <v>3</v>
      </c>
      <c r="Y137" s="1188">
        <f t="shared" si="94"/>
        <v>2220.3529999999996</v>
      </c>
      <c r="Z137" s="377">
        <v>0.15</v>
      </c>
      <c r="AA137" s="1189">
        <f t="shared" si="95"/>
        <v>2612.1799999999998</v>
      </c>
      <c r="AB137" s="377">
        <v>0</v>
      </c>
      <c r="AC137" s="378">
        <v>261.21800000000002</v>
      </c>
      <c r="AD137" s="1100">
        <f t="shared" si="97"/>
        <v>2873.3979999999997</v>
      </c>
      <c r="AE137" s="377">
        <v>0.04</v>
      </c>
      <c r="AF137" s="370">
        <f t="shared" si="98"/>
        <v>104.4872</v>
      </c>
      <c r="AG137" s="1216">
        <v>2716.6671999999999</v>
      </c>
      <c r="AH137" s="1215" t="s">
        <v>5</v>
      </c>
      <c r="AI137" s="1177">
        <f t="shared" si="99"/>
        <v>0</v>
      </c>
      <c r="AJ137" s="378"/>
      <c r="AK137" s="1179">
        <f t="shared" si="96"/>
        <v>0</v>
      </c>
      <c r="AL137" s="378"/>
      <c r="AM137" s="378"/>
      <c r="AN137" s="378"/>
      <c r="AO137" s="378"/>
      <c r="AP137" s="378"/>
      <c r="AQ137" s="1216"/>
      <c r="AR137" s="1202" t="s">
        <v>2224</v>
      </c>
      <c r="AS137" s="1177" t="str">
        <f t="shared" si="100"/>
        <v/>
      </c>
      <c r="AT137" s="1151"/>
      <c r="AU137" s="1179">
        <f t="shared" si="101"/>
        <v>0</v>
      </c>
      <c r="AV137" s="1151"/>
      <c r="AW137" s="1151"/>
      <c r="AX137" s="1151"/>
      <c r="AY137" s="1151"/>
      <c r="AZ137" s="1151"/>
      <c r="BA137" s="183"/>
      <c r="BB137" s="1202" t="s">
        <v>2224</v>
      </c>
      <c r="BC137" s="1177" t="str">
        <f t="shared" si="102"/>
        <v/>
      </c>
      <c r="BD137" s="1151"/>
      <c r="BE137" s="1179">
        <f t="shared" si="103"/>
        <v>0</v>
      </c>
      <c r="BF137" s="1151"/>
      <c r="BG137" s="1151"/>
      <c r="BH137" s="1151"/>
      <c r="BI137" s="1151"/>
      <c r="BJ137" s="1151"/>
      <c r="BK137" s="183"/>
      <c r="BL137" s="1202" t="s">
        <v>2224</v>
      </c>
      <c r="BM137" s="1109"/>
      <c r="BN137" s="1109"/>
      <c r="BO137" s="1109"/>
      <c r="BP137" s="1109"/>
      <c r="BQ137" s="1109"/>
      <c r="BR137" s="1109"/>
      <c r="BS137" s="1109"/>
      <c r="BT137" s="1109"/>
      <c r="BU137" s="380"/>
      <c r="BV137" s="1202" t="s">
        <v>2224</v>
      </c>
      <c r="BW137" s="1151"/>
      <c r="BX137" s="1151"/>
      <c r="BY137" s="1151"/>
      <c r="BZ137" s="1151"/>
      <c r="CA137" s="1151"/>
      <c r="CB137" s="1151"/>
      <c r="CC137" s="1151"/>
      <c r="CD137" s="1151"/>
      <c r="CE137" s="183"/>
    </row>
    <row r="138" spans="1:83" s="375" customFormat="1">
      <c r="A138" s="197" t="b">
        <v>0</v>
      </c>
      <c r="B138" s="197" t="s">
        <v>2244</v>
      </c>
      <c r="C138" s="197" t="b">
        <f t="shared" si="104"/>
        <v>1</v>
      </c>
      <c r="D138" s="388" t="str">
        <f>IF(C138=FALSE=NAMES!$B$8,"",IF(L138="N/A","N/A",O138&amp;N138&amp;L138&amp;"-"&amp;M138))</f>
        <v/>
      </c>
      <c r="E138" s="392" t="str">
        <f t="shared" si="86"/>
        <v>2015EURAIG Luxembourg-Adulte AIG expat 100% including USA/Canada</v>
      </c>
      <c r="F138" s="1236" t="str">
        <f t="shared" si="87"/>
        <v>2015EURAIG Luxembourg-Healthcare PlanAdulte AIG expat 100% including USA/Canada</v>
      </c>
      <c r="G138" s="1240" t="str">
        <f t="shared" si="88"/>
        <v>2015EURAIG Luxembourg-Assistance and RepatriationAdulte AIG expat 100% including USA/Canada</v>
      </c>
      <c r="H138" s="1240" t="str">
        <f t="shared" si="89"/>
        <v>N/A</v>
      </c>
      <c r="I138" s="1240" t="str">
        <f t="shared" si="90"/>
        <v>N/A</v>
      </c>
      <c r="J138" s="1240" t="str">
        <f t="shared" si="91"/>
        <v>N/A</v>
      </c>
      <c r="K138" s="1240" t="str">
        <f t="shared" si="92"/>
        <v>N/A</v>
      </c>
      <c r="L138" s="392" t="s">
        <v>4</v>
      </c>
      <c r="M138" s="1127" t="s">
        <v>2326</v>
      </c>
      <c r="N138" s="392" t="s">
        <v>32</v>
      </c>
      <c r="O138" s="376">
        <v>2015</v>
      </c>
      <c r="P138" s="376" t="s">
        <v>26</v>
      </c>
      <c r="Q138" s="376" t="s">
        <v>2169</v>
      </c>
      <c r="R138" s="378">
        <v>15</v>
      </c>
      <c r="S138" s="392" t="s">
        <v>2214</v>
      </c>
      <c r="T138" s="392"/>
      <c r="U138" s="392"/>
      <c r="V138" s="382">
        <v>365</v>
      </c>
      <c r="W138" s="1228">
        <f t="shared" si="93"/>
        <v>6000</v>
      </c>
      <c r="X138" s="197" t="s">
        <v>3</v>
      </c>
      <c r="Y138" s="1188">
        <f t="shared" si="94"/>
        <v>5100</v>
      </c>
      <c r="Z138" s="377">
        <v>0.15</v>
      </c>
      <c r="AA138" s="1189">
        <f t="shared" si="95"/>
        <v>6000</v>
      </c>
      <c r="AB138" s="377">
        <v>0</v>
      </c>
      <c r="AC138" s="378">
        <v>600</v>
      </c>
      <c r="AD138" s="1100">
        <f t="shared" si="97"/>
        <v>6600</v>
      </c>
      <c r="AE138" s="377">
        <v>0.04</v>
      </c>
      <c r="AF138" s="370">
        <f t="shared" si="98"/>
        <v>240</v>
      </c>
      <c r="AG138" s="1216">
        <v>6240</v>
      </c>
      <c r="AH138" s="1215" t="s">
        <v>5</v>
      </c>
      <c r="AI138" s="1177">
        <f t="shared" si="99"/>
        <v>0</v>
      </c>
      <c r="AJ138" s="378"/>
      <c r="AK138" s="1179">
        <f t="shared" si="96"/>
        <v>0</v>
      </c>
      <c r="AL138" s="378"/>
      <c r="AM138" s="378"/>
      <c r="AN138" s="378"/>
      <c r="AO138" s="378"/>
      <c r="AP138" s="378"/>
      <c r="AQ138" s="1216"/>
      <c r="AR138" s="1202" t="s">
        <v>2224</v>
      </c>
      <c r="AS138" s="1177" t="str">
        <f t="shared" si="100"/>
        <v/>
      </c>
      <c r="AT138" s="1151"/>
      <c r="AU138" s="1179">
        <f t="shared" si="101"/>
        <v>0</v>
      </c>
      <c r="AV138" s="1151"/>
      <c r="AW138" s="1151"/>
      <c r="AX138" s="1151"/>
      <c r="AY138" s="1151"/>
      <c r="AZ138" s="1151"/>
      <c r="BA138" s="183"/>
      <c r="BB138" s="1202" t="s">
        <v>2224</v>
      </c>
      <c r="BC138" s="1177" t="str">
        <f t="shared" si="102"/>
        <v/>
      </c>
      <c r="BD138" s="1151"/>
      <c r="BE138" s="1179">
        <f t="shared" si="103"/>
        <v>0</v>
      </c>
      <c r="BF138" s="1151"/>
      <c r="BG138" s="1151"/>
      <c r="BH138" s="1151"/>
      <c r="BI138" s="1151"/>
      <c r="BJ138" s="1151"/>
      <c r="BK138" s="183"/>
      <c r="BL138" s="1202" t="s">
        <v>2224</v>
      </c>
      <c r="BM138" s="1109"/>
      <c r="BN138" s="1109"/>
      <c r="BO138" s="1109"/>
      <c r="BP138" s="1109"/>
      <c r="BQ138" s="1109"/>
      <c r="BR138" s="1109"/>
      <c r="BS138" s="1109"/>
      <c r="BT138" s="1109"/>
      <c r="BU138" s="380"/>
      <c r="BV138" s="1202" t="s">
        <v>2224</v>
      </c>
      <c r="BW138" s="1151"/>
      <c r="BX138" s="1151"/>
      <c r="BY138" s="1151"/>
      <c r="BZ138" s="1151"/>
      <c r="CA138" s="1151"/>
      <c r="CB138" s="1151"/>
      <c r="CC138" s="1151"/>
      <c r="CD138" s="1151"/>
      <c r="CE138" s="183"/>
    </row>
    <row r="139" spans="1:83" s="375" customFormat="1">
      <c r="A139" s="197" t="b">
        <v>0</v>
      </c>
      <c r="B139" s="197" t="s">
        <v>2244</v>
      </c>
      <c r="C139" s="197" t="b">
        <f t="shared" si="104"/>
        <v>1</v>
      </c>
      <c r="D139" s="388" t="str">
        <f>IF(C139=FALSE=NAMES!$B$8,"",IF(L139="N/A","N/A",O139&amp;N139&amp;L139&amp;"-"&amp;M139))</f>
        <v/>
      </c>
      <c r="E139" s="392" t="str">
        <f t="shared" si="86"/>
        <v>2015EURAIG Luxembourg-Adulte AIG expat 80% excluding USA/Canada</v>
      </c>
      <c r="F139" s="1236" t="str">
        <f t="shared" si="87"/>
        <v>2015EURAIG Luxembourg-Healthcare PlanAdulte AIG expat 80% excluding USA/Canada</v>
      </c>
      <c r="G139" s="1240" t="str">
        <f t="shared" si="88"/>
        <v>2015EURAIG Luxembourg-Assistance and RepatriationAdulte AIG expat 80% excluding USA/Canada</v>
      </c>
      <c r="H139" s="1240" t="str">
        <f t="shared" si="89"/>
        <v>N/A</v>
      </c>
      <c r="I139" s="1240" t="str">
        <f t="shared" si="90"/>
        <v>N/A</v>
      </c>
      <c r="J139" s="1240" t="str">
        <f t="shared" si="91"/>
        <v>N/A</v>
      </c>
      <c r="K139" s="1240" t="str">
        <f t="shared" si="92"/>
        <v>N/A</v>
      </c>
      <c r="L139" s="392" t="s">
        <v>4</v>
      </c>
      <c r="M139" s="1127" t="s">
        <v>2327</v>
      </c>
      <c r="N139" s="392" t="s">
        <v>32</v>
      </c>
      <c r="O139" s="376">
        <v>2015</v>
      </c>
      <c r="P139" s="376" t="s">
        <v>26</v>
      </c>
      <c r="Q139" s="376" t="s">
        <v>2169</v>
      </c>
      <c r="R139" s="378">
        <v>15</v>
      </c>
      <c r="S139" s="392" t="s">
        <v>2214</v>
      </c>
      <c r="T139" s="392"/>
      <c r="U139" s="392"/>
      <c r="V139" s="382">
        <v>365</v>
      </c>
      <c r="W139" s="1228">
        <f t="shared" si="93"/>
        <v>2148.9423076923076</v>
      </c>
      <c r="X139" s="197" t="s">
        <v>3</v>
      </c>
      <c r="Y139" s="1188">
        <f t="shared" si="94"/>
        <v>1826.6009615384614</v>
      </c>
      <c r="Z139" s="377">
        <v>0.15</v>
      </c>
      <c r="AA139" s="1189">
        <f t="shared" si="95"/>
        <v>2148.9423076923076</v>
      </c>
      <c r="AB139" s="377">
        <v>0</v>
      </c>
      <c r="AC139" s="378">
        <v>214.89400000000001</v>
      </c>
      <c r="AD139" s="1100">
        <f t="shared" si="97"/>
        <v>2363.8363076923079</v>
      </c>
      <c r="AE139" s="377">
        <v>0.04</v>
      </c>
      <c r="AF139" s="370">
        <f t="shared" si="98"/>
        <v>85.957692307692312</v>
      </c>
      <c r="AG139" s="1216">
        <v>2234.9</v>
      </c>
      <c r="AH139" s="1215" t="s">
        <v>5</v>
      </c>
      <c r="AI139" s="1177">
        <f t="shared" si="99"/>
        <v>0</v>
      </c>
      <c r="AJ139" s="378"/>
      <c r="AK139" s="1179">
        <f t="shared" si="96"/>
        <v>0</v>
      </c>
      <c r="AL139" s="378"/>
      <c r="AM139" s="378"/>
      <c r="AN139" s="378"/>
      <c r="AO139" s="378"/>
      <c r="AP139" s="378"/>
      <c r="AQ139" s="1216"/>
      <c r="AR139" s="1202" t="s">
        <v>2224</v>
      </c>
      <c r="AS139" s="1177" t="str">
        <f t="shared" si="100"/>
        <v/>
      </c>
      <c r="AT139" s="1151"/>
      <c r="AU139" s="1179">
        <f t="shared" si="101"/>
        <v>0</v>
      </c>
      <c r="AV139" s="1151"/>
      <c r="AW139" s="1151"/>
      <c r="AX139" s="1151"/>
      <c r="AY139" s="1151"/>
      <c r="AZ139" s="1151"/>
      <c r="BA139" s="183"/>
      <c r="BB139" s="1202" t="s">
        <v>2224</v>
      </c>
      <c r="BC139" s="1177" t="str">
        <f t="shared" si="102"/>
        <v/>
      </c>
      <c r="BD139" s="1151"/>
      <c r="BE139" s="1179">
        <f t="shared" si="103"/>
        <v>0</v>
      </c>
      <c r="BF139" s="1151"/>
      <c r="BG139" s="1151"/>
      <c r="BH139" s="1151"/>
      <c r="BI139" s="1151"/>
      <c r="BJ139" s="1151"/>
      <c r="BK139" s="183"/>
      <c r="BL139" s="1202" t="s">
        <v>2224</v>
      </c>
      <c r="BM139" s="1109"/>
      <c r="BN139" s="1109"/>
      <c r="BO139" s="1109"/>
      <c r="BP139" s="1109"/>
      <c r="BQ139" s="1109"/>
      <c r="BR139" s="1109"/>
      <c r="BS139" s="1109"/>
      <c r="BT139" s="1109"/>
      <c r="BU139" s="380"/>
      <c r="BV139" s="1202" t="s">
        <v>2224</v>
      </c>
      <c r="BW139" s="1151"/>
      <c r="BX139" s="1151"/>
      <c r="BY139" s="1151"/>
      <c r="BZ139" s="1151"/>
      <c r="CA139" s="1151"/>
      <c r="CB139" s="1151"/>
      <c r="CC139" s="1151"/>
      <c r="CD139" s="1151"/>
      <c r="CE139" s="183"/>
    </row>
    <row r="140" spans="1:83" s="486" customFormat="1">
      <c r="A140" s="197" t="b">
        <v>0</v>
      </c>
      <c r="B140" s="197" t="s">
        <v>2244</v>
      </c>
      <c r="C140" s="197" t="b">
        <f t="shared" si="104"/>
        <v>1</v>
      </c>
      <c r="D140" s="388" t="str">
        <f>IF(C140=FALSE=NAMES!$B$8,"",IF(L140="N/A","N/A",O140&amp;N140&amp;L140&amp;"-"&amp;M140))</f>
        <v/>
      </c>
      <c r="E140" s="392" t="str">
        <f t="shared" si="86"/>
        <v>2015EURAIG Luxembourg-Adulte AIG expat 80% including USA/Canada</v>
      </c>
      <c r="F140" s="1236" t="str">
        <f t="shared" si="87"/>
        <v>2015EURAIG Luxembourg-Healthcare PlanAdulte AIG expat 80% including USA/Canada</v>
      </c>
      <c r="G140" s="1240" t="str">
        <f t="shared" si="88"/>
        <v>2015EURAIG Luxembourg-Assistance and RepatriationAdulte AIG expat 80% including USA/Canada</v>
      </c>
      <c r="H140" s="1240" t="str">
        <f t="shared" si="89"/>
        <v>N/A</v>
      </c>
      <c r="I140" s="1240" t="str">
        <f t="shared" si="90"/>
        <v>N/A</v>
      </c>
      <c r="J140" s="1240" t="str">
        <f t="shared" si="91"/>
        <v>N/A</v>
      </c>
      <c r="K140" s="1240" t="str">
        <f t="shared" si="92"/>
        <v>N/A</v>
      </c>
      <c r="L140" s="392" t="s">
        <v>4</v>
      </c>
      <c r="M140" s="1127" t="s">
        <v>2328</v>
      </c>
      <c r="N140" s="392" t="s">
        <v>32</v>
      </c>
      <c r="O140" s="376">
        <v>2015</v>
      </c>
      <c r="P140" s="376" t="s">
        <v>26</v>
      </c>
      <c r="Q140" s="376" t="s">
        <v>2169</v>
      </c>
      <c r="R140" s="378">
        <v>15</v>
      </c>
      <c r="S140" s="392" t="s">
        <v>2214</v>
      </c>
      <c r="T140" s="392"/>
      <c r="U140" s="392"/>
      <c r="V140" s="1109">
        <v>365</v>
      </c>
      <c r="W140" s="1228">
        <f t="shared" si="93"/>
        <v>4900</v>
      </c>
      <c r="X140" s="197" t="s">
        <v>3</v>
      </c>
      <c r="Y140" s="1188">
        <f t="shared" si="94"/>
        <v>4165</v>
      </c>
      <c r="Z140" s="377">
        <v>0.15</v>
      </c>
      <c r="AA140" s="1189">
        <f t="shared" si="95"/>
        <v>4900</v>
      </c>
      <c r="AB140" s="377">
        <v>0</v>
      </c>
      <c r="AC140" s="378">
        <v>490</v>
      </c>
      <c r="AD140" s="1100">
        <f t="shared" si="97"/>
        <v>5390</v>
      </c>
      <c r="AE140" s="377">
        <v>0.04</v>
      </c>
      <c r="AF140" s="370">
        <f t="shared" si="98"/>
        <v>196</v>
      </c>
      <c r="AG140" s="1216">
        <v>5096</v>
      </c>
      <c r="AH140" s="1215" t="s">
        <v>5</v>
      </c>
      <c r="AI140" s="1177">
        <f t="shared" si="99"/>
        <v>0</v>
      </c>
      <c r="AJ140" s="378"/>
      <c r="AK140" s="1179">
        <f t="shared" si="96"/>
        <v>0</v>
      </c>
      <c r="AL140" s="378"/>
      <c r="AM140" s="378"/>
      <c r="AN140" s="378"/>
      <c r="AO140" s="378"/>
      <c r="AP140" s="378"/>
      <c r="AQ140" s="1216"/>
      <c r="AR140" s="1202" t="s">
        <v>2224</v>
      </c>
      <c r="AS140" s="1177" t="str">
        <f t="shared" si="100"/>
        <v/>
      </c>
      <c r="AT140" s="1151"/>
      <c r="AU140" s="1179">
        <f t="shared" si="101"/>
        <v>0</v>
      </c>
      <c r="AV140" s="1151"/>
      <c r="AW140" s="1151"/>
      <c r="AX140" s="1151"/>
      <c r="AY140" s="1151"/>
      <c r="AZ140" s="1151"/>
      <c r="BA140" s="183"/>
      <c r="BB140" s="1202" t="s">
        <v>2224</v>
      </c>
      <c r="BC140" s="1177" t="str">
        <f t="shared" si="102"/>
        <v/>
      </c>
      <c r="BD140" s="1151"/>
      <c r="BE140" s="1179">
        <f t="shared" si="103"/>
        <v>0</v>
      </c>
      <c r="BF140" s="1151"/>
      <c r="BG140" s="1151"/>
      <c r="BH140" s="1151"/>
      <c r="BI140" s="1151"/>
      <c r="BJ140" s="1151"/>
      <c r="BK140" s="183"/>
      <c r="BL140" s="1202" t="s">
        <v>2224</v>
      </c>
      <c r="BM140" s="1109"/>
      <c r="BN140" s="1109"/>
      <c r="BO140" s="1109"/>
      <c r="BP140" s="1109"/>
      <c r="BQ140" s="1109"/>
      <c r="BR140" s="1109"/>
      <c r="BS140" s="1109"/>
      <c r="BT140" s="1109"/>
      <c r="BU140" s="380"/>
      <c r="BV140" s="1202" t="s">
        <v>2224</v>
      </c>
      <c r="BW140" s="480"/>
      <c r="BX140" s="480"/>
      <c r="BY140" s="480"/>
      <c r="BZ140" s="480"/>
      <c r="CA140" s="480"/>
      <c r="CB140" s="480"/>
      <c r="CC140" s="480"/>
      <c r="CD140" s="480"/>
      <c r="CE140" s="487"/>
    </row>
    <row r="141" spans="1:83" s="375" customFormat="1">
      <c r="A141" s="197" t="b">
        <v>0</v>
      </c>
      <c r="B141" s="197" t="s">
        <v>2244</v>
      </c>
      <c r="C141" s="197" t="b">
        <f t="shared" si="104"/>
        <v>1</v>
      </c>
      <c r="D141" s="388" t="str">
        <f>IF(C141=FALSE=NAMES!$B$8,"",IF(L141="N/A","N/A",O141&amp;N141&amp;L141&amp;"-"&amp;M141))</f>
        <v/>
      </c>
      <c r="E141" s="392" t="str">
        <f t="shared" si="86"/>
        <v>2015EURAIG Luxembourg-Adulte AIG expat 90% excluding USA/Canada</v>
      </c>
      <c r="F141" s="1236" t="str">
        <f t="shared" si="87"/>
        <v>2015EURAIG Luxembourg-Healthcare PlanAdulte AIG expat 90% excluding USA/Canada</v>
      </c>
      <c r="G141" s="1240" t="str">
        <f t="shared" si="88"/>
        <v>2015EURAIG Luxembourg-Assistance and RepatriationAdulte AIG expat 90% excluding USA/Canada</v>
      </c>
      <c r="H141" s="1240" t="str">
        <f t="shared" si="89"/>
        <v>N/A</v>
      </c>
      <c r="I141" s="1240" t="str">
        <f t="shared" si="90"/>
        <v>N/A</v>
      </c>
      <c r="J141" s="1240" t="str">
        <f t="shared" si="91"/>
        <v>N/A</v>
      </c>
      <c r="K141" s="1240" t="str">
        <f t="shared" si="92"/>
        <v>N/A</v>
      </c>
      <c r="L141" s="392" t="s">
        <v>4</v>
      </c>
      <c r="M141" s="1127" t="s">
        <v>2329</v>
      </c>
      <c r="N141" s="392" t="s">
        <v>32</v>
      </c>
      <c r="O141" s="376">
        <v>2015</v>
      </c>
      <c r="P141" s="376" t="s">
        <v>26</v>
      </c>
      <c r="Q141" s="376" t="s">
        <v>2169</v>
      </c>
      <c r="R141" s="378">
        <v>15</v>
      </c>
      <c r="S141" s="392" t="s">
        <v>2214</v>
      </c>
      <c r="T141" s="392"/>
      <c r="U141" s="392"/>
      <c r="V141" s="382">
        <v>365</v>
      </c>
      <c r="W141" s="1228">
        <f t="shared" si="93"/>
        <v>2380.5576923076924</v>
      </c>
      <c r="X141" s="197" t="s">
        <v>3</v>
      </c>
      <c r="Y141" s="1188">
        <f t="shared" si="94"/>
        <v>2023.4740384615384</v>
      </c>
      <c r="Z141" s="377">
        <v>0.15</v>
      </c>
      <c r="AA141" s="1189">
        <f t="shared" si="95"/>
        <v>2380.5576923076924</v>
      </c>
      <c r="AB141" s="377">
        <v>0</v>
      </c>
      <c r="AC141" s="378">
        <v>238.05600000000001</v>
      </c>
      <c r="AD141" s="1100">
        <f t="shared" si="97"/>
        <v>2618.6136923076924</v>
      </c>
      <c r="AE141" s="377">
        <v>0.04</v>
      </c>
      <c r="AF141" s="370">
        <f t="shared" si="98"/>
        <v>95.222307692307695</v>
      </c>
      <c r="AG141" s="1216">
        <v>2475.7800000000002</v>
      </c>
      <c r="AH141" s="1215" t="s">
        <v>5</v>
      </c>
      <c r="AI141" s="1177">
        <f t="shared" si="99"/>
        <v>0</v>
      </c>
      <c r="AJ141" s="378"/>
      <c r="AK141" s="1179">
        <f t="shared" si="96"/>
        <v>0</v>
      </c>
      <c r="AL141" s="378"/>
      <c r="AM141" s="378"/>
      <c r="AN141" s="378"/>
      <c r="AO141" s="378"/>
      <c r="AP141" s="378"/>
      <c r="AQ141" s="1216"/>
      <c r="AR141" s="1202" t="s">
        <v>2224</v>
      </c>
      <c r="AS141" s="1177" t="str">
        <f t="shared" si="100"/>
        <v/>
      </c>
      <c r="AT141" s="1151"/>
      <c r="AU141" s="1179">
        <f t="shared" si="101"/>
        <v>0</v>
      </c>
      <c r="AV141" s="1151"/>
      <c r="AW141" s="1151"/>
      <c r="AX141" s="1151"/>
      <c r="AY141" s="1151"/>
      <c r="AZ141" s="1151"/>
      <c r="BA141" s="183"/>
      <c r="BB141" s="1202" t="s">
        <v>2224</v>
      </c>
      <c r="BC141" s="1177" t="str">
        <f t="shared" si="102"/>
        <v/>
      </c>
      <c r="BD141" s="1151"/>
      <c r="BE141" s="1179">
        <f t="shared" si="103"/>
        <v>0</v>
      </c>
      <c r="BF141" s="1151"/>
      <c r="BG141" s="1151"/>
      <c r="BH141" s="1151"/>
      <c r="BI141" s="1151"/>
      <c r="BJ141" s="1151"/>
      <c r="BK141" s="183"/>
      <c r="BL141" s="1202" t="s">
        <v>2224</v>
      </c>
      <c r="BM141" s="1109"/>
      <c r="BN141" s="1109"/>
      <c r="BO141" s="1109"/>
      <c r="BP141" s="1109"/>
      <c r="BQ141" s="1109"/>
      <c r="BR141" s="1109"/>
      <c r="BS141" s="1109"/>
      <c r="BT141" s="1109"/>
      <c r="BU141" s="380"/>
      <c r="BV141" s="1202" t="s">
        <v>2224</v>
      </c>
      <c r="BW141" s="1151"/>
      <c r="BX141" s="1151"/>
      <c r="BY141" s="1151"/>
      <c r="BZ141" s="1151"/>
      <c r="CA141" s="1151"/>
      <c r="CB141" s="1151"/>
      <c r="CC141" s="1151"/>
      <c r="CD141" s="1151"/>
      <c r="CE141" s="183"/>
    </row>
    <row r="142" spans="1:83" s="375" customFormat="1">
      <c r="A142" s="197" t="b">
        <v>0</v>
      </c>
      <c r="B142" s="197" t="s">
        <v>2244</v>
      </c>
      <c r="C142" s="197" t="b">
        <f t="shared" si="104"/>
        <v>1</v>
      </c>
      <c r="D142" s="388" t="str">
        <f>IF(C142=FALSE=NAMES!$B$8,"",IF(L142="N/A","N/A",O142&amp;N142&amp;L142&amp;"-"&amp;M142))</f>
        <v/>
      </c>
      <c r="E142" s="392" t="str">
        <f t="shared" si="86"/>
        <v>2015EURAIG Luxembourg-Adulte AIG expat 90% including USA/Canada</v>
      </c>
      <c r="F142" s="1236" t="str">
        <f t="shared" si="87"/>
        <v>2015EURAIG Luxembourg-Healthcare PlanAdulte AIG expat 90% including USA/Canada</v>
      </c>
      <c r="G142" s="1240" t="str">
        <f t="shared" si="88"/>
        <v>2015EURAIG Luxembourg-Assistance and RepatriationAdulte AIG expat 90% including USA/Canada</v>
      </c>
      <c r="H142" s="1240" t="str">
        <f t="shared" si="89"/>
        <v>N/A</v>
      </c>
      <c r="I142" s="1240" t="str">
        <f t="shared" si="90"/>
        <v>N/A</v>
      </c>
      <c r="J142" s="1240" t="str">
        <f t="shared" si="91"/>
        <v>N/A</v>
      </c>
      <c r="K142" s="1240" t="str">
        <f t="shared" si="92"/>
        <v>N/A</v>
      </c>
      <c r="L142" s="392" t="s">
        <v>4</v>
      </c>
      <c r="M142" s="1127" t="s">
        <v>2330</v>
      </c>
      <c r="N142" s="392" t="s">
        <v>32</v>
      </c>
      <c r="O142" s="376">
        <v>2015</v>
      </c>
      <c r="P142" s="376" t="s">
        <v>26</v>
      </c>
      <c r="Q142" s="376" t="s">
        <v>2169</v>
      </c>
      <c r="R142" s="378">
        <v>15</v>
      </c>
      <c r="S142" s="392" t="s">
        <v>2214</v>
      </c>
      <c r="T142" s="392"/>
      <c r="U142" s="392"/>
      <c r="V142" s="382">
        <v>365</v>
      </c>
      <c r="W142" s="1228">
        <f t="shared" si="93"/>
        <v>5450</v>
      </c>
      <c r="X142" s="197" t="s">
        <v>3</v>
      </c>
      <c r="Y142" s="1188">
        <f t="shared" si="94"/>
        <v>4632.5</v>
      </c>
      <c r="Z142" s="377">
        <v>0.15</v>
      </c>
      <c r="AA142" s="1189">
        <f t="shared" si="95"/>
        <v>5450</v>
      </c>
      <c r="AB142" s="377">
        <v>0</v>
      </c>
      <c r="AC142" s="378">
        <v>545</v>
      </c>
      <c r="AD142" s="1100">
        <f t="shared" si="97"/>
        <v>5995</v>
      </c>
      <c r="AE142" s="377">
        <v>0.04</v>
      </c>
      <c r="AF142" s="370">
        <f t="shared" si="98"/>
        <v>218</v>
      </c>
      <c r="AG142" s="1216">
        <v>5668</v>
      </c>
      <c r="AH142" s="1215" t="s">
        <v>5</v>
      </c>
      <c r="AI142" s="1177">
        <f t="shared" si="99"/>
        <v>0</v>
      </c>
      <c r="AJ142" s="378"/>
      <c r="AK142" s="1179">
        <f t="shared" si="96"/>
        <v>0</v>
      </c>
      <c r="AL142" s="378"/>
      <c r="AM142" s="378"/>
      <c r="AN142" s="378"/>
      <c r="AO142" s="378"/>
      <c r="AP142" s="378"/>
      <c r="AQ142" s="1216"/>
      <c r="AR142" s="1202" t="s">
        <v>2224</v>
      </c>
      <c r="AS142" s="1177" t="str">
        <f t="shared" si="100"/>
        <v/>
      </c>
      <c r="AT142" s="1151"/>
      <c r="AU142" s="1179">
        <f t="shared" si="101"/>
        <v>0</v>
      </c>
      <c r="AV142" s="1151"/>
      <c r="AW142" s="1151"/>
      <c r="AX142" s="1151"/>
      <c r="AY142" s="1151"/>
      <c r="AZ142" s="1151"/>
      <c r="BA142" s="183"/>
      <c r="BB142" s="1202" t="s">
        <v>2224</v>
      </c>
      <c r="BC142" s="1177" t="str">
        <f t="shared" si="102"/>
        <v/>
      </c>
      <c r="BD142" s="1151"/>
      <c r="BE142" s="1179">
        <f t="shared" si="103"/>
        <v>0</v>
      </c>
      <c r="BF142" s="1151"/>
      <c r="BG142" s="1151"/>
      <c r="BH142" s="1151"/>
      <c r="BI142" s="1151"/>
      <c r="BJ142" s="1151"/>
      <c r="BK142" s="183"/>
      <c r="BL142" s="1202" t="s">
        <v>2224</v>
      </c>
      <c r="BM142" s="1109"/>
      <c r="BN142" s="1109"/>
      <c r="BO142" s="1109"/>
      <c r="BP142" s="1109"/>
      <c r="BQ142" s="1109"/>
      <c r="BR142" s="1109"/>
      <c r="BS142" s="1109"/>
      <c r="BT142" s="1109"/>
      <c r="BU142" s="380"/>
      <c r="BV142" s="1202" t="s">
        <v>2224</v>
      </c>
      <c r="BW142" s="1151"/>
      <c r="BX142" s="1151"/>
      <c r="BY142" s="1151"/>
      <c r="BZ142" s="1151"/>
      <c r="CA142" s="1151"/>
      <c r="CB142" s="1151"/>
      <c r="CC142" s="1151"/>
      <c r="CD142" s="1151"/>
      <c r="CE142" s="183"/>
    </row>
    <row r="143" spans="1:83" s="383" customFormat="1">
      <c r="A143" s="197" t="b">
        <v>0</v>
      </c>
      <c r="B143" s="197" t="s">
        <v>2244</v>
      </c>
      <c r="C143" s="197" t="b">
        <f t="shared" si="104"/>
        <v>1</v>
      </c>
      <c r="D143" s="388" t="str">
        <f>IF(C143=FALSE=NAMES!$B$8,"",IF(L143="N/A","N/A",O143&amp;N143&amp;L143&amp;"-"&amp;M143))</f>
        <v/>
      </c>
      <c r="E143" s="392" t="str">
        <f t="shared" si="86"/>
        <v>2015EURAIG Luxembourg-Child AIG expat 100% excluding USA/Canada</v>
      </c>
      <c r="F143" s="1236" t="str">
        <f t="shared" si="87"/>
        <v>2015EURAIG Luxembourg-Healthcare PlanChild AIG expat 100% excluding USA/Canada</v>
      </c>
      <c r="G143" s="1240" t="str">
        <f t="shared" si="88"/>
        <v>2015EURAIG Luxembourg-Assistance and RepatriationChild AIG expat 100% excluding USA/Canada</v>
      </c>
      <c r="H143" s="1240" t="str">
        <f t="shared" si="89"/>
        <v>N/A</v>
      </c>
      <c r="I143" s="1240" t="str">
        <f t="shared" si="90"/>
        <v>N/A</v>
      </c>
      <c r="J143" s="1240" t="str">
        <f t="shared" si="91"/>
        <v>N/A</v>
      </c>
      <c r="K143" s="1240" t="str">
        <f t="shared" si="92"/>
        <v>N/A</v>
      </c>
      <c r="L143" s="392" t="s">
        <v>4</v>
      </c>
      <c r="M143" s="1127" t="s">
        <v>2331</v>
      </c>
      <c r="N143" s="392" t="s">
        <v>32</v>
      </c>
      <c r="O143" s="376">
        <v>2015</v>
      </c>
      <c r="P143" s="376" t="s">
        <v>26</v>
      </c>
      <c r="Q143" s="376" t="s">
        <v>2169</v>
      </c>
      <c r="R143" s="378">
        <v>15</v>
      </c>
      <c r="S143" s="392" t="s">
        <v>2214</v>
      </c>
      <c r="T143" s="392"/>
      <c r="U143" s="392"/>
      <c r="V143" s="382">
        <v>365</v>
      </c>
      <c r="W143" s="1228">
        <f t="shared" si="93"/>
        <v>1110</v>
      </c>
      <c r="X143" s="197" t="s">
        <v>3</v>
      </c>
      <c r="Y143" s="1188">
        <f t="shared" si="94"/>
        <v>943.5</v>
      </c>
      <c r="Z143" s="377">
        <v>0.15</v>
      </c>
      <c r="AA143" s="1189">
        <f t="shared" si="95"/>
        <v>1110</v>
      </c>
      <c r="AB143" s="377">
        <v>0</v>
      </c>
      <c r="AC143" s="378">
        <v>111</v>
      </c>
      <c r="AD143" s="1100">
        <f t="shared" si="97"/>
        <v>1221</v>
      </c>
      <c r="AE143" s="377">
        <v>0.04</v>
      </c>
      <c r="AF143" s="370">
        <f t="shared" si="98"/>
        <v>44.4</v>
      </c>
      <c r="AG143" s="1216">
        <v>1154.4000000000001</v>
      </c>
      <c r="AH143" s="1215" t="s">
        <v>5</v>
      </c>
      <c r="AI143" s="1177">
        <f t="shared" si="99"/>
        <v>0</v>
      </c>
      <c r="AJ143" s="378"/>
      <c r="AK143" s="1179">
        <f t="shared" si="96"/>
        <v>0</v>
      </c>
      <c r="AL143" s="378"/>
      <c r="AM143" s="378"/>
      <c r="AN143" s="378"/>
      <c r="AO143" s="378"/>
      <c r="AP143" s="378"/>
      <c r="AQ143" s="1216"/>
      <c r="AR143" s="1202" t="s">
        <v>2224</v>
      </c>
      <c r="AS143" s="1177" t="str">
        <f t="shared" si="100"/>
        <v/>
      </c>
      <c r="AT143" s="1151"/>
      <c r="AU143" s="1179">
        <f t="shared" si="101"/>
        <v>0</v>
      </c>
      <c r="AV143" s="1151"/>
      <c r="AW143" s="1151"/>
      <c r="AX143" s="1151"/>
      <c r="AY143" s="1151"/>
      <c r="AZ143" s="1151"/>
      <c r="BA143" s="183"/>
      <c r="BB143" s="1202" t="s">
        <v>2224</v>
      </c>
      <c r="BC143" s="1177" t="str">
        <f t="shared" si="102"/>
        <v/>
      </c>
      <c r="BD143" s="1151"/>
      <c r="BE143" s="1179">
        <f t="shared" si="103"/>
        <v>0</v>
      </c>
      <c r="BF143" s="1151"/>
      <c r="BG143" s="1151"/>
      <c r="BH143" s="1151"/>
      <c r="BI143" s="1151"/>
      <c r="BJ143" s="1151"/>
      <c r="BK143" s="183"/>
      <c r="BL143" s="1202" t="s">
        <v>2224</v>
      </c>
      <c r="BM143" s="1109"/>
      <c r="BN143" s="1109"/>
      <c r="BO143" s="1109"/>
      <c r="BP143" s="1109"/>
      <c r="BQ143" s="1109"/>
      <c r="BR143" s="1109"/>
      <c r="BS143" s="1109"/>
      <c r="BT143" s="1109"/>
      <c r="BU143" s="380"/>
      <c r="BV143" s="1202" t="s">
        <v>2224</v>
      </c>
      <c r="BW143" s="1109"/>
      <c r="BX143" s="1109"/>
      <c r="BY143" s="1109"/>
      <c r="BZ143" s="1109"/>
      <c r="CA143" s="1109"/>
      <c r="CB143" s="1109"/>
      <c r="CC143" s="1109"/>
      <c r="CD143" s="1109"/>
      <c r="CE143" s="380"/>
    </row>
    <row r="144" spans="1:83" s="383" customFormat="1">
      <c r="A144" s="197" t="b">
        <v>0</v>
      </c>
      <c r="B144" s="197" t="s">
        <v>2244</v>
      </c>
      <c r="C144" s="197" t="b">
        <f t="shared" si="104"/>
        <v>1</v>
      </c>
      <c r="D144" s="388" t="str">
        <f>IF(C144=FALSE=NAMES!$B$8,"",IF(L144="N/A","N/A",O144&amp;N144&amp;L144&amp;"-"&amp;M144))</f>
        <v/>
      </c>
      <c r="E144" s="392" t="str">
        <f t="shared" si="86"/>
        <v>2015EURAIG Luxembourg-Child AIG expat 100% including USA/Canada</v>
      </c>
      <c r="F144" s="1236" t="str">
        <f t="shared" si="87"/>
        <v>2015EURAIG Luxembourg-Healthcare PlanChild AIG expat 100% including USA/Canada</v>
      </c>
      <c r="G144" s="1240" t="str">
        <f t="shared" si="88"/>
        <v>2015EURAIG Luxembourg-Assistance and RepatriationChild AIG expat 100% including USA/Canada</v>
      </c>
      <c r="H144" s="1240" t="str">
        <f t="shared" si="89"/>
        <v>N/A</v>
      </c>
      <c r="I144" s="1240" t="str">
        <f t="shared" si="90"/>
        <v>N/A</v>
      </c>
      <c r="J144" s="1240" t="str">
        <f t="shared" si="91"/>
        <v>N/A</v>
      </c>
      <c r="K144" s="1240" t="str">
        <f t="shared" si="92"/>
        <v>N/A</v>
      </c>
      <c r="L144" s="392" t="s">
        <v>4</v>
      </c>
      <c r="M144" s="1127" t="s">
        <v>2332</v>
      </c>
      <c r="N144" s="392" t="s">
        <v>32</v>
      </c>
      <c r="O144" s="376">
        <v>2015</v>
      </c>
      <c r="P144" s="376" t="s">
        <v>26</v>
      </c>
      <c r="Q144" s="376" t="s">
        <v>2169</v>
      </c>
      <c r="R144" s="378">
        <v>15</v>
      </c>
      <c r="S144" s="392" t="s">
        <v>2214</v>
      </c>
      <c r="T144" s="392"/>
      <c r="U144" s="392"/>
      <c r="V144" s="382">
        <v>365</v>
      </c>
      <c r="W144" s="1228">
        <f t="shared" si="93"/>
        <v>2409</v>
      </c>
      <c r="X144" s="197" t="s">
        <v>3</v>
      </c>
      <c r="Y144" s="1188">
        <f t="shared" si="94"/>
        <v>2047.6499999999999</v>
      </c>
      <c r="Z144" s="377">
        <v>0.15</v>
      </c>
      <c r="AA144" s="1189">
        <f t="shared" si="95"/>
        <v>2409</v>
      </c>
      <c r="AB144" s="377">
        <v>0</v>
      </c>
      <c r="AC144" s="378">
        <v>240.9</v>
      </c>
      <c r="AD144" s="1100">
        <f t="shared" si="97"/>
        <v>2649.9</v>
      </c>
      <c r="AE144" s="377">
        <v>0.04</v>
      </c>
      <c r="AF144" s="370">
        <f t="shared" si="98"/>
        <v>96.36</v>
      </c>
      <c r="AG144" s="1216">
        <v>2505.36</v>
      </c>
      <c r="AH144" s="1215" t="s">
        <v>5</v>
      </c>
      <c r="AI144" s="1177">
        <f t="shared" si="99"/>
        <v>0</v>
      </c>
      <c r="AJ144" s="378"/>
      <c r="AK144" s="1179">
        <f t="shared" si="96"/>
        <v>0</v>
      </c>
      <c r="AL144" s="378"/>
      <c r="AM144" s="378"/>
      <c r="AN144" s="378"/>
      <c r="AO144" s="378"/>
      <c r="AP144" s="378"/>
      <c r="AQ144" s="1216"/>
      <c r="AR144" s="1202" t="s">
        <v>2224</v>
      </c>
      <c r="AS144" s="1177" t="str">
        <f t="shared" si="100"/>
        <v/>
      </c>
      <c r="AT144" s="1151"/>
      <c r="AU144" s="1179">
        <f t="shared" si="101"/>
        <v>0</v>
      </c>
      <c r="AV144" s="1151"/>
      <c r="AW144" s="1151"/>
      <c r="AX144" s="1151"/>
      <c r="AY144" s="1151"/>
      <c r="AZ144" s="1151"/>
      <c r="BA144" s="183"/>
      <c r="BB144" s="1202" t="s">
        <v>2224</v>
      </c>
      <c r="BC144" s="1177" t="str">
        <f t="shared" si="102"/>
        <v/>
      </c>
      <c r="BD144" s="1151"/>
      <c r="BE144" s="1179">
        <f t="shared" si="103"/>
        <v>0</v>
      </c>
      <c r="BF144" s="1151"/>
      <c r="BG144" s="1151"/>
      <c r="BH144" s="1151"/>
      <c r="BI144" s="1151"/>
      <c r="BJ144" s="1151"/>
      <c r="BK144" s="183"/>
      <c r="BL144" s="1202" t="s">
        <v>2224</v>
      </c>
      <c r="BM144" s="1109"/>
      <c r="BN144" s="1109"/>
      <c r="BO144" s="1109"/>
      <c r="BP144" s="1109"/>
      <c r="BQ144" s="1109"/>
      <c r="BR144" s="1109"/>
      <c r="BS144" s="1109"/>
      <c r="BT144" s="1109"/>
      <c r="BU144" s="380"/>
      <c r="BV144" s="1202" t="s">
        <v>2224</v>
      </c>
      <c r="BW144" s="1109"/>
      <c r="BX144" s="1109"/>
      <c r="BY144" s="1109"/>
      <c r="BZ144" s="1109"/>
      <c r="CA144" s="1109"/>
      <c r="CB144" s="1109"/>
      <c r="CC144" s="1109"/>
      <c r="CD144" s="1109"/>
      <c r="CE144" s="380"/>
    </row>
    <row r="145" spans="1:83" s="383" customFormat="1">
      <c r="A145" s="197" t="b">
        <v>0</v>
      </c>
      <c r="B145" s="197" t="s">
        <v>2244</v>
      </c>
      <c r="C145" s="197" t="b">
        <f t="shared" si="104"/>
        <v>1</v>
      </c>
      <c r="D145" s="388" t="str">
        <f>IF(C145=FALSE=NAMES!$B$8,"",IF(L145="N/A","N/A",O145&amp;N145&amp;L145&amp;"-"&amp;M145))</f>
        <v/>
      </c>
      <c r="E145" s="392" t="str">
        <f t="shared" si="86"/>
        <v>2015EURAIG Luxembourg-Child AIG expat 80% excluding USA/Canada</v>
      </c>
      <c r="F145" s="1236" t="str">
        <f t="shared" si="87"/>
        <v>2015EURAIG Luxembourg-Healthcare PlanChild AIG expat 80% excluding USA/Canada</v>
      </c>
      <c r="G145" s="1240" t="str">
        <f t="shared" si="88"/>
        <v>2015EURAIG Luxembourg-Assistance and RepatriationChild AIG expat 80% excluding USA/Canada</v>
      </c>
      <c r="H145" s="1240" t="str">
        <f t="shared" si="89"/>
        <v>N/A</v>
      </c>
      <c r="I145" s="1240" t="str">
        <f t="shared" si="90"/>
        <v>N/A</v>
      </c>
      <c r="J145" s="1240" t="str">
        <f t="shared" si="91"/>
        <v>N/A</v>
      </c>
      <c r="K145" s="1240" t="str">
        <f t="shared" si="92"/>
        <v>N/A</v>
      </c>
      <c r="L145" s="392" t="s">
        <v>4</v>
      </c>
      <c r="M145" s="1127" t="s">
        <v>2333</v>
      </c>
      <c r="N145" s="392" t="s">
        <v>32</v>
      </c>
      <c r="O145" s="376">
        <v>2015</v>
      </c>
      <c r="P145" s="376" t="s">
        <v>26</v>
      </c>
      <c r="Q145" s="376" t="s">
        <v>2169</v>
      </c>
      <c r="R145" s="378">
        <v>15</v>
      </c>
      <c r="S145" s="392" t="s">
        <v>2214</v>
      </c>
      <c r="T145" s="392"/>
      <c r="U145" s="392"/>
      <c r="V145" s="382">
        <v>365</v>
      </c>
      <c r="W145" s="1228">
        <f t="shared" si="93"/>
        <v>912</v>
      </c>
      <c r="X145" s="197" t="s">
        <v>3</v>
      </c>
      <c r="Y145" s="1188">
        <f t="shared" si="94"/>
        <v>775.19999999999993</v>
      </c>
      <c r="Z145" s="377">
        <v>0.15</v>
      </c>
      <c r="AA145" s="1189">
        <f t="shared" si="95"/>
        <v>912</v>
      </c>
      <c r="AB145" s="377">
        <v>0</v>
      </c>
      <c r="AC145" s="378">
        <v>91.2</v>
      </c>
      <c r="AD145" s="1100">
        <f t="shared" si="97"/>
        <v>1003.2</v>
      </c>
      <c r="AE145" s="377">
        <v>0.04</v>
      </c>
      <c r="AF145" s="370">
        <f t="shared" si="98"/>
        <v>36.480000000000004</v>
      </c>
      <c r="AG145" s="1216">
        <v>948.48</v>
      </c>
      <c r="AH145" s="1215" t="s">
        <v>5</v>
      </c>
      <c r="AI145" s="1177">
        <f t="shared" si="99"/>
        <v>0</v>
      </c>
      <c r="AJ145" s="378"/>
      <c r="AK145" s="1179">
        <f t="shared" si="96"/>
        <v>0</v>
      </c>
      <c r="AL145" s="378"/>
      <c r="AM145" s="378"/>
      <c r="AN145" s="378"/>
      <c r="AO145" s="378"/>
      <c r="AP145" s="378"/>
      <c r="AQ145" s="1216"/>
      <c r="AR145" s="1202" t="s">
        <v>2224</v>
      </c>
      <c r="AS145" s="1177" t="str">
        <f t="shared" si="100"/>
        <v/>
      </c>
      <c r="AT145" s="1151"/>
      <c r="AU145" s="1179">
        <f t="shared" si="101"/>
        <v>0</v>
      </c>
      <c r="AV145" s="1151"/>
      <c r="AW145" s="1151"/>
      <c r="AX145" s="1151"/>
      <c r="AY145" s="1151"/>
      <c r="AZ145" s="1151"/>
      <c r="BA145" s="183"/>
      <c r="BB145" s="1202" t="s">
        <v>2224</v>
      </c>
      <c r="BC145" s="1177" t="str">
        <f t="shared" si="102"/>
        <v/>
      </c>
      <c r="BD145" s="1151"/>
      <c r="BE145" s="1179">
        <f t="shared" si="103"/>
        <v>0</v>
      </c>
      <c r="BF145" s="1151"/>
      <c r="BG145" s="1151"/>
      <c r="BH145" s="1151"/>
      <c r="BI145" s="1151"/>
      <c r="BJ145" s="1151"/>
      <c r="BK145" s="183"/>
      <c r="BL145" s="1202" t="s">
        <v>2224</v>
      </c>
      <c r="BM145" s="1109"/>
      <c r="BN145" s="1109"/>
      <c r="BO145" s="1109"/>
      <c r="BP145" s="1109"/>
      <c r="BQ145" s="1109"/>
      <c r="BR145" s="1109"/>
      <c r="BS145" s="1109"/>
      <c r="BT145" s="1109"/>
      <c r="BU145" s="380"/>
      <c r="BV145" s="1202" t="s">
        <v>2224</v>
      </c>
      <c r="BW145" s="1109"/>
      <c r="BX145" s="1109"/>
      <c r="BY145" s="1109"/>
      <c r="BZ145" s="1109"/>
      <c r="CA145" s="1109"/>
      <c r="CB145" s="1109"/>
      <c r="CC145" s="1109"/>
      <c r="CD145" s="1109"/>
      <c r="CE145" s="380"/>
    </row>
    <row r="146" spans="1:83" s="383" customFormat="1">
      <c r="A146" s="197" t="b">
        <v>0</v>
      </c>
      <c r="B146" s="197" t="s">
        <v>2244</v>
      </c>
      <c r="C146" s="197" t="b">
        <f t="shared" si="104"/>
        <v>1</v>
      </c>
      <c r="D146" s="388" t="str">
        <f>IF(C146=FALSE=NAMES!$B$8,"",IF(L146="N/A","N/A",O146&amp;N146&amp;L146&amp;"-"&amp;M146))</f>
        <v/>
      </c>
      <c r="E146" s="392" t="str">
        <f t="shared" si="86"/>
        <v>2015EURAIG Luxembourg-Child AIG expat 80% including USA/Canada</v>
      </c>
      <c r="F146" s="1236" t="str">
        <f t="shared" si="87"/>
        <v>2015EURAIG Luxembourg-Healthcare PlanChild AIG expat 80% including USA/Canada</v>
      </c>
      <c r="G146" s="1240" t="str">
        <f t="shared" si="88"/>
        <v>2015EURAIG Luxembourg-Assistance and RepatriationChild AIG expat 80% including USA/Canada</v>
      </c>
      <c r="H146" s="1240" t="str">
        <f t="shared" si="89"/>
        <v>N/A</v>
      </c>
      <c r="I146" s="1240" t="str">
        <f t="shared" si="90"/>
        <v>N/A</v>
      </c>
      <c r="J146" s="1240" t="str">
        <f t="shared" si="91"/>
        <v>N/A</v>
      </c>
      <c r="K146" s="1240" t="str">
        <f t="shared" si="92"/>
        <v>N/A</v>
      </c>
      <c r="L146" s="392" t="s">
        <v>4</v>
      </c>
      <c r="M146" s="1127" t="s">
        <v>2334</v>
      </c>
      <c r="N146" s="392" t="s">
        <v>32</v>
      </c>
      <c r="O146" s="376">
        <v>2015</v>
      </c>
      <c r="P146" s="376" t="s">
        <v>26</v>
      </c>
      <c r="Q146" s="376" t="s">
        <v>2169</v>
      </c>
      <c r="R146" s="378">
        <v>15</v>
      </c>
      <c r="S146" s="392" t="s">
        <v>2214</v>
      </c>
      <c r="T146" s="392"/>
      <c r="U146" s="392"/>
      <c r="V146" s="382">
        <v>365</v>
      </c>
      <c r="W146" s="1228">
        <f t="shared" si="93"/>
        <v>1937.9615384615383</v>
      </c>
      <c r="X146" s="197" t="s">
        <v>3</v>
      </c>
      <c r="Y146" s="1188">
        <f t="shared" si="94"/>
        <v>1647.2673076923074</v>
      </c>
      <c r="Z146" s="377">
        <v>0.15</v>
      </c>
      <c r="AA146" s="1189">
        <f t="shared" si="95"/>
        <v>1937.9615384615383</v>
      </c>
      <c r="AB146" s="377">
        <v>0</v>
      </c>
      <c r="AC146" s="378">
        <v>193.79599999999999</v>
      </c>
      <c r="AD146" s="1100">
        <f t="shared" si="97"/>
        <v>2131.7575384615384</v>
      </c>
      <c r="AE146" s="377">
        <v>0.04</v>
      </c>
      <c r="AF146" s="370">
        <f t="shared" si="98"/>
        <v>77.518461538461537</v>
      </c>
      <c r="AG146" s="1216">
        <v>2015.48</v>
      </c>
      <c r="AH146" s="1215" t="s">
        <v>5</v>
      </c>
      <c r="AI146" s="1177">
        <f t="shared" si="99"/>
        <v>0</v>
      </c>
      <c r="AJ146" s="378"/>
      <c r="AK146" s="1179">
        <f t="shared" si="96"/>
        <v>0</v>
      </c>
      <c r="AL146" s="378"/>
      <c r="AM146" s="378"/>
      <c r="AN146" s="378"/>
      <c r="AO146" s="378"/>
      <c r="AP146" s="378"/>
      <c r="AQ146" s="1216"/>
      <c r="AR146" s="1202" t="s">
        <v>2224</v>
      </c>
      <c r="AS146" s="1177" t="str">
        <f t="shared" si="100"/>
        <v/>
      </c>
      <c r="AT146" s="1151"/>
      <c r="AU146" s="1179">
        <f t="shared" si="101"/>
        <v>0</v>
      </c>
      <c r="AV146" s="1151"/>
      <c r="AW146" s="1151"/>
      <c r="AX146" s="1151"/>
      <c r="AY146" s="1151"/>
      <c r="AZ146" s="1151"/>
      <c r="BA146" s="183"/>
      <c r="BB146" s="1202" t="s">
        <v>2224</v>
      </c>
      <c r="BC146" s="1177" t="str">
        <f t="shared" si="102"/>
        <v/>
      </c>
      <c r="BD146" s="1151"/>
      <c r="BE146" s="1179">
        <f t="shared" si="103"/>
        <v>0</v>
      </c>
      <c r="BF146" s="1151"/>
      <c r="BG146" s="1151"/>
      <c r="BH146" s="1151"/>
      <c r="BI146" s="1151"/>
      <c r="BJ146" s="1151"/>
      <c r="BK146" s="183"/>
      <c r="BL146" s="1202" t="s">
        <v>2224</v>
      </c>
      <c r="BM146" s="1109"/>
      <c r="BN146" s="1109"/>
      <c r="BO146" s="1109"/>
      <c r="BP146" s="1109"/>
      <c r="BQ146" s="1109"/>
      <c r="BR146" s="1109"/>
      <c r="BS146" s="1109"/>
      <c r="BT146" s="1109"/>
      <c r="BU146" s="380"/>
      <c r="BV146" s="1202" t="s">
        <v>2224</v>
      </c>
      <c r="BW146" s="1109"/>
      <c r="BX146" s="1109"/>
      <c r="BY146" s="1109"/>
      <c r="BZ146" s="1109"/>
      <c r="CA146" s="1109"/>
      <c r="CB146" s="1109"/>
      <c r="CC146" s="1109"/>
      <c r="CD146" s="1109"/>
      <c r="CE146" s="380"/>
    </row>
    <row r="147" spans="1:83" s="383" customFormat="1">
      <c r="A147" s="197" t="b">
        <v>0</v>
      </c>
      <c r="B147" s="197" t="s">
        <v>2244</v>
      </c>
      <c r="C147" s="197" t="b">
        <f t="shared" si="104"/>
        <v>1</v>
      </c>
      <c r="D147" s="388" t="str">
        <f>IF(C147=FALSE=NAMES!$B$8,"",IF(L147="N/A","N/A",O147&amp;N147&amp;L147&amp;"-"&amp;M147))</f>
        <v/>
      </c>
      <c r="E147" s="392" t="str">
        <f t="shared" si="86"/>
        <v>2015EURAIG Luxembourg-Child AIG expat 90% excluding USA/Canada</v>
      </c>
      <c r="F147" s="1236" t="str">
        <f t="shared" si="87"/>
        <v>2015EURAIG Luxembourg-Healthcare PlanChild AIG expat 90% excluding USA/Canada</v>
      </c>
      <c r="G147" s="1240" t="str">
        <f t="shared" si="88"/>
        <v>2015EURAIG Luxembourg-Assistance and RepatriationChild AIG expat 90% excluding USA/Canada</v>
      </c>
      <c r="H147" s="1240" t="str">
        <f t="shared" si="89"/>
        <v>N/A</v>
      </c>
      <c r="I147" s="1240" t="str">
        <f t="shared" si="90"/>
        <v>N/A</v>
      </c>
      <c r="J147" s="1240" t="str">
        <f t="shared" si="91"/>
        <v>N/A</v>
      </c>
      <c r="K147" s="1240" t="str">
        <f t="shared" si="92"/>
        <v>N/A</v>
      </c>
      <c r="L147" s="392" t="s">
        <v>4</v>
      </c>
      <c r="M147" s="1127" t="s">
        <v>2335</v>
      </c>
      <c r="N147" s="392" t="s">
        <v>32</v>
      </c>
      <c r="O147" s="376">
        <v>2015</v>
      </c>
      <c r="P147" s="376" t="s">
        <v>26</v>
      </c>
      <c r="Q147" s="376" t="s">
        <v>2169</v>
      </c>
      <c r="R147" s="378">
        <v>15</v>
      </c>
      <c r="S147" s="392" t="s">
        <v>2214</v>
      </c>
      <c r="T147" s="392"/>
      <c r="U147" s="392"/>
      <c r="V147" s="382">
        <v>365</v>
      </c>
      <c r="W147" s="1228">
        <f t="shared" si="93"/>
        <v>1011</v>
      </c>
      <c r="X147" s="197" t="s">
        <v>3</v>
      </c>
      <c r="Y147" s="1188">
        <f t="shared" si="94"/>
        <v>859.35</v>
      </c>
      <c r="Z147" s="377">
        <v>0.15</v>
      </c>
      <c r="AA147" s="1189">
        <f t="shared" si="95"/>
        <v>1011</v>
      </c>
      <c r="AB147" s="377">
        <v>0</v>
      </c>
      <c r="AC147" s="378">
        <v>101.1</v>
      </c>
      <c r="AD147" s="1100">
        <f t="shared" si="97"/>
        <v>1112.0999999999999</v>
      </c>
      <c r="AE147" s="377">
        <v>0.04</v>
      </c>
      <c r="AF147" s="370">
        <f t="shared" si="98"/>
        <v>40.44</v>
      </c>
      <c r="AG147" s="1216">
        <v>1051.44</v>
      </c>
      <c r="AH147" s="1215" t="s">
        <v>5</v>
      </c>
      <c r="AI147" s="1177">
        <f t="shared" si="99"/>
        <v>0</v>
      </c>
      <c r="AJ147" s="378"/>
      <c r="AK147" s="1179">
        <f t="shared" si="96"/>
        <v>0</v>
      </c>
      <c r="AL147" s="378"/>
      <c r="AM147" s="378"/>
      <c r="AN147" s="378"/>
      <c r="AO147" s="378"/>
      <c r="AP147" s="378"/>
      <c r="AQ147" s="1216"/>
      <c r="AR147" s="1202" t="s">
        <v>2224</v>
      </c>
      <c r="AS147" s="1177" t="str">
        <f t="shared" si="100"/>
        <v/>
      </c>
      <c r="AT147" s="1151"/>
      <c r="AU147" s="1179">
        <f t="shared" si="101"/>
        <v>0</v>
      </c>
      <c r="AV147" s="1151"/>
      <c r="AW147" s="1151"/>
      <c r="AX147" s="1151"/>
      <c r="AY147" s="1151"/>
      <c r="AZ147" s="1151"/>
      <c r="BA147" s="183"/>
      <c r="BB147" s="1202" t="s">
        <v>2224</v>
      </c>
      <c r="BC147" s="1177" t="str">
        <f t="shared" si="102"/>
        <v/>
      </c>
      <c r="BD147" s="1151"/>
      <c r="BE147" s="1179">
        <f t="shared" si="103"/>
        <v>0</v>
      </c>
      <c r="BF147" s="1151"/>
      <c r="BG147" s="1151"/>
      <c r="BH147" s="1151"/>
      <c r="BI147" s="1151"/>
      <c r="BJ147" s="1151"/>
      <c r="BK147" s="183"/>
      <c r="BL147" s="1202" t="s">
        <v>2224</v>
      </c>
      <c r="BM147" s="1109"/>
      <c r="BN147" s="1109"/>
      <c r="BO147" s="1109"/>
      <c r="BP147" s="1109"/>
      <c r="BQ147" s="1109"/>
      <c r="BR147" s="1109"/>
      <c r="BS147" s="1109"/>
      <c r="BT147" s="1109"/>
      <c r="BU147" s="380"/>
      <c r="BV147" s="1202" t="s">
        <v>2224</v>
      </c>
      <c r="BW147" s="1109"/>
      <c r="BX147" s="1109"/>
      <c r="BY147" s="1109"/>
      <c r="BZ147" s="1109"/>
      <c r="CA147" s="1109"/>
      <c r="CB147" s="1109"/>
      <c r="CC147" s="1109"/>
      <c r="CD147" s="1109"/>
      <c r="CE147" s="380"/>
    </row>
    <row r="148" spans="1:83" s="383" customFormat="1">
      <c r="A148" s="197" t="b">
        <v>0</v>
      </c>
      <c r="B148" s="197" t="s">
        <v>2244</v>
      </c>
      <c r="C148" s="197" t="b">
        <f t="shared" si="104"/>
        <v>1</v>
      </c>
      <c r="D148" s="388" t="str">
        <f>IF(C148=FALSE=NAMES!$B$8,"",IF(L148="N/A","N/A",O148&amp;N148&amp;L148&amp;"-"&amp;M148))</f>
        <v/>
      </c>
      <c r="E148" s="392" t="str">
        <f t="shared" si="86"/>
        <v>2015EURAIG Luxembourg-Child AIG expat 90% including USA/Canada</v>
      </c>
      <c r="F148" s="1236" t="str">
        <f t="shared" si="87"/>
        <v>2015EURAIG Luxembourg-Healthcare PlanChild AIG expat 90% including USA/Canada</v>
      </c>
      <c r="G148" s="1240" t="str">
        <f t="shared" si="88"/>
        <v>2015EURAIG Luxembourg-Assistance and RepatriationChild AIG expat 90% including USA/Canada</v>
      </c>
      <c r="H148" s="1240" t="str">
        <f t="shared" si="89"/>
        <v>N/A</v>
      </c>
      <c r="I148" s="1240" t="str">
        <f t="shared" si="90"/>
        <v>N/A</v>
      </c>
      <c r="J148" s="1240" t="str">
        <f t="shared" si="91"/>
        <v>N/A</v>
      </c>
      <c r="K148" s="1240" t="str">
        <f t="shared" si="92"/>
        <v>N/A</v>
      </c>
      <c r="L148" s="392" t="s">
        <v>4</v>
      </c>
      <c r="M148" s="383" t="s">
        <v>2336</v>
      </c>
      <c r="N148" s="392" t="s">
        <v>32</v>
      </c>
      <c r="O148" s="376">
        <v>2015</v>
      </c>
      <c r="P148" s="376" t="s">
        <v>26</v>
      </c>
      <c r="Q148" s="376" t="s">
        <v>2169</v>
      </c>
      <c r="R148" s="378">
        <v>15</v>
      </c>
      <c r="S148" s="392" t="s">
        <v>2214</v>
      </c>
      <c r="T148" s="392"/>
      <c r="U148" s="392"/>
      <c r="V148" s="382">
        <v>365</v>
      </c>
      <c r="W148" s="1228">
        <f t="shared" si="93"/>
        <v>2173.1826923076924</v>
      </c>
      <c r="X148" s="197" t="s">
        <v>3</v>
      </c>
      <c r="Y148" s="1188">
        <f t="shared" si="94"/>
        <v>1847.2052884615384</v>
      </c>
      <c r="Z148" s="377">
        <v>0.15</v>
      </c>
      <c r="AA148" s="1189">
        <f t="shared" si="95"/>
        <v>2173.1826923076924</v>
      </c>
      <c r="AB148" s="377">
        <v>0</v>
      </c>
      <c r="AC148" s="378">
        <v>217.31800000000001</v>
      </c>
      <c r="AD148" s="1100">
        <f t="shared" si="97"/>
        <v>2390.5006923076926</v>
      </c>
      <c r="AE148" s="377">
        <v>0.04</v>
      </c>
      <c r="AF148" s="370">
        <f t="shared" si="98"/>
        <v>86.927307692307693</v>
      </c>
      <c r="AG148" s="1216">
        <v>2260.11</v>
      </c>
      <c r="AH148" s="1215" t="s">
        <v>5</v>
      </c>
      <c r="AI148" s="1177">
        <f t="shared" si="99"/>
        <v>0</v>
      </c>
      <c r="AJ148" s="378"/>
      <c r="AK148" s="1179">
        <f t="shared" si="96"/>
        <v>0</v>
      </c>
      <c r="AL148" s="378"/>
      <c r="AM148" s="378"/>
      <c r="AN148" s="378"/>
      <c r="AO148" s="378"/>
      <c r="AP148" s="378"/>
      <c r="AQ148" s="1216"/>
      <c r="AR148" s="1202" t="s">
        <v>2224</v>
      </c>
      <c r="AS148" s="1177" t="str">
        <f t="shared" si="100"/>
        <v/>
      </c>
      <c r="AT148" s="1151"/>
      <c r="AU148" s="1179">
        <f t="shared" si="101"/>
        <v>0</v>
      </c>
      <c r="AV148" s="1151"/>
      <c r="AW148" s="1151"/>
      <c r="AX148" s="1151"/>
      <c r="AY148" s="1151"/>
      <c r="AZ148" s="1151"/>
      <c r="BA148" s="183"/>
      <c r="BB148" s="1202" t="s">
        <v>2224</v>
      </c>
      <c r="BC148" s="1177" t="str">
        <f t="shared" si="102"/>
        <v/>
      </c>
      <c r="BD148" s="1151"/>
      <c r="BE148" s="1179">
        <f t="shared" si="103"/>
        <v>0</v>
      </c>
      <c r="BF148" s="1151"/>
      <c r="BG148" s="1151"/>
      <c r="BH148" s="1151"/>
      <c r="BI148" s="1151"/>
      <c r="BJ148" s="1151"/>
      <c r="BK148" s="183"/>
      <c r="BL148" s="1202" t="s">
        <v>2224</v>
      </c>
      <c r="BM148" s="1109"/>
      <c r="BN148" s="1109"/>
      <c r="BO148" s="1109"/>
      <c r="BP148" s="1109"/>
      <c r="BQ148" s="1109"/>
      <c r="BR148" s="1109"/>
      <c r="BS148" s="1109"/>
      <c r="BT148" s="1109"/>
      <c r="BU148" s="380"/>
      <c r="BV148" s="1202" t="s">
        <v>2224</v>
      </c>
      <c r="BW148" s="1109"/>
      <c r="BX148" s="1109"/>
      <c r="BY148" s="1109"/>
      <c r="BZ148" s="1109"/>
      <c r="CA148" s="1109"/>
      <c r="CB148" s="1109"/>
      <c r="CC148" s="1109"/>
      <c r="CD148" s="1109"/>
      <c r="CE148" s="380"/>
    </row>
    <row r="149" spans="1:83" s="383" customFormat="1">
      <c r="A149" s="291" t="b">
        <v>0</v>
      </c>
      <c r="B149" s="291" t="s">
        <v>2244</v>
      </c>
      <c r="C149" s="291" t="b">
        <f t="shared" si="104"/>
        <v>1</v>
      </c>
      <c r="D149" s="388" t="str">
        <f>IF(C149=FALSE=NAMES!$B$8,"",IF(L149="N/A","N/A",O149&amp;N149&amp;L149&amp;"-"&amp;M149))</f>
        <v/>
      </c>
      <c r="E149" s="392" t="str">
        <f t="shared" si="86"/>
        <v>2015EURAIG Luxembourg-Comfort</v>
      </c>
      <c r="F149" s="1236" t="str">
        <f t="shared" si="87"/>
        <v>2015EURAIG Luxembourg-Healthcare PlanComfort</v>
      </c>
      <c r="G149" s="1240" t="str">
        <f t="shared" si="88"/>
        <v>2015EURAIG Luxembourg-Assistance and RepatriationComfort</v>
      </c>
      <c r="H149" s="1240" t="str">
        <f t="shared" si="89"/>
        <v>N/A</v>
      </c>
      <c r="I149" s="1240" t="str">
        <f t="shared" si="90"/>
        <v>N/A</v>
      </c>
      <c r="J149" s="1240" t="str">
        <f t="shared" si="91"/>
        <v>N/A</v>
      </c>
      <c r="K149" s="1240" t="str">
        <f t="shared" si="92"/>
        <v>N/A</v>
      </c>
      <c r="L149" s="392" t="s">
        <v>4</v>
      </c>
      <c r="M149" s="392" t="s">
        <v>2116</v>
      </c>
      <c r="N149" s="392" t="s">
        <v>32</v>
      </c>
      <c r="O149" s="376">
        <v>2015</v>
      </c>
      <c r="P149" s="376" t="s">
        <v>26</v>
      </c>
      <c r="Q149" s="376" t="s">
        <v>1</v>
      </c>
      <c r="R149" s="378">
        <v>65</v>
      </c>
      <c r="S149" s="392" t="s">
        <v>2213</v>
      </c>
      <c r="T149" s="392"/>
      <c r="U149" s="392"/>
      <c r="V149" s="382">
        <v>365</v>
      </c>
      <c r="W149" s="1228">
        <f t="shared" si="93"/>
        <v>517.30769230769226</v>
      </c>
      <c r="X149" s="197" t="s">
        <v>3</v>
      </c>
      <c r="Y149" s="1188">
        <f t="shared" si="94"/>
        <v>387.98076923076917</v>
      </c>
      <c r="Z149" s="377">
        <v>0.25</v>
      </c>
      <c r="AA149" s="1189">
        <f t="shared" si="95"/>
        <v>517.30769230769226</v>
      </c>
      <c r="AB149" s="377">
        <v>0</v>
      </c>
      <c r="AC149" s="378">
        <v>0</v>
      </c>
      <c r="AD149" s="1100">
        <f t="shared" si="97"/>
        <v>517.30769230769226</v>
      </c>
      <c r="AE149" s="377">
        <v>0.04</v>
      </c>
      <c r="AF149" s="370">
        <f t="shared" si="98"/>
        <v>20.69230769230769</v>
      </c>
      <c r="AG149" s="1216">
        <v>538</v>
      </c>
      <c r="AH149" s="1215" t="s">
        <v>5</v>
      </c>
      <c r="AI149" s="1177">
        <f t="shared" si="99"/>
        <v>0</v>
      </c>
      <c r="AJ149" s="378"/>
      <c r="AK149" s="1179">
        <f t="shared" si="96"/>
        <v>0</v>
      </c>
      <c r="AL149" s="378"/>
      <c r="AM149" s="378"/>
      <c r="AN149" s="378"/>
      <c r="AO149" s="378"/>
      <c r="AP149" s="378"/>
      <c r="AQ149" s="1216"/>
      <c r="AR149" s="1202" t="s">
        <v>2224</v>
      </c>
      <c r="AS149" s="1177" t="str">
        <f t="shared" si="100"/>
        <v/>
      </c>
      <c r="AT149" s="1151"/>
      <c r="AU149" s="1179">
        <f t="shared" si="101"/>
        <v>0</v>
      </c>
      <c r="AV149" s="1151"/>
      <c r="AW149" s="1151"/>
      <c r="AX149" s="1151"/>
      <c r="AY149" s="1151"/>
      <c r="AZ149" s="1151"/>
      <c r="BA149" s="183"/>
      <c r="BB149" s="1202" t="s">
        <v>2224</v>
      </c>
      <c r="BC149" s="1177" t="str">
        <f t="shared" si="102"/>
        <v/>
      </c>
      <c r="BD149" s="1151"/>
      <c r="BE149" s="1179">
        <f t="shared" si="103"/>
        <v>0</v>
      </c>
      <c r="BF149" s="1151"/>
      <c r="BG149" s="1151"/>
      <c r="BH149" s="1151"/>
      <c r="BI149" s="1151"/>
      <c r="BJ149" s="1151"/>
      <c r="BK149" s="183"/>
      <c r="BL149" s="1202" t="s">
        <v>2224</v>
      </c>
      <c r="BM149" s="1151"/>
      <c r="BN149" s="1151"/>
      <c r="BO149" s="1151"/>
      <c r="BP149" s="1151"/>
      <c r="BQ149" s="1151"/>
      <c r="BR149" s="1151"/>
      <c r="BS149" s="1151"/>
      <c r="BT149" s="1151"/>
      <c r="BU149" s="183"/>
      <c r="BV149" s="1202" t="s">
        <v>2224</v>
      </c>
      <c r="BW149" s="1109"/>
      <c r="BX149" s="1109"/>
      <c r="BY149" s="1109"/>
      <c r="BZ149" s="1109"/>
      <c r="CA149" s="1109"/>
      <c r="CB149" s="1109"/>
      <c r="CC149" s="1109"/>
      <c r="CD149" s="1109"/>
      <c r="CE149" s="380"/>
    </row>
    <row r="150" spans="1:83" s="383" customFormat="1">
      <c r="A150" s="197" t="b">
        <v>0</v>
      </c>
      <c r="B150" s="197" t="s">
        <v>2244</v>
      </c>
      <c r="C150" s="197" t="b">
        <f t="shared" si="104"/>
        <v>1</v>
      </c>
      <c r="D150" s="388" t="str">
        <f>IF(C150=FALSE=NAMES!$B$8,"",IF(L150="N/A","N/A",O150&amp;N150&amp;L150&amp;"-"&amp;M150))</f>
        <v/>
      </c>
      <c r="E150" s="392" t="str">
        <f t="shared" si="86"/>
        <v>2015EURAIG Luxembourg-Comfort MLC S</v>
      </c>
      <c r="F150" s="1236" t="str">
        <f t="shared" si="87"/>
        <v>2015EURAIG Luxembourg-Healthcare PlanComfort MLC S</v>
      </c>
      <c r="G150" s="1240" t="str">
        <f t="shared" si="88"/>
        <v>2015EURAIG Luxembourg-Assistance and RepatriationComfort MLC S</v>
      </c>
      <c r="H150" s="1240" t="str">
        <f t="shared" si="89"/>
        <v>N/A</v>
      </c>
      <c r="I150" s="1240" t="str">
        <f t="shared" si="90"/>
        <v>N/A</v>
      </c>
      <c r="J150" s="1240" t="str">
        <f t="shared" si="91"/>
        <v>N/A</v>
      </c>
      <c r="K150" s="1240" t="str">
        <f t="shared" si="92"/>
        <v>N/A</v>
      </c>
      <c r="L150" s="392" t="s">
        <v>4</v>
      </c>
      <c r="M150" s="392" t="s">
        <v>2118</v>
      </c>
      <c r="N150" s="392" t="s">
        <v>32</v>
      </c>
      <c r="O150" s="376">
        <v>2015</v>
      </c>
      <c r="P150" s="376" t="s">
        <v>26</v>
      </c>
      <c r="Q150" s="376" t="s">
        <v>1</v>
      </c>
      <c r="R150" s="378">
        <v>10</v>
      </c>
      <c r="S150" s="392" t="s">
        <v>2213</v>
      </c>
      <c r="T150" s="392"/>
      <c r="U150" s="392"/>
      <c r="V150" s="382">
        <v>365</v>
      </c>
      <c r="W150" s="1228">
        <f t="shared" si="93"/>
        <v>632.69230769230762</v>
      </c>
      <c r="X150" s="197" t="s">
        <v>3</v>
      </c>
      <c r="Y150" s="1188">
        <f t="shared" si="94"/>
        <v>387.98076923076917</v>
      </c>
      <c r="Z150" s="377">
        <v>0.25</v>
      </c>
      <c r="AA150" s="1189">
        <f t="shared" si="95"/>
        <v>517.30769230769226</v>
      </c>
      <c r="AB150" s="377">
        <v>0</v>
      </c>
      <c r="AC150" s="378">
        <v>0</v>
      </c>
      <c r="AD150" s="1100">
        <f t="shared" si="97"/>
        <v>517.30769230769226</v>
      </c>
      <c r="AE150" s="377">
        <v>0.04</v>
      </c>
      <c r="AF150" s="370">
        <f t="shared" si="98"/>
        <v>20.69230769230769</v>
      </c>
      <c r="AG150" s="1216">
        <v>538</v>
      </c>
      <c r="AH150" s="1215" t="s">
        <v>5</v>
      </c>
      <c r="AI150" s="1177">
        <f t="shared" si="99"/>
        <v>86.538461538461547</v>
      </c>
      <c r="AJ150" s="1175">
        <v>0.25</v>
      </c>
      <c r="AK150" s="1179">
        <f t="shared" si="96"/>
        <v>115.38461538461539</v>
      </c>
      <c r="AL150" s="1175">
        <v>0</v>
      </c>
      <c r="AM150" s="1174">
        <v>0</v>
      </c>
      <c r="AN150" s="1178"/>
      <c r="AO150" s="1175">
        <v>0.04</v>
      </c>
      <c r="AP150" s="1175"/>
      <c r="AQ150" s="1204">
        <v>120</v>
      </c>
      <c r="AR150" s="1202" t="s">
        <v>2224</v>
      </c>
      <c r="AS150" s="1177" t="str">
        <f t="shared" si="100"/>
        <v/>
      </c>
      <c r="AT150" s="1151"/>
      <c r="AU150" s="1179">
        <f t="shared" si="101"/>
        <v>0</v>
      </c>
      <c r="AV150" s="1151"/>
      <c r="AW150" s="1151"/>
      <c r="AX150" s="1151"/>
      <c r="AY150" s="1151"/>
      <c r="AZ150" s="1151"/>
      <c r="BA150" s="183"/>
      <c r="BB150" s="1202" t="s">
        <v>2224</v>
      </c>
      <c r="BC150" s="1177" t="str">
        <f t="shared" si="102"/>
        <v/>
      </c>
      <c r="BD150" s="1151"/>
      <c r="BE150" s="1179">
        <f t="shared" si="103"/>
        <v>0</v>
      </c>
      <c r="BF150" s="1151"/>
      <c r="BG150" s="1151"/>
      <c r="BH150" s="1151"/>
      <c r="BI150" s="1151"/>
      <c r="BJ150" s="1151"/>
      <c r="BK150" s="183"/>
      <c r="BL150" s="1202" t="s">
        <v>2224</v>
      </c>
      <c r="BM150" s="1109"/>
      <c r="BN150" s="1109"/>
      <c r="BO150" s="1109"/>
      <c r="BP150" s="1109"/>
      <c r="BQ150" s="1109"/>
      <c r="BR150" s="1109"/>
      <c r="BS150" s="1109"/>
      <c r="BT150" s="1109"/>
      <c r="BU150" s="380"/>
      <c r="BV150" s="1202" t="s">
        <v>2224</v>
      </c>
      <c r="BW150" s="1109"/>
      <c r="BX150" s="1109"/>
      <c r="BY150" s="1109"/>
      <c r="BZ150" s="1109"/>
      <c r="CA150" s="1109"/>
      <c r="CB150" s="1109"/>
      <c r="CC150" s="1109"/>
      <c r="CD150" s="1109"/>
      <c r="CE150" s="380"/>
    </row>
    <row r="151" spans="1:83" s="383" customFormat="1">
      <c r="A151" s="197" t="b">
        <v>0</v>
      </c>
      <c r="B151" s="197" t="s">
        <v>2244</v>
      </c>
      <c r="C151" s="197" t="b">
        <f t="shared" si="104"/>
        <v>1</v>
      </c>
      <c r="D151" s="388" t="str">
        <f>IF(C151=FALSE=NAMES!$B$8,"",IF(L151="N/A","N/A",O151&amp;N151&amp;L151&amp;"-"&amp;M151))</f>
        <v/>
      </c>
      <c r="E151" s="392" t="str">
        <f t="shared" si="86"/>
        <v>2015EURAIG Luxembourg-Comfort S</v>
      </c>
      <c r="F151" s="1236" t="str">
        <f t="shared" si="87"/>
        <v>2015EURAIG Luxembourg-Healthcare PlanComfort S</v>
      </c>
      <c r="G151" s="1240" t="str">
        <f t="shared" si="88"/>
        <v>2015EURAIG Luxembourg-Assistance and RepatriationComfort S</v>
      </c>
      <c r="H151" s="1240" t="str">
        <f t="shared" si="89"/>
        <v>N/A</v>
      </c>
      <c r="I151" s="1240" t="str">
        <f t="shared" si="90"/>
        <v>N/A</v>
      </c>
      <c r="J151" s="1240" t="str">
        <f t="shared" si="91"/>
        <v>N/A</v>
      </c>
      <c r="K151" s="1240" t="str">
        <f t="shared" si="92"/>
        <v>N/A</v>
      </c>
      <c r="L151" s="392" t="s">
        <v>4</v>
      </c>
      <c r="M151" s="392" t="s">
        <v>2117</v>
      </c>
      <c r="N151" s="392" t="s">
        <v>32</v>
      </c>
      <c r="O151" s="376">
        <v>2015</v>
      </c>
      <c r="P151" s="376" t="s">
        <v>26</v>
      </c>
      <c r="Q151" s="376" t="s">
        <v>1</v>
      </c>
      <c r="R151" s="378">
        <v>10</v>
      </c>
      <c r="S151" s="392" t="s">
        <v>2213</v>
      </c>
      <c r="T151" s="392"/>
      <c r="U151" s="392"/>
      <c r="V151" s="382">
        <v>365</v>
      </c>
      <c r="W151" s="1228">
        <f t="shared" si="93"/>
        <v>517.30769230769226</v>
      </c>
      <c r="X151" s="197" t="s">
        <v>3</v>
      </c>
      <c r="Y151" s="1188">
        <f t="shared" si="94"/>
        <v>387.98076923076917</v>
      </c>
      <c r="Z151" s="377">
        <v>0.25</v>
      </c>
      <c r="AA151" s="1189">
        <f t="shared" si="95"/>
        <v>517.30769230769226</v>
      </c>
      <c r="AB151" s="377">
        <v>0</v>
      </c>
      <c r="AC151" s="378">
        <v>0</v>
      </c>
      <c r="AD151" s="1100">
        <f t="shared" si="97"/>
        <v>517.30769230769226</v>
      </c>
      <c r="AE151" s="377">
        <v>0.04</v>
      </c>
      <c r="AF151" s="370">
        <f t="shared" si="98"/>
        <v>20.69230769230769</v>
      </c>
      <c r="AG151" s="1216">
        <v>538</v>
      </c>
      <c r="AH151" s="1215" t="s">
        <v>5</v>
      </c>
      <c r="AI151" s="1177">
        <f t="shared" si="99"/>
        <v>0</v>
      </c>
      <c r="AJ151" s="378"/>
      <c r="AK151" s="1179">
        <f t="shared" si="96"/>
        <v>0</v>
      </c>
      <c r="AL151" s="378"/>
      <c r="AM151" s="378"/>
      <c r="AN151" s="378"/>
      <c r="AO151" s="378"/>
      <c r="AP151" s="378"/>
      <c r="AQ151" s="1216"/>
      <c r="AR151" s="1202" t="s">
        <v>2224</v>
      </c>
      <c r="AS151" s="1177" t="str">
        <f t="shared" si="100"/>
        <v/>
      </c>
      <c r="AT151" s="1151"/>
      <c r="AU151" s="1179">
        <f t="shared" si="101"/>
        <v>0</v>
      </c>
      <c r="AV151" s="1151"/>
      <c r="AW151" s="1151"/>
      <c r="AX151" s="1151"/>
      <c r="AY151" s="1151"/>
      <c r="AZ151" s="1151"/>
      <c r="BA151" s="183"/>
      <c r="BB151" s="1202" t="s">
        <v>2224</v>
      </c>
      <c r="BC151" s="1177" t="str">
        <f t="shared" si="102"/>
        <v/>
      </c>
      <c r="BD151" s="1151"/>
      <c r="BE151" s="1179">
        <f t="shared" si="103"/>
        <v>0</v>
      </c>
      <c r="BF151" s="1151"/>
      <c r="BG151" s="1151"/>
      <c r="BH151" s="1151"/>
      <c r="BI151" s="1151"/>
      <c r="BJ151" s="1151"/>
      <c r="BK151" s="183"/>
      <c r="BL151" s="1202" t="s">
        <v>2224</v>
      </c>
      <c r="BM151" s="1109"/>
      <c r="BN151" s="1109"/>
      <c r="BO151" s="1109"/>
      <c r="BP151" s="1109"/>
      <c r="BQ151" s="1109"/>
      <c r="BR151" s="1109"/>
      <c r="BS151" s="1109"/>
      <c r="BT151" s="1109"/>
      <c r="BU151" s="380"/>
      <c r="BV151" s="1202" t="s">
        <v>2224</v>
      </c>
      <c r="BW151" s="1109"/>
      <c r="BX151" s="1109"/>
      <c r="BY151" s="1109"/>
      <c r="BZ151" s="1109"/>
      <c r="CA151" s="1109"/>
      <c r="CB151" s="1109"/>
      <c r="CC151" s="1109"/>
      <c r="CD151" s="1109"/>
      <c r="CE151" s="380"/>
    </row>
    <row r="152" spans="1:83" s="383" customFormat="1">
      <c r="A152" s="291" t="b">
        <v>0</v>
      </c>
      <c r="B152" s="291" t="s">
        <v>2244</v>
      </c>
      <c r="C152" s="291" t="b">
        <f t="shared" si="104"/>
        <v>1</v>
      </c>
      <c r="D152" s="388" t="str">
        <f>IF(C152=FALSE=NAMES!$B$8,"",IF(L152="N/A","N/A",O152&amp;N152&amp;L152&amp;"-"&amp;M152))</f>
        <v/>
      </c>
      <c r="E152" s="392" t="str">
        <f t="shared" si="86"/>
        <v>2015EURAIG Luxembourg-COMFORTMLC</v>
      </c>
      <c r="F152" s="1236" t="str">
        <f t="shared" si="87"/>
        <v>2015EURAIG Luxembourg-Healthcare PlanCOMFORTMLC</v>
      </c>
      <c r="G152" s="1240" t="str">
        <f t="shared" si="88"/>
        <v>2015EURAIG Luxembourg-Assistance and RepatriationCOMFORTMLC</v>
      </c>
      <c r="H152" s="1240" t="str">
        <f t="shared" si="89"/>
        <v>N/A</v>
      </c>
      <c r="I152" s="1240" t="str">
        <f t="shared" si="90"/>
        <v>N/A</v>
      </c>
      <c r="J152" s="1240" t="str">
        <f t="shared" si="91"/>
        <v>N/A</v>
      </c>
      <c r="K152" s="1240" t="str">
        <f t="shared" si="92"/>
        <v>N/A</v>
      </c>
      <c r="L152" s="392" t="s">
        <v>4</v>
      </c>
      <c r="M152" s="392" t="s">
        <v>2256</v>
      </c>
      <c r="N152" s="392" t="s">
        <v>32</v>
      </c>
      <c r="O152" s="376">
        <v>2015</v>
      </c>
      <c r="P152" s="376" t="s">
        <v>26</v>
      </c>
      <c r="Q152" s="376" t="s">
        <v>1</v>
      </c>
      <c r="R152" s="378">
        <v>65</v>
      </c>
      <c r="S152" s="392" t="s">
        <v>2213</v>
      </c>
      <c r="T152" s="392"/>
      <c r="U152" s="392"/>
      <c r="V152" s="382">
        <v>365</v>
      </c>
      <c r="W152" s="1228">
        <f t="shared" si="93"/>
        <v>632.69230769230762</v>
      </c>
      <c r="X152" s="197" t="s">
        <v>3</v>
      </c>
      <c r="Y152" s="1188">
        <f t="shared" si="94"/>
        <v>387.98076923076917</v>
      </c>
      <c r="Z152" s="377">
        <v>0.25</v>
      </c>
      <c r="AA152" s="1189">
        <f t="shared" si="95"/>
        <v>517.30769230769226</v>
      </c>
      <c r="AB152" s="377">
        <v>0</v>
      </c>
      <c r="AC152" s="378">
        <v>0</v>
      </c>
      <c r="AD152" s="1100">
        <f t="shared" si="97"/>
        <v>517.30769230769226</v>
      </c>
      <c r="AE152" s="377">
        <v>0.04</v>
      </c>
      <c r="AF152" s="370">
        <f t="shared" si="98"/>
        <v>20.69230769230769</v>
      </c>
      <c r="AG152" s="1216">
        <v>538</v>
      </c>
      <c r="AH152" s="1215" t="s">
        <v>5</v>
      </c>
      <c r="AI152" s="1177">
        <f t="shared" si="99"/>
        <v>86.538461538461547</v>
      </c>
      <c r="AJ152" s="1175">
        <v>0.25</v>
      </c>
      <c r="AK152" s="1179">
        <f t="shared" si="96"/>
        <v>115.38461538461539</v>
      </c>
      <c r="AL152" s="1175">
        <v>0</v>
      </c>
      <c r="AM152" s="1174">
        <v>0</v>
      </c>
      <c r="AN152" s="1178"/>
      <c r="AO152" s="1175">
        <v>0.04</v>
      </c>
      <c r="AP152" s="1175"/>
      <c r="AQ152" s="1204">
        <v>120</v>
      </c>
      <c r="AR152" s="1202" t="s">
        <v>2224</v>
      </c>
      <c r="AS152" s="1177" t="str">
        <f t="shared" si="100"/>
        <v/>
      </c>
      <c r="AT152" s="1151"/>
      <c r="AU152" s="1179">
        <f t="shared" si="101"/>
        <v>0</v>
      </c>
      <c r="AV152" s="1151"/>
      <c r="AW152" s="1151"/>
      <c r="AX152" s="1151"/>
      <c r="AY152" s="1151"/>
      <c r="AZ152" s="1151"/>
      <c r="BA152" s="183"/>
      <c r="BB152" s="1202" t="s">
        <v>2224</v>
      </c>
      <c r="BC152" s="1177" t="str">
        <f t="shared" si="102"/>
        <v/>
      </c>
      <c r="BD152" s="1151"/>
      <c r="BE152" s="1179">
        <f t="shared" si="103"/>
        <v>0</v>
      </c>
      <c r="BF152" s="1151"/>
      <c r="BG152" s="1151"/>
      <c r="BH152" s="1151"/>
      <c r="BI152" s="1151"/>
      <c r="BJ152" s="1151"/>
      <c r="BK152" s="183"/>
      <c r="BL152" s="1202" t="s">
        <v>2224</v>
      </c>
      <c r="BM152" s="1151"/>
      <c r="BN152" s="1151"/>
      <c r="BO152" s="1151"/>
      <c r="BP152" s="1151"/>
      <c r="BQ152" s="1151"/>
      <c r="BR152" s="1151"/>
      <c r="BS152" s="1151"/>
      <c r="BT152" s="1151"/>
      <c r="BU152" s="183"/>
      <c r="BV152" s="1202" t="s">
        <v>2224</v>
      </c>
      <c r="BW152" s="1109"/>
      <c r="BX152" s="1109"/>
      <c r="BY152" s="1109"/>
      <c r="BZ152" s="1109"/>
      <c r="CA152" s="1109"/>
      <c r="CB152" s="1109"/>
      <c r="CC152" s="1109"/>
      <c r="CD152" s="1109"/>
      <c r="CE152" s="380"/>
    </row>
    <row r="153" spans="1:83" s="383" customFormat="1">
      <c r="A153" s="381" t="b">
        <v>1</v>
      </c>
      <c r="B153" s="291" t="s">
        <v>2244</v>
      </c>
      <c r="C153" s="291" t="b">
        <f t="shared" si="104"/>
        <v>1</v>
      </c>
      <c r="D153" s="388" t="str">
        <f>IF(C153=FALSE=NAMES!$B$8,"",IF(L153="N/A","N/A",O153&amp;N153&amp;L153&amp;"-"&amp;M153))</f>
        <v/>
      </c>
      <c r="E153" s="392" t="str">
        <f t="shared" si="86"/>
        <v>2015EURAIG Luxembourg-PRESTIGE</v>
      </c>
      <c r="F153" s="1236" t="str">
        <f t="shared" si="87"/>
        <v>2015EURAIG Luxembourg-Healthcare PlanPRESTIGE</v>
      </c>
      <c r="G153" s="1240" t="str">
        <f t="shared" si="88"/>
        <v>2015EURAIG Luxembourg-Assistance and RepatriationPRESTIGE</v>
      </c>
      <c r="H153" s="1240" t="str">
        <f t="shared" si="89"/>
        <v>N/A</v>
      </c>
      <c r="I153" s="1240" t="str">
        <f t="shared" si="90"/>
        <v>N/A</v>
      </c>
      <c r="J153" s="1240" t="str">
        <f t="shared" si="91"/>
        <v>N/A</v>
      </c>
      <c r="K153" s="1240" t="str">
        <f t="shared" si="92"/>
        <v>N/A</v>
      </c>
      <c r="L153" s="392" t="s">
        <v>4</v>
      </c>
      <c r="M153" s="392" t="s">
        <v>86</v>
      </c>
      <c r="N153" s="392" t="s">
        <v>32</v>
      </c>
      <c r="O153" s="376">
        <v>2015</v>
      </c>
      <c r="P153" s="376" t="s">
        <v>26</v>
      </c>
      <c r="Q153" s="376" t="s">
        <v>1</v>
      </c>
      <c r="R153" s="378">
        <v>35</v>
      </c>
      <c r="S153" s="392" t="s">
        <v>2213</v>
      </c>
      <c r="T153" s="392"/>
      <c r="U153" s="392"/>
      <c r="V153" s="382">
        <v>365</v>
      </c>
      <c r="W153" s="1228">
        <f t="shared" si="93"/>
        <v>1228.8461538461538</v>
      </c>
      <c r="X153" s="197" t="s">
        <v>3</v>
      </c>
      <c r="Y153" s="1188">
        <f t="shared" si="94"/>
        <v>791.82692307692309</v>
      </c>
      <c r="Z153" s="377">
        <v>0.25</v>
      </c>
      <c r="AA153" s="1189">
        <f t="shared" si="95"/>
        <v>1055.7692307692307</v>
      </c>
      <c r="AB153" s="377">
        <v>0</v>
      </c>
      <c r="AC153" s="378">
        <v>0</v>
      </c>
      <c r="AD153" s="1100">
        <f t="shared" si="97"/>
        <v>1055.7692307692307</v>
      </c>
      <c r="AE153" s="377">
        <v>0.04</v>
      </c>
      <c r="AF153" s="370">
        <f t="shared" si="98"/>
        <v>42.230769230769226</v>
      </c>
      <c r="AG153" s="1216">
        <v>1098</v>
      </c>
      <c r="AH153" s="1215" t="s">
        <v>5</v>
      </c>
      <c r="AI153" s="1177">
        <f t="shared" si="99"/>
        <v>129.80769230769229</v>
      </c>
      <c r="AJ153" s="1175">
        <v>0.25</v>
      </c>
      <c r="AK153" s="1179">
        <f t="shared" si="96"/>
        <v>173.07692307692307</v>
      </c>
      <c r="AL153" s="1175">
        <v>0</v>
      </c>
      <c r="AM153" s="1174">
        <v>0</v>
      </c>
      <c r="AN153" s="1180"/>
      <c r="AO153" s="1175">
        <v>0.04</v>
      </c>
      <c r="AP153" s="1175"/>
      <c r="AQ153" s="1204">
        <v>180</v>
      </c>
      <c r="AR153" s="1202" t="s">
        <v>2224</v>
      </c>
      <c r="AS153" s="1177" t="str">
        <f t="shared" si="100"/>
        <v/>
      </c>
      <c r="AT153" s="1151"/>
      <c r="AU153" s="1179">
        <f t="shared" si="101"/>
        <v>0</v>
      </c>
      <c r="AV153" s="1151"/>
      <c r="AW153" s="1151"/>
      <c r="AX153" s="1151"/>
      <c r="AY153" s="1151"/>
      <c r="AZ153" s="1151"/>
      <c r="BA153" s="183"/>
      <c r="BB153" s="1202" t="s">
        <v>2224</v>
      </c>
      <c r="BC153" s="1177" t="str">
        <f t="shared" si="102"/>
        <v/>
      </c>
      <c r="BD153" s="1151"/>
      <c r="BE153" s="1179">
        <f t="shared" si="103"/>
        <v>0</v>
      </c>
      <c r="BF153" s="1151"/>
      <c r="BG153" s="1151"/>
      <c r="BH153" s="1151"/>
      <c r="BI153" s="1151"/>
      <c r="BJ153" s="1151"/>
      <c r="BK153" s="183"/>
      <c r="BL153" s="1202" t="s">
        <v>2224</v>
      </c>
      <c r="BM153" s="1151"/>
      <c r="BN153" s="1151"/>
      <c r="BO153" s="1151"/>
      <c r="BP153" s="1151"/>
      <c r="BQ153" s="1151"/>
      <c r="BR153" s="1151"/>
      <c r="BS153" s="1151"/>
      <c r="BT153" s="1151"/>
      <c r="BU153" s="183"/>
      <c r="BV153" s="1202" t="s">
        <v>2224</v>
      </c>
      <c r="BW153" s="1109"/>
      <c r="BX153" s="1109"/>
      <c r="BY153" s="1109"/>
      <c r="BZ153" s="1109"/>
      <c r="CA153" s="1109"/>
      <c r="CB153" s="1109"/>
      <c r="CC153" s="1109"/>
      <c r="CD153" s="1109"/>
      <c r="CE153" s="380"/>
    </row>
    <row r="154" spans="1:83" s="383" customFormat="1">
      <c r="A154" s="478" t="b">
        <v>1</v>
      </c>
      <c r="B154" s="291" t="s">
        <v>2244</v>
      </c>
      <c r="C154" s="478" t="b">
        <f t="shared" si="104"/>
        <v>1</v>
      </c>
      <c r="D154" s="388" t="str">
        <f>IF(C154=FALSE=NAMES!$B$8,"",IF(L154="N/A","N/A",O154&amp;N154&amp;L154&amp;"-"&amp;M154))</f>
        <v/>
      </c>
      <c r="E154" s="392" t="str">
        <f t="shared" si="86"/>
        <v>2015EURAIG Luxembourg-PRESTIGE-Family</v>
      </c>
      <c r="F154" s="1236" t="str">
        <f t="shared" si="87"/>
        <v>2015EURAIG Luxembourg-Healthcare PlanPRESTIGE-Family</v>
      </c>
      <c r="G154" s="1240" t="str">
        <f t="shared" si="88"/>
        <v>2015EURAIG Luxembourg-Assistance and RepatriationPRESTIGE-Family</v>
      </c>
      <c r="H154" s="1240" t="str">
        <f t="shared" si="89"/>
        <v>N/A</v>
      </c>
      <c r="I154" s="1240" t="str">
        <f t="shared" si="90"/>
        <v>N/A</v>
      </c>
      <c r="J154" s="1240" t="str">
        <f t="shared" si="91"/>
        <v>N/A</v>
      </c>
      <c r="K154" s="1240" t="str">
        <f t="shared" si="92"/>
        <v>N/A</v>
      </c>
      <c r="L154" s="479" t="s">
        <v>4</v>
      </c>
      <c r="M154" s="392" t="s">
        <v>2824</v>
      </c>
      <c r="N154" s="479" t="s">
        <v>32</v>
      </c>
      <c r="O154" s="485">
        <v>2015</v>
      </c>
      <c r="P154" s="485" t="s">
        <v>26</v>
      </c>
      <c r="Q154" s="376" t="s">
        <v>1</v>
      </c>
      <c r="R154" s="484">
        <v>35</v>
      </c>
      <c r="S154" s="479" t="s">
        <v>2214</v>
      </c>
      <c r="T154" s="479"/>
      <c r="U154" s="479"/>
      <c r="V154" s="480">
        <v>365</v>
      </c>
      <c r="W154" s="1228">
        <f t="shared" si="93"/>
        <v>1444.278846153846</v>
      </c>
      <c r="X154" s="478" t="s">
        <v>3</v>
      </c>
      <c r="Y154" s="1188">
        <f t="shared" si="94"/>
        <v>1083.2091346153845</v>
      </c>
      <c r="Z154" s="482">
        <v>0.25</v>
      </c>
      <c r="AA154" s="1189">
        <f t="shared" si="95"/>
        <v>1444.278846153846</v>
      </c>
      <c r="AB154" s="377">
        <v>0</v>
      </c>
      <c r="AC154" s="484">
        <v>0</v>
      </c>
      <c r="AD154" s="1100">
        <f t="shared" si="97"/>
        <v>1444.278846153846</v>
      </c>
      <c r="AE154" s="377">
        <v>0.04</v>
      </c>
      <c r="AF154" s="370">
        <f t="shared" si="98"/>
        <v>57.771153846153837</v>
      </c>
      <c r="AG154" s="1220">
        <v>1502.05</v>
      </c>
      <c r="AH154" s="1215" t="s">
        <v>5</v>
      </c>
      <c r="AI154" s="1177">
        <f t="shared" si="99"/>
        <v>0</v>
      </c>
      <c r="AJ154" s="481"/>
      <c r="AK154" s="1179">
        <f t="shared" si="96"/>
        <v>0</v>
      </c>
      <c r="AL154" s="481"/>
      <c r="AM154" s="481"/>
      <c r="AN154" s="481"/>
      <c r="AO154" s="481"/>
      <c r="AP154" s="481"/>
      <c r="AQ154" s="1218"/>
      <c r="AR154" s="1202" t="s">
        <v>2224</v>
      </c>
      <c r="AS154" s="1177" t="str">
        <f t="shared" si="100"/>
        <v/>
      </c>
      <c r="AT154" s="1151"/>
      <c r="AU154" s="1179">
        <f t="shared" si="101"/>
        <v>0</v>
      </c>
      <c r="AV154" s="1151"/>
      <c r="AW154" s="1151"/>
      <c r="AX154" s="1151"/>
      <c r="AY154" s="1151"/>
      <c r="AZ154" s="1151"/>
      <c r="BA154" s="183"/>
      <c r="BB154" s="1202" t="s">
        <v>2224</v>
      </c>
      <c r="BC154" s="1177" t="str">
        <f t="shared" si="102"/>
        <v/>
      </c>
      <c r="BD154" s="1151"/>
      <c r="BE154" s="1179">
        <f t="shared" si="103"/>
        <v>0</v>
      </c>
      <c r="BF154" s="1151"/>
      <c r="BG154" s="1151"/>
      <c r="BH154" s="1151"/>
      <c r="BI154" s="1151"/>
      <c r="BJ154" s="1151"/>
      <c r="BK154" s="183"/>
      <c r="BL154" s="1202" t="s">
        <v>2224</v>
      </c>
      <c r="BM154" s="480"/>
      <c r="BN154" s="480"/>
      <c r="BO154" s="480"/>
      <c r="BP154" s="480"/>
      <c r="BQ154" s="480"/>
      <c r="BR154" s="480"/>
      <c r="BS154" s="480"/>
      <c r="BT154" s="480"/>
      <c r="BU154" s="487"/>
      <c r="BV154" s="1202" t="s">
        <v>2224</v>
      </c>
      <c r="BW154" s="1109"/>
      <c r="BX154" s="1109"/>
      <c r="BY154" s="1109"/>
      <c r="BZ154" s="1109"/>
      <c r="CA154" s="1109"/>
      <c r="CB154" s="1109"/>
      <c r="CC154" s="1109"/>
      <c r="CD154" s="1109"/>
      <c r="CE154" s="380"/>
    </row>
    <row r="155" spans="1:83" s="383" customFormat="1">
      <c r="A155" s="291" t="b">
        <v>0</v>
      </c>
      <c r="B155" s="291" t="s">
        <v>2244</v>
      </c>
      <c r="C155" s="291" t="b">
        <f t="shared" si="104"/>
        <v>1</v>
      </c>
      <c r="D155" s="388" t="str">
        <f>IF(C155=FALSE=NAMES!$B$8,"",IF(L155="N/A","N/A",O155&amp;N155&amp;L155&amp;"-"&amp;M155))</f>
        <v/>
      </c>
      <c r="E155" s="392" t="str">
        <f t="shared" si="86"/>
        <v>2015EURAIG Luxembourg-Prestige Plus</v>
      </c>
      <c r="F155" s="1236" t="str">
        <f t="shared" si="87"/>
        <v>2015EURAIG Luxembourg-Healthcare PlanPrestige Plus</v>
      </c>
      <c r="G155" s="1240" t="str">
        <f t="shared" si="88"/>
        <v>2015EURAIG Luxembourg-Assistance and RepatriationPrestige Plus</v>
      </c>
      <c r="H155" s="1240" t="str">
        <f t="shared" si="89"/>
        <v>N/A</v>
      </c>
      <c r="I155" s="1240" t="str">
        <f t="shared" si="90"/>
        <v>N/A</v>
      </c>
      <c r="J155" s="1240" t="str">
        <f t="shared" si="91"/>
        <v>N/A</v>
      </c>
      <c r="K155" s="1240" t="str">
        <f t="shared" si="92"/>
        <v>N/A</v>
      </c>
      <c r="L155" s="392" t="s">
        <v>4</v>
      </c>
      <c r="M155" s="392" t="s">
        <v>2079</v>
      </c>
      <c r="N155" s="392" t="s">
        <v>32</v>
      </c>
      <c r="O155" s="376">
        <v>2015</v>
      </c>
      <c r="P155" s="376" t="s">
        <v>26</v>
      </c>
      <c r="Q155" s="376" t="s">
        <v>1</v>
      </c>
      <c r="R155" s="378">
        <v>35</v>
      </c>
      <c r="S155" s="392" t="s">
        <v>2213</v>
      </c>
      <c r="T155" s="392"/>
      <c r="U155" s="392"/>
      <c r="V155" s="382">
        <v>365</v>
      </c>
      <c r="W155" s="1228">
        <f t="shared" si="93"/>
        <v>1353.8492307692306</v>
      </c>
      <c r="X155" s="197" t="s">
        <v>3</v>
      </c>
      <c r="Y155" s="1188">
        <f t="shared" si="94"/>
        <v>791.82692307692309</v>
      </c>
      <c r="Z155" s="377">
        <v>0.25</v>
      </c>
      <c r="AA155" s="1189">
        <f t="shared" si="95"/>
        <v>1055.7692307692307</v>
      </c>
      <c r="AB155" s="377">
        <v>0</v>
      </c>
      <c r="AC155" s="378">
        <v>0</v>
      </c>
      <c r="AD155" s="1100">
        <f t="shared" si="97"/>
        <v>1055.7692307692307</v>
      </c>
      <c r="AE155" s="377">
        <v>0.04</v>
      </c>
      <c r="AF155" s="370">
        <f t="shared" si="98"/>
        <v>42.230769230769226</v>
      </c>
      <c r="AG155" s="1216">
        <v>1098</v>
      </c>
      <c r="AH155" s="1215" t="s">
        <v>5</v>
      </c>
      <c r="AI155" s="1177">
        <f t="shared" si="99"/>
        <v>223.56</v>
      </c>
      <c r="AJ155" s="1175">
        <v>0.25</v>
      </c>
      <c r="AK155" s="1179">
        <f t="shared" si="96"/>
        <v>298.08</v>
      </c>
      <c r="AL155" s="1175">
        <v>0</v>
      </c>
      <c r="AM155" s="1174">
        <v>0</v>
      </c>
      <c r="AN155" s="1180"/>
      <c r="AO155" s="1175">
        <v>0.04</v>
      </c>
      <c r="AP155" s="1175"/>
      <c r="AQ155" s="1204">
        <v>310.00319999999999</v>
      </c>
      <c r="AR155" s="1202" t="s">
        <v>2224</v>
      </c>
      <c r="AS155" s="1177" t="str">
        <f t="shared" si="100"/>
        <v/>
      </c>
      <c r="AT155" s="1151"/>
      <c r="AU155" s="1179">
        <f t="shared" si="101"/>
        <v>0</v>
      </c>
      <c r="AV155" s="1151"/>
      <c r="AW155" s="1151"/>
      <c r="AX155" s="1151"/>
      <c r="AY155" s="1151"/>
      <c r="AZ155" s="1151"/>
      <c r="BA155" s="183"/>
      <c r="BB155" s="1202" t="s">
        <v>2224</v>
      </c>
      <c r="BC155" s="1177" t="str">
        <f t="shared" si="102"/>
        <v/>
      </c>
      <c r="BD155" s="1151"/>
      <c r="BE155" s="1179">
        <f t="shared" si="103"/>
        <v>0</v>
      </c>
      <c r="BF155" s="1151"/>
      <c r="BG155" s="1151"/>
      <c r="BH155" s="1151"/>
      <c r="BI155" s="1151"/>
      <c r="BJ155" s="1151"/>
      <c r="BK155" s="183"/>
      <c r="BL155" s="1202" t="s">
        <v>2224</v>
      </c>
      <c r="BM155" s="1151"/>
      <c r="BN155" s="1151"/>
      <c r="BO155" s="1151"/>
      <c r="BP155" s="1151"/>
      <c r="BQ155" s="1151"/>
      <c r="BR155" s="1151"/>
      <c r="BS155" s="1151"/>
      <c r="BT155" s="1151"/>
      <c r="BU155" s="183"/>
      <c r="BV155" s="1202" t="s">
        <v>2224</v>
      </c>
      <c r="BW155" s="1109"/>
      <c r="BX155" s="1109"/>
      <c r="BY155" s="1109"/>
      <c r="BZ155" s="1109"/>
      <c r="CA155" s="1109"/>
      <c r="CB155" s="1109"/>
      <c r="CC155" s="1109"/>
      <c r="CD155" s="1109"/>
      <c r="CE155" s="380"/>
    </row>
    <row r="156" spans="1:83" s="383" customFormat="1">
      <c r="A156" s="197" t="b">
        <v>0</v>
      </c>
      <c r="B156" s="197" t="s">
        <v>2244</v>
      </c>
      <c r="C156" s="197" t="b">
        <f t="shared" si="104"/>
        <v>1</v>
      </c>
      <c r="D156" s="388" t="str">
        <f>IF(C156=FALSE=NAMES!$B$8,"",IF(L156="N/A","N/A",O156&amp;N156&amp;L156&amp;"-"&amp;M156))</f>
        <v/>
      </c>
      <c r="E156" s="392" t="str">
        <f t="shared" si="86"/>
        <v>2015EURAIG Luxembourg-Prestige S</v>
      </c>
      <c r="F156" s="1236" t="str">
        <f t="shared" si="87"/>
        <v>2015EURAIG Luxembourg-Healthcare PlanPrestige S</v>
      </c>
      <c r="G156" s="1240" t="str">
        <f t="shared" si="88"/>
        <v>2015EURAIG Luxembourg-Assistance and RepatriationPrestige S</v>
      </c>
      <c r="H156" s="1240" t="str">
        <f t="shared" si="89"/>
        <v>N/A</v>
      </c>
      <c r="I156" s="1240" t="str">
        <f t="shared" si="90"/>
        <v>N/A</v>
      </c>
      <c r="J156" s="1240" t="str">
        <f t="shared" si="91"/>
        <v>N/A</v>
      </c>
      <c r="K156" s="1240" t="str">
        <f t="shared" si="92"/>
        <v>N/A</v>
      </c>
      <c r="L156" s="392" t="s">
        <v>4</v>
      </c>
      <c r="M156" s="392" t="s">
        <v>2068</v>
      </c>
      <c r="N156" s="392" t="s">
        <v>32</v>
      </c>
      <c r="O156" s="376">
        <v>2015</v>
      </c>
      <c r="P156" s="376" t="s">
        <v>26</v>
      </c>
      <c r="Q156" s="376" t="s">
        <v>1</v>
      </c>
      <c r="R156" s="378">
        <v>10</v>
      </c>
      <c r="S156" s="392" t="s">
        <v>2213</v>
      </c>
      <c r="T156" s="392"/>
      <c r="U156" s="392"/>
      <c r="V156" s="382">
        <v>365</v>
      </c>
      <c r="W156" s="1228">
        <f t="shared" si="93"/>
        <v>1228.8461538461538</v>
      </c>
      <c r="X156" s="197" t="s">
        <v>3</v>
      </c>
      <c r="Y156" s="1188">
        <f t="shared" si="94"/>
        <v>791.82692307692309</v>
      </c>
      <c r="Z156" s="377">
        <v>0.25</v>
      </c>
      <c r="AA156" s="1189">
        <f t="shared" si="95"/>
        <v>1055.7692307692307</v>
      </c>
      <c r="AB156" s="377">
        <v>0</v>
      </c>
      <c r="AC156" s="378">
        <v>0</v>
      </c>
      <c r="AD156" s="1100">
        <f t="shared" si="97"/>
        <v>1055.7692307692307</v>
      </c>
      <c r="AE156" s="377">
        <v>0.04</v>
      </c>
      <c r="AF156" s="370">
        <f t="shared" si="98"/>
        <v>42.230769230769226</v>
      </c>
      <c r="AG156" s="1216">
        <v>1098</v>
      </c>
      <c r="AH156" s="1215" t="s">
        <v>5</v>
      </c>
      <c r="AI156" s="1177">
        <f t="shared" si="99"/>
        <v>129.80769230769229</v>
      </c>
      <c r="AJ156" s="1175">
        <v>0.25</v>
      </c>
      <c r="AK156" s="1179">
        <f t="shared" si="96"/>
        <v>173.07692307692307</v>
      </c>
      <c r="AL156" s="1175">
        <v>0</v>
      </c>
      <c r="AM156" s="1174">
        <v>0</v>
      </c>
      <c r="AN156" s="1180"/>
      <c r="AO156" s="1175">
        <v>0.04</v>
      </c>
      <c r="AP156" s="1175"/>
      <c r="AQ156" s="1204">
        <v>180</v>
      </c>
      <c r="AR156" s="1202" t="s">
        <v>2224</v>
      </c>
      <c r="AS156" s="1177" t="str">
        <f t="shared" si="100"/>
        <v/>
      </c>
      <c r="AT156" s="1151"/>
      <c r="AU156" s="1179">
        <f t="shared" si="101"/>
        <v>0</v>
      </c>
      <c r="AV156" s="1151"/>
      <c r="AW156" s="1151"/>
      <c r="AX156" s="1151"/>
      <c r="AY156" s="1151"/>
      <c r="AZ156" s="1151"/>
      <c r="BA156" s="183"/>
      <c r="BB156" s="1202" t="s">
        <v>2224</v>
      </c>
      <c r="BC156" s="1177" t="str">
        <f t="shared" si="102"/>
        <v/>
      </c>
      <c r="BD156" s="1151"/>
      <c r="BE156" s="1179">
        <f t="shared" si="103"/>
        <v>0</v>
      </c>
      <c r="BF156" s="1151"/>
      <c r="BG156" s="1151"/>
      <c r="BH156" s="1151"/>
      <c r="BI156" s="1151"/>
      <c r="BJ156" s="1151"/>
      <c r="BK156" s="183"/>
      <c r="BL156" s="1202" t="s">
        <v>2224</v>
      </c>
      <c r="BM156" s="1109"/>
      <c r="BN156" s="1109"/>
      <c r="BO156" s="1109"/>
      <c r="BP156" s="1109"/>
      <c r="BQ156" s="1109"/>
      <c r="BR156" s="1109"/>
      <c r="BS156" s="1109"/>
      <c r="BT156" s="1109"/>
      <c r="BU156" s="380"/>
      <c r="BV156" s="1202" t="s">
        <v>2224</v>
      </c>
      <c r="BW156" s="1109"/>
      <c r="BX156" s="1109"/>
      <c r="BY156" s="1109"/>
      <c r="BZ156" s="1109"/>
      <c r="CA156" s="1109"/>
      <c r="CB156" s="1109"/>
      <c r="CC156" s="1109"/>
      <c r="CD156" s="1109"/>
      <c r="CE156" s="380"/>
    </row>
    <row r="157" spans="1:83" s="383" customFormat="1">
      <c r="A157" s="197" t="b">
        <v>0</v>
      </c>
      <c r="B157" s="197" t="s">
        <v>2244</v>
      </c>
      <c r="C157" s="197" t="b">
        <f t="shared" si="104"/>
        <v>1</v>
      </c>
      <c r="D157" s="388" t="str">
        <f>IF(C157=FALSE=NAMES!$B$8,"",IF(L157="N/A","N/A",O157&amp;N157&amp;L157&amp;"-"&amp;M157))</f>
        <v/>
      </c>
      <c r="E157" s="392" t="str">
        <f t="shared" si="86"/>
        <v>2015EURAllianz-Privilege 100</v>
      </c>
      <c r="F157" s="1236" t="str">
        <f t="shared" si="87"/>
        <v>2015EURAllianz-Healthcare PlanPrivilege 100</v>
      </c>
      <c r="G157" s="1240" t="str">
        <f t="shared" si="88"/>
        <v>2015EURAllianz-Assistance and RepatriationPrivilege 100</v>
      </c>
      <c r="H157" s="1240" t="str">
        <f t="shared" si="89"/>
        <v>N/A</v>
      </c>
      <c r="I157" s="1240" t="str">
        <f t="shared" si="90"/>
        <v>N/A</v>
      </c>
      <c r="J157" s="1240" t="str">
        <f t="shared" si="91"/>
        <v>N/A</v>
      </c>
      <c r="K157" s="1240" t="str">
        <f t="shared" si="92"/>
        <v>N/A</v>
      </c>
      <c r="L157" s="392" t="s">
        <v>2119</v>
      </c>
      <c r="M157" s="392" t="s">
        <v>2120</v>
      </c>
      <c r="N157" s="392" t="s">
        <v>32</v>
      </c>
      <c r="O157" s="376">
        <v>2015</v>
      </c>
      <c r="P157" s="376" t="s">
        <v>26</v>
      </c>
      <c r="Q157" s="376" t="s">
        <v>1</v>
      </c>
      <c r="R157" s="378"/>
      <c r="S157" s="392" t="s">
        <v>2213</v>
      </c>
      <c r="T157" s="392"/>
      <c r="U157" s="392"/>
      <c r="V157" s="382">
        <v>365</v>
      </c>
      <c r="W157" s="1228">
        <f t="shared" si="93"/>
        <v>3050.9615384615386</v>
      </c>
      <c r="X157" s="197" t="s">
        <v>3</v>
      </c>
      <c r="Y157" s="1188">
        <f t="shared" si="94"/>
        <v>2288.2211538461538</v>
      </c>
      <c r="Z157" s="377">
        <v>0.25</v>
      </c>
      <c r="AA157" s="1189">
        <f t="shared" si="95"/>
        <v>3050.9615384615386</v>
      </c>
      <c r="AB157" s="377">
        <v>0</v>
      </c>
      <c r="AC157" s="378">
        <v>0</v>
      </c>
      <c r="AD157" s="1100">
        <f t="shared" si="97"/>
        <v>3050.9615384615386</v>
      </c>
      <c r="AE157" s="377">
        <v>0.04</v>
      </c>
      <c r="AF157" s="370">
        <f t="shared" si="98"/>
        <v>122.03846153846155</v>
      </c>
      <c r="AG157" s="1216">
        <v>3173</v>
      </c>
      <c r="AH157" s="1215" t="s">
        <v>5</v>
      </c>
      <c r="AI157" s="1177">
        <f t="shared" si="99"/>
        <v>0</v>
      </c>
      <c r="AJ157" s="378"/>
      <c r="AK157" s="1179">
        <f t="shared" si="96"/>
        <v>0</v>
      </c>
      <c r="AL157" s="378"/>
      <c r="AM157" s="378"/>
      <c r="AN157" s="378"/>
      <c r="AO157" s="378"/>
      <c r="AP157" s="378"/>
      <c r="AQ157" s="1216"/>
      <c r="AR157" s="1202" t="s">
        <v>2224</v>
      </c>
      <c r="AS157" s="1177" t="str">
        <f t="shared" si="100"/>
        <v/>
      </c>
      <c r="AT157" s="1151"/>
      <c r="AU157" s="1179">
        <f t="shared" si="101"/>
        <v>0</v>
      </c>
      <c r="AV157" s="1151"/>
      <c r="AW157" s="1151"/>
      <c r="AX157" s="1151"/>
      <c r="AY157" s="1151"/>
      <c r="AZ157" s="1151"/>
      <c r="BA157" s="183"/>
      <c r="BB157" s="1202" t="s">
        <v>2224</v>
      </c>
      <c r="BC157" s="1177" t="str">
        <f t="shared" si="102"/>
        <v/>
      </c>
      <c r="BD157" s="1151"/>
      <c r="BE157" s="1179">
        <f t="shared" si="103"/>
        <v>0</v>
      </c>
      <c r="BF157" s="1151"/>
      <c r="BG157" s="1151"/>
      <c r="BH157" s="1151"/>
      <c r="BI157" s="1151"/>
      <c r="BJ157" s="1151"/>
      <c r="BK157" s="183"/>
      <c r="BL157" s="1202" t="s">
        <v>2224</v>
      </c>
      <c r="BM157" s="1109"/>
      <c r="BN157" s="1109"/>
      <c r="BO157" s="1109"/>
      <c r="BP157" s="1109"/>
      <c r="BQ157" s="1109"/>
      <c r="BR157" s="1109"/>
      <c r="BS157" s="1109"/>
      <c r="BT157" s="1109"/>
      <c r="BU157" s="380"/>
      <c r="BV157" s="1202" t="s">
        <v>2224</v>
      </c>
      <c r="BW157" s="1109"/>
      <c r="BX157" s="1109"/>
      <c r="BY157" s="1109"/>
      <c r="BZ157" s="1109"/>
      <c r="CA157" s="1109"/>
      <c r="CB157" s="1109"/>
      <c r="CC157" s="1109"/>
      <c r="CD157" s="1109"/>
      <c r="CE157" s="380"/>
    </row>
    <row r="158" spans="1:83" s="383" customFormat="1">
      <c r="A158" s="197" t="b">
        <v>0</v>
      </c>
      <c r="B158" s="197" t="s">
        <v>2244</v>
      </c>
      <c r="C158" s="197" t="b">
        <f t="shared" si="104"/>
        <v>1</v>
      </c>
      <c r="D158" s="388" t="str">
        <f>IF(C158=FALSE=NAMES!$B$8,"",IF(L158="N/A","N/A",O158&amp;N158&amp;L158&amp;"-"&amp;M158))</f>
        <v/>
      </c>
      <c r="E158" s="392" t="str">
        <f t="shared" si="86"/>
        <v>2015EURAllianz-Privilege 100</v>
      </c>
      <c r="F158" s="1236" t="str">
        <f t="shared" si="87"/>
        <v>2015EURAllianz-Healthcare PlanPrivilege 100</v>
      </c>
      <c r="G158" s="1240" t="str">
        <f t="shared" si="88"/>
        <v>2015EURAllianz-Assistance and RepatriationPrivilege 100</v>
      </c>
      <c r="H158" s="1240" t="str">
        <f t="shared" si="89"/>
        <v>N/A</v>
      </c>
      <c r="I158" s="1240" t="str">
        <f t="shared" si="90"/>
        <v>N/A</v>
      </c>
      <c r="J158" s="1240" t="str">
        <f t="shared" si="91"/>
        <v>N/A</v>
      </c>
      <c r="K158" s="1240" t="str">
        <f t="shared" si="92"/>
        <v>N/A</v>
      </c>
      <c r="L158" s="392" t="s">
        <v>2119</v>
      </c>
      <c r="M158" s="392" t="s">
        <v>2120</v>
      </c>
      <c r="N158" s="392" t="s">
        <v>32</v>
      </c>
      <c r="O158" s="376">
        <v>2015</v>
      </c>
      <c r="P158" s="376" t="s">
        <v>26</v>
      </c>
      <c r="Q158" s="376" t="s">
        <v>1</v>
      </c>
      <c r="R158" s="378"/>
      <c r="S158" s="392" t="s">
        <v>2214</v>
      </c>
      <c r="T158" s="392"/>
      <c r="U158" s="392"/>
      <c r="V158" s="382">
        <v>365</v>
      </c>
      <c r="W158" s="1228">
        <f t="shared" si="93"/>
        <v>7486.538461538461</v>
      </c>
      <c r="X158" s="197" t="s">
        <v>3</v>
      </c>
      <c r="Y158" s="1188">
        <f t="shared" si="94"/>
        <v>5614.9038461538457</v>
      </c>
      <c r="Z158" s="377">
        <v>0.25</v>
      </c>
      <c r="AA158" s="1189">
        <f t="shared" si="95"/>
        <v>7486.538461538461</v>
      </c>
      <c r="AB158" s="377">
        <v>0</v>
      </c>
      <c r="AC158" s="378">
        <v>0</v>
      </c>
      <c r="AD158" s="1100">
        <f t="shared" si="97"/>
        <v>7486.538461538461</v>
      </c>
      <c r="AE158" s="377">
        <v>0.04</v>
      </c>
      <c r="AF158" s="370">
        <f t="shared" si="98"/>
        <v>299.46153846153845</v>
      </c>
      <c r="AG158" s="1216">
        <v>7786</v>
      </c>
      <c r="AH158" s="1215" t="s">
        <v>5</v>
      </c>
      <c r="AI158" s="1177">
        <f t="shared" si="99"/>
        <v>0</v>
      </c>
      <c r="AJ158" s="378"/>
      <c r="AK158" s="1179">
        <f t="shared" si="96"/>
        <v>0</v>
      </c>
      <c r="AL158" s="378"/>
      <c r="AM158" s="378"/>
      <c r="AN158" s="378"/>
      <c r="AO158" s="378"/>
      <c r="AP158" s="378"/>
      <c r="AQ158" s="1216"/>
      <c r="AR158" s="1202" t="s">
        <v>2224</v>
      </c>
      <c r="AS158" s="1177" t="str">
        <f t="shared" si="100"/>
        <v/>
      </c>
      <c r="AT158" s="1151"/>
      <c r="AU158" s="1179">
        <f t="shared" si="101"/>
        <v>0</v>
      </c>
      <c r="AV158" s="1151"/>
      <c r="AW158" s="1151"/>
      <c r="AX158" s="1151"/>
      <c r="AY158" s="1151"/>
      <c r="AZ158" s="1151"/>
      <c r="BA158" s="183"/>
      <c r="BB158" s="1202" t="s">
        <v>2224</v>
      </c>
      <c r="BC158" s="1177" t="str">
        <f t="shared" si="102"/>
        <v/>
      </c>
      <c r="BD158" s="1151"/>
      <c r="BE158" s="1179">
        <f t="shared" si="103"/>
        <v>0</v>
      </c>
      <c r="BF158" s="1151"/>
      <c r="BG158" s="1151"/>
      <c r="BH158" s="1151"/>
      <c r="BI158" s="1151"/>
      <c r="BJ158" s="1151"/>
      <c r="BK158" s="183"/>
      <c r="BL158" s="1202" t="s">
        <v>2224</v>
      </c>
      <c r="BM158" s="1109"/>
      <c r="BN158" s="1109"/>
      <c r="BO158" s="1109"/>
      <c r="BP158" s="1109"/>
      <c r="BQ158" s="1109"/>
      <c r="BR158" s="1109"/>
      <c r="BS158" s="1109"/>
      <c r="BT158" s="1109"/>
      <c r="BU158" s="380"/>
      <c r="BV158" s="1202" t="s">
        <v>2224</v>
      </c>
      <c r="BW158" s="1109"/>
      <c r="BX158" s="1109"/>
      <c r="BY158" s="1109"/>
      <c r="BZ158" s="1109"/>
      <c r="CA158" s="1109"/>
      <c r="CB158" s="1109"/>
      <c r="CC158" s="1109"/>
      <c r="CD158" s="1109"/>
      <c r="CE158" s="380"/>
    </row>
    <row r="159" spans="1:83" s="383" customFormat="1">
      <c r="A159" s="291" t="b">
        <v>0</v>
      </c>
      <c r="B159" s="291" t="s">
        <v>2244</v>
      </c>
      <c r="C159" s="291" t="b">
        <f t="shared" si="104"/>
        <v>1</v>
      </c>
      <c r="D159" s="388" t="str">
        <f>IF(C159=FALSE=NAMES!$B$8,"",IF(L159="N/A","N/A",O159&amp;N159&amp;L159&amp;"-"&amp;M159))</f>
        <v/>
      </c>
      <c r="E159" s="392" t="str">
        <f t="shared" si="86"/>
        <v>2015EURAnker Verzekeringen n.v.-Medical Excellent and Homeland</v>
      </c>
      <c r="F159" s="1236" t="str">
        <f t="shared" si="87"/>
        <v>2015EURAnker Verzekeringen n.v.-Healthcare PlanMedical Excellent and Homeland</v>
      </c>
      <c r="G159" s="1240" t="str">
        <f t="shared" si="88"/>
        <v>2015EURAnker Verzekeringen n.v.-Assistance and RepatriationMedical Excellent and Homeland</v>
      </c>
      <c r="H159" s="1240" t="str">
        <f t="shared" si="89"/>
        <v>N/A</v>
      </c>
      <c r="I159" s="1240" t="str">
        <f t="shared" si="90"/>
        <v>N/A</v>
      </c>
      <c r="J159" s="1240" t="str">
        <f t="shared" si="91"/>
        <v>N/A</v>
      </c>
      <c r="K159" s="1240" t="str">
        <f t="shared" si="92"/>
        <v>N/A</v>
      </c>
      <c r="L159" s="392" t="s">
        <v>7</v>
      </c>
      <c r="M159" s="392" t="s">
        <v>2121</v>
      </c>
      <c r="N159" s="392" t="s">
        <v>32</v>
      </c>
      <c r="O159" s="376">
        <v>2015</v>
      </c>
      <c r="P159" s="376" t="s">
        <v>2234</v>
      </c>
      <c r="Q159" s="376" t="s">
        <v>1</v>
      </c>
      <c r="R159" s="372"/>
      <c r="S159" s="392" t="s">
        <v>2213</v>
      </c>
      <c r="T159" s="392"/>
      <c r="U159" s="392"/>
      <c r="V159" s="382">
        <v>365</v>
      </c>
      <c r="W159" s="1228">
        <f t="shared" si="93"/>
        <v>1008.0275961538462</v>
      </c>
      <c r="X159" s="197" t="s">
        <v>3</v>
      </c>
      <c r="Y159" s="1188">
        <f t="shared" si="94"/>
        <v>647.16616105769231</v>
      </c>
      <c r="Z159" s="377">
        <v>0.27500000000000002</v>
      </c>
      <c r="AA159" s="1189">
        <f t="shared" si="95"/>
        <v>892.6429807692308</v>
      </c>
      <c r="AB159" s="377">
        <v>0</v>
      </c>
      <c r="AC159" s="378">
        <v>0</v>
      </c>
      <c r="AD159" s="1100">
        <f t="shared" si="97"/>
        <v>892.6429807692308</v>
      </c>
      <c r="AE159" s="377">
        <v>0.04</v>
      </c>
      <c r="AF159" s="370">
        <f t="shared" si="98"/>
        <v>35.705719230769233</v>
      </c>
      <c r="AG159" s="1220">
        <v>928.34870000000001</v>
      </c>
      <c r="AH159" s="1215" t="s">
        <v>5</v>
      </c>
      <c r="AI159" s="1177">
        <f t="shared" ref="AI159:AI169" si="105">IF(AH159="N/A","",AK159*(1-AJ159))</f>
        <v>83.653846153846146</v>
      </c>
      <c r="AJ159" s="1175">
        <v>0.27500000000000002</v>
      </c>
      <c r="AK159" s="1179">
        <f t="shared" si="96"/>
        <v>115.38461538461539</v>
      </c>
      <c r="AL159" s="1175">
        <v>0</v>
      </c>
      <c r="AM159" s="1174">
        <v>0</v>
      </c>
      <c r="AN159" s="1180"/>
      <c r="AO159" s="1175">
        <v>0.04</v>
      </c>
      <c r="AP159" s="1175"/>
      <c r="AQ159" s="1204">
        <v>120</v>
      </c>
      <c r="AR159" s="1202" t="s">
        <v>2224</v>
      </c>
      <c r="AS159" s="1177" t="str">
        <f t="shared" si="100"/>
        <v/>
      </c>
      <c r="AT159" s="1151"/>
      <c r="AU159" s="1179">
        <f t="shared" si="101"/>
        <v>0</v>
      </c>
      <c r="AV159" s="1151"/>
      <c r="AW159" s="1151"/>
      <c r="AX159" s="1151"/>
      <c r="AY159" s="1151"/>
      <c r="AZ159" s="1151"/>
      <c r="BA159" s="183"/>
      <c r="BB159" s="1202" t="s">
        <v>2224</v>
      </c>
      <c r="BC159" s="1177" t="str">
        <f t="shared" si="102"/>
        <v/>
      </c>
      <c r="BD159" s="1151"/>
      <c r="BE159" s="1179">
        <f t="shared" si="103"/>
        <v>0</v>
      </c>
      <c r="BF159" s="1151"/>
      <c r="BG159" s="1151"/>
      <c r="BH159" s="1151"/>
      <c r="BI159" s="1151"/>
      <c r="BJ159" s="1151"/>
      <c r="BK159" s="183"/>
      <c r="BL159" s="1202" t="s">
        <v>2224</v>
      </c>
      <c r="BM159" s="1151"/>
      <c r="BN159" s="1151"/>
      <c r="BO159" s="1151"/>
      <c r="BP159" s="1151"/>
      <c r="BQ159" s="1151"/>
      <c r="BR159" s="1151"/>
      <c r="BS159" s="1151"/>
      <c r="BT159" s="1151"/>
      <c r="BU159" s="183"/>
      <c r="BV159" s="1202" t="s">
        <v>2224</v>
      </c>
      <c r="BW159" s="1109"/>
      <c r="BX159" s="1109"/>
      <c r="BY159" s="1109"/>
      <c r="BZ159" s="1109"/>
      <c r="CA159" s="1109"/>
      <c r="CB159" s="1109"/>
      <c r="CC159" s="1109"/>
      <c r="CD159" s="1109"/>
      <c r="CE159" s="380"/>
    </row>
    <row r="160" spans="1:83" s="375" customFormat="1">
      <c r="A160" s="291" t="b">
        <v>0</v>
      </c>
      <c r="B160" s="291" t="s">
        <v>2244</v>
      </c>
      <c r="C160" s="291" t="b">
        <f t="shared" si="84"/>
        <v>1</v>
      </c>
      <c r="D160" s="388" t="str">
        <f>IF(C160=FALSE=NAMES!$B$8,"",IF(L160="N/A","N/A",O160&amp;N160&amp;L160&amp;"-"&amp;M160))</f>
        <v/>
      </c>
      <c r="E160" s="392" t="str">
        <f t="shared" si="86"/>
        <v>N/A</v>
      </c>
      <c r="F160" s="1236" t="str">
        <f t="shared" si="87"/>
        <v>N/A</v>
      </c>
      <c r="G160" s="1240" t="str">
        <f t="shared" si="88"/>
        <v>N/A</v>
      </c>
      <c r="H160" s="1240" t="str">
        <f t="shared" si="89"/>
        <v>N/A</v>
      </c>
      <c r="I160" s="1240" t="str">
        <f t="shared" si="90"/>
        <v>N/A</v>
      </c>
      <c r="J160" s="1240" t="str">
        <f t="shared" si="91"/>
        <v>N/A</v>
      </c>
      <c r="K160" s="1240" t="str">
        <f t="shared" si="92"/>
        <v>N/A</v>
      </c>
      <c r="L160" s="389" t="s">
        <v>2224</v>
      </c>
      <c r="M160" s="382"/>
      <c r="N160" s="382"/>
      <c r="O160" s="382"/>
      <c r="P160" s="382"/>
      <c r="Q160" s="382"/>
      <c r="R160" s="370"/>
      <c r="S160" s="392"/>
      <c r="T160" s="392"/>
      <c r="U160" s="392"/>
      <c r="V160" s="382"/>
      <c r="W160" s="1228" t="str">
        <f t="shared" si="93"/>
        <v/>
      </c>
      <c r="X160" s="388" t="s">
        <v>2224</v>
      </c>
      <c r="Y160" s="1188" t="str">
        <f t="shared" si="94"/>
        <v/>
      </c>
      <c r="Z160" s="377"/>
      <c r="AA160" s="1189" t="str">
        <f t="shared" si="95"/>
        <v/>
      </c>
      <c r="AB160" s="377">
        <v>0</v>
      </c>
      <c r="AC160" s="370"/>
      <c r="AD160" s="1100" t="str">
        <f t="shared" si="97"/>
        <v/>
      </c>
      <c r="AE160" s="377"/>
      <c r="AF160" s="377"/>
      <c r="AG160" s="1223"/>
      <c r="AH160" s="1202" t="s">
        <v>2224</v>
      </c>
      <c r="AI160" s="1177" t="str">
        <f t="shared" si="105"/>
        <v/>
      </c>
      <c r="AJ160" s="378"/>
      <c r="AK160" s="1179" t="str">
        <f t="shared" si="96"/>
        <v/>
      </c>
      <c r="AL160" s="378"/>
      <c r="AM160" s="378"/>
      <c r="AN160" s="378"/>
      <c r="AO160" s="378"/>
      <c r="AP160" s="378"/>
      <c r="AQ160" s="1216"/>
      <c r="AR160" s="1202" t="s">
        <v>2224</v>
      </c>
      <c r="AS160" s="1177" t="str">
        <f t="shared" si="100"/>
        <v/>
      </c>
      <c r="AT160" s="1151"/>
      <c r="AU160" s="1179">
        <f t="shared" si="101"/>
        <v>0</v>
      </c>
      <c r="AV160" s="1151"/>
      <c r="AW160" s="1151"/>
      <c r="AX160" s="1151"/>
      <c r="AY160" s="1151"/>
      <c r="AZ160" s="1151"/>
      <c r="BA160" s="183"/>
      <c r="BB160" s="1202" t="s">
        <v>2224</v>
      </c>
      <c r="BC160" s="1177" t="str">
        <f t="shared" si="102"/>
        <v/>
      </c>
      <c r="BD160" s="1151"/>
      <c r="BE160" s="1179">
        <f t="shared" si="103"/>
        <v>0</v>
      </c>
      <c r="BF160" s="1151"/>
      <c r="BG160" s="1151"/>
      <c r="BH160" s="1151"/>
      <c r="BI160" s="1151"/>
      <c r="BJ160" s="1151"/>
      <c r="BK160" s="183"/>
      <c r="BL160" s="1202" t="s">
        <v>2224</v>
      </c>
      <c r="BM160" s="1151"/>
      <c r="BN160" s="1151"/>
      <c r="BO160" s="1151"/>
      <c r="BP160" s="1151"/>
      <c r="BQ160" s="1151"/>
      <c r="BR160" s="1151"/>
      <c r="BS160" s="1151"/>
      <c r="BT160" s="1151"/>
      <c r="BU160" s="183"/>
      <c r="BV160" s="1202" t="s">
        <v>2224</v>
      </c>
      <c r="BW160" s="1151"/>
      <c r="BX160" s="1151"/>
      <c r="BY160" s="1151"/>
      <c r="BZ160" s="1151"/>
      <c r="CA160" s="1151"/>
      <c r="CB160" s="1151"/>
      <c r="CC160" s="1151"/>
      <c r="CD160" s="1151"/>
      <c r="CE160" s="183"/>
    </row>
    <row r="161" spans="1:83" s="375" customFormat="1">
      <c r="A161" s="291" t="b">
        <v>0</v>
      </c>
      <c r="B161" s="291" t="s">
        <v>2244</v>
      </c>
      <c r="C161" s="291" t="b">
        <f t="shared" ref="C161:C170" si="106">IF(B161="N/A","",IF(B161="newRates",FALSE,TRUE))</f>
        <v>1</v>
      </c>
      <c r="D161" s="388" t="str">
        <f>IF(C161=FALSE=NAMES!$B$8,"",IF(L161="N/A","N/A",O161&amp;N161&amp;L161&amp;"-"&amp;M161))</f>
        <v/>
      </c>
      <c r="E161" s="392" t="str">
        <f t="shared" si="86"/>
        <v>2014USDAIG Luxembourg-Comfort</v>
      </c>
      <c r="F161" s="1236" t="str">
        <f t="shared" si="87"/>
        <v>2014USDAIG Luxembourg-Healthcare PlanComfort</v>
      </c>
      <c r="G161" s="1240" t="str">
        <f t="shared" si="88"/>
        <v>2014USDAIG Luxembourg-Assistance and RepatriationComfort</v>
      </c>
      <c r="H161" s="1240" t="str">
        <f t="shared" si="89"/>
        <v>N/A</v>
      </c>
      <c r="I161" s="1240" t="str">
        <f t="shared" si="90"/>
        <v>N/A</v>
      </c>
      <c r="J161" s="1240" t="str">
        <f t="shared" si="91"/>
        <v>N/A</v>
      </c>
      <c r="K161" s="1240" t="str">
        <f t="shared" si="92"/>
        <v>N/A</v>
      </c>
      <c r="L161" s="392" t="s">
        <v>4</v>
      </c>
      <c r="M161" s="392" t="s">
        <v>2116</v>
      </c>
      <c r="N161" s="392" t="s">
        <v>87</v>
      </c>
      <c r="O161" s="376">
        <v>2014</v>
      </c>
      <c r="P161" s="376" t="s">
        <v>26</v>
      </c>
      <c r="Q161" s="376" t="s">
        <v>1</v>
      </c>
      <c r="R161" s="378">
        <v>65</v>
      </c>
      <c r="S161" s="392" t="s">
        <v>2213</v>
      </c>
      <c r="T161" s="392"/>
      <c r="U161" s="392"/>
      <c r="V161" s="382">
        <v>365</v>
      </c>
      <c r="W161" s="1228">
        <f t="shared" si="93"/>
        <v>517.30769230769226</v>
      </c>
      <c r="X161" s="197" t="s">
        <v>3</v>
      </c>
      <c r="Y161" s="1188">
        <f t="shared" si="94"/>
        <v>387.98076923076917</v>
      </c>
      <c r="Z161" s="377">
        <v>0.25</v>
      </c>
      <c r="AA161" s="1189">
        <f t="shared" si="95"/>
        <v>517.30769230769226</v>
      </c>
      <c r="AB161" s="377">
        <v>0</v>
      </c>
      <c r="AC161" s="378">
        <v>0</v>
      </c>
      <c r="AD161" s="1100">
        <f t="shared" si="97"/>
        <v>517.30769230769226</v>
      </c>
      <c r="AE161" s="377">
        <v>0.04</v>
      </c>
      <c r="AF161" s="377"/>
      <c r="AG161" s="1216">
        <v>538</v>
      </c>
      <c r="AH161" s="1215" t="s">
        <v>5</v>
      </c>
      <c r="AI161" s="1177">
        <f t="shared" si="105"/>
        <v>0</v>
      </c>
      <c r="AJ161" s="378"/>
      <c r="AK161" s="1179">
        <f t="shared" si="96"/>
        <v>0</v>
      </c>
      <c r="AL161" s="378"/>
      <c r="AM161" s="378"/>
      <c r="AN161" s="378"/>
      <c r="AO161" s="378"/>
      <c r="AP161" s="378"/>
      <c r="AQ161" s="1216"/>
      <c r="AR161" s="1202" t="s">
        <v>2224</v>
      </c>
      <c r="AS161" s="1177" t="str">
        <f t="shared" si="100"/>
        <v/>
      </c>
      <c r="AT161" s="1151"/>
      <c r="AU161" s="1179">
        <f t="shared" si="101"/>
        <v>0</v>
      </c>
      <c r="AV161" s="1151"/>
      <c r="AW161" s="1151"/>
      <c r="AX161" s="1151"/>
      <c r="AY161" s="1151"/>
      <c r="AZ161" s="1151"/>
      <c r="BA161" s="183"/>
      <c r="BB161" s="1202" t="s">
        <v>2224</v>
      </c>
      <c r="BC161" s="1177" t="str">
        <f t="shared" si="102"/>
        <v/>
      </c>
      <c r="BD161" s="1151"/>
      <c r="BE161" s="1179">
        <f t="shared" si="103"/>
        <v>0</v>
      </c>
      <c r="BF161" s="1151"/>
      <c r="BG161" s="1151"/>
      <c r="BH161" s="1151"/>
      <c r="BI161" s="1151"/>
      <c r="BJ161" s="1151"/>
      <c r="BK161" s="183"/>
      <c r="BL161" s="1202" t="s">
        <v>2224</v>
      </c>
      <c r="BM161" s="1151"/>
      <c r="BN161" s="1151"/>
      <c r="BO161" s="1151"/>
      <c r="BP161" s="1151"/>
      <c r="BQ161" s="1151"/>
      <c r="BR161" s="1151"/>
      <c r="BS161" s="1151"/>
      <c r="BT161" s="1151"/>
      <c r="BU161" s="183"/>
      <c r="BV161" s="1202" t="s">
        <v>2224</v>
      </c>
      <c r="BW161" s="1151"/>
      <c r="BX161" s="1151"/>
      <c r="BY161" s="1151"/>
      <c r="BZ161" s="1151"/>
      <c r="CA161" s="1151"/>
      <c r="CB161" s="1151"/>
      <c r="CC161" s="1151"/>
      <c r="CD161" s="1151"/>
      <c r="CE161" s="183"/>
    </row>
    <row r="162" spans="1:83" s="375" customFormat="1">
      <c r="A162" s="291" t="b">
        <v>0</v>
      </c>
      <c r="B162" s="291" t="s">
        <v>2244</v>
      </c>
      <c r="C162" s="291" t="b">
        <f t="shared" si="106"/>
        <v>1</v>
      </c>
      <c r="D162" s="388" t="str">
        <f>IF(C162=FALSE=NAMES!$B$8,"",IF(L162="N/A","N/A",O162&amp;N162&amp;L162&amp;"-"&amp;M162))</f>
        <v/>
      </c>
      <c r="E162" s="392" t="str">
        <f t="shared" si="86"/>
        <v>2014USDAIG Luxembourg-Comfort MLC S</v>
      </c>
      <c r="F162" s="1236" t="str">
        <f t="shared" si="87"/>
        <v>2014USDAIG Luxembourg-Healthcare PlanComfort MLC S</v>
      </c>
      <c r="G162" s="1240" t="str">
        <f t="shared" si="88"/>
        <v>2014USDAIG Luxembourg-Assistance and RepatriationComfort MLC S</v>
      </c>
      <c r="H162" s="1240" t="str">
        <f t="shared" si="89"/>
        <v>N/A</v>
      </c>
      <c r="I162" s="1240" t="str">
        <f t="shared" si="90"/>
        <v>N/A</v>
      </c>
      <c r="J162" s="1240" t="str">
        <f t="shared" si="91"/>
        <v>N/A</v>
      </c>
      <c r="K162" s="1240" t="str">
        <f t="shared" si="92"/>
        <v>N/A</v>
      </c>
      <c r="L162" s="368" t="s">
        <v>4</v>
      </c>
      <c r="M162" s="368" t="s">
        <v>2118</v>
      </c>
      <c r="N162" s="392" t="s">
        <v>87</v>
      </c>
      <c r="O162" s="376">
        <v>2014</v>
      </c>
      <c r="P162" s="376" t="s">
        <v>26</v>
      </c>
      <c r="Q162" s="376" t="s">
        <v>1</v>
      </c>
      <c r="R162" s="378">
        <v>10</v>
      </c>
      <c r="S162" s="368" t="s">
        <v>2213</v>
      </c>
      <c r="T162" s="368"/>
      <c r="U162" s="368"/>
      <c r="V162" s="367">
        <v>365</v>
      </c>
      <c r="W162" s="1228">
        <f t="shared" si="93"/>
        <v>632.69230769230762</v>
      </c>
      <c r="X162" s="381" t="s">
        <v>3</v>
      </c>
      <c r="Y162" s="1188">
        <f t="shared" si="94"/>
        <v>387.98076923076917</v>
      </c>
      <c r="Z162" s="377">
        <v>0.25</v>
      </c>
      <c r="AA162" s="1189">
        <f t="shared" si="95"/>
        <v>517.30769230769226</v>
      </c>
      <c r="AB162" s="377">
        <v>0</v>
      </c>
      <c r="AC162" s="378">
        <v>0</v>
      </c>
      <c r="AD162" s="1100">
        <f t="shared" si="97"/>
        <v>517.30769230769226</v>
      </c>
      <c r="AE162" s="377">
        <v>0.04</v>
      </c>
      <c r="AF162" s="377"/>
      <c r="AG162" s="1216">
        <v>538</v>
      </c>
      <c r="AH162" s="1215" t="s">
        <v>5</v>
      </c>
      <c r="AI162" s="1177">
        <f t="shared" si="105"/>
        <v>86.538461538461547</v>
      </c>
      <c r="AJ162" s="1175">
        <v>0.25</v>
      </c>
      <c r="AK162" s="1179">
        <f t="shared" si="96"/>
        <v>115.38461538461539</v>
      </c>
      <c r="AL162" s="1175">
        <v>0</v>
      </c>
      <c r="AM162" s="1174">
        <v>0</v>
      </c>
      <c r="AN162" s="1178"/>
      <c r="AO162" s="1175">
        <v>0.04</v>
      </c>
      <c r="AP162" s="1175"/>
      <c r="AQ162" s="1204">
        <v>120</v>
      </c>
      <c r="AR162" s="1202" t="s">
        <v>2224</v>
      </c>
      <c r="AS162" s="1177" t="str">
        <f t="shared" si="100"/>
        <v/>
      </c>
      <c r="AT162" s="1151"/>
      <c r="AU162" s="1179">
        <f t="shared" si="101"/>
        <v>0</v>
      </c>
      <c r="AV162" s="1151"/>
      <c r="AW162" s="1151"/>
      <c r="AX162" s="1151"/>
      <c r="AY162" s="1151"/>
      <c r="AZ162" s="1151"/>
      <c r="BA162" s="183"/>
      <c r="BB162" s="1202" t="s">
        <v>2224</v>
      </c>
      <c r="BC162" s="1177" t="str">
        <f t="shared" si="102"/>
        <v/>
      </c>
      <c r="BD162" s="1151"/>
      <c r="BE162" s="1179">
        <f t="shared" si="103"/>
        <v>0</v>
      </c>
      <c r="BF162" s="1151"/>
      <c r="BG162" s="1151"/>
      <c r="BH162" s="1151"/>
      <c r="BI162" s="1151"/>
      <c r="BJ162" s="1151"/>
      <c r="BK162" s="183"/>
      <c r="BL162" s="1202" t="s">
        <v>2224</v>
      </c>
      <c r="BM162" s="1151"/>
      <c r="BN162" s="1151"/>
      <c r="BO162" s="1151"/>
      <c r="BP162" s="1151"/>
      <c r="BQ162" s="1151"/>
      <c r="BR162" s="1151"/>
      <c r="BS162" s="1151"/>
      <c r="BT162" s="1151"/>
      <c r="BU162" s="183"/>
      <c r="BV162" s="1202" t="s">
        <v>2224</v>
      </c>
      <c r="BW162" s="1151"/>
      <c r="BX162" s="1151"/>
      <c r="BY162" s="1151"/>
      <c r="BZ162" s="1151"/>
      <c r="CA162" s="1151"/>
      <c r="CB162" s="1151"/>
      <c r="CC162" s="1151"/>
      <c r="CD162" s="1151"/>
      <c r="CE162" s="183"/>
    </row>
    <row r="163" spans="1:83" s="375" customFormat="1">
      <c r="A163" s="291" t="b">
        <v>0</v>
      </c>
      <c r="B163" s="291" t="s">
        <v>2244</v>
      </c>
      <c r="C163" s="291" t="b">
        <f t="shared" si="106"/>
        <v>1</v>
      </c>
      <c r="D163" s="388" t="str">
        <f>IF(C163=FALSE=NAMES!$B$8,"",IF(L163="N/A","N/A",O163&amp;N163&amp;L163&amp;"-"&amp;M163))</f>
        <v/>
      </c>
      <c r="E163" s="392" t="str">
        <f t="shared" si="86"/>
        <v>2014USDAIG Luxembourg-Comfort S</v>
      </c>
      <c r="F163" s="1236" t="str">
        <f t="shared" si="87"/>
        <v>2014USDAIG Luxembourg-Healthcare PlanComfort S</v>
      </c>
      <c r="G163" s="1240" t="str">
        <f t="shared" si="88"/>
        <v>2014USDAIG Luxembourg-Assistance and RepatriationComfort S</v>
      </c>
      <c r="H163" s="1240" t="str">
        <f t="shared" si="89"/>
        <v>N/A</v>
      </c>
      <c r="I163" s="1240" t="str">
        <f t="shared" si="90"/>
        <v>N/A</v>
      </c>
      <c r="J163" s="1240" t="str">
        <f t="shared" si="91"/>
        <v>N/A</v>
      </c>
      <c r="K163" s="1240" t="str">
        <f t="shared" si="92"/>
        <v>N/A</v>
      </c>
      <c r="L163" s="368" t="s">
        <v>4</v>
      </c>
      <c r="M163" s="368" t="s">
        <v>2117</v>
      </c>
      <c r="N163" s="392" t="s">
        <v>87</v>
      </c>
      <c r="O163" s="376">
        <v>2014</v>
      </c>
      <c r="P163" s="376" t="s">
        <v>26</v>
      </c>
      <c r="Q163" s="376" t="s">
        <v>1</v>
      </c>
      <c r="R163" s="378">
        <v>10</v>
      </c>
      <c r="S163" s="368" t="s">
        <v>2213</v>
      </c>
      <c r="T163" s="368"/>
      <c r="U163" s="368"/>
      <c r="V163" s="367">
        <v>365</v>
      </c>
      <c r="W163" s="1228">
        <f t="shared" si="93"/>
        <v>517.30769230769226</v>
      </c>
      <c r="X163" s="381" t="s">
        <v>3</v>
      </c>
      <c r="Y163" s="1188">
        <f t="shared" si="94"/>
        <v>387.98076923076917</v>
      </c>
      <c r="Z163" s="377">
        <v>0.25</v>
      </c>
      <c r="AA163" s="1189">
        <f t="shared" si="95"/>
        <v>517.30769230769226</v>
      </c>
      <c r="AB163" s="377">
        <v>0</v>
      </c>
      <c r="AC163" s="378">
        <v>0</v>
      </c>
      <c r="AD163" s="1100">
        <f t="shared" si="97"/>
        <v>517.30769230769226</v>
      </c>
      <c r="AE163" s="377">
        <v>0.04</v>
      </c>
      <c r="AF163" s="377"/>
      <c r="AG163" s="1216">
        <v>538</v>
      </c>
      <c r="AH163" s="1215" t="s">
        <v>5</v>
      </c>
      <c r="AI163" s="1177">
        <f t="shared" si="105"/>
        <v>0</v>
      </c>
      <c r="AJ163" s="378"/>
      <c r="AK163" s="1179">
        <f t="shared" si="96"/>
        <v>0</v>
      </c>
      <c r="AL163" s="378"/>
      <c r="AM163" s="378"/>
      <c r="AN163" s="378"/>
      <c r="AO163" s="378"/>
      <c r="AP163" s="378"/>
      <c r="AQ163" s="1216"/>
      <c r="AR163" s="1202" t="s">
        <v>2224</v>
      </c>
      <c r="AS163" s="1177" t="str">
        <f t="shared" si="100"/>
        <v/>
      </c>
      <c r="AT163" s="1151"/>
      <c r="AU163" s="1179">
        <f t="shared" si="101"/>
        <v>0</v>
      </c>
      <c r="AV163" s="1151"/>
      <c r="AW163" s="1151"/>
      <c r="AX163" s="1151"/>
      <c r="AY163" s="1151"/>
      <c r="AZ163" s="1151"/>
      <c r="BA163" s="183"/>
      <c r="BB163" s="1202" t="s">
        <v>2224</v>
      </c>
      <c r="BC163" s="1177" t="str">
        <f t="shared" si="102"/>
        <v/>
      </c>
      <c r="BD163" s="1151"/>
      <c r="BE163" s="1179">
        <f t="shared" si="103"/>
        <v>0</v>
      </c>
      <c r="BF163" s="1151"/>
      <c r="BG163" s="1151"/>
      <c r="BH163" s="1151"/>
      <c r="BI163" s="1151"/>
      <c r="BJ163" s="1151"/>
      <c r="BK163" s="183"/>
      <c r="BL163" s="1202" t="s">
        <v>2224</v>
      </c>
      <c r="BM163" s="1151"/>
      <c r="BN163" s="1151"/>
      <c r="BO163" s="1151"/>
      <c r="BP163" s="1151"/>
      <c r="BQ163" s="1151"/>
      <c r="BR163" s="1151"/>
      <c r="BS163" s="1151"/>
      <c r="BT163" s="1151"/>
      <c r="BU163" s="183"/>
      <c r="BV163" s="1202" t="s">
        <v>2224</v>
      </c>
      <c r="BW163" s="1151"/>
      <c r="BX163" s="1151"/>
      <c r="BY163" s="1151"/>
      <c r="BZ163" s="1151"/>
      <c r="CA163" s="1151"/>
      <c r="CB163" s="1151"/>
      <c r="CC163" s="1151"/>
      <c r="CD163" s="1151"/>
      <c r="CE163" s="183"/>
    </row>
    <row r="164" spans="1:83" s="375" customFormat="1">
      <c r="A164" s="291" t="b">
        <v>0</v>
      </c>
      <c r="B164" s="291" t="s">
        <v>2244</v>
      </c>
      <c r="C164" s="291" t="b">
        <f t="shared" si="106"/>
        <v>1</v>
      </c>
      <c r="D164" s="388" t="str">
        <f>IF(C164=FALSE=NAMES!$B$8,"",IF(L164="N/A","N/A",O164&amp;N164&amp;L164&amp;"-"&amp;M164))</f>
        <v/>
      </c>
      <c r="E164" s="392" t="str">
        <f t="shared" si="86"/>
        <v>2014USDAIG Luxembourg-COMFORTMLC</v>
      </c>
      <c r="F164" s="1236" t="str">
        <f t="shared" si="87"/>
        <v>2014USDAIG Luxembourg-Healthcare PlanCOMFORTMLC</v>
      </c>
      <c r="G164" s="1240" t="str">
        <f t="shared" si="88"/>
        <v>2014USDAIG Luxembourg-Assistance and RepatriationCOMFORTMLC</v>
      </c>
      <c r="H164" s="1240" t="str">
        <f t="shared" si="89"/>
        <v>N/A</v>
      </c>
      <c r="I164" s="1240" t="str">
        <f t="shared" si="90"/>
        <v>N/A</v>
      </c>
      <c r="J164" s="1240" t="str">
        <f t="shared" si="91"/>
        <v>N/A</v>
      </c>
      <c r="K164" s="1240" t="str">
        <f t="shared" si="92"/>
        <v>N/A</v>
      </c>
      <c r="L164" s="392" t="s">
        <v>4</v>
      </c>
      <c r="M164" s="392" t="s">
        <v>2256</v>
      </c>
      <c r="N164" s="392" t="s">
        <v>87</v>
      </c>
      <c r="O164" s="376">
        <v>2014</v>
      </c>
      <c r="P164" s="376" t="s">
        <v>26</v>
      </c>
      <c r="Q164" s="376" t="s">
        <v>1</v>
      </c>
      <c r="R164" s="378">
        <v>65</v>
      </c>
      <c r="S164" s="392" t="s">
        <v>2213</v>
      </c>
      <c r="T164" s="392"/>
      <c r="U164" s="392"/>
      <c r="V164" s="382">
        <v>365</v>
      </c>
      <c r="W164" s="1228">
        <f t="shared" si="93"/>
        <v>632.69230769230762</v>
      </c>
      <c r="X164" s="197" t="s">
        <v>3</v>
      </c>
      <c r="Y164" s="1188">
        <f t="shared" si="94"/>
        <v>387.98076923076917</v>
      </c>
      <c r="Z164" s="377">
        <v>0.25</v>
      </c>
      <c r="AA164" s="1189">
        <f t="shared" si="95"/>
        <v>517.30769230769226</v>
      </c>
      <c r="AB164" s="377">
        <v>0</v>
      </c>
      <c r="AC164" s="378">
        <v>0</v>
      </c>
      <c r="AD164" s="1100">
        <f t="shared" si="97"/>
        <v>517.30769230769226</v>
      </c>
      <c r="AE164" s="377">
        <v>0.04</v>
      </c>
      <c r="AF164" s="377"/>
      <c r="AG164" s="1216">
        <v>538</v>
      </c>
      <c r="AH164" s="1215" t="s">
        <v>5</v>
      </c>
      <c r="AI164" s="1177">
        <f t="shared" si="105"/>
        <v>86.538461538461547</v>
      </c>
      <c r="AJ164" s="1175">
        <v>0.25</v>
      </c>
      <c r="AK164" s="1179">
        <f t="shared" si="96"/>
        <v>115.38461538461539</v>
      </c>
      <c r="AL164" s="1175">
        <v>0</v>
      </c>
      <c r="AM164" s="1174">
        <v>0</v>
      </c>
      <c r="AN164" s="1178"/>
      <c r="AO164" s="1175">
        <v>0.04</v>
      </c>
      <c r="AP164" s="1175"/>
      <c r="AQ164" s="1204">
        <v>120</v>
      </c>
      <c r="AR164" s="1202" t="s">
        <v>2224</v>
      </c>
      <c r="AS164" s="1177" t="str">
        <f t="shared" si="100"/>
        <v/>
      </c>
      <c r="AT164" s="1151"/>
      <c r="AU164" s="1179">
        <f t="shared" si="101"/>
        <v>0</v>
      </c>
      <c r="AV164" s="1151"/>
      <c r="AW164" s="1151"/>
      <c r="AX164" s="1151"/>
      <c r="AY164" s="1151"/>
      <c r="AZ164" s="1151"/>
      <c r="BA164" s="183"/>
      <c r="BB164" s="1202" t="s">
        <v>2224</v>
      </c>
      <c r="BC164" s="1177" t="str">
        <f t="shared" si="102"/>
        <v/>
      </c>
      <c r="BD164" s="1151"/>
      <c r="BE164" s="1179">
        <f t="shared" si="103"/>
        <v>0</v>
      </c>
      <c r="BF164" s="1151"/>
      <c r="BG164" s="1151"/>
      <c r="BH164" s="1151"/>
      <c r="BI164" s="1151"/>
      <c r="BJ164" s="1151"/>
      <c r="BK164" s="183"/>
      <c r="BL164" s="1202" t="s">
        <v>2224</v>
      </c>
      <c r="BM164" s="1151"/>
      <c r="BN164" s="1151"/>
      <c r="BO164" s="1151"/>
      <c r="BP164" s="1151"/>
      <c r="BQ164" s="1151"/>
      <c r="BR164" s="1151"/>
      <c r="BS164" s="1151"/>
      <c r="BT164" s="1151"/>
      <c r="BU164" s="183"/>
      <c r="BV164" s="1202" t="s">
        <v>2224</v>
      </c>
      <c r="BW164" s="1151"/>
      <c r="BX164" s="1151"/>
      <c r="BY164" s="1151"/>
      <c r="BZ164" s="1151"/>
      <c r="CA164" s="1151"/>
      <c r="CB164" s="1151"/>
      <c r="CC164" s="1151"/>
      <c r="CD164" s="1151"/>
      <c r="CE164" s="183"/>
    </row>
    <row r="165" spans="1:83" s="375" customFormat="1">
      <c r="A165" s="291" t="b">
        <v>0</v>
      </c>
      <c r="B165" s="291" t="s">
        <v>2244</v>
      </c>
      <c r="C165" s="291" t="b">
        <f t="shared" si="106"/>
        <v>1</v>
      </c>
      <c r="D165" s="388" t="str">
        <f>IF(C165=FALSE=NAMES!$B$8,"",IF(L165="N/A","N/A",O165&amp;N165&amp;L165&amp;"-"&amp;M165))</f>
        <v/>
      </c>
      <c r="E165" s="392" t="str">
        <f t="shared" si="86"/>
        <v>2014USDAIG Luxembourg-PRESTIGE</v>
      </c>
      <c r="F165" s="1236" t="str">
        <f t="shared" si="87"/>
        <v>2014USDAIG Luxembourg-Healthcare PlanPRESTIGE</v>
      </c>
      <c r="G165" s="1240" t="str">
        <f t="shared" si="88"/>
        <v>2014USDAIG Luxembourg-Assistance and RepatriationPRESTIGE</v>
      </c>
      <c r="H165" s="1240" t="str">
        <f t="shared" si="89"/>
        <v>N/A</v>
      </c>
      <c r="I165" s="1240" t="str">
        <f t="shared" si="90"/>
        <v>N/A</v>
      </c>
      <c r="J165" s="1240" t="str">
        <f t="shared" si="91"/>
        <v>N/A</v>
      </c>
      <c r="K165" s="1240" t="str">
        <f t="shared" si="92"/>
        <v>N/A</v>
      </c>
      <c r="L165" s="392" t="s">
        <v>4</v>
      </c>
      <c r="M165" s="392" t="s">
        <v>86</v>
      </c>
      <c r="N165" s="392" t="s">
        <v>87</v>
      </c>
      <c r="O165" s="376">
        <v>2014</v>
      </c>
      <c r="P165" s="376" t="s">
        <v>26</v>
      </c>
      <c r="Q165" s="376" t="s">
        <v>1</v>
      </c>
      <c r="R165" s="378">
        <v>35</v>
      </c>
      <c r="S165" s="392" t="s">
        <v>2213</v>
      </c>
      <c r="T165" s="392"/>
      <c r="U165" s="392"/>
      <c r="V165" s="382">
        <v>365</v>
      </c>
      <c r="W165" s="1228">
        <f t="shared" si="93"/>
        <v>1228.8461538461538</v>
      </c>
      <c r="X165" s="197" t="s">
        <v>3</v>
      </c>
      <c r="Y165" s="1188">
        <f t="shared" si="94"/>
        <v>791.82692307692309</v>
      </c>
      <c r="Z165" s="377">
        <v>0.25</v>
      </c>
      <c r="AA165" s="1189">
        <f t="shared" si="95"/>
        <v>1055.7692307692307</v>
      </c>
      <c r="AB165" s="377">
        <v>0</v>
      </c>
      <c r="AC165" s="378">
        <v>0</v>
      </c>
      <c r="AD165" s="1100">
        <f t="shared" si="97"/>
        <v>1055.7692307692307</v>
      </c>
      <c r="AE165" s="377">
        <v>0.04</v>
      </c>
      <c r="AF165" s="377"/>
      <c r="AG165" s="1216">
        <v>1098</v>
      </c>
      <c r="AH165" s="1215" t="s">
        <v>5</v>
      </c>
      <c r="AI165" s="1177">
        <f t="shared" si="105"/>
        <v>129.80769230769229</v>
      </c>
      <c r="AJ165" s="1175">
        <v>0.25</v>
      </c>
      <c r="AK165" s="1179">
        <f t="shared" si="96"/>
        <v>173.07692307692307</v>
      </c>
      <c r="AL165" s="1175">
        <v>0</v>
      </c>
      <c r="AM165" s="1174">
        <v>0</v>
      </c>
      <c r="AN165" s="1180"/>
      <c r="AO165" s="1175">
        <v>0.04</v>
      </c>
      <c r="AP165" s="1175"/>
      <c r="AQ165" s="1204">
        <v>180</v>
      </c>
      <c r="AR165" s="1202" t="s">
        <v>2224</v>
      </c>
      <c r="AS165" s="1177" t="str">
        <f t="shared" si="100"/>
        <v/>
      </c>
      <c r="AT165" s="1151"/>
      <c r="AU165" s="1179">
        <f t="shared" si="101"/>
        <v>0</v>
      </c>
      <c r="AV165" s="1151"/>
      <c r="AW165" s="1151"/>
      <c r="AX165" s="1151"/>
      <c r="AY165" s="1151"/>
      <c r="AZ165" s="1151"/>
      <c r="BA165" s="183"/>
      <c r="BB165" s="1202" t="s">
        <v>2224</v>
      </c>
      <c r="BC165" s="1177" t="str">
        <f t="shared" si="102"/>
        <v/>
      </c>
      <c r="BD165" s="1151"/>
      <c r="BE165" s="1179">
        <f t="shared" si="103"/>
        <v>0</v>
      </c>
      <c r="BF165" s="1151"/>
      <c r="BG165" s="1151"/>
      <c r="BH165" s="1151"/>
      <c r="BI165" s="1151"/>
      <c r="BJ165" s="1151"/>
      <c r="BK165" s="183"/>
      <c r="BL165" s="1202" t="s">
        <v>2224</v>
      </c>
      <c r="BM165" s="1151"/>
      <c r="BN165" s="1151"/>
      <c r="BO165" s="1151"/>
      <c r="BP165" s="1151"/>
      <c r="BQ165" s="1151"/>
      <c r="BR165" s="1151"/>
      <c r="BS165" s="1151"/>
      <c r="BT165" s="1151"/>
      <c r="BU165" s="183"/>
      <c r="BV165" s="1202" t="s">
        <v>2224</v>
      </c>
      <c r="BW165" s="1151"/>
      <c r="BX165" s="1151"/>
      <c r="BY165" s="1151"/>
      <c r="BZ165" s="1151"/>
      <c r="CA165" s="1151"/>
      <c r="CB165" s="1151"/>
      <c r="CC165" s="1151"/>
      <c r="CD165" s="1151"/>
      <c r="CE165" s="183"/>
    </row>
    <row r="166" spans="1:83" s="375" customFormat="1">
      <c r="A166" s="291" t="b">
        <v>0</v>
      </c>
      <c r="B166" s="291" t="s">
        <v>2244</v>
      </c>
      <c r="C166" s="291" t="b">
        <f t="shared" si="106"/>
        <v>1</v>
      </c>
      <c r="D166" s="388" t="str">
        <f>IF(C166=FALSE=NAMES!$B$8,"",IF(L166="N/A","N/A",O166&amp;N166&amp;L166&amp;"-"&amp;M166))</f>
        <v/>
      </c>
      <c r="E166" s="392" t="str">
        <f t="shared" si="86"/>
        <v>2014USDAIG Luxembourg-Prestige Plus</v>
      </c>
      <c r="F166" s="1236" t="str">
        <f t="shared" ref="F166:F182" si="107">IF(X166="N/A","N/A",O166&amp;N166&amp;L166&amp;"-"&amp;X166&amp;M166)</f>
        <v>2014USDAIG Luxembourg-Healthcare PlanPrestige Plus</v>
      </c>
      <c r="G166" s="1240" t="str">
        <f t="shared" ref="G166:G182" si="108">IF(AH166="N/A","N/A",O166&amp;N166&amp;L166&amp;"-"&amp;AH166&amp;M166)</f>
        <v>2014USDAIG Luxembourg-Assistance and RepatriationPrestige Plus</v>
      </c>
      <c r="H166" s="1240" t="str">
        <f t="shared" ref="H166:H182" si="109">IF(AR166="N/A","N/A",O166&amp;N166&amp;L166&amp;"-"&amp;AR166&amp;M166)</f>
        <v>N/A</v>
      </c>
      <c r="I166" s="1240" t="str">
        <f t="shared" ref="I166:I182" si="110">IF(BB166="N/A","N/A",O166&amp;N166&amp;L166&amp;"-"&amp;BB166&amp;M166)</f>
        <v>N/A</v>
      </c>
      <c r="J166" s="1240" t="str">
        <f t="shared" ref="J166:J182" si="111">IF(BL166="N/A","N/A",O166&amp;N166&amp;L166&amp;"-"&amp;BL166&amp;M166)</f>
        <v>N/A</v>
      </c>
      <c r="K166" s="1240" t="str">
        <f t="shared" ref="K166:K182" si="112">IF(BV166="N/A","N/A",O166&amp;N166&amp;L166&amp;"-"&amp;BV166&amp;M166)</f>
        <v>N/A</v>
      </c>
      <c r="L166" s="392" t="s">
        <v>4</v>
      </c>
      <c r="M166" s="392" t="s">
        <v>2079</v>
      </c>
      <c r="N166" s="392" t="s">
        <v>87</v>
      </c>
      <c r="O166" s="376">
        <v>2014</v>
      </c>
      <c r="P166" s="376" t="s">
        <v>26</v>
      </c>
      <c r="Q166" s="376" t="s">
        <v>1</v>
      </c>
      <c r="R166" s="378">
        <v>35</v>
      </c>
      <c r="S166" s="392" t="s">
        <v>2213</v>
      </c>
      <c r="T166" s="392"/>
      <c r="U166" s="392"/>
      <c r="V166" s="1109">
        <v>365</v>
      </c>
      <c r="W166" s="1228">
        <f t="shared" ref="W166:W182" si="113">IF(X166="N/A","",AA166+AK166+AU166+BE166)</f>
        <v>1353.8492307692306</v>
      </c>
      <c r="X166" s="197" t="s">
        <v>3</v>
      </c>
      <c r="Y166" s="1188">
        <f t="shared" si="94"/>
        <v>791.82692307692309</v>
      </c>
      <c r="Z166" s="377">
        <v>0.25</v>
      </c>
      <c r="AA166" s="1189">
        <f t="shared" si="95"/>
        <v>1055.7692307692307</v>
      </c>
      <c r="AB166" s="377">
        <v>0</v>
      </c>
      <c r="AC166" s="378">
        <v>0</v>
      </c>
      <c r="AD166" s="1100">
        <f t="shared" si="97"/>
        <v>1055.7692307692307</v>
      </c>
      <c r="AE166" s="377">
        <v>0.04</v>
      </c>
      <c r="AF166" s="377"/>
      <c r="AG166" s="1216">
        <v>1098</v>
      </c>
      <c r="AH166" s="1215" t="s">
        <v>5</v>
      </c>
      <c r="AI166" s="1177">
        <f t="shared" si="105"/>
        <v>223.56</v>
      </c>
      <c r="AJ166" s="1175">
        <v>0.25</v>
      </c>
      <c r="AK166" s="1179">
        <f t="shared" si="96"/>
        <v>298.08</v>
      </c>
      <c r="AL166" s="1175">
        <v>0</v>
      </c>
      <c r="AM166" s="1174">
        <v>0</v>
      </c>
      <c r="AN166" s="1180"/>
      <c r="AO166" s="1175">
        <v>0.04</v>
      </c>
      <c r="AP166" s="1175"/>
      <c r="AQ166" s="1204">
        <v>310.00319999999999</v>
      </c>
      <c r="AR166" s="1202" t="s">
        <v>2224</v>
      </c>
      <c r="AS166" s="1177" t="str">
        <f t="shared" si="100"/>
        <v/>
      </c>
      <c r="AT166" s="1151"/>
      <c r="AU166" s="1179">
        <f t="shared" si="101"/>
        <v>0</v>
      </c>
      <c r="AV166" s="1151"/>
      <c r="AW166" s="1151"/>
      <c r="AX166" s="1151"/>
      <c r="AY166" s="1151"/>
      <c r="AZ166" s="1151"/>
      <c r="BA166" s="183"/>
      <c r="BB166" s="1202" t="s">
        <v>2224</v>
      </c>
      <c r="BC166" s="1177" t="str">
        <f t="shared" si="102"/>
        <v/>
      </c>
      <c r="BD166" s="1151"/>
      <c r="BE166" s="1179">
        <f t="shared" si="103"/>
        <v>0</v>
      </c>
      <c r="BF166" s="1151"/>
      <c r="BG166" s="1151"/>
      <c r="BH166" s="1151"/>
      <c r="BI166" s="1151"/>
      <c r="BJ166" s="1151"/>
      <c r="BK166" s="183"/>
      <c r="BL166" s="1202" t="s">
        <v>2224</v>
      </c>
      <c r="BM166" s="1151"/>
      <c r="BN166" s="1151"/>
      <c r="BO166" s="1151"/>
      <c r="BP166" s="1151"/>
      <c r="BQ166" s="1151"/>
      <c r="BR166" s="1151"/>
      <c r="BS166" s="1151"/>
      <c r="BT166" s="1151"/>
      <c r="BU166" s="183"/>
      <c r="BV166" s="1202" t="s">
        <v>2224</v>
      </c>
      <c r="BW166" s="1151"/>
      <c r="BX166" s="1151"/>
      <c r="BY166" s="1151"/>
      <c r="BZ166" s="1151"/>
      <c r="CA166" s="1151"/>
      <c r="CB166" s="1151"/>
      <c r="CC166" s="1151"/>
      <c r="CD166" s="1151"/>
      <c r="CE166" s="183"/>
    </row>
    <row r="167" spans="1:83" s="375" customFormat="1">
      <c r="A167" s="291" t="b">
        <v>0</v>
      </c>
      <c r="B167" s="291" t="s">
        <v>2244</v>
      </c>
      <c r="C167" s="291" t="b">
        <f t="shared" si="106"/>
        <v>1</v>
      </c>
      <c r="D167" s="388" t="str">
        <f>IF(C167=FALSE=NAMES!$B$8,"",IF(L167="N/A","N/A",O167&amp;N167&amp;L167&amp;"-"&amp;M167))</f>
        <v/>
      </c>
      <c r="E167" s="392" t="str">
        <f t="shared" si="86"/>
        <v>2014USDAIG Luxembourg-Prestige S</v>
      </c>
      <c r="F167" s="1236" t="str">
        <f t="shared" si="107"/>
        <v>2014USDAIG Luxembourg-Healthcare PlanPrestige S</v>
      </c>
      <c r="G167" s="1240" t="str">
        <f t="shared" si="108"/>
        <v>2014USDAIG Luxembourg-Assistance and RepatriationPrestige S</v>
      </c>
      <c r="H167" s="1240" t="str">
        <f t="shared" si="109"/>
        <v>N/A</v>
      </c>
      <c r="I167" s="1240" t="str">
        <f t="shared" si="110"/>
        <v>N/A</v>
      </c>
      <c r="J167" s="1240" t="str">
        <f t="shared" si="111"/>
        <v>N/A</v>
      </c>
      <c r="K167" s="1240" t="str">
        <f t="shared" si="112"/>
        <v>N/A</v>
      </c>
      <c r="L167" s="368" t="s">
        <v>4</v>
      </c>
      <c r="M167" s="368" t="s">
        <v>2068</v>
      </c>
      <c r="N167" s="392" t="s">
        <v>87</v>
      </c>
      <c r="O167" s="376">
        <v>2014</v>
      </c>
      <c r="P167" s="376" t="s">
        <v>26</v>
      </c>
      <c r="Q167" s="376" t="s">
        <v>1</v>
      </c>
      <c r="R167" s="378">
        <v>10</v>
      </c>
      <c r="S167" s="368" t="s">
        <v>2213</v>
      </c>
      <c r="T167" s="368"/>
      <c r="U167" s="368"/>
      <c r="V167" s="367">
        <v>365</v>
      </c>
      <c r="W167" s="1228">
        <f t="shared" si="113"/>
        <v>1228.8461538461538</v>
      </c>
      <c r="X167" s="381" t="s">
        <v>3</v>
      </c>
      <c r="Y167" s="1188">
        <f t="shared" si="94"/>
        <v>791.82692307692309</v>
      </c>
      <c r="Z167" s="377">
        <v>0.25</v>
      </c>
      <c r="AA167" s="1189">
        <f t="shared" si="95"/>
        <v>1055.7692307692307</v>
      </c>
      <c r="AB167" s="377">
        <v>0</v>
      </c>
      <c r="AC167" s="378">
        <v>0</v>
      </c>
      <c r="AD167" s="1100">
        <f t="shared" ref="AD167:AD182" si="114">IF(E167="N/A","",AA167+AC167)</f>
        <v>1055.7692307692307</v>
      </c>
      <c r="AE167" s="377">
        <v>0.04</v>
      </c>
      <c r="AF167" s="377"/>
      <c r="AG167" s="1216">
        <v>1098</v>
      </c>
      <c r="AH167" s="1215" t="s">
        <v>5</v>
      </c>
      <c r="AI167" s="1177">
        <f t="shared" si="105"/>
        <v>129.80769230769229</v>
      </c>
      <c r="AJ167" s="1175">
        <v>0.25</v>
      </c>
      <c r="AK167" s="1179">
        <f t="shared" si="96"/>
        <v>173.07692307692307</v>
      </c>
      <c r="AL167" s="1175">
        <v>0</v>
      </c>
      <c r="AM167" s="1174">
        <v>0</v>
      </c>
      <c r="AN167" s="1180"/>
      <c r="AO167" s="1175">
        <v>0.04</v>
      </c>
      <c r="AP167" s="1175"/>
      <c r="AQ167" s="1204">
        <v>180</v>
      </c>
      <c r="AR167" s="1202" t="s">
        <v>2224</v>
      </c>
      <c r="AS167" s="1177" t="str">
        <f t="shared" si="100"/>
        <v/>
      </c>
      <c r="AT167" s="1151"/>
      <c r="AU167" s="1179">
        <f t="shared" si="101"/>
        <v>0</v>
      </c>
      <c r="AV167" s="1151"/>
      <c r="AW167" s="1151"/>
      <c r="AX167" s="1151"/>
      <c r="AY167" s="1151"/>
      <c r="AZ167" s="1151"/>
      <c r="BA167" s="183"/>
      <c r="BB167" s="1202" t="s">
        <v>2224</v>
      </c>
      <c r="BC167" s="1177" t="str">
        <f t="shared" si="102"/>
        <v/>
      </c>
      <c r="BD167" s="1151"/>
      <c r="BE167" s="1179">
        <f t="shared" si="103"/>
        <v>0</v>
      </c>
      <c r="BF167" s="1151"/>
      <c r="BG167" s="1151"/>
      <c r="BH167" s="1151"/>
      <c r="BI167" s="1151"/>
      <c r="BJ167" s="1151"/>
      <c r="BK167" s="183"/>
      <c r="BL167" s="1202" t="s">
        <v>2224</v>
      </c>
      <c r="BM167" s="1151"/>
      <c r="BN167" s="1151"/>
      <c r="BO167" s="1151"/>
      <c r="BP167" s="1151"/>
      <c r="BQ167" s="1151"/>
      <c r="BR167" s="1151"/>
      <c r="BS167" s="1151"/>
      <c r="BT167" s="1151"/>
      <c r="BU167" s="183"/>
      <c r="BV167" s="1202" t="s">
        <v>2224</v>
      </c>
      <c r="BW167" s="1151"/>
      <c r="BX167" s="1151"/>
      <c r="BY167" s="1151"/>
      <c r="BZ167" s="1151"/>
      <c r="CA167" s="1151"/>
      <c r="CB167" s="1151"/>
      <c r="CC167" s="1151"/>
      <c r="CD167" s="1151"/>
      <c r="CE167" s="183"/>
    </row>
    <row r="168" spans="1:83" s="375" customFormat="1">
      <c r="A168" s="291" t="b">
        <v>0</v>
      </c>
      <c r="B168" s="291" t="s">
        <v>2244</v>
      </c>
      <c r="C168" s="291" t="b">
        <f t="shared" si="106"/>
        <v>1</v>
      </c>
      <c r="D168" s="388" t="str">
        <f>IF(C168=FALSE=NAMES!$B$8,"",IF(L168="N/A","N/A",O168&amp;N168&amp;L168&amp;"-"&amp;M168))</f>
        <v/>
      </c>
      <c r="E168" s="392" t="str">
        <f t="shared" si="86"/>
        <v>2014USDAllianz-Privilege 100</v>
      </c>
      <c r="F168" s="1236" t="str">
        <f t="shared" si="107"/>
        <v>2014USDAllianz-Healthcare PlanPrivilege 100</v>
      </c>
      <c r="G168" s="1240" t="str">
        <f t="shared" si="108"/>
        <v>2014USDAllianz-Assistance and RepatriationPrivilege 100</v>
      </c>
      <c r="H168" s="1240" t="str">
        <f t="shared" si="109"/>
        <v>N/A</v>
      </c>
      <c r="I168" s="1240" t="str">
        <f t="shared" si="110"/>
        <v>N/A</v>
      </c>
      <c r="J168" s="1240" t="str">
        <f t="shared" si="111"/>
        <v>N/A</v>
      </c>
      <c r="K168" s="1240" t="str">
        <f t="shared" si="112"/>
        <v>N/A</v>
      </c>
      <c r="L168" s="368" t="s">
        <v>2119</v>
      </c>
      <c r="M168" s="368" t="s">
        <v>2120</v>
      </c>
      <c r="N168" s="392" t="s">
        <v>87</v>
      </c>
      <c r="O168" s="376">
        <v>2014</v>
      </c>
      <c r="P168" s="376" t="s">
        <v>26</v>
      </c>
      <c r="Q168" s="376" t="s">
        <v>2208</v>
      </c>
      <c r="R168" s="372"/>
      <c r="S168" s="368" t="s">
        <v>2213</v>
      </c>
      <c r="T168" s="368"/>
      <c r="U168" s="368"/>
      <c r="V168" s="367">
        <v>365</v>
      </c>
      <c r="W168" s="1228">
        <f t="shared" si="113"/>
        <v>3050.9615384615386</v>
      </c>
      <c r="X168" s="381" t="s">
        <v>3</v>
      </c>
      <c r="Y168" s="1188">
        <f t="shared" si="94"/>
        <v>2288.2211538461538</v>
      </c>
      <c r="Z168" s="377">
        <v>0.25</v>
      </c>
      <c r="AA168" s="1189">
        <f t="shared" si="95"/>
        <v>3050.9615384615386</v>
      </c>
      <c r="AB168" s="377">
        <v>0</v>
      </c>
      <c r="AC168" s="378">
        <v>0</v>
      </c>
      <c r="AD168" s="1100">
        <f t="shared" si="114"/>
        <v>3050.9615384615386</v>
      </c>
      <c r="AE168" s="377">
        <v>0.04</v>
      </c>
      <c r="AF168" s="377"/>
      <c r="AG168" s="1216">
        <v>3173</v>
      </c>
      <c r="AH168" s="1215" t="s">
        <v>5</v>
      </c>
      <c r="AI168" s="1177">
        <f t="shared" si="105"/>
        <v>0</v>
      </c>
      <c r="AJ168" s="378"/>
      <c r="AK168" s="1179">
        <f t="shared" si="96"/>
        <v>0</v>
      </c>
      <c r="AL168" s="378"/>
      <c r="AM168" s="378"/>
      <c r="AN168" s="378"/>
      <c r="AO168" s="378"/>
      <c r="AP168" s="378"/>
      <c r="AQ168" s="1216"/>
      <c r="AR168" s="1202" t="s">
        <v>2224</v>
      </c>
      <c r="AS168" s="1177" t="str">
        <f t="shared" si="100"/>
        <v/>
      </c>
      <c r="AT168" s="1151"/>
      <c r="AU168" s="1179">
        <f t="shared" si="101"/>
        <v>0</v>
      </c>
      <c r="AV168" s="1151"/>
      <c r="AW168" s="1151"/>
      <c r="AX168" s="1151"/>
      <c r="AY168" s="1151"/>
      <c r="AZ168" s="1151"/>
      <c r="BA168" s="183"/>
      <c r="BB168" s="1202" t="s">
        <v>2224</v>
      </c>
      <c r="BC168" s="1177" t="str">
        <f t="shared" si="102"/>
        <v/>
      </c>
      <c r="BD168" s="1151"/>
      <c r="BE168" s="1179">
        <f t="shared" si="103"/>
        <v>0</v>
      </c>
      <c r="BF168" s="1151"/>
      <c r="BG168" s="1151"/>
      <c r="BH168" s="1151"/>
      <c r="BI168" s="1151"/>
      <c r="BJ168" s="1151"/>
      <c r="BK168" s="183"/>
      <c r="BL168" s="1202" t="s">
        <v>2224</v>
      </c>
      <c r="BM168" s="1151"/>
      <c r="BN168" s="1151"/>
      <c r="BO168" s="1151"/>
      <c r="BP168" s="1151"/>
      <c r="BQ168" s="1151"/>
      <c r="BR168" s="1151"/>
      <c r="BS168" s="1151"/>
      <c r="BT168" s="1151"/>
      <c r="BU168" s="183"/>
      <c r="BV168" s="1202" t="s">
        <v>2224</v>
      </c>
      <c r="BW168" s="1151"/>
      <c r="BX168" s="1151"/>
      <c r="BY168" s="1151"/>
      <c r="BZ168" s="1151"/>
      <c r="CA168" s="1151"/>
      <c r="CB168" s="1151"/>
      <c r="CC168" s="1151"/>
      <c r="CD168" s="1151"/>
      <c r="CE168" s="183"/>
    </row>
    <row r="169" spans="1:83" s="375" customFormat="1">
      <c r="A169" s="291" t="b">
        <v>0</v>
      </c>
      <c r="B169" s="291" t="s">
        <v>2244</v>
      </c>
      <c r="C169" s="291" t="b">
        <f t="shared" si="106"/>
        <v>1</v>
      </c>
      <c r="D169" s="388" t="str">
        <f>IF(C169=FALSE=NAMES!$B$8,"",IF(L169="N/A","N/A",O169&amp;N169&amp;L169&amp;"-"&amp;M169))</f>
        <v/>
      </c>
      <c r="E169" s="392" t="str">
        <f t="shared" si="86"/>
        <v>2014USDAllianz-Privilege 100</v>
      </c>
      <c r="F169" s="1236" t="str">
        <f t="shared" si="107"/>
        <v>2014USDAllianz-Healthcare PlanPrivilege 100</v>
      </c>
      <c r="G169" s="1240" t="str">
        <f t="shared" si="108"/>
        <v>2014USDAllianz-Assistance and RepatriationPrivilege 100</v>
      </c>
      <c r="H169" s="1240" t="str">
        <f t="shared" si="109"/>
        <v>N/A</v>
      </c>
      <c r="I169" s="1240" t="str">
        <f t="shared" si="110"/>
        <v>N/A</v>
      </c>
      <c r="J169" s="1240" t="str">
        <f t="shared" si="111"/>
        <v>N/A</v>
      </c>
      <c r="K169" s="1240" t="str">
        <f t="shared" si="112"/>
        <v>N/A</v>
      </c>
      <c r="L169" s="368" t="s">
        <v>2119</v>
      </c>
      <c r="M169" s="368" t="s">
        <v>2120</v>
      </c>
      <c r="N169" s="392" t="s">
        <v>87</v>
      </c>
      <c r="O169" s="376">
        <v>2014</v>
      </c>
      <c r="P169" s="376" t="s">
        <v>26</v>
      </c>
      <c r="Q169" s="376" t="s">
        <v>2208</v>
      </c>
      <c r="R169" s="372"/>
      <c r="S169" s="368" t="s">
        <v>2214</v>
      </c>
      <c r="T169" s="368"/>
      <c r="U169" s="368"/>
      <c r="V169" s="367">
        <v>365</v>
      </c>
      <c r="W169" s="1228">
        <f t="shared" si="113"/>
        <v>7486.538461538461</v>
      </c>
      <c r="X169" s="381" t="s">
        <v>3</v>
      </c>
      <c r="Y169" s="1188">
        <f t="shared" si="94"/>
        <v>5614.9038461538457</v>
      </c>
      <c r="Z169" s="377">
        <v>0.25</v>
      </c>
      <c r="AA169" s="1189">
        <f t="shared" si="95"/>
        <v>7486.538461538461</v>
      </c>
      <c r="AB169" s="377">
        <v>0</v>
      </c>
      <c r="AC169" s="378">
        <v>0</v>
      </c>
      <c r="AD169" s="1100">
        <f t="shared" si="114"/>
        <v>7486.538461538461</v>
      </c>
      <c r="AE169" s="377">
        <v>0.04</v>
      </c>
      <c r="AF169" s="377"/>
      <c r="AG169" s="1216">
        <v>7786</v>
      </c>
      <c r="AH169" s="1215" t="s">
        <v>5</v>
      </c>
      <c r="AI169" s="1177">
        <f t="shared" si="105"/>
        <v>0</v>
      </c>
      <c r="AJ169" s="378"/>
      <c r="AK169" s="1179">
        <f t="shared" si="96"/>
        <v>0</v>
      </c>
      <c r="AL169" s="378"/>
      <c r="AM169" s="378"/>
      <c r="AN169" s="378"/>
      <c r="AO169" s="378"/>
      <c r="AP169" s="378"/>
      <c r="AQ169" s="1216"/>
      <c r="AR169" s="1202" t="s">
        <v>2224</v>
      </c>
      <c r="AS169" s="1177" t="str">
        <f t="shared" si="100"/>
        <v/>
      </c>
      <c r="AT169" s="1151"/>
      <c r="AU169" s="1179">
        <f t="shared" si="101"/>
        <v>0</v>
      </c>
      <c r="AV169" s="1151"/>
      <c r="AW169" s="1151"/>
      <c r="AX169" s="1151"/>
      <c r="AY169" s="1151"/>
      <c r="AZ169" s="1151"/>
      <c r="BA169" s="183"/>
      <c r="BB169" s="1202" t="s">
        <v>2224</v>
      </c>
      <c r="BC169" s="1177" t="str">
        <f t="shared" si="102"/>
        <v/>
      </c>
      <c r="BD169" s="1151"/>
      <c r="BE169" s="1179">
        <f t="shared" si="103"/>
        <v>0</v>
      </c>
      <c r="BF169" s="1151"/>
      <c r="BG169" s="1151"/>
      <c r="BH169" s="1151"/>
      <c r="BI169" s="1151"/>
      <c r="BJ169" s="1151"/>
      <c r="BK169" s="183"/>
      <c r="BL169" s="1202" t="s">
        <v>2224</v>
      </c>
      <c r="BM169" s="1151"/>
      <c r="BN169" s="1151"/>
      <c r="BO169" s="1151"/>
      <c r="BP169" s="1151"/>
      <c r="BQ169" s="1151"/>
      <c r="BR169" s="1151"/>
      <c r="BS169" s="1151"/>
      <c r="BT169" s="1151"/>
      <c r="BU169" s="183"/>
      <c r="BV169" s="1202" t="s">
        <v>2224</v>
      </c>
      <c r="BW169" s="1151"/>
      <c r="BX169" s="1151"/>
      <c r="BY169" s="1151"/>
      <c r="BZ169" s="1151"/>
      <c r="CA169" s="1151"/>
      <c r="CB169" s="1151"/>
      <c r="CC169" s="1151"/>
      <c r="CD169" s="1151"/>
      <c r="CE169" s="183"/>
    </row>
    <row r="170" spans="1:83" s="375" customFormat="1">
      <c r="A170" s="291" t="b">
        <v>0</v>
      </c>
      <c r="B170" s="291" t="s">
        <v>2244</v>
      </c>
      <c r="C170" s="291" t="b">
        <f t="shared" si="106"/>
        <v>1</v>
      </c>
      <c r="D170" s="388" t="str">
        <f>IF(C170=FALSE=NAMES!$B$8,"",IF(L170="N/A","N/A",O170&amp;N170&amp;L170&amp;"-"&amp;M170))</f>
        <v/>
      </c>
      <c r="E170" s="392" t="str">
        <f t="shared" si="86"/>
        <v>2014USDAnker Verzekeringen n.v.-Medical Excellent and Homeland</v>
      </c>
      <c r="F170" s="1236" t="str">
        <f t="shared" si="107"/>
        <v>2014USDAnker Verzekeringen n.v.-Healthcare PlanMedical Excellent and Homeland</v>
      </c>
      <c r="G170" s="1240" t="str">
        <f t="shared" si="108"/>
        <v>2014USDAnker Verzekeringen n.v.-Assistance and RepatriationMedical Excellent and Homeland</v>
      </c>
      <c r="H170" s="1240" t="str">
        <f t="shared" si="109"/>
        <v>N/A</v>
      </c>
      <c r="I170" s="1240" t="str">
        <f t="shared" si="110"/>
        <v>N/A</v>
      </c>
      <c r="J170" s="1240" t="str">
        <f t="shared" si="111"/>
        <v>N/A</v>
      </c>
      <c r="K170" s="1240" t="str">
        <f t="shared" si="112"/>
        <v>N/A</v>
      </c>
      <c r="L170" s="392" t="s">
        <v>7</v>
      </c>
      <c r="M170" s="392" t="s">
        <v>2121</v>
      </c>
      <c r="N170" s="392" t="s">
        <v>87</v>
      </c>
      <c r="O170" s="376">
        <v>2014</v>
      </c>
      <c r="P170" s="376" t="s">
        <v>2234</v>
      </c>
      <c r="Q170" s="376" t="s">
        <v>1</v>
      </c>
      <c r="R170" s="372"/>
      <c r="S170" s="392" t="s">
        <v>2213</v>
      </c>
      <c r="T170" s="392"/>
      <c r="U170" s="392"/>
      <c r="V170" s="1109">
        <v>365</v>
      </c>
      <c r="W170" s="1228">
        <f t="shared" si="113"/>
        <v>1254.2700000000002</v>
      </c>
      <c r="X170" s="197" t="s">
        <v>3</v>
      </c>
      <c r="Y170" s="1188">
        <f t="shared" si="94"/>
        <v>854.16403846153855</v>
      </c>
      <c r="Z170" s="377">
        <v>0.25</v>
      </c>
      <c r="AA170" s="1189">
        <f t="shared" si="95"/>
        <v>1138.8853846153847</v>
      </c>
      <c r="AB170" s="377">
        <v>0</v>
      </c>
      <c r="AC170" s="378">
        <v>0</v>
      </c>
      <c r="AD170" s="1100">
        <f t="shared" si="114"/>
        <v>1138.8853846153847</v>
      </c>
      <c r="AE170" s="377">
        <v>0.04</v>
      </c>
      <c r="AF170" s="377"/>
      <c r="AG170" s="1216">
        <v>1184.4408000000001</v>
      </c>
      <c r="AH170" s="1215" t="s">
        <v>5</v>
      </c>
      <c r="AI170" s="1177">
        <f t="shared" ref="AI170" si="115">IF(AH170="N/A","",AK170*(1-AJ170))</f>
        <v>83.653846153846146</v>
      </c>
      <c r="AJ170" s="1175">
        <v>0.27500000000000002</v>
      </c>
      <c r="AK170" s="1179">
        <f t="shared" si="96"/>
        <v>115.38461538461539</v>
      </c>
      <c r="AL170" s="1175">
        <v>0</v>
      </c>
      <c r="AM170" s="1174">
        <v>0</v>
      </c>
      <c r="AN170" s="1180"/>
      <c r="AO170" s="1175">
        <v>0.04</v>
      </c>
      <c r="AP170" s="1175"/>
      <c r="AQ170" s="1204">
        <v>120</v>
      </c>
      <c r="AR170" s="1202" t="s">
        <v>2224</v>
      </c>
      <c r="AS170" s="1177" t="str">
        <f t="shared" si="100"/>
        <v/>
      </c>
      <c r="AT170" s="1151"/>
      <c r="AU170" s="1179">
        <f t="shared" si="101"/>
        <v>0</v>
      </c>
      <c r="AV170" s="1151"/>
      <c r="AW170" s="1151"/>
      <c r="AX170" s="1151"/>
      <c r="AY170" s="1151"/>
      <c r="AZ170" s="1151"/>
      <c r="BA170" s="183"/>
      <c r="BB170" s="1202" t="s">
        <v>2224</v>
      </c>
      <c r="BC170" s="1177" t="str">
        <f t="shared" si="102"/>
        <v/>
      </c>
      <c r="BD170" s="1151"/>
      <c r="BE170" s="1179">
        <f t="shared" si="103"/>
        <v>0</v>
      </c>
      <c r="BF170" s="1151"/>
      <c r="BG170" s="1151"/>
      <c r="BH170" s="1151"/>
      <c r="BI170" s="1151"/>
      <c r="BJ170" s="1151"/>
      <c r="BK170" s="183"/>
      <c r="BL170" s="1202" t="s">
        <v>2224</v>
      </c>
      <c r="BM170" s="1151"/>
      <c r="BN170" s="1151"/>
      <c r="BO170" s="1151"/>
      <c r="BP170" s="1151"/>
      <c r="BQ170" s="1151"/>
      <c r="BR170" s="1151"/>
      <c r="BS170" s="1151"/>
      <c r="BT170" s="1151"/>
      <c r="BU170" s="183"/>
      <c r="BV170" s="1202" t="s">
        <v>2224</v>
      </c>
      <c r="BW170" s="1151"/>
      <c r="BX170" s="1151"/>
      <c r="BY170" s="1151"/>
      <c r="BZ170" s="1151"/>
      <c r="CA170" s="1151"/>
      <c r="CB170" s="1151"/>
      <c r="CC170" s="1151"/>
      <c r="CD170" s="1151"/>
      <c r="CE170" s="183"/>
    </row>
    <row r="171" spans="1:83" s="375" customFormat="1">
      <c r="A171" s="291" t="b">
        <v>0</v>
      </c>
      <c r="B171" s="291" t="s">
        <v>2244</v>
      </c>
      <c r="C171" s="291" t="b">
        <f t="shared" si="84"/>
        <v>1</v>
      </c>
      <c r="D171" s="388" t="str">
        <f>IF(C171=FALSE=NAMES!$B$8,"",IF(L171="N/A","N/A",O171&amp;N171&amp;L171&amp;"-"&amp;M171))</f>
        <v/>
      </c>
      <c r="E171" s="392" t="str">
        <f t="shared" si="86"/>
        <v>N/A</v>
      </c>
      <c r="F171" s="1236" t="str">
        <f t="shared" si="107"/>
        <v>N/A</v>
      </c>
      <c r="G171" s="1240" t="str">
        <f t="shared" si="108"/>
        <v>N/A-</v>
      </c>
      <c r="H171" s="1240" t="str">
        <f t="shared" si="109"/>
        <v>N/A</v>
      </c>
      <c r="I171" s="1240" t="str">
        <f t="shared" si="110"/>
        <v>N/A</v>
      </c>
      <c r="J171" s="1240" t="str">
        <f t="shared" si="111"/>
        <v>N/A</v>
      </c>
      <c r="K171" s="1240" t="str">
        <f t="shared" si="112"/>
        <v>N/A</v>
      </c>
      <c r="L171" s="389" t="s">
        <v>2224</v>
      </c>
      <c r="M171" s="392"/>
      <c r="N171" s="392"/>
      <c r="O171" s="376"/>
      <c r="P171" s="376"/>
      <c r="Q171" s="376"/>
      <c r="R171" s="378"/>
      <c r="S171" s="392"/>
      <c r="T171" s="392"/>
      <c r="U171" s="392"/>
      <c r="V171" s="382"/>
      <c r="W171" s="1228" t="str">
        <f t="shared" si="113"/>
        <v/>
      </c>
      <c r="X171" s="388" t="s">
        <v>2224</v>
      </c>
      <c r="Y171" s="1188" t="str">
        <f t="shared" si="94"/>
        <v/>
      </c>
      <c r="Z171" s="377"/>
      <c r="AA171" s="1189" t="str">
        <f t="shared" si="95"/>
        <v/>
      </c>
      <c r="AB171" s="377">
        <v>0</v>
      </c>
      <c r="AC171" s="378"/>
      <c r="AD171" s="1100" t="str">
        <f t="shared" si="114"/>
        <v/>
      </c>
      <c r="AE171" s="377"/>
      <c r="AF171" s="377"/>
      <c r="AG171" s="1216"/>
      <c r="AH171" s="1217"/>
      <c r="AI171" s="1177">
        <f t="shared" ref="AI171:AI182" si="116">IF(AH171="N/A","",AK171*(1-AJ171))</f>
        <v>0</v>
      </c>
      <c r="AJ171" s="378"/>
      <c r="AK171" s="1179">
        <f t="shared" si="96"/>
        <v>0</v>
      </c>
      <c r="AL171" s="378"/>
      <c r="AM171" s="378"/>
      <c r="AN171" s="378"/>
      <c r="AO171" s="378"/>
      <c r="AP171" s="378"/>
      <c r="AQ171" s="1216"/>
      <c r="AR171" s="1202" t="s">
        <v>2224</v>
      </c>
      <c r="AS171" s="1177" t="str">
        <f t="shared" si="100"/>
        <v/>
      </c>
      <c r="AT171" s="1151"/>
      <c r="AU171" s="1179">
        <f t="shared" si="101"/>
        <v>0</v>
      </c>
      <c r="AV171" s="1151"/>
      <c r="AW171" s="1151"/>
      <c r="AX171" s="1151"/>
      <c r="AY171" s="1151"/>
      <c r="AZ171" s="1151"/>
      <c r="BA171" s="183"/>
      <c r="BB171" s="1202" t="s">
        <v>2224</v>
      </c>
      <c r="BC171" s="1177" t="str">
        <f t="shared" si="102"/>
        <v/>
      </c>
      <c r="BD171" s="1151"/>
      <c r="BE171" s="1179">
        <f t="shared" si="103"/>
        <v>0</v>
      </c>
      <c r="BF171" s="1151"/>
      <c r="BG171" s="1151"/>
      <c r="BH171" s="1151"/>
      <c r="BI171" s="1151"/>
      <c r="BJ171" s="1151"/>
      <c r="BK171" s="183"/>
      <c r="BL171" s="1202" t="s">
        <v>2224</v>
      </c>
      <c r="BM171" s="1151"/>
      <c r="BN171" s="1151"/>
      <c r="BO171" s="1151"/>
      <c r="BP171" s="1151"/>
      <c r="BQ171" s="1151"/>
      <c r="BR171" s="1151"/>
      <c r="BS171" s="1151"/>
      <c r="BT171" s="1151"/>
      <c r="BU171" s="183"/>
      <c r="BV171" s="1202" t="s">
        <v>2224</v>
      </c>
      <c r="BW171" s="1151"/>
      <c r="BX171" s="1151"/>
      <c r="BY171" s="1151"/>
      <c r="BZ171" s="1151"/>
      <c r="CA171" s="1151"/>
      <c r="CB171" s="1151"/>
      <c r="CC171" s="1151"/>
      <c r="CD171" s="1151"/>
      <c r="CE171" s="183"/>
    </row>
    <row r="172" spans="1:83" s="375" customFormat="1">
      <c r="A172" s="291" t="b">
        <v>0</v>
      </c>
      <c r="B172" s="291" t="s">
        <v>2244</v>
      </c>
      <c r="C172" s="291" t="b">
        <f t="shared" ref="C172:C181" si="117">IF(B172="N/A","",IF(B172="newRates",FALSE,TRUE))</f>
        <v>1</v>
      </c>
      <c r="D172" s="388" t="str">
        <f>IF(C172=FALSE=NAMES!$B$8,"",IF(L172="N/A","N/A",O172&amp;N172&amp;L172&amp;"-"&amp;M172))</f>
        <v/>
      </c>
      <c r="E172" s="392" t="str">
        <f t="shared" si="86"/>
        <v>2014EURAIG Luxembourg-Comfort</v>
      </c>
      <c r="F172" s="1236" t="str">
        <f t="shared" si="107"/>
        <v>2014EURAIG Luxembourg-Healthcare PlanComfort</v>
      </c>
      <c r="G172" s="1240" t="str">
        <f t="shared" si="108"/>
        <v>2014EURAIG Luxembourg-Assistance and RepatriationComfort</v>
      </c>
      <c r="H172" s="1240" t="str">
        <f t="shared" si="109"/>
        <v>N/A</v>
      </c>
      <c r="I172" s="1240" t="str">
        <f t="shared" si="110"/>
        <v>N/A</v>
      </c>
      <c r="J172" s="1240" t="str">
        <f t="shared" si="111"/>
        <v>N/A</v>
      </c>
      <c r="K172" s="1240" t="str">
        <f t="shared" si="112"/>
        <v>N/A</v>
      </c>
      <c r="L172" s="392" t="s">
        <v>4</v>
      </c>
      <c r="M172" s="392" t="s">
        <v>2116</v>
      </c>
      <c r="N172" s="392" t="s">
        <v>32</v>
      </c>
      <c r="O172" s="376">
        <v>2014</v>
      </c>
      <c r="P172" s="376" t="s">
        <v>26</v>
      </c>
      <c r="Q172" s="376" t="s">
        <v>1</v>
      </c>
      <c r="R172" s="378">
        <v>65</v>
      </c>
      <c r="S172" s="392" t="s">
        <v>2213</v>
      </c>
      <c r="T172" s="392"/>
      <c r="U172" s="392"/>
      <c r="V172" s="382">
        <v>365</v>
      </c>
      <c r="W172" s="1228">
        <f t="shared" si="113"/>
        <v>517.30769230769226</v>
      </c>
      <c r="X172" s="197" t="s">
        <v>3</v>
      </c>
      <c r="Y172" s="1188">
        <f t="shared" si="94"/>
        <v>387.98076923076917</v>
      </c>
      <c r="Z172" s="377">
        <v>0.25</v>
      </c>
      <c r="AA172" s="1189">
        <f t="shared" si="95"/>
        <v>517.30769230769226</v>
      </c>
      <c r="AB172" s="377">
        <v>0</v>
      </c>
      <c r="AC172" s="378">
        <v>0</v>
      </c>
      <c r="AD172" s="1100">
        <f t="shared" si="114"/>
        <v>517.30769230769226</v>
      </c>
      <c r="AE172" s="377">
        <v>0.04</v>
      </c>
      <c r="AF172" s="377"/>
      <c r="AG172" s="1216">
        <v>538</v>
      </c>
      <c r="AH172" s="1215" t="s">
        <v>5</v>
      </c>
      <c r="AI172" s="1177">
        <f t="shared" si="116"/>
        <v>0</v>
      </c>
      <c r="AJ172" s="378"/>
      <c r="AK172" s="1179">
        <f t="shared" si="96"/>
        <v>0</v>
      </c>
      <c r="AL172" s="378"/>
      <c r="AM172" s="378"/>
      <c r="AN172" s="378"/>
      <c r="AO172" s="378"/>
      <c r="AP172" s="378"/>
      <c r="AQ172" s="1216"/>
      <c r="AR172" s="1202" t="s">
        <v>2224</v>
      </c>
      <c r="AS172" s="1177" t="str">
        <f t="shared" si="100"/>
        <v/>
      </c>
      <c r="AT172" s="1151"/>
      <c r="AU172" s="1179">
        <f t="shared" si="101"/>
        <v>0</v>
      </c>
      <c r="AV172" s="1151"/>
      <c r="AW172" s="1151"/>
      <c r="AX172" s="1151"/>
      <c r="AY172" s="1151"/>
      <c r="AZ172" s="1151"/>
      <c r="BA172" s="183"/>
      <c r="BB172" s="1202" t="s">
        <v>2224</v>
      </c>
      <c r="BC172" s="1177" t="str">
        <f t="shared" si="102"/>
        <v/>
      </c>
      <c r="BD172" s="1151"/>
      <c r="BE172" s="1179">
        <f t="shared" si="103"/>
        <v>0</v>
      </c>
      <c r="BF172" s="1151"/>
      <c r="BG172" s="1151"/>
      <c r="BH172" s="1151"/>
      <c r="BI172" s="1151"/>
      <c r="BJ172" s="1151"/>
      <c r="BK172" s="183"/>
      <c r="BL172" s="1202" t="s">
        <v>2224</v>
      </c>
      <c r="BM172" s="1151"/>
      <c r="BN172" s="1151"/>
      <c r="BO172" s="1151"/>
      <c r="BP172" s="1151"/>
      <c r="BQ172" s="1151"/>
      <c r="BR172" s="1151"/>
      <c r="BS172" s="1151"/>
      <c r="BT172" s="1151"/>
      <c r="BU172" s="183"/>
      <c r="BV172" s="1202" t="s">
        <v>2224</v>
      </c>
      <c r="BW172" s="1151"/>
      <c r="BX172" s="1151"/>
      <c r="BY172" s="1151"/>
      <c r="BZ172" s="1151"/>
      <c r="CA172" s="1151"/>
      <c r="CB172" s="1151"/>
      <c r="CC172" s="1151"/>
      <c r="CD172" s="1151"/>
      <c r="CE172" s="183"/>
    </row>
    <row r="173" spans="1:83" s="375" customFormat="1">
      <c r="A173" s="291" t="b">
        <v>0</v>
      </c>
      <c r="B173" s="291" t="s">
        <v>2244</v>
      </c>
      <c r="C173" s="291" t="b">
        <f t="shared" si="117"/>
        <v>1</v>
      </c>
      <c r="D173" s="388" t="str">
        <f>IF(C173=FALSE=NAMES!$B$8,"",IF(L173="N/A","N/A",O173&amp;N173&amp;L173&amp;"-"&amp;M173))</f>
        <v/>
      </c>
      <c r="E173" s="392" t="str">
        <f t="shared" si="86"/>
        <v>2014EURAIG Luxembourg-Comfort MLC S</v>
      </c>
      <c r="F173" s="1236" t="str">
        <f t="shared" si="107"/>
        <v>2014EURAIG Luxembourg-Healthcare PlanComfort MLC S</v>
      </c>
      <c r="G173" s="1240" t="str">
        <f t="shared" si="108"/>
        <v>2014EURAIG Luxembourg-Assistance and RepatriationComfort MLC S</v>
      </c>
      <c r="H173" s="1240" t="str">
        <f t="shared" si="109"/>
        <v>N/A</v>
      </c>
      <c r="I173" s="1240" t="str">
        <f t="shared" si="110"/>
        <v>N/A</v>
      </c>
      <c r="J173" s="1240" t="str">
        <f t="shared" si="111"/>
        <v>N/A</v>
      </c>
      <c r="K173" s="1240" t="str">
        <f t="shared" si="112"/>
        <v>N/A</v>
      </c>
      <c r="L173" s="368" t="s">
        <v>4</v>
      </c>
      <c r="M173" s="368" t="s">
        <v>2118</v>
      </c>
      <c r="N173" s="392" t="s">
        <v>32</v>
      </c>
      <c r="O173" s="376">
        <v>2014</v>
      </c>
      <c r="P173" s="376" t="s">
        <v>26</v>
      </c>
      <c r="Q173" s="376" t="s">
        <v>1</v>
      </c>
      <c r="R173" s="378">
        <v>10</v>
      </c>
      <c r="S173" s="368" t="s">
        <v>2213</v>
      </c>
      <c r="T173" s="368"/>
      <c r="U173" s="368"/>
      <c r="V173" s="367">
        <v>365</v>
      </c>
      <c r="W173" s="1228">
        <f t="shared" si="113"/>
        <v>632.69230769230762</v>
      </c>
      <c r="X173" s="381" t="s">
        <v>3</v>
      </c>
      <c r="Y173" s="1188">
        <f t="shared" si="94"/>
        <v>387.98076923076917</v>
      </c>
      <c r="Z173" s="377">
        <v>0.25</v>
      </c>
      <c r="AA173" s="1189">
        <f t="shared" si="95"/>
        <v>517.30769230769226</v>
      </c>
      <c r="AB173" s="377">
        <v>0</v>
      </c>
      <c r="AC173" s="378">
        <v>0</v>
      </c>
      <c r="AD173" s="1100">
        <f t="shared" si="114"/>
        <v>517.30769230769226</v>
      </c>
      <c r="AE173" s="377">
        <v>0.04</v>
      </c>
      <c r="AF173" s="377"/>
      <c r="AG173" s="1216">
        <v>538</v>
      </c>
      <c r="AH173" s="1215" t="s">
        <v>5</v>
      </c>
      <c r="AI173" s="1177">
        <f t="shared" si="116"/>
        <v>86.538461538461547</v>
      </c>
      <c r="AJ173" s="1175">
        <v>0.25</v>
      </c>
      <c r="AK173" s="1179">
        <f t="shared" si="96"/>
        <v>115.38461538461539</v>
      </c>
      <c r="AL173" s="1175">
        <v>0</v>
      </c>
      <c r="AM173" s="1174">
        <v>0</v>
      </c>
      <c r="AN173" s="1178"/>
      <c r="AO173" s="1175">
        <v>0.04</v>
      </c>
      <c r="AP173" s="1175"/>
      <c r="AQ173" s="1204">
        <v>120</v>
      </c>
      <c r="AR173" s="1202" t="s">
        <v>2224</v>
      </c>
      <c r="AS173" s="1177" t="str">
        <f t="shared" si="100"/>
        <v/>
      </c>
      <c r="AT173" s="1151"/>
      <c r="AU173" s="1179">
        <f t="shared" si="101"/>
        <v>0</v>
      </c>
      <c r="AV173" s="1151"/>
      <c r="AW173" s="1151"/>
      <c r="AX173" s="1151"/>
      <c r="AY173" s="1151"/>
      <c r="AZ173" s="1151"/>
      <c r="BA173" s="183"/>
      <c r="BB173" s="1202" t="s">
        <v>2224</v>
      </c>
      <c r="BC173" s="1177" t="str">
        <f t="shared" si="102"/>
        <v/>
      </c>
      <c r="BD173" s="1151"/>
      <c r="BE173" s="1179">
        <f t="shared" si="103"/>
        <v>0</v>
      </c>
      <c r="BF173" s="1151"/>
      <c r="BG173" s="1151"/>
      <c r="BH173" s="1151"/>
      <c r="BI173" s="1151"/>
      <c r="BJ173" s="1151"/>
      <c r="BK173" s="183"/>
      <c r="BL173" s="1202" t="s">
        <v>2224</v>
      </c>
      <c r="BM173" s="1151"/>
      <c r="BN173" s="1151"/>
      <c r="BO173" s="1151"/>
      <c r="BP173" s="1151"/>
      <c r="BQ173" s="1151"/>
      <c r="BR173" s="1151"/>
      <c r="BS173" s="1151"/>
      <c r="BT173" s="1151"/>
      <c r="BU173" s="183"/>
      <c r="BV173" s="1202" t="s">
        <v>2224</v>
      </c>
      <c r="BW173" s="1151"/>
      <c r="BX173" s="1151"/>
      <c r="BY173" s="1151"/>
      <c r="BZ173" s="1151"/>
      <c r="CA173" s="1151"/>
      <c r="CB173" s="1151"/>
      <c r="CC173" s="1151"/>
      <c r="CD173" s="1151"/>
      <c r="CE173" s="183"/>
    </row>
    <row r="174" spans="1:83" s="375" customFormat="1">
      <c r="A174" s="291" t="b">
        <v>0</v>
      </c>
      <c r="B174" s="291" t="s">
        <v>2244</v>
      </c>
      <c r="C174" s="291" t="b">
        <f t="shared" si="117"/>
        <v>1</v>
      </c>
      <c r="D174" s="388" t="str">
        <f>IF(C174=FALSE=NAMES!$B$8,"",IF(L174="N/A","N/A",O174&amp;N174&amp;L174&amp;"-"&amp;M174))</f>
        <v/>
      </c>
      <c r="E174" s="392" t="str">
        <f t="shared" si="86"/>
        <v>2014EURAIG Luxembourg-Comfort S</v>
      </c>
      <c r="F174" s="1236" t="str">
        <f t="shared" si="107"/>
        <v>2014EURAIG Luxembourg-Healthcare PlanComfort S</v>
      </c>
      <c r="G174" s="1240" t="str">
        <f t="shared" si="108"/>
        <v>2014EURAIG Luxembourg-Assistance and RepatriationComfort S</v>
      </c>
      <c r="H174" s="1240" t="str">
        <f t="shared" si="109"/>
        <v>N/A</v>
      </c>
      <c r="I174" s="1240" t="str">
        <f t="shared" si="110"/>
        <v>N/A</v>
      </c>
      <c r="J174" s="1240" t="str">
        <f t="shared" si="111"/>
        <v>N/A</v>
      </c>
      <c r="K174" s="1240" t="str">
        <f t="shared" si="112"/>
        <v>N/A</v>
      </c>
      <c r="L174" s="368" t="s">
        <v>4</v>
      </c>
      <c r="M174" s="368" t="s">
        <v>2117</v>
      </c>
      <c r="N174" s="392" t="s">
        <v>32</v>
      </c>
      <c r="O174" s="376">
        <v>2014</v>
      </c>
      <c r="P174" s="376" t="s">
        <v>26</v>
      </c>
      <c r="Q174" s="376" t="s">
        <v>1</v>
      </c>
      <c r="R174" s="378">
        <v>10</v>
      </c>
      <c r="S174" s="368" t="s">
        <v>2213</v>
      </c>
      <c r="T174" s="368"/>
      <c r="U174" s="368"/>
      <c r="V174" s="367">
        <v>365</v>
      </c>
      <c r="W174" s="1228">
        <f t="shared" si="113"/>
        <v>517.30769230769226</v>
      </c>
      <c r="X174" s="381" t="s">
        <v>3</v>
      </c>
      <c r="Y174" s="1188">
        <f t="shared" si="94"/>
        <v>387.98076923076917</v>
      </c>
      <c r="Z174" s="377">
        <v>0.25</v>
      </c>
      <c r="AA174" s="1189">
        <f t="shared" si="95"/>
        <v>517.30769230769226</v>
      </c>
      <c r="AB174" s="377">
        <v>0</v>
      </c>
      <c r="AC174" s="378">
        <v>0</v>
      </c>
      <c r="AD174" s="1100">
        <f t="shared" si="114"/>
        <v>517.30769230769226</v>
      </c>
      <c r="AE174" s="377">
        <v>0.04</v>
      </c>
      <c r="AF174" s="377"/>
      <c r="AG174" s="1216">
        <v>538</v>
      </c>
      <c r="AH174" s="1215" t="s">
        <v>5</v>
      </c>
      <c r="AI174" s="1177">
        <f t="shared" si="116"/>
        <v>0</v>
      </c>
      <c r="AJ174" s="378"/>
      <c r="AK174" s="1179">
        <f t="shared" si="96"/>
        <v>0</v>
      </c>
      <c r="AL174" s="378"/>
      <c r="AM174" s="378"/>
      <c r="AN174" s="378"/>
      <c r="AO174" s="378"/>
      <c r="AP174" s="378"/>
      <c r="AQ174" s="1216"/>
      <c r="AR174" s="1202" t="s">
        <v>2224</v>
      </c>
      <c r="AS174" s="1177" t="str">
        <f t="shared" si="100"/>
        <v/>
      </c>
      <c r="AT174" s="1151"/>
      <c r="AU174" s="1179">
        <f t="shared" si="101"/>
        <v>0</v>
      </c>
      <c r="AV174" s="1151"/>
      <c r="AW174" s="1151"/>
      <c r="AX174" s="1151"/>
      <c r="AY174" s="1151"/>
      <c r="AZ174" s="1151"/>
      <c r="BA174" s="183"/>
      <c r="BB174" s="1202" t="s">
        <v>2224</v>
      </c>
      <c r="BC174" s="1177" t="str">
        <f t="shared" si="102"/>
        <v/>
      </c>
      <c r="BD174" s="1151"/>
      <c r="BE174" s="1179">
        <f t="shared" si="103"/>
        <v>0</v>
      </c>
      <c r="BF174" s="1151"/>
      <c r="BG174" s="1151"/>
      <c r="BH174" s="1151"/>
      <c r="BI174" s="1151"/>
      <c r="BJ174" s="1151"/>
      <c r="BK174" s="183"/>
      <c r="BL174" s="1202" t="s">
        <v>2224</v>
      </c>
      <c r="BM174" s="1151"/>
      <c r="BN174" s="1151"/>
      <c r="BO174" s="1151"/>
      <c r="BP174" s="1151"/>
      <c r="BQ174" s="1151"/>
      <c r="BR174" s="1151"/>
      <c r="BS174" s="1151"/>
      <c r="BT174" s="1151"/>
      <c r="BU174" s="183"/>
      <c r="BV174" s="1202" t="s">
        <v>2224</v>
      </c>
      <c r="BW174" s="1151"/>
      <c r="BX174" s="1151"/>
      <c r="BY174" s="1151"/>
      <c r="BZ174" s="1151"/>
      <c r="CA174" s="1151"/>
      <c r="CB174" s="1151"/>
      <c r="CC174" s="1151"/>
      <c r="CD174" s="1151"/>
      <c r="CE174" s="183"/>
    </row>
    <row r="175" spans="1:83" s="375" customFormat="1">
      <c r="A175" s="291" t="b">
        <v>0</v>
      </c>
      <c r="B175" s="291" t="s">
        <v>2244</v>
      </c>
      <c r="C175" s="291" t="b">
        <f t="shared" si="117"/>
        <v>1</v>
      </c>
      <c r="D175" s="388" t="str">
        <f>IF(C175=FALSE=NAMES!$B$8,"",IF(L175="N/A","N/A",O175&amp;N175&amp;L175&amp;"-"&amp;M175))</f>
        <v/>
      </c>
      <c r="E175" s="392" t="str">
        <f t="shared" si="86"/>
        <v>2014EURAIG Luxembourg-COMFORTMLC</v>
      </c>
      <c r="F175" s="1236" t="str">
        <f t="shared" si="107"/>
        <v>2014EURAIG Luxembourg-Healthcare PlanCOMFORTMLC</v>
      </c>
      <c r="G175" s="1240" t="str">
        <f t="shared" si="108"/>
        <v>2014EURAIG Luxembourg-Assistance and RepatriationCOMFORTMLC</v>
      </c>
      <c r="H175" s="1240" t="str">
        <f t="shared" si="109"/>
        <v>N/A</v>
      </c>
      <c r="I175" s="1240" t="str">
        <f t="shared" si="110"/>
        <v>N/A</v>
      </c>
      <c r="J175" s="1240" t="str">
        <f t="shared" si="111"/>
        <v>N/A</v>
      </c>
      <c r="K175" s="1240" t="str">
        <f t="shared" si="112"/>
        <v>N/A</v>
      </c>
      <c r="L175" s="392" t="s">
        <v>4</v>
      </c>
      <c r="M175" s="392" t="s">
        <v>2256</v>
      </c>
      <c r="N175" s="392" t="s">
        <v>32</v>
      </c>
      <c r="O175" s="376">
        <v>2014</v>
      </c>
      <c r="P175" s="376" t="s">
        <v>26</v>
      </c>
      <c r="Q175" s="376" t="s">
        <v>1</v>
      </c>
      <c r="R175" s="378">
        <v>65</v>
      </c>
      <c r="S175" s="392" t="s">
        <v>2213</v>
      </c>
      <c r="T175" s="392"/>
      <c r="U175" s="392"/>
      <c r="V175" s="382">
        <v>365</v>
      </c>
      <c r="W175" s="1228">
        <f t="shared" si="113"/>
        <v>632.69230769230762</v>
      </c>
      <c r="X175" s="197" t="s">
        <v>3</v>
      </c>
      <c r="Y175" s="1188">
        <f t="shared" si="94"/>
        <v>387.98076923076917</v>
      </c>
      <c r="Z175" s="377">
        <v>0.25</v>
      </c>
      <c r="AA175" s="1189">
        <f t="shared" si="95"/>
        <v>517.30769230769226</v>
      </c>
      <c r="AB175" s="377">
        <v>0</v>
      </c>
      <c r="AC175" s="378">
        <v>0</v>
      </c>
      <c r="AD175" s="1100">
        <f t="shared" si="114"/>
        <v>517.30769230769226</v>
      </c>
      <c r="AE175" s="377">
        <v>0.04</v>
      </c>
      <c r="AF175" s="377"/>
      <c r="AG175" s="1216">
        <v>538</v>
      </c>
      <c r="AH175" s="1215" t="s">
        <v>5</v>
      </c>
      <c r="AI175" s="1177">
        <f t="shared" si="116"/>
        <v>86.538461538461547</v>
      </c>
      <c r="AJ175" s="1175">
        <v>0.25</v>
      </c>
      <c r="AK175" s="1179">
        <f t="shared" si="96"/>
        <v>115.38461538461539</v>
      </c>
      <c r="AL175" s="1175">
        <v>0</v>
      </c>
      <c r="AM175" s="1174">
        <v>0</v>
      </c>
      <c r="AN175" s="1178"/>
      <c r="AO175" s="1175">
        <v>0.04</v>
      </c>
      <c r="AP175" s="1175"/>
      <c r="AQ175" s="1204">
        <v>120</v>
      </c>
      <c r="AR175" s="1202" t="s">
        <v>2224</v>
      </c>
      <c r="AS175" s="1177" t="str">
        <f t="shared" si="100"/>
        <v/>
      </c>
      <c r="AT175" s="1151"/>
      <c r="AU175" s="1179">
        <f t="shared" si="101"/>
        <v>0</v>
      </c>
      <c r="AV175" s="1151"/>
      <c r="AW175" s="1151"/>
      <c r="AX175" s="1151"/>
      <c r="AY175" s="1151"/>
      <c r="AZ175" s="1151"/>
      <c r="BA175" s="183"/>
      <c r="BB175" s="1202" t="s">
        <v>2224</v>
      </c>
      <c r="BC175" s="1177" t="str">
        <f t="shared" si="102"/>
        <v/>
      </c>
      <c r="BD175" s="1151"/>
      <c r="BE175" s="1179">
        <f t="shared" si="103"/>
        <v>0</v>
      </c>
      <c r="BF175" s="1151"/>
      <c r="BG175" s="1151"/>
      <c r="BH175" s="1151"/>
      <c r="BI175" s="1151"/>
      <c r="BJ175" s="1151"/>
      <c r="BK175" s="183"/>
      <c r="BL175" s="1202" t="s">
        <v>2224</v>
      </c>
      <c r="BM175" s="1151"/>
      <c r="BN175" s="1151"/>
      <c r="BO175" s="1151"/>
      <c r="BP175" s="1151"/>
      <c r="BQ175" s="1151"/>
      <c r="BR175" s="1151"/>
      <c r="BS175" s="1151"/>
      <c r="BT175" s="1151"/>
      <c r="BU175" s="183"/>
      <c r="BV175" s="1202" t="s">
        <v>2224</v>
      </c>
      <c r="BW175" s="1151"/>
      <c r="BX175" s="1151"/>
      <c r="BY175" s="1151"/>
      <c r="BZ175" s="1151"/>
      <c r="CA175" s="1151"/>
      <c r="CB175" s="1151"/>
      <c r="CC175" s="1151"/>
      <c r="CD175" s="1151"/>
      <c r="CE175" s="183"/>
    </row>
    <row r="176" spans="1:83" s="375" customFormat="1">
      <c r="A176" s="291" t="b">
        <v>0</v>
      </c>
      <c r="B176" s="291" t="s">
        <v>2244</v>
      </c>
      <c r="C176" s="291" t="b">
        <f t="shared" si="117"/>
        <v>1</v>
      </c>
      <c r="D176" s="388" t="str">
        <f>IF(C176=FALSE=NAMES!$B$8,"",IF(L176="N/A","N/A",O176&amp;N176&amp;L176&amp;"-"&amp;M176))</f>
        <v/>
      </c>
      <c r="E176" s="392" t="str">
        <f t="shared" si="86"/>
        <v>2014EURAIG Luxembourg-PRESTIGE</v>
      </c>
      <c r="F176" s="1236" t="str">
        <f t="shared" si="107"/>
        <v>2014EURAIG Luxembourg-Healthcare PlanPRESTIGE</v>
      </c>
      <c r="G176" s="1240" t="str">
        <f t="shared" si="108"/>
        <v>2014EURAIG Luxembourg-Assistance and RepatriationPRESTIGE</v>
      </c>
      <c r="H176" s="1240" t="str">
        <f t="shared" si="109"/>
        <v>N/A</v>
      </c>
      <c r="I176" s="1240" t="str">
        <f t="shared" si="110"/>
        <v>N/A</v>
      </c>
      <c r="J176" s="1240" t="str">
        <f t="shared" si="111"/>
        <v>N/A</v>
      </c>
      <c r="K176" s="1240" t="str">
        <f t="shared" si="112"/>
        <v>N/A</v>
      </c>
      <c r="L176" s="392" t="s">
        <v>4</v>
      </c>
      <c r="M176" s="392" t="s">
        <v>86</v>
      </c>
      <c r="N176" s="392" t="s">
        <v>32</v>
      </c>
      <c r="O176" s="376">
        <v>2014</v>
      </c>
      <c r="P176" s="376" t="s">
        <v>26</v>
      </c>
      <c r="Q176" s="376" t="s">
        <v>1</v>
      </c>
      <c r="R176" s="378">
        <v>35</v>
      </c>
      <c r="S176" s="392" t="s">
        <v>2213</v>
      </c>
      <c r="T176" s="392"/>
      <c r="U176" s="392"/>
      <c r="V176" s="382">
        <v>365</v>
      </c>
      <c r="W176" s="1228">
        <f t="shared" si="113"/>
        <v>1228.8461538461538</v>
      </c>
      <c r="X176" s="197" t="s">
        <v>3</v>
      </c>
      <c r="Y176" s="1188">
        <f t="shared" si="94"/>
        <v>791.82692307692309</v>
      </c>
      <c r="Z176" s="377">
        <v>0.25</v>
      </c>
      <c r="AA176" s="1189">
        <f t="shared" si="95"/>
        <v>1055.7692307692307</v>
      </c>
      <c r="AB176" s="377">
        <v>0</v>
      </c>
      <c r="AC176" s="378">
        <v>0</v>
      </c>
      <c r="AD176" s="1100">
        <f t="shared" si="114"/>
        <v>1055.7692307692307</v>
      </c>
      <c r="AE176" s="377">
        <v>0.04</v>
      </c>
      <c r="AF176" s="377"/>
      <c r="AG176" s="1216">
        <v>1098</v>
      </c>
      <c r="AH176" s="1215" t="s">
        <v>5</v>
      </c>
      <c r="AI176" s="1177">
        <f t="shared" si="116"/>
        <v>129.80769230769229</v>
      </c>
      <c r="AJ176" s="1175">
        <v>0.25</v>
      </c>
      <c r="AK176" s="1179">
        <f t="shared" si="96"/>
        <v>173.07692307692307</v>
      </c>
      <c r="AL176" s="1175">
        <v>0</v>
      </c>
      <c r="AM176" s="1174">
        <v>0</v>
      </c>
      <c r="AN176" s="1180"/>
      <c r="AO176" s="1175">
        <v>0.04</v>
      </c>
      <c r="AP176" s="1175"/>
      <c r="AQ176" s="1204">
        <v>180</v>
      </c>
      <c r="AR176" s="1202" t="s">
        <v>2224</v>
      </c>
      <c r="AS176" s="1177" t="str">
        <f t="shared" si="100"/>
        <v/>
      </c>
      <c r="AT176" s="1151"/>
      <c r="AU176" s="1179">
        <f t="shared" si="101"/>
        <v>0</v>
      </c>
      <c r="AV176" s="1151"/>
      <c r="AW176" s="1151"/>
      <c r="AX176" s="1151"/>
      <c r="AY176" s="1151"/>
      <c r="AZ176" s="1151"/>
      <c r="BA176" s="183"/>
      <c r="BB176" s="1202" t="s">
        <v>2224</v>
      </c>
      <c r="BC176" s="1177" t="str">
        <f t="shared" si="102"/>
        <v/>
      </c>
      <c r="BD176" s="1151"/>
      <c r="BE176" s="1179">
        <f t="shared" si="103"/>
        <v>0</v>
      </c>
      <c r="BF176" s="1151"/>
      <c r="BG176" s="1151"/>
      <c r="BH176" s="1151"/>
      <c r="BI176" s="1151"/>
      <c r="BJ176" s="1151"/>
      <c r="BK176" s="183"/>
      <c r="BL176" s="1202" t="s">
        <v>2224</v>
      </c>
      <c r="BM176" s="1151"/>
      <c r="BN176" s="1151"/>
      <c r="BO176" s="1151"/>
      <c r="BP176" s="1151"/>
      <c r="BQ176" s="1151"/>
      <c r="BR176" s="1151"/>
      <c r="BS176" s="1151"/>
      <c r="BT176" s="1151"/>
      <c r="BU176" s="183"/>
      <c r="BV176" s="1202" t="s">
        <v>2224</v>
      </c>
      <c r="BW176" s="1151"/>
      <c r="BX176" s="1151"/>
      <c r="BY176" s="1151"/>
      <c r="BZ176" s="1151"/>
      <c r="CA176" s="1151"/>
      <c r="CB176" s="1151"/>
      <c r="CC176" s="1151"/>
      <c r="CD176" s="1151"/>
      <c r="CE176" s="183"/>
    </row>
    <row r="177" spans="1:83" s="375" customFormat="1">
      <c r="A177" s="291" t="b">
        <v>0</v>
      </c>
      <c r="B177" s="291" t="s">
        <v>2244</v>
      </c>
      <c r="C177" s="291" t="b">
        <f t="shared" si="117"/>
        <v>1</v>
      </c>
      <c r="D177" s="388" t="str">
        <f>IF(C177=FALSE=NAMES!$B$8,"",IF(L177="N/A","N/A",O177&amp;N177&amp;L177&amp;"-"&amp;M177))</f>
        <v/>
      </c>
      <c r="E177" s="392" t="str">
        <f t="shared" si="86"/>
        <v>2014EURAIG Luxembourg-Prestige Plus</v>
      </c>
      <c r="F177" s="1236" t="str">
        <f t="shared" si="107"/>
        <v>2014EURAIG Luxembourg-Healthcare PlanPrestige Plus</v>
      </c>
      <c r="G177" s="1240" t="str">
        <f t="shared" si="108"/>
        <v>2014EURAIG Luxembourg-Assistance and RepatriationPrestige Plus</v>
      </c>
      <c r="H177" s="1240" t="str">
        <f t="shared" si="109"/>
        <v>N/A</v>
      </c>
      <c r="I177" s="1240" t="str">
        <f t="shared" si="110"/>
        <v>N/A</v>
      </c>
      <c r="J177" s="1240" t="str">
        <f t="shared" si="111"/>
        <v>N/A</v>
      </c>
      <c r="K177" s="1240" t="str">
        <f t="shared" si="112"/>
        <v>N/A</v>
      </c>
      <c r="L177" s="392" t="s">
        <v>4</v>
      </c>
      <c r="M177" s="392" t="s">
        <v>2079</v>
      </c>
      <c r="N177" s="392" t="s">
        <v>32</v>
      </c>
      <c r="O177" s="376">
        <v>2014</v>
      </c>
      <c r="P177" s="376" t="s">
        <v>26</v>
      </c>
      <c r="Q177" s="376" t="s">
        <v>1</v>
      </c>
      <c r="R177" s="378">
        <v>35</v>
      </c>
      <c r="S177" s="392" t="s">
        <v>2213</v>
      </c>
      <c r="T177" s="392"/>
      <c r="U177" s="392"/>
      <c r="V177" s="1109">
        <v>365</v>
      </c>
      <c r="W177" s="1228">
        <f t="shared" si="113"/>
        <v>1353.8492307692306</v>
      </c>
      <c r="X177" s="197" t="s">
        <v>3</v>
      </c>
      <c r="Y177" s="1188">
        <f t="shared" si="94"/>
        <v>791.82692307692309</v>
      </c>
      <c r="Z177" s="377">
        <v>0.25</v>
      </c>
      <c r="AA177" s="1189">
        <f t="shared" si="95"/>
        <v>1055.7692307692307</v>
      </c>
      <c r="AB177" s="377">
        <v>0</v>
      </c>
      <c r="AC177" s="378">
        <v>0</v>
      </c>
      <c r="AD177" s="1100">
        <f t="shared" si="114"/>
        <v>1055.7692307692307</v>
      </c>
      <c r="AE177" s="377">
        <v>0.04</v>
      </c>
      <c r="AF177" s="377"/>
      <c r="AG177" s="1216">
        <v>1098</v>
      </c>
      <c r="AH177" s="1215" t="s">
        <v>5</v>
      </c>
      <c r="AI177" s="1177">
        <f t="shared" si="116"/>
        <v>223.56</v>
      </c>
      <c r="AJ177" s="1175">
        <v>0.25</v>
      </c>
      <c r="AK177" s="1179">
        <f t="shared" si="96"/>
        <v>298.08</v>
      </c>
      <c r="AL177" s="1175">
        <v>0</v>
      </c>
      <c r="AM177" s="1174">
        <v>0</v>
      </c>
      <c r="AN177" s="1180"/>
      <c r="AO177" s="1175">
        <v>0.04</v>
      </c>
      <c r="AP177" s="1175"/>
      <c r="AQ177" s="1204">
        <v>310.00319999999999</v>
      </c>
      <c r="AR177" s="1202" t="s">
        <v>2224</v>
      </c>
      <c r="AS177" s="1177" t="str">
        <f t="shared" si="100"/>
        <v/>
      </c>
      <c r="AT177" s="1151"/>
      <c r="AU177" s="1179">
        <f t="shared" si="101"/>
        <v>0</v>
      </c>
      <c r="AV177" s="1151"/>
      <c r="AW177" s="1151"/>
      <c r="AX177" s="1151"/>
      <c r="AY177" s="1151"/>
      <c r="AZ177" s="1151"/>
      <c r="BA177" s="183"/>
      <c r="BB177" s="1202" t="s">
        <v>2224</v>
      </c>
      <c r="BC177" s="1177" t="str">
        <f t="shared" si="102"/>
        <v/>
      </c>
      <c r="BD177" s="1151"/>
      <c r="BE177" s="1179">
        <f t="shared" si="103"/>
        <v>0</v>
      </c>
      <c r="BF177" s="1151"/>
      <c r="BG177" s="1151"/>
      <c r="BH177" s="1151"/>
      <c r="BI177" s="1151"/>
      <c r="BJ177" s="1151"/>
      <c r="BK177" s="183"/>
      <c r="BL177" s="1202" t="s">
        <v>2224</v>
      </c>
      <c r="BM177" s="1151"/>
      <c r="BN177" s="1151"/>
      <c r="BO177" s="1151"/>
      <c r="BP177" s="1151"/>
      <c r="BQ177" s="1151"/>
      <c r="BR177" s="1151"/>
      <c r="BS177" s="1151"/>
      <c r="BT177" s="1151"/>
      <c r="BU177" s="183"/>
      <c r="BV177" s="1202" t="s">
        <v>2224</v>
      </c>
      <c r="BW177" s="1151"/>
      <c r="BX177" s="1151"/>
      <c r="BY177" s="1151"/>
      <c r="BZ177" s="1151"/>
      <c r="CA177" s="1151"/>
      <c r="CB177" s="1151"/>
      <c r="CC177" s="1151"/>
      <c r="CD177" s="1151"/>
      <c r="CE177" s="183"/>
    </row>
    <row r="178" spans="1:83" s="375" customFormat="1">
      <c r="A178" s="291" t="b">
        <v>0</v>
      </c>
      <c r="B178" s="291" t="s">
        <v>2244</v>
      </c>
      <c r="C178" s="291" t="b">
        <f t="shared" si="117"/>
        <v>1</v>
      </c>
      <c r="D178" s="388" t="str">
        <f>IF(C178=FALSE=NAMES!$B$8,"",IF(L178="N/A","N/A",O178&amp;N178&amp;L178&amp;"-"&amp;M178))</f>
        <v/>
      </c>
      <c r="E178" s="392" t="str">
        <f t="shared" si="86"/>
        <v>2014EURAIG Luxembourg-Prestige S</v>
      </c>
      <c r="F178" s="1236" t="str">
        <f t="shared" si="107"/>
        <v>2014EURAIG Luxembourg-Healthcare PlanPrestige S</v>
      </c>
      <c r="G178" s="1240" t="str">
        <f t="shared" si="108"/>
        <v>2014EURAIG Luxembourg-Assistance and RepatriationPrestige S</v>
      </c>
      <c r="H178" s="1240" t="str">
        <f t="shared" si="109"/>
        <v>N/A</v>
      </c>
      <c r="I178" s="1240" t="str">
        <f t="shared" si="110"/>
        <v>N/A</v>
      </c>
      <c r="J178" s="1240" t="str">
        <f t="shared" si="111"/>
        <v>N/A</v>
      </c>
      <c r="K178" s="1240" t="str">
        <f t="shared" si="112"/>
        <v>N/A</v>
      </c>
      <c r="L178" s="368" t="s">
        <v>4</v>
      </c>
      <c r="M178" s="368" t="s">
        <v>2068</v>
      </c>
      <c r="N178" s="392" t="s">
        <v>32</v>
      </c>
      <c r="O178" s="376">
        <v>2014</v>
      </c>
      <c r="P178" s="376" t="s">
        <v>26</v>
      </c>
      <c r="Q178" s="376" t="s">
        <v>1</v>
      </c>
      <c r="R178" s="378">
        <v>10</v>
      </c>
      <c r="S178" s="368" t="s">
        <v>2213</v>
      </c>
      <c r="T178" s="368"/>
      <c r="U178" s="368"/>
      <c r="V178" s="367">
        <v>365</v>
      </c>
      <c r="W178" s="1228">
        <f t="shared" si="113"/>
        <v>1228.8461538461538</v>
      </c>
      <c r="X178" s="381" t="s">
        <v>3</v>
      </c>
      <c r="Y178" s="1188">
        <f t="shared" si="94"/>
        <v>791.82692307692309</v>
      </c>
      <c r="Z178" s="377">
        <v>0.25</v>
      </c>
      <c r="AA178" s="1189">
        <f t="shared" si="95"/>
        <v>1055.7692307692307</v>
      </c>
      <c r="AB178" s="377">
        <v>0</v>
      </c>
      <c r="AC178" s="378">
        <v>0</v>
      </c>
      <c r="AD178" s="1100">
        <f t="shared" si="114"/>
        <v>1055.7692307692307</v>
      </c>
      <c r="AE178" s="377">
        <v>0.04</v>
      </c>
      <c r="AF178" s="377"/>
      <c r="AG178" s="1216">
        <v>1098</v>
      </c>
      <c r="AH178" s="1215" t="s">
        <v>5</v>
      </c>
      <c r="AI178" s="1177">
        <f t="shared" si="116"/>
        <v>129.80769230769229</v>
      </c>
      <c r="AJ178" s="1175">
        <v>0.25</v>
      </c>
      <c r="AK178" s="1179">
        <f t="shared" si="96"/>
        <v>173.07692307692307</v>
      </c>
      <c r="AL178" s="1175">
        <v>0</v>
      </c>
      <c r="AM178" s="1174">
        <v>0</v>
      </c>
      <c r="AN178" s="1180"/>
      <c r="AO178" s="1175">
        <v>0.04</v>
      </c>
      <c r="AP178" s="1175"/>
      <c r="AQ178" s="1204">
        <v>180</v>
      </c>
      <c r="AR178" s="1202" t="s">
        <v>2224</v>
      </c>
      <c r="AS178" s="1177" t="str">
        <f t="shared" si="100"/>
        <v/>
      </c>
      <c r="AT178" s="1151"/>
      <c r="AU178" s="1179">
        <f t="shared" si="101"/>
        <v>0</v>
      </c>
      <c r="AV178" s="1151"/>
      <c r="AW178" s="1151"/>
      <c r="AX178" s="1151"/>
      <c r="AY178" s="1151"/>
      <c r="AZ178" s="1151"/>
      <c r="BA178" s="183"/>
      <c r="BB178" s="1202" t="s">
        <v>2224</v>
      </c>
      <c r="BC178" s="1177" t="str">
        <f t="shared" si="102"/>
        <v/>
      </c>
      <c r="BD178" s="1151"/>
      <c r="BE178" s="1179">
        <f t="shared" si="103"/>
        <v>0</v>
      </c>
      <c r="BF178" s="1151"/>
      <c r="BG178" s="1151"/>
      <c r="BH178" s="1151"/>
      <c r="BI178" s="1151"/>
      <c r="BJ178" s="1151"/>
      <c r="BK178" s="183"/>
      <c r="BL178" s="1202" t="s">
        <v>2224</v>
      </c>
      <c r="BM178" s="1151"/>
      <c r="BN178" s="1151"/>
      <c r="BO178" s="1151"/>
      <c r="BP178" s="1151"/>
      <c r="BQ178" s="1151"/>
      <c r="BR178" s="1151"/>
      <c r="BS178" s="1151"/>
      <c r="BT178" s="1151"/>
      <c r="BU178" s="183"/>
      <c r="BV178" s="1202" t="s">
        <v>2224</v>
      </c>
      <c r="BW178" s="1151"/>
      <c r="BX178" s="1151"/>
      <c r="BY178" s="1151"/>
      <c r="BZ178" s="1151"/>
      <c r="CA178" s="1151"/>
      <c r="CB178" s="1151"/>
      <c r="CC178" s="1151"/>
      <c r="CD178" s="1151"/>
      <c r="CE178" s="183"/>
    </row>
    <row r="179" spans="1:83" s="375" customFormat="1">
      <c r="A179" s="291" t="b">
        <v>0</v>
      </c>
      <c r="B179" s="291" t="s">
        <v>2244</v>
      </c>
      <c r="C179" s="291" t="b">
        <f t="shared" si="117"/>
        <v>1</v>
      </c>
      <c r="D179" s="388" t="str">
        <f>IF(C179=FALSE=NAMES!$B$8,"",IF(L179="N/A","N/A",O179&amp;N179&amp;L179&amp;"-"&amp;M179))</f>
        <v/>
      </c>
      <c r="E179" s="392" t="str">
        <f t="shared" si="86"/>
        <v>2014EURAllianz-Privilege 100</v>
      </c>
      <c r="F179" s="1236" t="str">
        <f t="shared" si="107"/>
        <v>2014EURAllianz-Healthcare PlanPrivilege 100</v>
      </c>
      <c r="G179" s="1240" t="str">
        <f t="shared" si="108"/>
        <v>2014EURAllianz-Assistance and RepatriationPrivilege 100</v>
      </c>
      <c r="H179" s="1240" t="str">
        <f t="shared" si="109"/>
        <v>N/A</v>
      </c>
      <c r="I179" s="1240" t="str">
        <f t="shared" si="110"/>
        <v>N/A</v>
      </c>
      <c r="J179" s="1240" t="str">
        <f t="shared" si="111"/>
        <v>N/A</v>
      </c>
      <c r="K179" s="1240" t="str">
        <f t="shared" si="112"/>
        <v>N/A</v>
      </c>
      <c r="L179" s="368" t="s">
        <v>2119</v>
      </c>
      <c r="M179" s="368" t="s">
        <v>2120</v>
      </c>
      <c r="N179" s="392" t="s">
        <v>32</v>
      </c>
      <c r="O179" s="376">
        <v>2014</v>
      </c>
      <c r="P179" s="376" t="s">
        <v>26</v>
      </c>
      <c r="Q179" s="376" t="s">
        <v>2208</v>
      </c>
      <c r="R179" s="372"/>
      <c r="S179" s="368" t="s">
        <v>2213</v>
      </c>
      <c r="T179" s="368"/>
      <c r="U179" s="368"/>
      <c r="V179" s="367">
        <v>365</v>
      </c>
      <c r="W179" s="1228">
        <f t="shared" si="113"/>
        <v>3050.9615384615386</v>
      </c>
      <c r="X179" s="381" t="s">
        <v>3</v>
      </c>
      <c r="Y179" s="1188">
        <f t="shared" si="94"/>
        <v>2288.2211538461538</v>
      </c>
      <c r="Z179" s="377">
        <v>0.25</v>
      </c>
      <c r="AA179" s="1189">
        <f t="shared" si="95"/>
        <v>3050.9615384615386</v>
      </c>
      <c r="AB179" s="377">
        <v>0</v>
      </c>
      <c r="AC179" s="378">
        <v>0</v>
      </c>
      <c r="AD179" s="1100">
        <f t="shared" si="114"/>
        <v>3050.9615384615386</v>
      </c>
      <c r="AE179" s="377">
        <v>0.04</v>
      </c>
      <c r="AF179" s="377"/>
      <c r="AG179" s="1216">
        <v>3173</v>
      </c>
      <c r="AH179" s="1215" t="s">
        <v>5</v>
      </c>
      <c r="AI179" s="1177">
        <f t="shared" si="116"/>
        <v>0</v>
      </c>
      <c r="AJ179" s="378"/>
      <c r="AK179" s="1179">
        <f t="shared" si="96"/>
        <v>0</v>
      </c>
      <c r="AL179" s="378"/>
      <c r="AM179" s="378"/>
      <c r="AN179" s="378"/>
      <c r="AO179" s="378"/>
      <c r="AP179" s="378"/>
      <c r="AQ179" s="1216"/>
      <c r="AR179" s="1202" t="s">
        <v>2224</v>
      </c>
      <c r="AS179" s="1177" t="str">
        <f t="shared" si="100"/>
        <v/>
      </c>
      <c r="AT179" s="1151"/>
      <c r="AU179" s="1179">
        <f t="shared" si="101"/>
        <v>0</v>
      </c>
      <c r="AV179" s="1151"/>
      <c r="AW179" s="1151"/>
      <c r="AX179" s="1151"/>
      <c r="AY179" s="1151"/>
      <c r="AZ179" s="1151"/>
      <c r="BA179" s="183"/>
      <c r="BB179" s="1202" t="s">
        <v>2224</v>
      </c>
      <c r="BC179" s="1177" t="str">
        <f t="shared" si="102"/>
        <v/>
      </c>
      <c r="BD179" s="1151"/>
      <c r="BE179" s="1179">
        <f t="shared" si="103"/>
        <v>0</v>
      </c>
      <c r="BF179" s="1151"/>
      <c r="BG179" s="1151"/>
      <c r="BH179" s="1151"/>
      <c r="BI179" s="1151"/>
      <c r="BJ179" s="1151"/>
      <c r="BK179" s="183"/>
      <c r="BL179" s="1202" t="s">
        <v>2224</v>
      </c>
      <c r="BM179" s="1151"/>
      <c r="BN179" s="1151"/>
      <c r="BO179" s="1151"/>
      <c r="BP179" s="1151"/>
      <c r="BQ179" s="1151"/>
      <c r="BR179" s="1151"/>
      <c r="BS179" s="1151"/>
      <c r="BT179" s="1151"/>
      <c r="BU179" s="183"/>
      <c r="BV179" s="1202" t="s">
        <v>2224</v>
      </c>
      <c r="BW179" s="1151"/>
      <c r="BX179" s="1151"/>
      <c r="BY179" s="1151"/>
      <c r="BZ179" s="1151"/>
      <c r="CA179" s="1151"/>
      <c r="CB179" s="1151"/>
      <c r="CC179" s="1151"/>
      <c r="CD179" s="1151"/>
      <c r="CE179" s="183"/>
    </row>
    <row r="180" spans="1:83" s="375" customFormat="1">
      <c r="A180" s="291" t="b">
        <v>0</v>
      </c>
      <c r="B180" s="291" t="s">
        <v>2244</v>
      </c>
      <c r="C180" s="291" t="b">
        <f t="shared" si="117"/>
        <v>1</v>
      </c>
      <c r="D180" s="388" t="str">
        <f>IF(C180=FALSE=NAMES!$B$8,"",IF(L180="N/A","N/A",O180&amp;N180&amp;L180&amp;"-"&amp;M180))</f>
        <v/>
      </c>
      <c r="E180" s="392" t="str">
        <f t="shared" si="86"/>
        <v>2014EURAllianz-Privilege 100</v>
      </c>
      <c r="F180" s="1236" t="str">
        <f t="shared" si="107"/>
        <v>2014EURAllianz-Healthcare PlanPrivilege 100</v>
      </c>
      <c r="G180" s="1240" t="str">
        <f t="shared" si="108"/>
        <v>2014EURAllianz-Assistance and RepatriationPrivilege 100</v>
      </c>
      <c r="H180" s="1240" t="str">
        <f t="shared" si="109"/>
        <v>N/A</v>
      </c>
      <c r="I180" s="1240" t="str">
        <f t="shared" si="110"/>
        <v>N/A</v>
      </c>
      <c r="J180" s="1240" t="str">
        <f t="shared" si="111"/>
        <v>N/A</v>
      </c>
      <c r="K180" s="1240" t="str">
        <f t="shared" si="112"/>
        <v>N/A</v>
      </c>
      <c r="L180" s="368" t="s">
        <v>2119</v>
      </c>
      <c r="M180" s="368" t="s">
        <v>2120</v>
      </c>
      <c r="N180" s="392" t="s">
        <v>32</v>
      </c>
      <c r="O180" s="376">
        <v>2014</v>
      </c>
      <c r="P180" s="376" t="s">
        <v>26</v>
      </c>
      <c r="Q180" s="376" t="s">
        <v>2208</v>
      </c>
      <c r="R180" s="372"/>
      <c r="S180" s="368" t="s">
        <v>2214</v>
      </c>
      <c r="T180" s="368"/>
      <c r="U180" s="368"/>
      <c r="V180" s="367">
        <v>365</v>
      </c>
      <c r="W180" s="1228">
        <f t="shared" si="113"/>
        <v>7486.538461538461</v>
      </c>
      <c r="X180" s="381" t="s">
        <v>3</v>
      </c>
      <c r="Y180" s="1188">
        <f t="shared" si="94"/>
        <v>5614.9038461538457</v>
      </c>
      <c r="Z180" s="377">
        <v>0.25</v>
      </c>
      <c r="AA180" s="1189">
        <f t="shared" si="95"/>
        <v>7486.538461538461</v>
      </c>
      <c r="AB180" s="377">
        <v>0</v>
      </c>
      <c r="AC180" s="378">
        <v>0</v>
      </c>
      <c r="AD180" s="1100">
        <f t="shared" si="114"/>
        <v>7486.538461538461</v>
      </c>
      <c r="AE180" s="377">
        <v>0.04</v>
      </c>
      <c r="AF180" s="377"/>
      <c r="AG180" s="1216">
        <v>7786</v>
      </c>
      <c r="AH180" s="1215" t="s">
        <v>5</v>
      </c>
      <c r="AI180" s="1177">
        <f t="shared" si="116"/>
        <v>0</v>
      </c>
      <c r="AJ180" s="378"/>
      <c r="AK180" s="1179">
        <f t="shared" si="96"/>
        <v>0</v>
      </c>
      <c r="AL180" s="378"/>
      <c r="AM180" s="378"/>
      <c r="AN180" s="378"/>
      <c r="AO180" s="378"/>
      <c r="AP180" s="378"/>
      <c r="AQ180" s="1216"/>
      <c r="AR180" s="1202" t="s">
        <v>2224</v>
      </c>
      <c r="AS180" s="1177" t="str">
        <f t="shared" si="100"/>
        <v/>
      </c>
      <c r="AT180" s="1151"/>
      <c r="AU180" s="1179">
        <f t="shared" si="101"/>
        <v>0</v>
      </c>
      <c r="AV180" s="1151"/>
      <c r="AW180" s="1151"/>
      <c r="AX180" s="1151"/>
      <c r="AY180" s="1151"/>
      <c r="AZ180" s="1151"/>
      <c r="BA180" s="183"/>
      <c r="BB180" s="1202" t="s">
        <v>2224</v>
      </c>
      <c r="BC180" s="1177" t="str">
        <f t="shared" si="102"/>
        <v/>
      </c>
      <c r="BD180" s="1151"/>
      <c r="BE180" s="1179">
        <f t="shared" si="103"/>
        <v>0</v>
      </c>
      <c r="BF180" s="1151"/>
      <c r="BG180" s="1151"/>
      <c r="BH180" s="1151"/>
      <c r="BI180" s="1151"/>
      <c r="BJ180" s="1151"/>
      <c r="BK180" s="183"/>
      <c r="BL180" s="1202" t="s">
        <v>2224</v>
      </c>
      <c r="BM180" s="1151"/>
      <c r="BN180" s="1151"/>
      <c r="BO180" s="1151"/>
      <c r="BP180" s="1151"/>
      <c r="BQ180" s="1151"/>
      <c r="BR180" s="1151"/>
      <c r="BS180" s="1151"/>
      <c r="BT180" s="1151"/>
      <c r="BU180" s="183"/>
      <c r="BV180" s="1202" t="s">
        <v>2224</v>
      </c>
      <c r="BW180" s="1151"/>
      <c r="BX180" s="1151"/>
      <c r="BY180" s="1151"/>
      <c r="BZ180" s="1151"/>
      <c r="CA180" s="1151"/>
      <c r="CB180" s="1151"/>
      <c r="CC180" s="1151"/>
      <c r="CD180" s="1151"/>
      <c r="CE180" s="183"/>
    </row>
    <row r="181" spans="1:83" s="375" customFormat="1">
      <c r="A181" s="291" t="b">
        <v>0</v>
      </c>
      <c r="B181" s="291" t="s">
        <v>2244</v>
      </c>
      <c r="C181" s="291" t="b">
        <f t="shared" si="117"/>
        <v>1</v>
      </c>
      <c r="D181" s="388" t="str">
        <f>IF(C181=FALSE=NAMES!$B$8,"",IF(L181="N/A","N/A",O181&amp;N181&amp;L181&amp;"-"&amp;M181))</f>
        <v/>
      </c>
      <c r="E181" s="392" t="str">
        <f t="shared" si="86"/>
        <v>2014EURAnker Verzekeringen n.v.-Medical Excellent and Homeland</v>
      </c>
      <c r="F181" s="1236" t="str">
        <f t="shared" si="107"/>
        <v>2014EURAnker Verzekeringen n.v.-Healthcare PlanMedical Excellent and Homeland</v>
      </c>
      <c r="G181" s="1240" t="str">
        <f t="shared" si="108"/>
        <v>2014EURAnker Verzekeringen n.v.-Assistance and RepatriationMedical Excellent and Homeland</v>
      </c>
      <c r="H181" s="1240" t="str">
        <f t="shared" si="109"/>
        <v>N/A</v>
      </c>
      <c r="I181" s="1240" t="str">
        <f t="shared" si="110"/>
        <v>N/A</v>
      </c>
      <c r="J181" s="1240" t="str">
        <f t="shared" si="111"/>
        <v>N/A</v>
      </c>
      <c r="K181" s="1240" t="str">
        <f t="shared" si="112"/>
        <v>N/A</v>
      </c>
      <c r="L181" s="392" t="s">
        <v>7</v>
      </c>
      <c r="M181" s="392" t="s">
        <v>2121</v>
      </c>
      <c r="N181" s="392" t="s">
        <v>32</v>
      </c>
      <c r="O181" s="376">
        <v>2014</v>
      </c>
      <c r="P181" s="376" t="s">
        <v>2234</v>
      </c>
      <c r="Q181" s="376" t="s">
        <v>1</v>
      </c>
      <c r="R181" s="372"/>
      <c r="S181" s="392" t="s">
        <v>2213</v>
      </c>
      <c r="T181" s="392"/>
      <c r="U181" s="392"/>
      <c r="V181" s="1109">
        <v>365</v>
      </c>
      <c r="W181" s="1228">
        <f t="shared" si="113"/>
        <v>991.58999999999992</v>
      </c>
      <c r="X181" s="197" t="s">
        <v>3</v>
      </c>
      <c r="Y181" s="1188">
        <f t="shared" si="94"/>
        <v>657.15403846153845</v>
      </c>
      <c r="Z181" s="377">
        <v>0.25</v>
      </c>
      <c r="AA181" s="1189">
        <f t="shared" si="95"/>
        <v>876.20538461538456</v>
      </c>
      <c r="AB181" s="377">
        <v>0</v>
      </c>
      <c r="AC181" s="378">
        <v>0</v>
      </c>
      <c r="AD181" s="1100">
        <f t="shared" si="114"/>
        <v>876.20538461538456</v>
      </c>
      <c r="AE181" s="377">
        <v>0.04</v>
      </c>
      <c r="AF181" s="377"/>
      <c r="AG181" s="1216">
        <v>911.25360000000001</v>
      </c>
      <c r="AH181" s="1215" t="s">
        <v>5</v>
      </c>
      <c r="AI181" s="1177">
        <f t="shared" si="116"/>
        <v>83.653846153846146</v>
      </c>
      <c r="AJ181" s="1175">
        <v>0.27500000000000002</v>
      </c>
      <c r="AK181" s="1179">
        <f t="shared" si="96"/>
        <v>115.38461538461539</v>
      </c>
      <c r="AL181" s="1175">
        <v>0</v>
      </c>
      <c r="AM181" s="1174">
        <v>0</v>
      </c>
      <c r="AN181" s="1180"/>
      <c r="AO181" s="1175">
        <v>0.04</v>
      </c>
      <c r="AP181" s="1175"/>
      <c r="AQ181" s="1204">
        <v>120</v>
      </c>
      <c r="AR181" s="1202" t="s">
        <v>2224</v>
      </c>
      <c r="AS181" s="1177" t="str">
        <f t="shared" si="100"/>
        <v/>
      </c>
      <c r="AT181" s="1151"/>
      <c r="AU181" s="1179">
        <f t="shared" si="101"/>
        <v>0</v>
      </c>
      <c r="AV181" s="1151"/>
      <c r="AW181" s="1151"/>
      <c r="AX181" s="1151"/>
      <c r="AY181" s="1151"/>
      <c r="AZ181" s="1151"/>
      <c r="BA181" s="183"/>
      <c r="BB181" s="1202" t="s">
        <v>2224</v>
      </c>
      <c r="BC181" s="1177" t="str">
        <f t="shared" si="102"/>
        <v/>
      </c>
      <c r="BD181" s="1151"/>
      <c r="BE181" s="1179">
        <f t="shared" si="103"/>
        <v>0</v>
      </c>
      <c r="BF181" s="1151"/>
      <c r="BG181" s="1151"/>
      <c r="BH181" s="1151"/>
      <c r="BI181" s="1151"/>
      <c r="BJ181" s="1151"/>
      <c r="BK181" s="183"/>
      <c r="BL181" s="1202" t="s">
        <v>2224</v>
      </c>
      <c r="BM181" s="1151"/>
      <c r="BN181" s="1151"/>
      <c r="BO181" s="1151"/>
      <c r="BP181" s="1151"/>
      <c r="BQ181" s="1151"/>
      <c r="BR181" s="1151"/>
      <c r="BS181" s="1151"/>
      <c r="BT181" s="1151"/>
      <c r="BU181" s="183"/>
      <c r="BV181" s="1202" t="s">
        <v>2224</v>
      </c>
      <c r="BW181" s="1151"/>
      <c r="BX181" s="1151"/>
      <c r="BY181" s="1151"/>
      <c r="BZ181" s="1151"/>
      <c r="CA181" s="1151"/>
      <c r="CB181" s="1151"/>
      <c r="CC181" s="1151"/>
      <c r="CD181" s="1151"/>
      <c r="CE181" s="183"/>
    </row>
    <row r="182" spans="1:83" s="375" customFormat="1">
      <c r="A182" s="291" t="b">
        <v>0</v>
      </c>
      <c r="B182" s="291" t="s">
        <v>2244</v>
      </c>
      <c r="C182" s="291" t="b">
        <f t="shared" ref="C182" si="118">IF(B182="N/A","",IF(B182="newRates",FALSE,TRUE))</f>
        <v>1</v>
      </c>
      <c r="D182" s="388" t="str">
        <f>IF(C182=FALSE=NAMES!$B$8,"",IF(L182="N/A","N/A",O182&amp;N182&amp;L182&amp;"-"&amp;M182))</f>
        <v/>
      </c>
      <c r="E182" s="392" t="str">
        <f t="shared" si="86"/>
        <v>N/A</v>
      </c>
      <c r="F182" s="1236" t="str">
        <f t="shared" si="107"/>
        <v>N/A</v>
      </c>
      <c r="G182" s="1240" t="str">
        <f t="shared" si="108"/>
        <v>N/A</v>
      </c>
      <c r="H182" s="1240" t="str">
        <f t="shared" si="109"/>
        <v>N/A</v>
      </c>
      <c r="I182" s="1240" t="str">
        <f t="shared" si="110"/>
        <v>N/A</v>
      </c>
      <c r="J182" s="1240" t="str">
        <f t="shared" si="111"/>
        <v>N/A</v>
      </c>
      <c r="K182" s="1240" t="str">
        <f t="shared" si="112"/>
        <v>N/A</v>
      </c>
      <c r="L182" s="389" t="s">
        <v>2224</v>
      </c>
      <c r="M182" s="392"/>
      <c r="N182" s="392"/>
      <c r="O182" s="376"/>
      <c r="P182" s="376"/>
      <c r="Q182" s="376"/>
      <c r="R182" s="378"/>
      <c r="S182" s="392"/>
      <c r="T182" s="392"/>
      <c r="U182" s="392"/>
      <c r="V182" s="382"/>
      <c r="W182" s="1228" t="str">
        <f t="shared" si="113"/>
        <v/>
      </c>
      <c r="X182" s="388" t="s">
        <v>2224</v>
      </c>
      <c r="Y182" s="1188" t="str">
        <f t="shared" si="94"/>
        <v/>
      </c>
      <c r="Z182" s="377"/>
      <c r="AA182" s="1189" t="str">
        <f t="shared" si="95"/>
        <v/>
      </c>
      <c r="AB182" s="377"/>
      <c r="AC182" s="378"/>
      <c r="AD182" s="1100" t="str">
        <f t="shared" si="114"/>
        <v/>
      </c>
      <c r="AE182" s="377"/>
      <c r="AF182" s="377"/>
      <c r="AG182" s="1216"/>
      <c r="AH182" s="1202" t="s">
        <v>2224</v>
      </c>
      <c r="AI182" s="1177" t="str">
        <f t="shared" si="116"/>
        <v/>
      </c>
      <c r="AJ182" s="378"/>
      <c r="AK182" s="1179" t="str">
        <f t="shared" si="96"/>
        <v/>
      </c>
      <c r="AL182" s="378"/>
      <c r="AM182" s="378"/>
      <c r="AN182" s="378"/>
      <c r="AO182" s="378"/>
      <c r="AP182" s="378"/>
      <c r="AQ182" s="1216"/>
      <c r="AR182" s="1202" t="s">
        <v>2224</v>
      </c>
      <c r="AS182" s="1177" t="str">
        <f t="shared" si="100"/>
        <v/>
      </c>
      <c r="AT182" s="1151"/>
      <c r="AU182" s="1179">
        <f t="shared" si="101"/>
        <v>0</v>
      </c>
      <c r="AV182" s="1151"/>
      <c r="AW182" s="1151"/>
      <c r="AX182" s="1151"/>
      <c r="AY182" s="1151"/>
      <c r="AZ182" s="1151"/>
      <c r="BA182" s="183"/>
      <c r="BB182" s="1202" t="s">
        <v>2224</v>
      </c>
      <c r="BC182" s="1177" t="str">
        <f t="shared" si="102"/>
        <v/>
      </c>
      <c r="BD182" s="1151"/>
      <c r="BE182" s="1179">
        <f t="shared" si="103"/>
        <v>0</v>
      </c>
      <c r="BF182" s="1151"/>
      <c r="BG182" s="1151"/>
      <c r="BH182" s="1151"/>
      <c r="BI182" s="1151"/>
      <c r="BJ182" s="1151"/>
      <c r="BK182" s="183"/>
      <c r="BL182" s="1202" t="s">
        <v>2224</v>
      </c>
      <c r="BM182" s="1151"/>
      <c r="BN182" s="1151"/>
      <c r="BO182" s="1151"/>
      <c r="BP182" s="1151"/>
      <c r="BQ182" s="1151"/>
      <c r="BR182" s="1151"/>
      <c r="BS182" s="1151"/>
      <c r="BT182" s="1151"/>
      <c r="BU182" s="183"/>
      <c r="BV182" s="1202" t="s">
        <v>2224</v>
      </c>
      <c r="BW182" s="1151"/>
      <c r="BX182" s="1151"/>
      <c r="BY182" s="1151"/>
      <c r="BZ182" s="1151"/>
      <c r="CA182" s="1151"/>
      <c r="CB182" s="1151"/>
      <c r="CC182" s="1151"/>
      <c r="CD182" s="1151"/>
      <c r="CE182" s="183"/>
    </row>
    <row r="183" spans="1:83" s="1150" customFormat="1">
      <c r="A183" s="1186" t="b">
        <v>1</v>
      </c>
      <c r="B183" s="1813" t="s">
        <v>2809</v>
      </c>
      <c r="C183" s="1814"/>
      <c r="D183" s="1814"/>
      <c r="E183" s="1815"/>
      <c r="F183" s="1242" t="s">
        <v>2804</v>
      </c>
      <c r="G183" s="1242" t="s">
        <v>2805</v>
      </c>
      <c r="H183" s="1242" t="s">
        <v>2806</v>
      </c>
      <c r="I183" s="1242" t="s">
        <v>2807</v>
      </c>
      <c r="J183" s="1242" t="s">
        <v>2810</v>
      </c>
      <c r="K183" s="1242" t="s">
        <v>2811</v>
      </c>
      <c r="L183" s="1816" t="s">
        <v>2803</v>
      </c>
      <c r="M183" s="1817"/>
      <c r="N183" s="1817"/>
      <c r="O183" s="1817"/>
      <c r="P183" s="1817"/>
      <c r="Q183" s="1817"/>
      <c r="R183" s="1817"/>
      <c r="S183" s="1817"/>
      <c r="T183" s="1817"/>
      <c r="U183" s="1817"/>
      <c r="V183" s="1818"/>
      <c r="W183" s="1227"/>
      <c r="X183" s="1807" t="s">
        <v>2804</v>
      </c>
      <c r="Y183" s="1808"/>
      <c r="Z183" s="1808"/>
      <c r="AA183" s="1808"/>
      <c r="AB183" s="1808"/>
      <c r="AC183" s="1808"/>
      <c r="AD183" s="1808"/>
      <c r="AE183" s="1808"/>
      <c r="AF183" s="1808"/>
      <c r="AG183" s="1809"/>
      <c r="AH183" s="1807" t="s">
        <v>2805</v>
      </c>
      <c r="AI183" s="1808"/>
      <c r="AJ183" s="1808"/>
      <c r="AK183" s="1808"/>
      <c r="AL183" s="1808"/>
      <c r="AM183" s="1808"/>
      <c r="AN183" s="1808"/>
      <c r="AO183" s="1808"/>
      <c r="AP183" s="1808"/>
      <c r="AQ183" s="1809"/>
      <c r="AR183" s="1807" t="s">
        <v>2806</v>
      </c>
      <c r="AS183" s="1808"/>
      <c r="AT183" s="1808"/>
      <c r="AU183" s="1808"/>
      <c r="AV183" s="1808"/>
      <c r="AW183" s="1808"/>
      <c r="AX183" s="1808"/>
      <c r="AY183" s="1808"/>
      <c r="AZ183" s="1808"/>
      <c r="BA183" s="1809"/>
      <c r="BB183" s="1807" t="s">
        <v>2807</v>
      </c>
      <c r="BC183" s="1808"/>
      <c r="BD183" s="1808"/>
      <c r="BE183" s="1808"/>
      <c r="BF183" s="1808"/>
      <c r="BG183" s="1808"/>
      <c r="BH183" s="1808"/>
      <c r="BI183" s="1808"/>
      <c r="BJ183" s="1808"/>
      <c r="BK183" s="1809"/>
      <c r="BL183" s="1807" t="s">
        <v>2810</v>
      </c>
      <c r="BM183" s="1808"/>
      <c r="BN183" s="1808"/>
      <c r="BO183" s="1808"/>
      <c r="BP183" s="1808"/>
      <c r="BQ183" s="1808"/>
      <c r="BR183" s="1808"/>
      <c r="BS183" s="1808"/>
      <c r="BT183" s="1808"/>
      <c r="BU183" s="1809"/>
      <c r="BV183" s="1807" t="s">
        <v>2811</v>
      </c>
      <c r="BW183" s="1808"/>
      <c r="BX183" s="1808"/>
      <c r="BY183" s="1808"/>
      <c r="BZ183" s="1808"/>
      <c r="CA183" s="1808"/>
      <c r="CB183" s="1808"/>
      <c r="CC183" s="1808"/>
      <c r="CD183" s="1808"/>
      <c r="CE183" s="1809"/>
    </row>
    <row r="184" spans="1:83" s="525" customFormat="1" ht="105.75" thickBot="1">
      <c r="A184" s="1186"/>
      <c r="B184" s="1186"/>
      <c r="C184" s="1186"/>
      <c r="D184" s="1187" t="s">
        <v>2000</v>
      </c>
      <c r="E184" s="1187" t="s">
        <v>2000</v>
      </c>
      <c r="F184" s="1243" t="s">
        <v>2818</v>
      </c>
      <c r="G184" s="1243" t="s">
        <v>2819</v>
      </c>
      <c r="H184" s="1243" t="s">
        <v>2820</v>
      </c>
      <c r="I184" s="1243" t="s">
        <v>2821</v>
      </c>
      <c r="J184" s="1243" t="s">
        <v>2723</v>
      </c>
      <c r="K184" s="1243" t="s">
        <v>2240</v>
      </c>
      <c r="L184" s="1183" t="s">
        <v>2158</v>
      </c>
      <c r="M184" s="1184" t="s">
        <v>2226</v>
      </c>
      <c r="N184" s="1185" t="s">
        <v>2112</v>
      </c>
      <c r="O184" s="1184" t="s">
        <v>2228</v>
      </c>
      <c r="P184" s="1184" t="s">
        <v>2230</v>
      </c>
      <c r="Q184" s="1184" t="s">
        <v>2495</v>
      </c>
      <c r="R184" s="1185" t="s">
        <v>2242</v>
      </c>
      <c r="S184" s="1184" t="s">
        <v>2212</v>
      </c>
      <c r="T184" s="1184" t="s">
        <v>1148</v>
      </c>
      <c r="U184" s="1185" t="s">
        <v>2227</v>
      </c>
      <c r="V184" s="1219" t="s">
        <v>2107</v>
      </c>
      <c r="W184" s="1226"/>
      <c r="X184" s="1200" t="s">
        <v>2111</v>
      </c>
      <c r="Y184" s="1172" t="s">
        <v>2222</v>
      </c>
      <c r="Z184" s="1173" t="s">
        <v>2322</v>
      </c>
      <c r="AA184" s="1173" t="s">
        <v>2223</v>
      </c>
      <c r="AB184" s="1173" t="s">
        <v>23</v>
      </c>
      <c r="AC184" s="1173" t="s">
        <v>2774</v>
      </c>
      <c r="AD184" s="1191" t="s">
        <v>2775</v>
      </c>
      <c r="AE184" s="1173" t="s">
        <v>2773</v>
      </c>
      <c r="AF184" s="1173" t="s">
        <v>2225</v>
      </c>
      <c r="AG184" s="1201" t="s">
        <v>2229</v>
      </c>
      <c r="AH184" s="1200" t="s">
        <v>2111</v>
      </c>
      <c r="AI184" s="1172" t="s">
        <v>2222</v>
      </c>
      <c r="AJ184" s="1173" t="s">
        <v>2322</v>
      </c>
      <c r="AK184" s="1173" t="s">
        <v>2223</v>
      </c>
      <c r="AL184" s="1173" t="s">
        <v>23</v>
      </c>
      <c r="AM184" s="1173" t="s">
        <v>2774</v>
      </c>
      <c r="AN184" s="1173" t="s">
        <v>2775</v>
      </c>
      <c r="AO184" s="1173" t="s">
        <v>2773</v>
      </c>
      <c r="AP184" s="1173" t="s">
        <v>2225</v>
      </c>
      <c r="AQ184" s="1201" t="s">
        <v>2229</v>
      </c>
      <c r="AR184" s="1200" t="s">
        <v>2111</v>
      </c>
      <c r="AS184" s="1172" t="s">
        <v>2222</v>
      </c>
      <c r="AT184" s="1173" t="s">
        <v>2808</v>
      </c>
      <c r="AU184" s="1173" t="s">
        <v>2223</v>
      </c>
      <c r="AV184" s="1173" t="s">
        <v>23</v>
      </c>
      <c r="AW184" s="1173" t="s">
        <v>2774</v>
      </c>
      <c r="AX184" s="1173" t="s">
        <v>2775</v>
      </c>
      <c r="AY184" s="1173" t="s">
        <v>2773</v>
      </c>
      <c r="AZ184" s="1173" t="s">
        <v>2225</v>
      </c>
      <c r="BA184" s="1201" t="s">
        <v>2229</v>
      </c>
      <c r="BB184" s="1200" t="s">
        <v>2111</v>
      </c>
      <c r="BC184" s="1172" t="s">
        <v>2222</v>
      </c>
      <c r="BD184" s="1173" t="s">
        <v>2808</v>
      </c>
      <c r="BE184" s="1173" t="s">
        <v>2223</v>
      </c>
      <c r="BF184" s="1173" t="s">
        <v>23</v>
      </c>
      <c r="BG184" s="1173" t="s">
        <v>2774</v>
      </c>
      <c r="BH184" s="1173" t="s">
        <v>2775</v>
      </c>
      <c r="BI184" s="1173" t="s">
        <v>2773</v>
      </c>
      <c r="BJ184" s="1173" t="s">
        <v>2225</v>
      </c>
      <c r="BK184" s="1201" t="s">
        <v>2229</v>
      </c>
      <c r="BL184" s="1200" t="s">
        <v>2111</v>
      </c>
      <c r="BM184" s="1172" t="s">
        <v>2222</v>
      </c>
      <c r="BN184" s="1173" t="s">
        <v>2808</v>
      </c>
      <c r="BO184" s="1173" t="s">
        <v>2223</v>
      </c>
      <c r="BP184" s="1173" t="s">
        <v>23</v>
      </c>
      <c r="BQ184" s="1173" t="s">
        <v>2774</v>
      </c>
      <c r="BR184" s="1173" t="s">
        <v>2775</v>
      </c>
      <c r="BS184" s="1173" t="s">
        <v>2773</v>
      </c>
      <c r="BT184" s="1173" t="s">
        <v>2225</v>
      </c>
      <c r="BU184" s="1201" t="s">
        <v>2229</v>
      </c>
      <c r="BV184" s="1200" t="s">
        <v>2111</v>
      </c>
      <c r="BW184" s="1172" t="s">
        <v>2222</v>
      </c>
      <c r="BX184" s="1173" t="s">
        <v>2808</v>
      </c>
      <c r="BY184" s="1173" t="s">
        <v>2223</v>
      </c>
      <c r="BZ184" s="1173" t="s">
        <v>23</v>
      </c>
      <c r="CA184" s="1173" t="s">
        <v>2774</v>
      </c>
      <c r="CB184" s="1173" t="s">
        <v>2775</v>
      </c>
      <c r="CC184" s="1173" t="s">
        <v>2773</v>
      </c>
      <c r="CD184" s="1173" t="s">
        <v>2225</v>
      </c>
      <c r="CE184" s="1201" t="s">
        <v>2229</v>
      </c>
    </row>
    <row r="185" spans="1:83" s="1127" customFormat="1">
      <c r="A185" s="291" t="b">
        <v>0</v>
      </c>
      <c r="B185" s="291" t="s">
        <v>2243</v>
      </c>
      <c r="C185" s="291" t="b">
        <f t="shared" ref="C185:C205" si="119">IF(B185="N/A","",IF(B185="newRates",FALSE,TRUE))</f>
        <v>0</v>
      </c>
      <c r="D185" s="388" t="str">
        <f>IF(C185=FALSE=NAMES!$B$8,"",IF(L185="N/A","N/A",O185&amp;N185&amp;L185&amp;"-"&amp;M185))</f>
        <v>N/A</v>
      </c>
      <c r="E185" s="392" t="str">
        <f t="shared" ref="E185" si="120">IF(L185="N/A","N/A",O185&amp;N185&amp;L185&amp;"-"&amp;M185)</f>
        <v>N/A</v>
      </c>
      <c r="F185" s="1236" t="str">
        <f>IF(X185="N/A","N/A",O185&amp;N185&amp;L185&amp;"-"&amp;X185&amp;M185)</f>
        <v>N/A</v>
      </c>
      <c r="G185" s="1240" t="str">
        <f>IF(AH185="N/A","N/A",O185&amp;N185&amp;L185&amp;"-"&amp;AH185&amp;M185)</f>
        <v>N/A</v>
      </c>
      <c r="H185" s="1240" t="str">
        <f>IF(AR185="N/A","N/A",O185&amp;N185&amp;L185&amp;"-"&amp;AR185&amp;M185)</f>
        <v>N/A</v>
      </c>
      <c r="I185" s="1240" t="str">
        <f>IF(BB185="N/A","N/A",O185&amp;N185&amp;L185&amp;"-"&amp;BB185&amp;M185)</f>
        <v>N/A</v>
      </c>
      <c r="J185" s="1240" t="str">
        <f t="shared" ref="J185:J218" si="121">IF(BL185="N/A","N/A",O185&amp;N185&amp;L185&amp;"-"&amp;BL185)</f>
        <v>N/A</v>
      </c>
      <c r="K185" s="1240" t="str">
        <f t="shared" ref="K185:K218" si="122">IF(BV185="N/A","N/A",O185&amp;N185&amp;L185&amp;"-"&amp;BV185)</f>
        <v>N/A</v>
      </c>
      <c r="L185" s="389" t="s">
        <v>2224</v>
      </c>
      <c r="M185" s="384"/>
      <c r="N185" s="365"/>
      <c r="O185" s="366"/>
      <c r="P185" s="376"/>
      <c r="Q185" s="376"/>
      <c r="R185" s="363"/>
      <c r="S185" s="384"/>
      <c r="T185" s="384"/>
      <c r="U185" s="384"/>
      <c r="V185" s="385"/>
      <c r="W185" s="373" t="str">
        <f t="shared" ref="W185:W218" si="123">IF(X185="N/A","",AA185+AK185+AU185+BE185+BO185+BY185)</f>
        <v/>
      </c>
      <c r="X185" s="388" t="s">
        <v>2224</v>
      </c>
      <c r="Y185" s="1410" t="str">
        <f>IF(E185="N/A","",AA185*(1-Z185))</f>
        <v/>
      </c>
      <c r="Z185" s="377"/>
      <c r="AA185" s="1190" t="str">
        <f>IF(X185="N/A","",Y185/(1-Z185))</f>
        <v/>
      </c>
      <c r="AB185" s="377"/>
      <c r="AC185" s="363"/>
      <c r="AD185" s="393"/>
      <c r="AE185" s="364"/>
      <c r="AF185" s="377"/>
      <c r="AG185" s="1205" t="str">
        <f t="shared" ref="AG185:AG193" si="124">IF(X185="N/A","",AA185*(1+AE185))</f>
        <v/>
      </c>
      <c r="AH185" s="388" t="s">
        <v>2224</v>
      </c>
      <c r="AI185" s="1412"/>
      <c r="AJ185" s="377"/>
      <c r="AK185" s="1418">
        <f>IF(AH185="N/A",0,AI185/(1-AJ185))</f>
        <v>0</v>
      </c>
      <c r="AL185" s="393"/>
      <c r="AM185" s="393"/>
      <c r="AN185" s="393"/>
      <c r="AO185" s="377"/>
      <c r="AP185" s="377"/>
      <c r="AQ185" s="1205" t="str">
        <f t="shared" ref="AQ185:AQ193" si="125">IF(AH185="N/A","",AK185*(1+AO185))</f>
        <v/>
      </c>
      <c r="AR185" s="388" t="s">
        <v>2224</v>
      </c>
      <c r="AS185" s="1410"/>
      <c r="AT185" s="377"/>
      <c r="AU185" s="1190" t="str">
        <f>IF(AR185="N/A","",AS185/(1-AT185))</f>
        <v/>
      </c>
      <c r="AV185" s="393"/>
      <c r="AW185" s="393"/>
      <c r="AX185" s="393"/>
      <c r="AY185" s="377"/>
      <c r="AZ185" s="377"/>
      <c r="BA185" s="1205" t="str">
        <f t="shared" ref="BA185:BA193" si="126">IF(AR185="N/A","",AU185*(1+AY185))</f>
        <v/>
      </c>
      <c r="BB185" s="388" t="s">
        <v>2224</v>
      </c>
      <c r="BC185" s="386"/>
      <c r="BD185" s="377"/>
      <c r="BE185" s="1190">
        <f>IF(BB185="N/A",0,BC185/(1-BD185))</f>
        <v>0</v>
      </c>
      <c r="BF185" s="393"/>
      <c r="BG185" s="393"/>
      <c r="BH185" s="393"/>
      <c r="BI185" s="377"/>
      <c r="BJ185" s="377"/>
      <c r="BK185" s="1205" t="str">
        <f t="shared" ref="BK185:BK193" si="127">IF(BB185="N/A","",BE185*(1+BI185))</f>
        <v/>
      </c>
      <c r="BL185" s="1202" t="s">
        <v>2224</v>
      </c>
      <c r="BM185" s="1109"/>
      <c r="BN185" s="1109"/>
      <c r="BO185" s="1109"/>
      <c r="BP185" s="1109"/>
      <c r="BQ185" s="1109"/>
      <c r="BR185" s="1109"/>
      <c r="BS185" s="1109"/>
      <c r="BT185" s="1109"/>
      <c r="BU185" s="380"/>
      <c r="BV185" s="1202" t="s">
        <v>2224</v>
      </c>
      <c r="BW185" s="1109"/>
      <c r="BX185" s="1109"/>
      <c r="BY185" s="1109"/>
      <c r="BZ185" s="1109"/>
      <c r="CA185" s="1109"/>
      <c r="CB185" s="1109"/>
      <c r="CC185" s="1109"/>
      <c r="CD185" s="1109"/>
      <c r="CE185" s="380"/>
    </row>
    <row r="186" spans="1:83" s="1127" customFormat="1">
      <c r="A186" s="291" t="b">
        <v>0</v>
      </c>
      <c r="B186" s="291" t="s">
        <v>2243</v>
      </c>
      <c r="C186" s="291" t="b">
        <f t="shared" ref="C186:C196" si="128">IF(B186="N/A","",IF(B186="newRates",FALSE,TRUE))</f>
        <v>0</v>
      </c>
      <c r="D186" s="388" t="str">
        <f>IF(C186=FALSE=NAMES!$B$8,"",IF(L186="N/A","N/A",O186&amp;N186&amp;L186&amp;"-"&amp;M186))</f>
        <v>2017EURAIG Luxembourg-Formula 1C accident</v>
      </c>
      <c r="E186" s="392" t="str">
        <f t="shared" ref="E186:E196" si="129">IF(L186="N/A","N/A",O186&amp;N186&amp;L186&amp;"-"&amp;M186)</f>
        <v>2017EURAIG Luxembourg-Formula 1C accident</v>
      </c>
      <c r="F186" s="1236" t="str">
        <f t="shared" ref="F186:F196" si="130">IF(X186="N/A","N/A",O186&amp;N186&amp;L186&amp;"-"&amp;X186&amp;M186)</f>
        <v>2017EURAIG Luxembourg-Death AccidentFormula 1C accident</v>
      </c>
      <c r="G186" s="1240" t="str">
        <f t="shared" ref="G186:G196" si="131">IF(AH186="N/A","N/A",O186&amp;N186&amp;L186&amp;"-"&amp;AH186&amp;M186)</f>
        <v>N/A</v>
      </c>
      <c r="H186" s="1240" t="str">
        <f t="shared" ref="H186:H196" si="132">IF(AR186="N/A","N/A",O186&amp;N186&amp;L186&amp;"-"&amp;AR186&amp;M186)</f>
        <v>2017EURAIG Luxembourg-Permanent Disability AccidentFormula 1C accident</v>
      </c>
      <c r="I186" s="1240" t="str">
        <f t="shared" ref="I186:I196" si="133">IF(BB186="N/A","N/A",O186&amp;N186&amp;L186&amp;"-"&amp;BB186&amp;M186)</f>
        <v>N/A</v>
      </c>
      <c r="J186" s="1240" t="str">
        <f t="shared" ref="J186:J196" si="134">IF(BL186="N/A","N/A",O186&amp;N186&amp;L186&amp;"-"&amp;BL186)</f>
        <v>N/A</v>
      </c>
      <c r="K186" s="1240" t="str">
        <f t="shared" ref="K186:K196" si="135">IF(BV186="N/A","N/A",O186&amp;N186&amp;L186&amp;"-"&amp;BV186)</f>
        <v>N/A</v>
      </c>
      <c r="L186" s="392" t="s">
        <v>4</v>
      </c>
      <c r="M186" s="1109" t="s">
        <v>2813</v>
      </c>
      <c r="N186" s="392" t="s">
        <v>32</v>
      </c>
      <c r="O186" s="376">
        <v>2017</v>
      </c>
      <c r="P186" s="376" t="s">
        <v>26</v>
      </c>
      <c r="Q186" s="376"/>
      <c r="R186" s="377">
        <v>0.05</v>
      </c>
      <c r="S186" s="1151"/>
      <c r="T186" s="1151"/>
      <c r="U186" s="1151"/>
      <c r="V186" s="1109">
        <v>365</v>
      </c>
      <c r="W186" s="373">
        <f t="shared" si="123"/>
        <v>1.7596000000000001E-3</v>
      </c>
      <c r="X186" s="197" t="s">
        <v>6</v>
      </c>
      <c r="Y186" s="1410"/>
      <c r="Z186" s="377">
        <v>0.25</v>
      </c>
      <c r="AA186" s="625">
        <v>8.7980000000000003E-4</v>
      </c>
      <c r="AB186" s="377">
        <v>0</v>
      </c>
      <c r="AC186" s="378">
        <v>0</v>
      </c>
      <c r="AD186" s="393"/>
      <c r="AE186" s="377">
        <v>0.04</v>
      </c>
      <c r="AF186" s="377"/>
      <c r="AG186" s="1205">
        <f t="shared" si="124"/>
        <v>9.1499200000000011E-4</v>
      </c>
      <c r="AH186" s="388" t="s">
        <v>2224</v>
      </c>
      <c r="AI186" s="1416"/>
      <c r="AJ186" s="1171"/>
      <c r="AK186" s="1418">
        <f t="shared" ref="AK186:AK187" si="136">IF(AH186="N/A",0,AI186/(1-AJ186))</f>
        <v>0</v>
      </c>
      <c r="AL186" s="1171"/>
      <c r="AM186" s="1171"/>
      <c r="AN186" s="393"/>
      <c r="AO186" s="1171"/>
      <c r="AP186" s="1171"/>
      <c r="AQ186" s="1205" t="str">
        <f t="shared" si="125"/>
        <v/>
      </c>
      <c r="AR186" s="197" t="s">
        <v>9</v>
      </c>
      <c r="AS186" s="1412"/>
      <c r="AT186" s="377">
        <v>0.25</v>
      </c>
      <c r="AU186" s="625">
        <v>8.7980000000000003E-4</v>
      </c>
      <c r="AV186" s="377">
        <v>0</v>
      </c>
      <c r="AW186" s="378">
        <v>0</v>
      </c>
      <c r="AX186" s="393"/>
      <c r="AY186" s="377">
        <v>0.04</v>
      </c>
      <c r="AZ186" s="377"/>
      <c r="BA186" s="1205">
        <f t="shared" si="126"/>
        <v>9.1499200000000011E-4</v>
      </c>
      <c r="BB186" s="388" t="s">
        <v>2224</v>
      </c>
      <c r="BC186" s="1171"/>
      <c r="BD186" s="1171"/>
      <c r="BE186" s="1190">
        <f t="shared" ref="BE186:BE187" si="137">IF(BB186="N/A",0,BC186/(1-BD186))</f>
        <v>0</v>
      </c>
      <c r="BF186" s="1171"/>
      <c r="BG186" s="1171"/>
      <c r="BH186" s="393"/>
      <c r="BI186" s="1171"/>
      <c r="BJ186" s="1171"/>
      <c r="BK186" s="1205" t="str">
        <f t="shared" si="127"/>
        <v/>
      </c>
      <c r="BL186" s="1202" t="s">
        <v>2224</v>
      </c>
      <c r="BM186" s="1109"/>
      <c r="BN186" s="1109"/>
      <c r="BO186" s="1109"/>
      <c r="BP186" s="1109"/>
      <c r="BQ186" s="1109"/>
      <c r="BR186" s="1109"/>
      <c r="BS186" s="1109"/>
      <c r="BT186" s="1109"/>
      <c r="BU186" s="380"/>
      <c r="BV186" s="1202" t="s">
        <v>2224</v>
      </c>
      <c r="BW186" s="1109"/>
      <c r="BX186" s="1109"/>
      <c r="BY186" s="1109"/>
      <c r="BZ186" s="1109"/>
      <c r="CA186" s="1109"/>
      <c r="CB186" s="1109"/>
      <c r="CC186" s="1109"/>
      <c r="CD186" s="1109"/>
      <c r="CE186" s="380"/>
    </row>
    <row r="187" spans="1:83" s="1127" customFormat="1">
      <c r="A187" s="291" t="b">
        <v>0</v>
      </c>
      <c r="B187" s="291" t="s">
        <v>2243</v>
      </c>
      <c r="C187" s="291" t="b">
        <f t="shared" si="128"/>
        <v>0</v>
      </c>
      <c r="D187" s="388" t="str">
        <f>IF(C187=FALSE=NAMES!$B$8,"",IF(L187="N/A","N/A",O187&amp;N187&amp;L187&amp;"-"&amp;M187))</f>
        <v>2017EURAnker Verzekeringen n.v.-Formula 1B</v>
      </c>
      <c r="E187" s="392" t="str">
        <f t="shared" si="129"/>
        <v>2017EURAnker Verzekeringen n.v.-Formula 1B</v>
      </c>
      <c r="F187" s="1236" t="str">
        <f t="shared" si="130"/>
        <v>2017EURAnker Verzekeringen n.v.-Death AccidentFormula 1B</v>
      </c>
      <c r="G187" s="1240" t="str">
        <f t="shared" si="131"/>
        <v>2017EURAnker Verzekeringen n.v.-Death illnessFormula 1B</v>
      </c>
      <c r="H187" s="1240" t="str">
        <f t="shared" si="132"/>
        <v>2017EURAnker Verzekeringen n.v.-Permanent Disability AccidentFormula 1B</v>
      </c>
      <c r="I187" s="1240" t="str">
        <f t="shared" si="133"/>
        <v>2017EURAnker Verzekeringen n.v.-Permanent Disability illnessFormula 1B</v>
      </c>
      <c r="J187" s="1240" t="str">
        <f t="shared" si="134"/>
        <v>N/A</v>
      </c>
      <c r="K187" s="1240" t="str">
        <f t="shared" si="135"/>
        <v>N/A</v>
      </c>
      <c r="L187" s="392" t="s">
        <v>7</v>
      </c>
      <c r="M187" s="1109" t="s">
        <v>1769</v>
      </c>
      <c r="N187" s="392" t="s">
        <v>32</v>
      </c>
      <c r="O187" s="376">
        <v>2017</v>
      </c>
      <c r="P187" s="376" t="s">
        <v>2234</v>
      </c>
      <c r="Q187" s="376"/>
      <c r="R187" s="377">
        <v>0</v>
      </c>
      <c r="S187" s="1109"/>
      <c r="T187" s="1109"/>
      <c r="U187" s="1109"/>
      <c r="V187" s="1109">
        <v>365</v>
      </c>
      <c r="W187" s="373">
        <f t="shared" si="123"/>
        <v>5.326896551724138E-3</v>
      </c>
      <c r="X187" s="197" t="s">
        <v>6</v>
      </c>
      <c r="Y187" s="1410">
        <v>5.0100000000000003E-4</v>
      </c>
      <c r="Z187" s="377">
        <v>0.27500000000000002</v>
      </c>
      <c r="AA187" s="1190">
        <f>IF(X187="N/A","",Y187/(1-Z187))</f>
        <v>6.9103448275862072E-4</v>
      </c>
      <c r="AB187" s="377">
        <v>0</v>
      </c>
      <c r="AC187" s="378">
        <v>0</v>
      </c>
      <c r="AD187" s="393"/>
      <c r="AE187" s="377">
        <v>0.04</v>
      </c>
      <c r="AF187" s="377"/>
      <c r="AG187" s="1205">
        <f t="shared" si="124"/>
        <v>7.1867586206896558E-4</v>
      </c>
      <c r="AH187" s="197" t="s">
        <v>2114</v>
      </c>
      <c r="AI187" s="1410">
        <v>1.253E-3</v>
      </c>
      <c r="AJ187" s="377">
        <v>0.27500000000000002</v>
      </c>
      <c r="AK187" s="1418">
        <f t="shared" si="136"/>
        <v>1.7282758620689655E-3</v>
      </c>
      <c r="AL187" s="377">
        <v>0</v>
      </c>
      <c r="AM187" s="378">
        <v>0</v>
      </c>
      <c r="AN187" s="393"/>
      <c r="AO187" s="377">
        <v>0.04</v>
      </c>
      <c r="AP187" s="377"/>
      <c r="AQ187" s="1205">
        <f t="shared" si="125"/>
        <v>1.7974068965517242E-3</v>
      </c>
      <c r="AR187" s="197" t="s">
        <v>9</v>
      </c>
      <c r="AS187" s="1410">
        <v>6.1899999999999998E-4</v>
      </c>
      <c r="AT187" s="377">
        <v>0.27500000000000002</v>
      </c>
      <c r="AU187" s="1190">
        <f>IF(AR187="N/A","",AS187/(1-AT187))</f>
        <v>8.5379310344827581E-4</v>
      </c>
      <c r="AV187" s="377">
        <v>0</v>
      </c>
      <c r="AW187" s="378">
        <v>0</v>
      </c>
      <c r="AX187" s="393"/>
      <c r="AY187" s="377">
        <v>0.04</v>
      </c>
      <c r="AZ187" s="377"/>
      <c r="BA187" s="1205">
        <f t="shared" si="126"/>
        <v>8.8794482758620692E-4</v>
      </c>
      <c r="BB187" s="197" t="s">
        <v>2115</v>
      </c>
      <c r="BC187" s="393">
        <v>1.4890000000000001E-3</v>
      </c>
      <c r="BD187" s="377">
        <v>0.27500000000000002</v>
      </c>
      <c r="BE187" s="1190">
        <f t="shared" si="137"/>
        <v>2.0537931034482759E-3</v>
      </c>
      <c r="BF187" s="377">
        <v>0</v>
      </c>
      <c r="BG187" s="378">
        <v>0</v>
      </c>
      <c r="BH187" s="393"/>
      <c r="BI187" s="377">
        <v>0.04</v>
      </c>
      <c r="BJ187" s="377"/>
      <c r="BK187" s="1205">
        <f t="shared" si="127"/>
        <v>2.1359448275862069E-3</v>
      </c>
      <c r="BL187" s="1202" t="s">
        <v>2224</v>
      </c>
      <c r="BM187" s="1109"/>
      <c r="BN187" s="1109"/>
      <c r="BO187" s="1109"/>
      <c r="BP187" s="1109"/>
      <c r="BQ187" s="1109"/>
      <c r="BR187" s="1109"/>
      <c r="BS187" s="1109"/>
      <c r="BT187" s="1109"/>
      <c r="BU187" s="380"/>
      <c r="BV187" s="1202" t="s">
        <v>2224</v>
      </c>
      <c r="BW187" s="1109"/>
      <c r="BX187" s="1109"/>
      <c r="BY187" s="1109"/>
      <c r="BZ187" s="1109"/>
      <c r="CA187" s="1109"/>
      <c r="CB187" s="1109"/>
      <c r="CC187" s="1109"/>
      <c r="CD187" s="1109"/>
      <c r="CE187" s="380"/>
    </row>
    <row r="188" spans="1:83" s="1127" customFormat="1">
      <c r="A188" s="291"/>
      <c r="B188" s="291" t="s">
        <v>2243</v>
      </c>
      <c r="C188" s="291" t="b">
        <f t="shared" si="128"/>
        <v>0</v>
      </c>
      <c r="D188" s="388" t="str">
        <f>IF(C188=FALSE=NAMES!$B$8,"",IF(L188="N/A","N/A",O188&amp;N188&amp;L188&amp;"-"&amp;M188))</f>
        <v>2017EURAnker Verzekeringen n.v.-Formula 1A</v>
      </c>
      <c r="E188" s="392" t="str">
        <f t="shared" si="129"/>
        <v>2017EURAnker Verzekeringen n.v.-Formula 1A</v>
      </c>
      <c r="F188" s="1236" t="str">
        <f t="shared" si="130"/>
        <v>2017EURAnker Verzekeringen n.v.-Death AccidentFormula 1A</v>
      </c>
      <c r="G188" s="1240" t="str">
        <f t="shared" si="131"/>
        <v>2017EURAnker Verzekeringen n.v.-Formula 1A</v>
      </c>
      <c r="H188" s="1240" t="str">
        <f t="shared" si="132"/>
        <v>2017EURAnker Verzekeringen n.v.-Permanent Disability AccidentFormula 1A</v>
      </c>
      <c r="I188" s="1240" t="str">
        <f t="shared" si="133"/>
        <v>2017EURAnker Verzekeringen n.v.-Formula 1A</v>
      </c>
      <c r="J188" s="1240" t="str">
        <f t="shared" si="134"/>
        <v>2017EURAnker Verzekeringen n.v.-</v>
      </c>
      <c r="K188" s="1240" t="str">
        <f t="shared" si="135"/>
        <v>2017EURAnker Verzekeringen n.v.-</v>
      </c>
      <c r="L188" s="392" t="s">
        <v>7</v>
      </c>
      <c r="M188" s="1109" t="s">
        <v>1764</v>
      </c>
      <c r="N188" s="392" t="s">
        <v>32</v>
      </c>
      <c r="O188" s="376">
        <v>2017</v>
      </c>
      <c r="P188" s="376" t="s">
        <v>2234</v>
      </c>
      <c r="Q188" s="376"/>
      <c r="R188" s="377">
        <v>0</v>
      </c>
      <c r="S188" s="1109"/>
      <c r="T188" s="1109"/>
      <c r="U188" s="1109"/>
      <c r="V188" s="1109">
        <v>365</v>
      </c>
      <c r="W188" s="373">
        <f t="shared" ref="W188" si="138">IF(X188="N/A","",AA188+AK188+AU188+BE188+BO188+BY188)</f>
        <v>1.5448275862068965E-3</v>
      </c>
      <c r="X188" s="197" t="s">
        <v>6</v>
      </c>
      <c r="Y188" s="1410">
        <v>5.0100000000000003E-4</v>
      </c>
      <c r="Z188" s="377">
        <v>0.27500000000000002</v>
      </c>
      <c r="AA188" s="1190">
        <f>IF(X188="N/A","",Y188/(1-Z188))</f>
        <v>6.9103448275862072E-4</v>
      </c>
      <c r="AB188" s="377">
        <v>0</v>
      </c>
      <c r="AC188" s="378">
        <v>0</v>
      </c>
      <c r="AD188" s="393"/>
      <c r="AE188" s="377">
        <v>0.04</v>
      </c>
      <c r="AF188" s="377"/>
      <c r="AG188" s="1205">
        <f t="shared" ref="AG188" si="139">IF(X188="N/A","",AA188*(1+AE188))</f>
        <v>7.1867586206896558E-4</v>
      </c>
      <c r="AH188" s="197"/>
      <c r="AI188" s="1410"/>
      <c r="AJ188" s="377"/>
      <c r="AK188" s="1418"/>
      <c r="AL188" s="377"/>
      <c r="AM188" s="378"/>
      <c r="AN188" s="393"/>
      <c r="AO188" s="377"/>
      <c r="AP188" s="377"/>
      <c r="AQ188" s="1205"/>
      <c r="AR188" s="197" t="s">
        <v>9</v>
      </c>
      <c r="AS188" s="1410">
        <v>6.1899999999999998E-4</v>
      </c>
      <c r="AT188" s="377">
        <v>0.27500000000000002</v>
      </c>
      <c r="AU188" s="1190">
        <f>IF(AR188="N/A","",AS188/(1-AT188))</f>
        <v>8.5379310344827581E-4</v>
      </c>
      <c r="AV188" s="377">
        <v>0</v>
      </c>
      <c r="AW188" s="378">
        <v>0</v>
      </c>
      <c r="AX188" s="393"/>
      <c r="AY188" s="377">
        <v>0.04</v>
      </c>
      <c r="AZ188" s="377"/>
      <c r="BA188" s="1205">
        <f t="shared" ref="BA188" si="140">IF(AR188="N/A","",AU188*(1+AY188))</f>
        <v>8.8794482758620692E-4</v>
      </c>
      <c r="BB188" s="197"/>
      <c r="BC188" s="393"/>
      <c r="BD188" s="377"/>
      <c r="BE188" s="1190"/>
      <c r="BF188" s="377"/>
      <c r="BG188" s="378"/>
      <c r="BH188" s="393"/>
      <c r="BI188" s="377"/>
      <c r="BJ188" s="377"/>
      <c r="BK188" s="1205"/>
      <c r="BL188" s="1202"/>
      <c r="BM188" s="1109"/>
      <c r="BN188" s="1109"/>
      <c r="BO188" s="1109"/>
      <c r="BP188" s="1109"/>
      <c r="BQ188" s="1109"/>
      <c r="BR188" s="1109"/>
      <c r="BS188" s="1109"/>
      <c r="BT188" s="1109"/>
      <c r="BU188" s="380"/>
      <c r="BV188" s="1202"/>
      <c r="BW188" s="1109"/>
      <c r="BX188" s="1109"/>
      <c r="BY188" s="1109"/>
      <c r="BZ188" s="1109"/>
      <c r="CA188" s="1109"/>
      <c r="CB188" s="1109"/>
      <c r="CC188" s="1109"/>
      <c r="CD188" s="1109"/>
      <c r="CE188" s="380"/>
    </row>
    <row r="189" spans="1:83" s="1198" customFormat="1">
      <c r="A189" s="291" t="b">
        <v>0</v>
      </c>
      <c r="B189" s="291" t="s">
        <v>2243</v>
      </c>
      <c r="C189" s="291" t="b">
        <f t="shared" si="128"/>
        <v>0</v>
      </c>
      <c r="D189" s="388" t="str">
        <f>IF(C189=FALSE=NAMES!$B$8,"",IF(L189="N/A","N/A",O189&amp;N189&amp;L189&amp;"-"&amp;M189))</f>
        <v>2017EURAnker Verzekeringen n.v.-Formula 1R</v>
      </c>
      <c r="E189" s="392" t="str">
        <f t="shared" si="129"/>
        <v>2017EURAnker Verzekeringen n.v.-Formula 1R</v>
      </c>
      <c r="F189" s="1236" t="str">
        <f t="shared" si="130"/>
        <v>2017EURAnker Verzekeringen n.v.-Death AccidentFormula 1R</v>
      </c>
      <c r="G189" s="1240" t="str">
        <f t="shared" si="131"/>
        <v>2017EURAnker Verzekeringen n.v.-Death illnessFormula 1R</v>
      </c>
      <c r="H189" s="1240" t="str">
        <f t="shared" si="132"/>
        <v>2017EURAnker Verzekeringen n.v.-Permanent Disability AccidentFormula 1R</v>
      </c>
      <c r="I189" s="1240" t="str">
        <f t="shared" si="133"/>
        <v>2017EURAnker Verzekeringen n.v.-Permanent Disability illnessFormula 1R</v>
      </c>
      <c r="J189" s="1240" t="str">
        <f t="shared" si="134"/>
        <v>N/A</v>
      </c>
      <c r="K189" s="1240" t="str">
        <f t="shared" si="135"/>
        <v>N/A</v>
      </c>
      <c r="L189" s="1193" t="s">
        <v>7</v>
      </c>
      <c r="M189" s="1194" t="s">
        <v>2826</v>
      </c>
      <c r="N189" s="1193" t="s">
        <v>32</v>
      </c>
      <c r="O189" s="1195">
        <v>2017</v>
      </c>
      <c r="P189" s="1195" t="s">
        <v>2234</v>
      </c>
      <c r="Q189" s="1195"/>
      <c r="R189" s="1196">
        <v>0</v>
      </c>
      <c r="S189" s="1194" t="s">
        <v>2379</v>
      </c>
      <c r="T189" s="1194"/>
      <c r="U189" s="1194"/>
      <c r="V189" s="1194">
        <v>365</v>
      </c>
      <c r="W189" s="373">
        <f t="shared" si="123"/>
        <v>4.7944827586206898E-3</v>
      </c>
      <c r="X189" s="1192" t="s">
        <v>6</v>
      </c>
      <c r="Y189" s="1411">
        <v>4.5100000000000001E-4</v>
      </c>
      <c r="Z189" s="1196">
        <v>0.27500000000000002</v>
      </c>
      <c r="AA189" s="373">
        <f>IF(X189="N/A","",Y189/(1-Z189))</f>
        <v>6.2206896551724139E-4</v>
      </c>
      <c r="AB189" s="1196">
        <v>0</v>
      </c>
      <c r="AC189" s="1199">
        <v>0</v>
      </c>
      <c r="AD189" s="373"/>
      <c r="AE189" s="1196">
        <v>0.04</v>
      </c>
      <c r="AF189" s="1196"/>
      <c r="AG189" s="1206">
        <f t="shared" si="124"/>
        <v>6.4695172413793104E-4</v>
      </c>
      <c r="AH189" s="1192" t="s">
        <v>2114</v>
      </c>
      <c r="AI189" s="1411">
        <v>1.1280000000000001E-3</v>
      </c>
      <c r="AJ189" s="1196">
        <v>0.27500000000000002</v>
      </c>
      <c r="AK189" s="1418">
        <f>IF(AH189="N/A",0,AI189/(1-AJ189))</f>
        <v>1.5558620689655174E-3</v>
      </c>
      <c r="AL189" s="1196">
        <v>0</v>
      </c>
      <c r="AM189" s="1199">
        <v>0</v>
      </c>
      <c r="AN189" s="373"/>
      <c r="AO189" s="1196">
        <v>0.04</v>
      </c>
      <c r="AP189" s="1196"/>
      <c r="AQ189" s="1206">
        <f t="shared" si="125"/>
        <v>1.6180965517241382E-3</v>
      </c>
      <c r="AR189" s="1192" t="s">
        <v>9</v>
      </c>
      <c r="AS189" s="1411">
        <v>5.5699999999999999E-4</v>
      </c>
      <c r="AT189" s="1196">
        <v>0.27500000000000002</v>
      </c>
      <c r="AU189" s="373">
        <f>IF(AR189="N/A","",AS189/(1-AT189))</f>
        <v>7.6827586206896549E-4</v>
      </c>
      <c r="AV189" s="1196">
        <v>0</v>
      </c>
      <c r="AW189" s="1199">
        <v>0</v>
      </c>
      <c r="AX189" s="373"/>
      <c r="AY189" s="1196">
        <v>0.04</v>
      </c>
      <c r="AZ189" s="1196"/>
      <c r="BA189" s="1206">
        <f t="shared" si="126"/>
        <v>7.9900689655172414E-4</v>
      </c>
      <c r="BB189" s="1192" t="s">
        <v>2115</v>
      </c>
      <c r="BC189" s="373">
        <v>1.34E-3</v>
      </c>
      <c r="BD189" s="1196">
        <v>0.27500000000000002</v>
      </c>
      <c r="BE189" s="1190">
        <f>IF(BB189="N/A",0,BC189/(1-BD189))</f>
        <v>1.8482758620689656E-3</v>
      </c>
      <c r="BF189" s="1196">
        <v>0</v>
      </c>
      <c r="BG189" s="1199">
        <v>0</v>
      </c>
      <c r="BH189" s="373"/>
      <c r="BI189" s="1196">
        <v>0.04</v>
      </c>
      <c r="BJ189" s="1196"/>
      <c r="BK189" s="1206">
        <f t="shared" si="127"/>
        <v>1.9222068965517242E-3</v>
      </c>
      <c r="BL189" s="1202" t="s">
        <v>2224</v>
      </c>
      <c r="BM189" s="1194"/>
      <c r="BN189" s="1194"/>
      <c r="BO189" s="1194"/>
      <c r="BP189" s="1194"/>
      <c r="BQ189" s="1194"/>
      <c r="BR189" s="1194"/>
      <c r="BS189" s="1194"/>
      <c r="BT189" s="1194"/>
      <c r="BU189" s="1197"/>
      <c r="BV189" s="1202" t="s">
        <v>2224</v>
      </c>
      <c r="BW189" s="1194"/>
      <c r="BX189" s="1194"/>
      <c r="BY189" s="1194"/>
      <c r="BZ189" s="1194"/>
      <c r="CA189" s="1194"/>
      <c r="CB189" s="1194"/>
      <c r="CC189" s="1194"/>
      <c r="CD189" s="1194"/>
      <c r="CE189" s="1197"/>
    </row>
    <row r="190" spans="1:83" s="1127" customFormat="1">
      <c r="A190" s="291" t="b">
        <v>0</v>
      </c>
      <c r="B190" s="291" t="s">
        <v>2243</v>
      </c>
      <c r="C190" s="291" t="b">
        <f t="shared" si="128"/>
        <v>0</v>
      </c>
      <c r="D190" s="388" t="str">
        <f>IF(C190=FALSE=NAMES!$B$8,"",IF(L190="N/A","N/A",O190&amp;N190&amp;L190&amp;"-"&amp;M190))</f>
        <v>2017USDAIG Luxembourg-Formula 1C accident</v>
      </c>
      <c r="E190" s="392" t="str">
        <f t="shared" si="129"/>
        <v>2017USDAIG Luxembourg-Formula 1C accident</v>
      </c>
      <c r="F190" s="1236" t="str">
        <f t="shared" si="130"/>
        <v>2017USDAIG Luxembourg-Death AccidentFormula 1C accident</v>
      </c>
      <c r="G190" s="1240" t="str">
        <f t="shared" si="131"/>
        <v>N/A</v>
      </c>
      <c r="H190" s="1240" t="str">
        <f t="shared" si="132"/>
        <v>2017USDAIG Luxembourg-Permanent Disability AccidentFormula 1C accident</v>
      </c>
      <c r="I190" s="1240" t="str">
        <f t="shared" si="133"/>
        <v>N/A</v>
      </c>
      <c r="J190" s="1240" t="str">
        <f t="shared" si="134"/>
        <v>N/A</v>
      </c>
      <c r="K190" s="1240" t="str">
        <f t="shared" si="135"/>
        <v>N/A</v>
      </c>
      <c r="L190" s="392" t="s">
        <v>4</v>
      </c>
      <c r="M190" s="1109" t="s">
        <v>2813</v>
      </c>
      <c r="N190" s="392" t="s">
        <v>87</v>
      </c>
      <c r="O190" s="376">
        <v>2017</v>
      </c>
      <c r="P190" s="376" t="s">
        <v>26</v>
      </c>
      <c r="Q190" s="376"/>
      <c r="R190" s="377">
        <v>0.05</v>
      </c>
      <c r="S190" s="1151"/>
      <c r="T190" s="1151"/>
      <c r="U190" s="1151"/>
      <c r="V190" s="1109">
        <v>365</v>
      </c>
      <c r="W190" s="373">
        <f t="shared" si="123"/>
        <v>1.7596000000000001E-3</v>
      </c>
      <c r="X190" s="197" t="s">
        <v>6</v>
      </c>
      <c r="Y190" s="1412"/>
      <c r="Z190" s="377">
        <v>0.25</v>
      </c>
      <c r="AA190" s="625">
        <v>8.7980000000000003E-4</v>
      </c>
      <c r="AB190" s="377">
        <v>0</v>
      </c>
      <c r="AC190" s="378">
        <v>0</v>
      </c>
      <c r="AD190" s="393"/>
      <c r="AE190" s="377">
        <v>0.04</v>
      </c>
      <c r="AF190" s="377"/>
      <c r="AG190" s="1205">
        <f t="shared" si="124"/>
        <v>9.1499200000000011E-4</v>
      </c>
      <c r="AH190" s="388" t="s">
        <v>2224</v>
      </c>
      <c r="AI190" s="1412"/>
      <c r="AJ190" s="377"/>
      <c r="AK190" s="1418">
        <f>IF(AH190="N/A",0,AI190/(1-AJ190))</f>
        <v>0</v>
      </c>
      <c r="AL190" s="393"/>
      <c r="AM190" s="393"/>
      <c r="AN190" s="393"/>
      <c r="AO190" s="377"/>
      <c r="AP190" s="377"/>
      <c r="AQ190" s="1205" t="str">
        <f t="shared" si="125"/>
        <v/>
      </c>
      <c r="AR190" s="197" t="s">
        <v>9</v>
      </c>
      <c r="AS190" s="1412"/>
      <c r="AT190" s="377">
        <v>0.25</v>
      </c>
      <c r="AU190" s="625">
        <v>8.7980000000000003E-4</v>
      </c>
      <c r="AV190" s="377">
        <v>0</v>
      </c>
      <c r="AW190" s="378">
        <v>0</v>
      </c>
      <c r="AX190" s="393"/>
      <c r="AY190" s="377">
        <v>0.04</v>
      </c>
      <c r="AZ190" s="377"/>
      <c r="BA190" s="1205">
        <f t="shared" si="126"/>
        <v>9.1499200000000011E-4</v>
      </c>
      <c r="BB190" s="388" t="s">
        <v>2224</v>
      </c>
      <c r="BC190" s="386"/>
      <c r="BD190" s="377"/>
      <c r="BE190" s="1190">
        <f>IF(BB190="N/A",0,BC190/(1-BD190))</f>
        <v>0</v>
      </c>
      <c r="BF190" s="393"/>
      <c r="BG190" s="393"/>
      <c r="BH190" s="393"/>
      <c r="BI190" s="377"/>
      <c r="BJ190" s="377"/>
      <c r="BK190" s="1205" t="str">
        <f t="shared" si="127"/>
        <v/>
      </c>
      <c r="BL190" s="1202" t="s">
        <v>2224</v>
      </c>
      <c r="BM190" s="1109"/>
      <c r="BN190" s="1109"/>
      <c r="BO190" s="1109"/>
      <c r="BP190" s="1109"/>
      <c r="BQ190" s="1109"/>
      <c r="BR190" s="1109"/>
      <c r="BS190" s="1109"/>
      <c r="BT190" s="1109"/>
      <c r="BU190" s="380"/>
      <c r="BV190" s="1202" t="s">
        <v>2224</v>
      </c>
      <c r="BW190" s="1109"/>
      <c r="BX190" s="1109"/>
      <c r="BY190" s="1109"/>
      <c r="BZ190" s="1109"/>
      <c r="CA190" s="1109"/>
      <c r="CB190" s="1109"/>
      <c r="CC190" s="1109"/>
      <c r="CD190" s="1109"/>
      <c r="CE190" s="380"/>
    </row>
    <row r="191" spans="1:83" s="1127" customFormat="1">
      <c r="A191" s="291" t="b">
        <v>0</v>
      </c>
      <c r="B191" s="291" t="s">
        <v>2243</v>
      </c>
      <c r="C191" s="291" t="b">
        <f t="shared" si="128"/>
        <v>0</v>
      </c>
      <c r="D191" s="388" t="str">
        <f>IF(C191=FALSE=NAMES!$B$8,"",IF(L191="N/A","N/A",O191&amp;N191&amp;L191&amp;"-"&amp;M191))</f>
        <v>2017USDAnker Verzekeringen n.v.-Formula 1B</v>
      </c>
      <c r="E191" s="392" t="str">
        <f t="shared" si="129"/>
        <v>2017USDAnker Verzekeringen n.v.-Formula 1B</v>
      </c>
      <c r="F191" s="1236" t="str">
        <f t="shared" si="130"/>
        <v>2017USDAnker Verzekeringen n.v.-Death AccidentFormula 1B</v>
      </c>
      <c r="G191" s="1240" t="str">
        <f t="shared" si="131"/>
        <v>2017USDAnker Verzekeringen n.v.-Death illnessFormula 1B</v>
      </c>
      <c r="H191" s="1240" t="str">
        <f t="shared" si="132"/>
        <v>2017USDAnker Verzekeringen n.v.-Permanent Disability AccidentFormula 1B</v>
      </c>
      <c r="I191" s="1240" t="str">
        <f t="shared" si="133"/>
        <v>2017USDAnker Verzekeringen n.v.-Permanent Disability illnessFormula 1B</v>
      </c>
      <c r="J191" s="1240" t="str">
        <f t="shared" si="134"/>
        <v>N/A</v>
      </c>
      <c r="K191" s="1240" t="str">
        <f t="shared" si="135"/>
        <v>N/A</v>
      </c>
      <c r="L191" s="392" t="s">
        <v>7</v>
      </c>
      <c r="M191" s="1109" t="s">
        <v>1769</v>
      </c>
      <c r="N191" s="392" t="s">
        <v>87</v>
      </c>
      <c r="O191" s="376">
        <v>2017</v>
      </c>
      <c r="P191" s="376" t="s">
        <v>2234</v>
      </c>
      <c r="Q191" s="376"/>
      <c r="R191" s="377">
        <v>0</v>
      </c>
      <c r="S191" s="1109"/>
      <c r="T191" s="1109"/>
      <c r="U191" s="1109"/>
      <c r="V191" s="1109">
        <v>365</v>
      </c>
      <c r="W191" s="373">
        <f t="shared" si="123"/>
        <v>5.1682758620689656E-3</v>
      </c>
      <c r="X191" s="197" t="s">
        <v>6</v>
      </c>
      <c r="Y191" s="1410">
        <v>5.8600000000000004E-4</v>
      </c>
      <c r="Z191" s="377">
        <v>0.27500000000000002</v>
      </c>
      <c r="AA191" s="1190">
        <f>IF(X191="N/A","",Y191/(1-Z191))</f>
        <v>8.0827586206896559E-4</v>
      </c>
      <c r="AB191" s="377">
        <v>0</v>
      </c>
      <c r="AC191" s="378">
        <v>0</v>
      </c>
      <c r="AD191" s="393"/>
      <c r="AE191" s="377">
        <v>0.04</v>
      </c>
      <c r="AF191" s="377"/>
      <c r="AG191" s="1205">
        <f t="shared" si="124"/>
        <v>8.4060689655172428E-4</v>
      </c>
      <c r="AH191" s="197" t="s">
        <v>2114</v>
      </c>
      <c r="AI191" s="1410">
        <v>1.444E-3</v>
      </c>
      <c r="AJ191" s="377">
        <v>0.27500000000000002</v>
      </c>
      <c r="AK191" s="1418">
        <f t="shared" ref="AK191" si="141">IF(AH191="N/A",0,AI191/(1-AJ191))</f>
        <v>1.9917241379310345E-3</v>
      </c>
      <c r="AL191" s="377">
        <v>0</v>
      </c>
      <c r="AM191" s="378">
        <v>0</v>
      </c>
      <c r="AN191" s="393"/>
      <c r="AO191" s="377">
        <v>0.04</v>
      </c>
      <c r="AP191" s="377"/>
      <c r="AQ191" s="1205">
        <f t="shared" si="125"/>
        <v>2.0713931034482759E-3</v>
      </c>
      <c r="AR191" s="197" t="s">
        <v>9</v>
      </c>
      <c r="AS191" s="1410">
        <v>7.0699999999999995E-4</v>
      </c>
      <c r="AT191" s="377">
        <v>0.27500000000000002</v>
      </c>
      <c r="AU191" s="1190">
        <f>IF(AR191="N/A","",AS191/(1-AT191))</f>
        <v>9.7517241379310336E-4</v>
      </c>
      <c r="AV191" s="377">
        <v>0</v>
      </c>
      <c r="AW191" s="378">
        <v>0</v>
      </c>
      <c r="AX191" s="393"/>
      <c r="AY191" s="377">
        <v>0.04</v>
      </c>
      <c r="AZ191" s="377"/>
      <c r="BA191" s="1205">
        <f t="shared" si="126"/>
        <v>1.0141793103448276E-3</v>
      </c>
      <c r="BB191" s="197" t="s">
        <v>2115</v>
      </c>
      <c r="BC191" s="393">
        <v>1.01E-3</v>
      </c>
      <c r="BD191" s="377">
        <v>0.27500000000000002</v>
      </c>
      <c r="BE191" s="1190">
        <f t="shared" ref="BE191" si="142">IF(BB191="N/A",0,BC191/(1-BD191))</f>
        <v>1.3931034482758621E-3</v>
      </c>
      <c r="BF191" s="377">
        <v>0</v>
      </c>
      <c r="BG191" s="378">
        <v>0</v>
      </c>
      <c r="BH191" s="393"/>
      <c r="BI191" s="377">
        <v>0.04</v>
      </c>
      <c r="BJ191" s="377"/>
      <c r="BK191" s="1205">
        <f t="shared" si="127"/>
        <v>1.4488275862068966E-3</v>
      </c>
      <c r="BL191" s="1202" t="s">
        <v>2224</v>
      </c>
      <c r="BM191" s="1109"/>
      <c r="BN191" s="1109"/>
      <c r="BO191" s="1109"/>
      <c r="BP191" s="1109"/>
      <c r="BQ191" s="1109"/>
      <c r="BR191" s="1109"/>
      <c r="BS191" s="1109"/>
      <c r="BT191" s="1109"/>
      <c r="BU191" s="380"/>
      <c r="BV191" s="1202" t="s">
        <v>2224</v>
      </c>
      <c r="BW191" s="1109"/>
      <c r="BX191" s="1109"/>
      <c r="BY191" s="1109"/>
      <c r="BZ191" s="1109"/>
      <c r="CA191" s="1109"/>
      <c r="CB191" s="1109"/>
      <c r="CC191" s="1109"/>
      <c r="CD191" s="1109"/>
      <c r="CE191" s="380"/>
    </row>
    <row r="192" spans="1:83" s="1127" customFormat="1">
      <c r="A192" s="291"/>
      <c r="B192" s="291" t="s">
        <v>2243</v>
      </c>
      <c r="C192" s="291" t="b">
        <f t="shared" si="128"/>
        <v>0</v>
      </c>
      <c r="D192" s="388" t="str">
        <f>IF(C192=FALSE=NAMES!$B$8,"",IF(L192="N/A","N/A",O192&amp;N192&amp;L192&amp;"-"&amp;M192))</f>
        <v>2017USDAnker Verzekeringen n.v.-Formula 1A</v>
      </c>
      <c r="E192" s="392" t="str">
        <f t="shared" si="129"/>
        <v>2017USDAnker Verzekeringen n.v.-Formula 1A</v>
      </c>
      <c r="F192" s="1236" t="str">
        <f t="shared" si="130"/>
        <v>2017USDAnker Verzekeringen n.v.-Death AccidentFormula 1A</v>
      </c>
      <c r="G192" s="1240" t="str">
        <f t="shared" si="131"/>
        <v>2017USDAnker Verzekeringen n.v.-Formula 1A</v>
      </c>
      <c r="H192" s="1240" t="str">
        <f t="shared" si="132"/>
        <v>2017USDAnker Verzekeringen n.v.-Permanent Disability AccidentFormula 1A</v>
      </c>
      <c r="I192" s="1240" t="str">
        <f t="shared" si="133"/>
        <v>2017USDAnker Verzekeringen n.v.-Formula 1A</v>
      </c>
      <c r="J192" s="1240" t="str">
        <f t="shared" si="134"/>
        <v>2017USDAnker Verzekeringen n.v.-</v>
      </c>
      <c r="K192" s="1240" t="str">
        <f t="shared" si="135"/>
        <v>2017USDAnker Verzekeringen n.v.-</v>
      </c>
      <c r="L192" s="392" t="s">
        <v>7</v>
      </c>
      <c r="M192" s="1109" t="s">
        <v>1764</v>
      </c>
      <c r="N192" s="392" t="s">
        <v>87</v>
      </c>
      <c r="O192" s="376">
        <v>2017</v>
      </c>
      <c r="P192" s="376" t="s">
        <v>2234</v>
      </c>
      <c r="Q192" s="376"/>
      <c r="R192" s="377">
        <v>0</v>
      </c>
      <c r="S192" s="1109"/>
      <c r="T192" s="1109"/>
      <c r="U192" s="1109"/>
      <c r="V192" s="1109">
        <v>365</v>
      </c>
      <c r="W192" s="373">
        <f t="shared" ref="W192" si="143">IF(X192="N/A","",AA192+AK192+AU192+BE192+BO192+BY192)</f>
        <v>1.7834482758620688E-3</v>
      </c>
      <c r="X192" s="197" t="s">
        <v>6</v>
      </c>
      <c r="Y192" s="1410">
        <v>5.8600000000000004E-4</v>
      </c>
      <c r="Z192" s="377">
        <v>0.27500000000000002</v>
      </c>
      <c r="AA192" s="1190">
        <f>IF(X192="N/A","",Y192/(1-Z192))</f>
        <v>8.0827586206896559E-4</v>
      </c>
      <c r="AB192" s="377">
        <v>0</v>
      </c>
      <c r="AC192" s="378">
        <v>0</v>
      </c>
      <c r="AD192" s="393"/>
      <c r="AE192" s="377">
        <v>0.04</v>
      </c>
      <c r="AF192" s="377"/>
      <c r="AG192" s="1205">
        <f t="shared" ref="AG192" si="144">IF(X192="N/A","",AA192*(1+AE192))</f>
        <v>8.4060689655172428E-4</v>
      </c>
      <c r="AH192" s="197"/>
      <c r="AI192" s="1410"/>
      <c r="AJ192" s="377"/>
      <c r="AK192" s="1418"/>
      <c r="AL192" s="377"/>
      <c r="AM192" s="378"/>
      <c r="AN192" s="393"/>
      <c r="AO192" s="377"/>
      <c r="AP192" s="377"/>
      <c r="AQ192" s="1205"/>
      <c r="AR192" s="197" t="s">
        <v>9</v>
      </c>
      <c r="AS192" s="1410">
        <v>7.0699999999999995E-4</v>
      </c>
      <c r="AT192" s="377">
        <v>0.27500000000000002</v>
      </c>
      <c r="AU192" s="1190">
        <f>IF(AR192="N/A","",AS192/(1-AT192))</f>
        <v>9.7517241379310336E-4</v>
      </c>
      <c r="AV192" s="377">
        <v>0</v>
      </c>
      <c r="AW192" s="378">
        <v>0</v>
      </c>
      <c r="AX192" s="393"/>
      <c r="AY192" s="377">
        <v>0.04</v>
      </c>
      <c r="AZ192" s="377"/>
      <c r="BA192" s="1205">
        <f t="shared" ref="BA192" si="145">IF(AR192="N/A","",AU192*(1+AY192))</f>
        <v>1.0141793103448276E-3</v>
      </c>
      <c r="BB192" s="197"/>
      <c r="BC192" s="393"/>
      <c r="BD192" s="377"/>
      <c r="BE192" s="1190"/>
      <c r="BF192" s="377"/>
      <c r="BG192" s="378"/>
      <c r="BH192" s="393"/>
      <c r="BI192" s="377"/>
      <c r="BJ192" s="377"/>
      <c r="BK192" s="1205"/>
      <c r="BL192" s="1202"/>
      <c r="BM192" s="1109"/>
      <c r="BN192" s="1109"/>
      <c r="BO192" s="1109"/>
      <c r="BP192" s="1109"/>
      <c r="BQ192" s="1109"/>
      <c r="BR192" s="1109"/>
      <c r="BS192" s="1109"/>
      <c r="BT192" s="1109"/>
      <c r="BU192" s="380"/>
      <c r="BV192" s="1202"/>
      <c r="BW192" s="1109"/>
      <c r="BX192" s="1109"/>
      <c r="BY192" s="1109"/>
      <c r="BZ192" s="1109"/>
      <c r="CA192" s="1109"/>
      <c r="CB192" s="1109"/>
      <c r="CC192" s="1109"/>
      <c r="CD192" s="1109"/>
      <c r="CE192" s="380"/>
    </row>
    <row r="193" spans="1:83" s="1198" customFormat="1">
      <c r="A193" s="291" t="b">
        <v>0</v>
      </c>
      <c r="B193" s="291" t="s">
        <v>2243</v>
      </c>
      <c r="C193" s="291" t="b">
        <f t="shared" si="128"/>
        <v>0</v>
      </c>
      <c r="D193" s="388" t="str">
        <f>IF(C193=FALSE=NAMES!$B$8,"",IF(L193="N/A","N/A",O193&amp;N193&amp;L193&amp;"-"&amp;M193))</f>
        <v>2017USDAnker Verzekeringen n.v.-Formula 1R</v>
      </c>
      <c r="E193" s="392" t="str">
        <f t="shared" si="129"/>
        <v>2017USDAnker Verzekeringen n.v.-Formula 1R</v>
      </c>
      <c r="F193" s="1236" t="str">
        <f t="shared" si="130"/>
        <v>2017USDAnker Verzekeringen n.v.-Death AccidentFormula 1R</v>
      </c>
      <c r="G193" s="1240" t="str">
        <f t="shared" si="131"/>
        <v>2017USDAnker Verzekeringen n.v.-Death illnessFormula 1R</v>
      </c>
      <c r="H193" s="1240" t="str">
        <f t="shared" si="132"/>
        <v>2017USDAnker Verzekeringen n.v.-Permanent Disability AccidentFormula 1R</v>
      </c>
      <c r="I193" s="1240" t="str">
        <f t="shared" si="133"/>
        <v>2017USDAnker Verzekeringen n.v.-Permanent Disability illnessFormula 1R</v>
      </c>
      <c r="J193" s="1240" t="str">
        <f t="shared" si="134"/>
        <v>N/A</v>
      </c>
      <c r="K193" s="1240" t="str">
        <f t="shared" si="135"/>
        <v>N/A</v>
      </c>
      <c r="L193" s="1193" t="s">
        <v>7</v>
      </c>
      <c r="M193" s="1194" t="s">
        <v>2826</v>
      </c>
      <c r="N193" s="1193" t="s">
        <v>87</v>
      </c>
      <c r="O193" s="1195">
        <v>2017</v>
      </c>
      <c r="P193" s="1195" t="s">
        <v>2234</v>
      </c>
      <c r="Q193" s="1195"/>
      <c r="R193" s="1196">
        <v>0</v>
      </c>
      <c r="S193" s="1194" t="s">
        <v>2379</v>
      </c>
      <c r="T193" s="1194"/>
      <c r="U193" s="1194"/>
      <c r="V193" s="1194">
        <v>365</v>
      </c>
      <c r="W193" s="373">
        <f t="shared" si="123"/>
        <v>4.6510344827586205E-3</v>
      </c>
      <c r="X193" s="1192" t="s">
        <v>6</v>
      </c>
      <c r="Y193" s="1411">
        <v>5.2700000000000002E-4</v>
      </c>
      <c r="Z193" s="1196">
        <v>0.27500000000000002</v>
      </c>
      <c r="AA193" s="373">
        <f>IF(X193="N/A","",Y193/(1-Z193))</f>
        <v>7.2689655172413793E-4</v>
      </c>
      <c r="AB193" s="1196">
        <v>0</v>
      </c>
      <c r="AC193" s="1199">
        <v>0</v>
      </c>
      <c r="AD193" s="373"/>
      <c r="AE193" s="1196">
        <v>0.04</v>
      </c>
      <c r="AF193" s="1196"/>
      <c r="AG193" s="1206">
        <f t="shared" si="124"/>
        <v>7.5597241379310345E-4</v>
      </c>
      <c r="AH193" s="1192" t="s">
        <v>2114</v>
      </c>
      <c r="AI193" s="1411">
        <v>1.2999999999999999E-3</v>
      </c>
      <c r="AJ193" s="1196">
        <v>0.27500000000000002</v>
      </c>
      <c r="AK193" s="1418">
        <f>IF(AH193="N/A",0,AI193/(1-AJ193))</f>
        <v>1.7931034482758621E-3</v>
      </c>
      <c r="AL193" s="1196">
        <v>0</v>
      </c>
      <c r="AM193" s="1199">
        <v>0</v>
      </c>
      <c r="AN193" s="373"/>
      <c r="AO193" s="1196">
        <v>0.04</v>
      </c>
      <c r="AP193" s="1196"/>
      <c r="AQ193" s="1206">
        <f t="shared" si="125"/>
        <v>1.8648275862068965E-3</v>
      </c>
      <c r="AR193" s="1192" t="s">
        <v>9</v>
      </c>
      <c r="AS193" s="1411">
        <v>6.3599999999999996E-4</v>
      </c>
      <c r="AT193" s="1196">
        <v>0.27500000000000002</v>
      </c>
      <c r="AU193" s="373">
        <f>IF(AR193="N/A","",AS193/(1-AT193))</f>
        <v>8.7724137931034481E-4</v>
      </c>
      <c r="AV193" s="1196">
        <v>0</v>
      </c>
      <c r="AW193" s="1199">
        <v>0</v>
      </c>
      <c r="AX193" s="373"/>
      <c r="AY193" s="1196">
        <v>0.04</v>
      </c>
      <c r="AZ193" s="1196"/>
      <c r="BA193" s="1206">
        <f t="shared" si="126"/>
        <v>9.1233103448275861E-4</v>
      </c>
      <c r="BB193" s="1192" t="s">
        <v>2115</v>
      </c>
      <c r="BC193" s="373">
        <v>9.0899999999999998E-4</v>
      </c>
      <c r="BD193" s="1196">
        <v>0.27500000000000002</v>
      </c>
      <c r="BE193" s="1190">
        <f>IF(BB193="N/A",0,BC193/(1-BD193))</f>
        <v>1.2537931034482758E-3</v>
      </c>
      <c r="BF193" s="1196">
        <v>0</v>
      </c>
      <c r="BG193" s="1199">
        <v>0</v>
      </c>
      <c r="BH193" s="373"/>
      <c r="BI193" s="1196">
        <v>0.04</v>
      </c>
      <c r="BJ193" s="1196"/>
      <c r="BK193" s="1206">
        <f t="shared" si="127"/>
        <v>1.3039448275862068E-3</v>
      </c>
      <c r="BL193" s="1202" t="s">
        <v>2224</v>
      </c>
      <c r="BM193" s="1194"/>
      <c r="BN193" s="1194"/>
      <c r="BO193" s="1194"/>
      <c r="BP193" s="1194"/>
      <c r="BQ193" s="1194"/>
      <c r="BR193" s="1194"/>
      <c r="BS193" s="1194"/>
      <c r="BT193" s="1194"/>
      <c r="BU193" s="1197"/>
      <c r="BV193" s="1202" t="s">
        <v>2224</v>
      </c>
      <c r="BW193" s="1194"/>
      <c r="BX193" s="1194"/>
      <c r="BY193" s="1194"/>
      <c r="BZ193" s="1194"/>
      <c r="CA193" s="1194"/>
      <c r="CB193" s="1194"/>
      <c r="CC193" s="1194"/>
      <c r="CD193" s="1194"/>
      <c r="CE193" s="1197"/>
    </row>
    <row r="194" spans="1:83" s="1127" customFormat="1">
      <c r="A194" s="291" t="b">
        <v>0</v>
      </c>
      <c r="B194" s="291" t="s">
        <v>2243</v>
      </c>
      <c r="C194" s="291" t="b">
        <f t="shared" si="128"/>
        <v>0</v>
      </c>
      <c r="D194" s="388" t="str">
        <f>IF(C194=FALSE=NAMES!$B$8,"",IF(L194="N/A","N/A",O194&amp;N194&amp;L194&amp;"-"&amp;M194))</f>
        <v>N/A</v>
      </c>
      <c r="E194" s="392" t="str">
        <f t="shared" si="129"/>
        <v>N/A</v>
      </c>
      <c r="F194" s="1236" t="str">
        <f t="shared" si="130"/>
        <v>N/A</v>
      </c>
      <c r="G194" s="1240" t="str">
        <f t="shared" si="131"/>
        <v>N/A</v>
      </c>
      <c r="H194" s="1240" t="str">
        <f t="shared" si="132"/>
        <v>N/A</v>
      </c>
      <c r="I194" s="1240" t="str">
        <f t="shared" si="133"/>
        <v>N/A</v>
      </c>
      <c r="J194" s="1240" t="str">
        <f t="shared" si="134"/>
        <v>N/A</v>
      </c>
      <c r="K194" s="1240" t="str">
        <f t="shared" si="135"/>
        <v>N/A</v>
      </c>
      <c r="L194" s="389" t="s">
        <v>2224</v>
      </c>
      <c r="M194" s="1109"/>
      <c r="N194" s="392"/>
      <c r="O194" s="376"/>
      <c r="P194" s="376"/>
      <c r="Q194" s="376"/>
      <c r="R194" s="377"/>
      <c r="S194" s="1151"/>
      <c r="T194" s="1151"/>
      <c r="U194" s="1151"/>
      <c r="V194" s="1109"/>
      <c r="W194" s="373" t="str">
        <f t="shared" si="123"/>
        <v/>
      </c>
      <c r="X194" s="388" t="s">
        <v>2224</v>
      </c>
      <c r="Y194" s="1410"/>
      <c r="Z194" s="377"/>
      <c r="AA194" s="1190" t="str">
        <f>IF(X194="N/A","",Y194/(1-Z194))</f>
        <v/>
      </c>
      <c r="AB194" s="377"/>
      <c r="AC194" s="378"/>
      <c r="AD194" s="393"/>
      <c r="AE194" s="377"/>
      <c r="AF194" s="377"/>
      <c r="AG194" s="1205"/>
      <c r="AH194" s="388" t="s">
        <v>2224</v>
      </c>
      <c r="AI194" s="1416"/>
      <c r="AJ194" s="1171"/>
      <c r="AK194" s="1418">
        <f t="shared" ref="AK194:AK218" si="146">IF(AH194="N/A",0,AI194/(1-AJ194))</f>
        <v>0</v>
      </c>
      <c r="AL194" s="1171"/>
      <c r="AM194" s="1171"/>
      <c r="AN194" s="393"/>
      <c r="AO194" s="1171"/>
      <c r="AP194" s="1171"/>
      <c r="AQ194" s="1205"/>
      <c r="AR194" s="388" t="s">
        <v>2224</v>
      </c>
      <c r="AS194" s="1410"/>
      <c r="AT194" s="377"/>
      <c r="AU194" s="1190" t="str">
        <f t="shared" ref="AU194:AU205" si="147">IF(AR194="N/A","",AS194/(1-AT194))</f>
        <v/>
      </c>
      <c r="AV194" s="393"/>
      <c r="AW194" s="393"/>
      <c r="AX194" s="393"/>
      <c r="AY194" s="377"/>
      <c r="AZ194" s="377"/>
      <c r="BA194" s="1205" t="str">
        <f t="shared" ref="BA194:BA199" si="148">IF(AR194="N/A","",AU194*(1+AY194))</f>
        <v/>
      </c>
      <c r="BB194" s="388" t="s">
        <v>2113</v>
      </c>
      <c r="BC194" s="393"/>
      <c r="BD194" s="377"/>
      <c r="BE194" s="1190">
        <f t="shared" ref="BE194:BE206" si="149">IF(BB194="N/A",0,BC194/(1-BD194))</f>
        <v>0</v>
      </c>
      <c r="BF194" s="393"/>
      <c r="BG194" s="393"/>
      <c r="BH194" s="393"/>
      <c r="BI194" s="377"/>
      <c r="BJ194" s="377"/>
      <c r="BK194" s="1205" t="str">
        <f t="shared" ref="BK194:BK199" si="150">IF(BB194="N/A","",BE194*(1+BI194))</f>
        <v/>
      </c>
      <c r="BL194" s="1202" t="s">
        <v>2224</v>
      </c>
      <c r="BM194" s="393"/>
      <c r="BN194" s="377"/>
      <c r="BO194" s="1190" t="str">
        <f t="shared" ref="BO194:BO205" si="151">IF(BL194="N/A","",BM194/(1-BN194))</f>
        <v/>
      </c>
      <c r="BP194" s="393"/>
      <c r="BQ194" s="393"/>
      <c r="BR194" s="393"/>
      <c r="BS194" s="377"/>
      <c r="BT194" s="377"/>
      <c r="BU194" s="1205" t="str">
        <f t="shared" ref="BU194:BU195" si="152">IF(BL194="N/A","",BO194*(1+BS194))</f>
        <v/>
      </c>
      <c r="BV194" s="1202" t="s">
        <v>2224</v>
      </c>
      <c r="BW194" s="393"/>
      <c r="BX194" s="377"/>
      <c r="BY194" s="1190" t="str">
        <f t="shared" ref="BY194:BY205" si="153">IF(BV194="N/A","",BW194/(1-BX194))</f>
        <v/>
      </c>
      <c r="BZ194" s="393"/>
      <c r="CA194" s="393"/>
      <c r="CB194" s="393"/>
      <c r="CC194" s="377"/>
      <c r="CD194" s="377"/>
      <c r="CE194" s="1205" t="str">
        <f t="shared" ref="CE194:CE195" si="154">IF(BV194="N/A","",BY194*(1+CC194))</f>
        <v/>
      </c>
    </row>
    <row r="195" spans="1:83" s="1127" customFormat="1">
      <c r="A195" s="291" t="b">
        <v>0</v>
      </c>
      <c r="B195" s="291" t="s">
        <v>2243</v>
      </c>
      <c r="C195" s="291" t="b">
        <f t="shared" si="128"/>
        <v>0</v>
      </c>
      <c r="D195" s="388" t="str">
        <f>IF(C195=FALSE=NAMES!$B$8,"",IF(L195="N/A","N/A",O195&amp;N195&amp;L195&amp;"-"&amp;M195))</f>
        <v>2017EURAnker Verzekeringen n.v.-Formula 2</v>
      </c>
      <c r="E195" s="392" t="str">
        <f t="shared" si="129"/>
        <v>2017EURAnker Verzekeringen n.v.-Formula 2</v>
      </c>
      <c r="F195" s="1236" t="str">
        <f t="shared" si="130"/>
        <v>2017EURAnker Verzekeringen n.v.-Death AccidentFormula 2</v>
      </c>
      <c r="G195" s="1240" t="str">
        <f t="shared" si="131"/>
        <v>N/A</v>
      </c>
      <c r="H195" s="1240" t="str">
        <f t="shared" si="132"/>
        <v>2017EURAnker Verzekeringen n.v.-Permanent Disability AccidentFormula 2</v>
      </c>
      <c r="I195" s="1240" t="str">
        <f t="shared" si="133"/>
        <v>N/A</v>
      </c>
      <c r="J195" s="1240" t="str">
        <f t="shared" si="134"/>
        <v>2017EURAnker Verzekeringen n.v.-Temporary Disability Accident (100%/7/120)</v>
      </c>
      <c r="K195" s="1240" t="str">
        <f t="shared" si="135"/>
        <v>2017EURAnker Verzekeringen n.v.-Temporary Disability illness (100%/7/120)</v>
      </c>
      <c r="L195" s="392" t="s">
        <v>7</v>
      </c>
      <c r="M195" s="1109" t="s">
        <v>1779</v>
      </c>
      <c r="N195" s="392" t="s">
        <v>32</v>
      </c>
      <c r="O195" s="376">
        <v>2017</v>
      </c>
      <c r="P195" s="376" t="s">
        <v>2234</v>
      </c>
      <c r="Q195" s="376"/>
      <c r="R195" s="377">
        <v>0.1</v>
      </c>
      <c r="S195" s="1109"/>
      <c r="T195" s="387">
        <v>1</v>
      </c>
      <c r="U195" s="1109">
        <v>7</v>
      </c>
      <c r="V195" s="1109">
        <v>120</v>
      </c>
      <c r="W195" s="373">
        <f t="shared" si="123"/>
        <v>2.0441379310344829E-2</v>
      </c>
      <c r="X195" s="197" t="s">
        <v>6</v>
      </c>
      <c r="Y195" s="1410">
        <v>5.0100000000000003E-4</v>
      </c>
      <c r="Z195" s="377">
        <v>0.27500000000000002</v>
      </c>
      <c r="AA195" s="1190">
        <f t="shared" ref="AA195:AA205" si="155">IF(X195="N/A","",Y195/(1-Z195))</f>
        <v>6.9103448275862072E-4</v>
      </c>
      <c r="AB195" s="377">
        <v>0</v>
      </c>
      <c r="AC195" s="378">
        <v>0</v>
      </c>
      <c r="AD195" s="393"/>
      <c r="AE195" s="377">
        <v>0.04</v>
      </c>
      <c r="AF195" s="377"/>
      <c r="AG195" s="1205">
        <f t="shared" ref="AG195:AG199" si="156">IF(X195="N/A","",AA195*(1+AE195))</f>
        <v>7.1867586206896558E-4</v>
      </c>
      <c r="AH195" s="388" t="s">
        <v>2224</v>
      </c>
      <c r="AI195" s="1416"/>
      <c r="AJ195" s="1171"/>
      <c r="AK195" s="1418">
        <f t="shared" si="146"/>
        <v>0</v>
      </c>
      <c r="AL195" s="1171"/>
      <c r="AM195" s="1171"/>
      <c r="AN195" s="393"/>
      <c r="AO195" s="1171"/>
      <c r="AP195" s="377"/>
      <c r="AQ195" s="1205" t="str">
        <f t="shared" ref="AQ195:AQ199" si="157">IF(AH195="N/A","",AK195*(1+AO195))</f>
        <v/>
      </c>
      <c r="AR195" s="197" t="s">
        <v>9</v>
      </c>
      <c r="AS195" s="1410">
        <v>6.1899999999999998E-4</v>
      </c>
      <c r="AT195" s="377">
        <v>0.27500000000000002</v>
      </c>
      <c r="AU195" s="1190">
        <f t="shared" si="147"/>
        <v>8.5379310344827581E-4</v>
      </c>
      <c r="AV195" s="377">
        <v>0</v>
      </c>
      <c r="AW195" s="378">
        <v>0</v>
      </c>
      <c r="AX195" s="393"/>
      <c r="AY195" s="377">
        <v>0.04</v>
      </c>
      <c r="AZ195" s="377"/>
      <c r="BA195" s="1205">
        <f t="shared" si="148"/>
        <v>8.8794482758620692E-4</v>
      </c>
      <c r="BB195" s="388" t="s">
        <v>2113</v>
      </c>
      <c r="BC195" s="393"/>
      <c r="BD195" s="377"/>
      <c r="BE195" s="1190">
        <f t="shared" si="149"/>
        <v>0</v>
      </c>
      <c r="BF195" s="393"/>
      <c r="BG195" s="393"/>
      <c r="BH195" s="393"/>
      <c r="BI195" s="377"/>
      <c r="BJ195" s="377"/>
      <c r="BK195" s="1205" t="str">
        <f t="shared" si="150"/>
        <v/>
      </c>
      <c r="BL195" s="197" t="s">
        <v>2827</v>
      </c>
      <c r="BM195" s="393">
        <v>5.8729999999999997E-3</v>
      </c>
      <c r="BN195" s="377">
        <v>0.27500000000000002</v>
      </c>
      <c r="BO195" s="1190">
        <f t="shared" si="151"/>
        <v>8.100689655172414E-3</v>
      </c>
      <c r="BP195" s="377">
        <v>0</v>
      </c>
      <c r="BQ195" s="378">
        <v>0</v>
      </c>
      <c r="BR195" s="393"/>
      <c r="BS195" s="377">
        <v>0.04</v>
      </c>
      <c r="BT195" s="377"/>
      <c r="BU195" s="1205">
        <f t="shared" si="152"/>
        <v>8.4247172413793106E-3</v>
      </c>
      <c r="BV195" s="197" t="s">
        <v>2836</v>
      </c>
      <c r="BW195" s="393">
        <v>7.8270000000000006E-3</v>
      </c>
      <c r="BX195" s="377">
        <v>0.27500000000000002</v>
      </c>
      <c r="BY195" s="1190">
        <f t="shared" si="153"/>
        <v>1.0795862068965519E-2</v>
      </c>
      <c r="BZ195" s="377">
        <v>0</v>
      </c>
      <c r="CA195" s="378">
        <v>0</v>
      </c>
      <c r="CB195" s="393"/>
      <c r="CC195" s="377">
        <v>0.04</v>
      </c>
      <c r="CD195" s="377"/>
      <c r="CE195" s="1205">
        <f t="shared" si="154"/>
        <v>1.1227696551724141E-2</v>
      </c>
    </row>
    <row r="196" spans="1:83" s="1127" customFormat="1">
      <c r="A196" s="291" t="b">
        <v>0</v>
      </c>
      <c r="B196" s="291" t="s">
        <v>2243</v>
      </c>
      <c r="C196" s="291" t="b">
        <f t="shared" si="128"/>
        <v>0</v>
      </c>
      <c r="D196" s="388" t="str">
        <f>IF(C196=FALSE=NAMES!$B$8,"",IF(L196="N/A","N/A",O196&amp;N196&amp;L196&amp;"-"&amp;M196))</f>
        <v>2017EURAnker Verzekeringen n.v.-Formula 2</v>
      </c>
      <c r="E196" s="392" t="str">
        <f t="shared" si="129"/>
        <v>2017EURAnker Verzekeringen n.v.-Formula 2</v>
      </c>
      <c r="F196" s="1236" t="str">
        <f t="shared" si="130"/>
        <v>2017EURAnker Verzekeringen n.v.-Death AccidentFormula 2</v>
      </c>
      <c r="G196" s="1240" t="str">
        <f t="shared" si="131"/>
        <v>N/A</v>
      </c>
      <c r="H196" s="1240" t="str">
        <f t="shared" si="132"/>
        <v>2017EURAnker Verzekeringen n.v.-Permanent Disability AccidentFormula 2</v>
      </c>
      <c r="I196" s="1240" t="str">
        <f t="shared" si="133"/>
        <v>N/A</v>
      </c>
      <c r="J196" s="1240" t="str">
        <f t="shared" si="134"/>
        <v>2017EURAnker Verzekeringen n.v.-Temporary Disability Accident (100%/7/365)</v>
      </c>
      <c r="K196" s="1240" t="str">
        <f t="shared" si="135"/>
        <v>2017EURAnker Verzekeringen n.v.-Temporary Disability illness (100%/7/365)</v>
      </c>
      <c r="L196" s="392" t="s">
        <v>7</v>
      </c>
      <c r="M196" s="1109" t="s">
        <v>1779</v>
      </c>
      <c r="N196" s="392" t="s">
        <v>32</v>
      </c>
      <c r="O196" s="376">
        <v>2017</v>
      </c>
      <c r="P196" s="376" t="s">
        <v>2234</v>
      </c>
      <c r="Q196" s="376"/>
      <c r="R196" s="377">
        <v>0.1</v>
      </c>
      <c r="S196" s="1109"/>
      <c r="T196" s="387">
        <v>1</v>
      </c>
      <c r="U196" s="1109">
        <v>7</v>
      </c>
      <c r="V196" s="1109">
        <v>365</v>
      </c>
      <c r="W196" s="373">
        <f t="shared" si="123"/>
        <v>2.587586206896552E-2</v>
      </c>
      <c r="X196" s="197" t="s">
        <v>6</v>
      </c>
      <c r="Y196" s="1410">
        <v>5.0100000000000003E-4</v>
      </c>
      <c r="Z196" s="377">
        <v>0.27500000000000002</v>
      </c>
      <c r="AA196" s="1190">
        <f t="shared" si="155"/>
        <v>6.9103448275862072E-4</v>
      </c>
      <c r="AB196" s="377">
        <v>0</v>
      </c>
      <c r="AC196" s="378">
        <v>0</v>
      </c>
      <c r="AD196" s="393"/>
      <c r="AE196" s="377">
        <v>0.04</v>
      </c>
      <c r="AF196" s="377"/>
      <c r="AG196" s="1205">
        <f t="shared" si="156"/>
        <v>7.1867586206896558E-4</v>
      </c>
      <c r="AH196" s="388" t="s">
        <v>2224</v>
      </c>
      <c r="AI196" s="1416"/>
      <c r="AJ196" s="1171"/>
      <c r="AK196" s="1418">
        <f t="shared" si="146"/>
        <v>0</v>
      </c>
      <c r="AL196" s="1171"/>
      <c r="AM196" s="1171"/>
      <c r="AN196" s="393"/>
      <c r="AO196" s="1171"/>
      <c r="AP196" s="377"/>
      <c r="AQ196" s="1205" t="str">
        <f t="shared" si="157"/>
        <v/>
      </c>
      <c r="AR196" s="197" t="s">
        <v>9</v>
      </c>
      <c r="AS196" s="1410">
        <v>6.1899999999999998E-4</v>
      </c>
      <c r="AT196" s="377">
        <v>0.27500000000000002</v>
      </c>
      <c r="AU196" s="1190">
        <f t="shared" si="147"/>
        <v>8.5379310344827581E-4</v>
      </c>
      <c r="AV196" s="377">
        <v>0</v>
      </c>
      <c r="AW196" s="378">
        <v>0</v>
      </c>
      <c r="AX196" s="393"/>
      <c r="AY196" s="377">
        <v>0.04</v>
      </c>
      <c r="AZ196" s="377"/>
      <c r="BA196" s="1205">
        <f t="shared" si="148"/>
        <v>8.8794482758620692E-4</v>
      </c>
      <c r="BB196" s="388" t="s">
        <v>2113</v>
      </c>
      <c r="BC196" s="393"/>
      <c r="BD196" s="377"/>
      <c r="BE196" s="1190">
        <f t="shared" si="149"/>
        <v>0</v>
      </c>
      <c r="BF196" s="393"/>
      <c r="BG196" s="393"/>
      <c r="BH196" s="393"/>
      <c r="BI196" s="377"/>
      <c r="BJ196" s="377"/>
      <c r="BK196" s="1205" t="str">
        <f t="shared" si="150"/>
        <v/>
      </c>
      <c r="BL196" s="197" t="s">
        <v>2828</v>
      </c>
      <c r="BM196" s="393">
        <v>5.8830000000000002E-3</v>
      </c>
      <c r="BN196" s="377">
        <v>0.27500000000000002</v>
      </c>
      <c r="BO196" s="1190">
        <f t="shared" si="151"/>
        <v>8.1144827586206898E-3</v>
      </c>
      <c r="BP196" s="377">
        <v>0</v>
      </c>
      <c r="BQ196" s="378">
        <v>0</v>
      </c>
      <c r="BR196" s="393"/>
      <c r="BS196" s="377">
        <v>0.04</v>
      </c>
      <c r="BT196" s="377"/>
      <c r="BU196" s="1205">
        <f>IF(BL196="N/A","",BO196*(1+BS196))</f>
        <v>8.439062068965518E-3</v>
      </c>
      <c r="BV196" s="197" t="s">
        <v>2832</v>
      </c>
      <c r="BW196" s="393">
        <v>1.1757E-2</v>
      </c>
      <c r="BX196" s="377">
        <v>0.27500000000000002</v>
      </c>
      <c r="BY196" s="1190">
        <f t="shared" si="153"/>
        <v>1.6216551724137933E-2</v>
      </c>
      <c r="BZ196" s="377">
        <v>0</v>
      </c>
      <c r="CA196" s="378">
        <v>0</v>
      </c>
      <c r="CB196" s="393"/>
      <c r="CC196" s="377">
        <v>0.04</v>
      </c>
      <c r="CD196" s="377"/>
      <c r="CE196" s="1205">
        <f>IF(BV196="N/A","",BY196*(1+CC196))</f>
        <v>1.6865213793103451E-2</v>
      </c>
    </row>
    <row r="197" spans="1:83" s="1127" customFormat="1">
      <c r="A197" s="291" t="b">
        <v>0</v>
      </c>
      <c r="B197" s="291" t="s">
        <v>2243</v>
      </c>
      <c r="C197" s="291" t="b">
        <f t="shared" si="119"/>
        <v>0</v>
      </c>
      <c r="D197" s="388" t="str">
        <f>IF(C197=FALSE=NAMES!$B$8,"",IF(L197="N/A","N/A",O197&amp;N197&amp;L197&amp;"-"&amp;M197&amp;" ("&amp;U197&amp;"/"&amp;V197&amp;")"))</f>
        <v>2017EURAnker Verzekeringen n.v.-Formula 2 (28/365)</v>
      </c>
      <c r="E197" s="392" t="str">
        <f t="shared" ref="E197:E218" si="158">IF(L197="N/A","N/A",O197&amp;N197&amp;L197&amp;"-"&amp;M197&amp;" ("&amp;U197&amp;"/"&amp;V197&amp;")")</f>
        <v>2017EURAnker Verzekeringen n.v.-Formula 2 (28/365)</v>
      </c>
      <c r="F197" s="1236" t="str">
        <f t="shared" ref="F197:F218" si="159">IF(X197="N/A","N/A",O197&amp;N197&amp;L197&amp;"-"&amp;X197&amp;M197)</f>
        <v>2017EURAnker Verzekeringen n.v.-Death AccidentFormula 2</v>
      </c>
      <c r="G197" s="1240" t="str">
        <f t="shared" ref="G197:G218" si="160">IF(AH197="N/A","N/A",O197&amp;N197&amp;L197&amp;"-"&amp;AH197&amp;M197)</f>
        <v>N/A</v>
      </c>
      <c r="H197" s="1240" t="str">
        <f t="shared" ref="H197:H218" si="161">IF(AR197="N/A","N/A",O197&amp;N197&amp;L197&amp;"-"&amp;AR197&amp;M197)</f>
        <v>2017EURAnker Verzekeringen n.v.-Permanent Disability AccidentFormula 2</v>
      </c>
      <c r="I197" s="1240" t="str">
        <f t="shared" ref="I197:I218" si="162">IF(BB197="N/A","N/A",O197&amp;N197&amp;L197&amp;"-"&amp;BB197&amp;M197)</f>
        <v>N/A</v>
      </c>
      <c r="J197" s="1240" t="str">
        <f t="shared" si="121"/>
        <v>2017EURAnker Verzekeringen n.v.-Temporary Disability Accident (100%/28/365)</v>
      </c>
      <c r="K197" s="1240" t="str">
        <f t="shared" si="122"/>
        <v>2017EURAnker Verzekeringen n.v.-Temporary Disability illness (100%/28/365)</v>
      </c>
      <c r="L197" s="392" t="s">
        <v>7</v>
      </c>
      <c r="M197" s="1109" t="s">
        <v>1779</v>
      </c>
      <c r="N197" s="392" t="s">
        <v>32</v>
      </c>
      <c r="O197" s="376">
        <v>2017</v>
      </c>
      <c r="P197" s="376" t="s">
        <v>2234</v>
      </c>
      <c r="Q197" s="376"/>
      <c r="R197" s="377">
        <v>0.1</v>
      </c>
      <c r="S197" s="1109"/>
      <c r="T197" s="387">
        <v>1</v>
      </c>
      <c r="U197" s="1109">
        <v>28</v>
      </c>
      <c r="V197" s="1109">
        <v>365</v>
      </c>
      <c r="W197" s="373">
        <f t="shared" si="123"/>
        <v>2.1496551724137933E-2</v>
      </c>
      <c r="X197" s="197" t="s">
        <v>6</v>
      </c>
      <c r="Y197" s="1410">
        <v>5.0100000000000003E-4</v>
      </c>
      <c r="Z197" s="377">
        <v>0.27500000000000002</v>
      </c>
      <c r="AA197" s="1190">
        <f t="shared" si="155"/>
        <v>6.9103448275862072E-4</v>
      </c>
      <c r="AB197" s="377">
        <v>0</v>
      </c>
      <c r="AC197" s="378">
        <v>0</v>
      </c>
      <c r="AD197" s="393"/>
      <c r="AE197" s="377">
        <v>0.04</v>
      </c>
      <c r="AF197" s="377"/>
      <c r="AG197" s="1205">
        <f t="shared" si="156"/>
        <v>7.1867586206896558E-4</v>
      </c>
      <c r="AH197" s="388" t="s">
        <v>2224</v>
      </c>
      <c r="AI197" s="1416"/>
      <c r="AJ197" s="1171"/>
      <c r="AK197" s="1418">
        <f t="shared" si="146"/>
        <v>0</v>
      </c>
      <c r="AL197" s="1171"/>
      <c r="AM197" s="1171"/>
      <c r="AN197" s="393"/>
      <c r="AO197" s="1171"/>
      <c r="AP197" s="377"/>
      <c r="AQ197" s="1205" t="str">
        <f t="shared" si="157"/>
        <v/>
      </c>
      <c r="AR197" s="197" t="s">
        <v>9</v>
      </c>
      <c r="AS197" s="1410">
        <v>6.1899999999999998E-4</v>
      </c>
      <c r="AT197" s="377">
        <v>0.27500000000000002</v>
      </c>
      <c r="AU197" s="1190">
        <f t="shared" si="147"/>
        <v>8.5379310344827581E-4</v>
      </c>
      <c r="AV197" s="377">
        <v>0</v>
      </c>
      <c r="AW197" s="378">
        <v>0</v>
      </c>
      <c r="AX197" s="393"/>
      <c r="AY197" s="377">
        <v>0.04</v>
      </c>
      <c r="AZ197" s="377"/>
      <c r="BA197" s="1205">
        <f t="shared" si="148"/>
        <v>8.8794482758620692E-4</v>
      </c>
      <c r="BB197" s="388" t="s">
        <v>2113</v>
      </c>
      <c r="BC197" s="393"/>
      <c r="BD197" s="377"/>
      <c r="BE197" s="1190">
        <f t="shared" si="149"/>
        <v>0</v>
      </c>
      <c r="BF197" s="393"/>
      <c r="BG197" s="393"/>
      <c r="BH197" s="393"/>
      <c r="BI197" s="377"/>
      <c r="BJ197" s="377"/>
      <c r="BK197" s="1205" t="str">
        <f t="shared" si="150"/>
        <v/>
      </c>
      <c r="BL197" s="197" t="s">
        <v>2829</v>
      </c>
      <c r="BM197" s="393">
        <v>4.8240000000000002E-3</v>
      </c>
      <c r="BN197" s="377">
        <v>0.27500000000000002</v>
      </c>
      <c r="BO197" s="1190">
        <f t="shared" si="151"/>
        <v>6.6537931034482767E-3</v>
      </c>
      <c r="BP197" s="377">
        <v>0</v>
      </c>
      <c r="BQ197" s="378">
        <v>0</v>
      </c>
      <c r="BR197" s="393"/>
      <c r="BS197" s="377">
        <v>0.04</v>
      </c>
      <c r="BT197" s="377"/>
      <c r="BU197" s="1205">
        <f>IF(BL197="N/A","",BO197*(1+BS197))</f>
        <v>6.9199448275862078E-3</v>
      </c>
      <c r="BV197" s="197" t="s">
        <v>2833</v>
      </c>
      <c r="BW197" s="393">
        <v>9.6410000000000003E-3</v>
      </c>
      <c r="BX197" s="377">
        <v>0.27500000000000002</v>
      </c>
      <c r="BY197" s="1190">
        <f t="shared" si="153"/>
        <v>1.3297931034482759E-2</v>
      </c>
      <c r="BZ197" s="377">
        <v>0</v>
      </c>
      <c r="CA197" s="378">
        <v>0</v>
      </c>
      <c r="CB197" s="393"/>
      <c r="CC197" s="377">
        <v>0.04</v>
      </c>
      <c r="CD197" s="377"/>
      <c r="CE197" s="1205">
        <f t="shared" ref="CE197:CE204" si="163">IF(BV197="N/A","",BY197*(1+CC197))</f>
        <v>1.382984827586207E-2</v>
      </c>
    </row>
    <row r="198" spans="1:83" s="1127" customFormat="1">
      <c r="A198" s="291" t="b">
        <v>0</v>
      </c>
      <c r="B198" s="291" t="s">
        <v>2243</v>
      </c>
      <c r="C198" s="291" t="b">
        <f t="shared" si="119"/>
        <v>0</v>
      </c>
      <c r="D198" s="388" t="str">
        <f>IF(C198=FALSE=NAMES!$B$8,"",IF(L198="N/A","N/A",O198&amp;N198&amp;L198&amp;"-"&amp;M198&amp;" ("&amp;U198&amp;"/"&amp;V198&amp;")"))</f>
        <v>2017EURAnker Verzekeringen n.v.-Formula 2 (42/365)</v>
      </c>
      <c r="E198" s="392" t="str">
        <f t="shared" si="158"/>
        <v>2017EURAnker Verzekeringen n.v.-Formula 2 (42/365)</v>
      </c>
      <c r="F198" s="1236" t="str">
        <f t="shared" si="159"/>
        <v>2017EURAnker Verzekeringen n.v.-Death AccidentFormula 2</v>
      </c>
      <c r="G198" s="1240" t="str">
        <f t="shared" si="160"/>
        <v>N/A</v>
      </c>
      <c r="H198" s="1240" t="str">
        <f t="shared" si="161"/>
        <v>2017EURAnker Verzekeringen n.v.-Permanent Disability AccidentFormula 2</v>
      </c>
      <c r="I198" s="1240" t="str">
        <f t="shared" si="162"/>
        <v>N/A</v>
      </c>
      <c r="J198" s="1240" t="str">
        <f t="shared" si="121"/>
        <v>2017EURAnker Verzekeringen n.v.-Temporary Disability Accident (100%/42/365)</v>
      </c>
      <c r="K198" s="1240" t="str">
        <f t="shared" si="122"/>
        <v>2017EURAnker Verzekeringen n.v.-Temporary Disability illness (100%/42/365)</v>
      </c>
      <c r="L198" s="392" t="s">
        <v>7</v>
      </c>
      <c r="M198" s="1109" t="s">
        <v>1779</v>
      </c>
      <c r="N198" s="392" t="s">
        <v>32</v>
      </c>
      <c r="O198" s="376">
        <v>2017</v>
      </c>
      <c r="P198" s="376" t="s">
        <v>2234</v>
      </c>
      <c r="Q198" s="376"/>
      <c r="R198" s="377">
        <v>0.1</v>
      </c>
      <c r="S198" s="1109"/>
      <c r="T198" s="387">
        <v>1</v>
      </c>
      <c r="U198" s="1109">
        <v>42</v>
      </c>
      <c r="V198" s="1109">
        <v>365</v>
      </c>
      <c r="W198" s="373">
        <f t="shared" si="123"/>
        <v>2.0260689655172415E-2</v>
      </c>
      <c r="X198" s="197" t="s">
        <v>6</v>
      </c>
      <c r="Y198" s="1410">
        <v>5.0100000000000003E-4</v>
      </c>
      <c r="Z198" s="377">
        <v>0.27500000000000002</v>
      </c>
      <c r="AA198" s="1190">
        <f t="shared" si="155"/>
        <v>6.9103448275862072E-4</v>
      </c>
      <c r="AB198" s="377">
        <v>0</v>
      </c>
      <c r="AC198" s="378">
        <v>0</v>
      </c>
      <c r="AD198" s="393"/>
      <c r="AE198" s="377">
        <v>0.04</v>
      </c>
      <c r="AF198" s="377"/>
      <c r="AG198" s="1205">
        <f t="shared" si="156"/>
        <v>7.1867586206896558E-4</v>
      </c>
      <c r="AH198" s="388" t="s">
        <v>2224</v>
      </c>
      <c r="AI198" s="1416"/>
      <c r="AJ198" s="1171"/>
      <c r="AK198" s="1418">
        <f t="shared" si="146"/>
        <v>0</v>
      </c>
      <c r="AL198" s="1171"/>
      <c r="AM198" s="1171"/>
      <c r="AN198" s="393"/>
      <c r="AO198" s="1171"/>
      <c r="AP198" s="377"/>
      <c r="AQ198" s="1205" t="str">
        <f t="shared" si="157"/>
        <v/>
      </c>
      <c r="AR198" s="197" t="s">
        <v>9</v>
      </c>
      <c r="AS198" s="1410">
        <v>6.1899999999999998E-4</v>
      </c>
      <c r="AT198" s="377">
        <v>0.27500000000000002</v>
      </c>
      <c r="AU198" s="1190">
        <f t="shared" si="147"/>
        <v>8.5379310344827581E-4</v>
      </c>
      <c r="AV198" s="377">
        <v>0</v>
      </c>
      <c r="AW198" s="378">
        <v>0</v>
      </c>
      <c r="AX198" s="393"/>
      <c r="AY198" s="377">
        <v>0.04</v>
      </c>
      <c r="AZ198" s="377"/>
      <c r="BA198" s="1205">
        <f t="shared" si="148"/>
        <v>8.8794482758620692E-4</v>
      </c>
      <c r="BB198" s="388" t="s">
        <v>2113</v>
      </c>
      <c r="BC198" s="393"/>
      <c r="BD198" s="377"/>
      <c r="BE198" s="1190">
        <f t="shared" si="149"/>
        <v>0</v>
      </c>
      <c r="BF198" s="393"/>
      <c r="BG198" s="393"/>
      <c r="BH198" s="393"/>
      <c r="BI198" s="377"/>
      <c r="BJ198" s="377"/>
      <c r="BK198" s="1205" t="str">
        <f t="shared" si="150"/>
        <v/>
      </c>
      <c r="BL198" s="197" t="s">
        <v>2830</v>
      </c>
      <c r="BM198" s="393">
        <v>4.5250000000000004E-3</v>
      </c>
      <c r="BN198" s="377">
        <v>0.27500000000000002</v>
      </c>
      <c r="BO198" s="1190">
        <f t="shared" si="151"/>
        <v>6.241379310344828E-3</v>
      </c>
      <c r="BP198" s="377">
        <v>0</v>
      </c>
      <c r="BQ198" s="378">
        <v>0</v>
      </c>
      <c r="BR198" s="393"/>
      <c r="BS198" s="377">
        <v>0.04</v>
      </c>
      <c r="BT198" s="377"/>
      <c r="BU198" s="1205">
        <f t="shared" ref="BU198:BU199" si="164">IF(BL198="N/A","",BO198*(1+BS198))</f>
        <v>6.491034482758621E-3</v>
      </c>
      <c r="BV198" s="197" t="s">
        <v>2834</v>
      </c>
      <c r="BW198" s="393">
        <v>9.044E-3</v>
      </c>
      <c r="BX198" s="377">
        <v>0.27500000000000002</v>
      </c>
      <c r="BY198" s="1190">
        <f t="shared" si="153"/>
        <v>1.2474482758620689E-2</v>
      </c>
      <c r="BZ198" s="377">
        <v>0</v>
      </c>
      <c r="CA198" s="378">
        <v>0</v>
      </c>
      <c r="CB198" s="393"/>
      <c r="CC198" s="377">
        <v>0.04</v>
      </c>
      <c r="CD198" s="377"/>
      <c r="CE198" s="1205">
        <f t="shared" si="163"/>
        <v>1.2973462068965517E-2</v>
      </c>
    </row>
    <row r="199" spans="1:83" s="1127" customFormat="1">
      <c r="A199" s="291" t="b">
        <v>0</v>
      </c>
      <c r="B199" s="291" t="s">
        <v>2243</v>
      </c>
      <c r="C199" s="291" t="b">
        <f t="shared" si="119"/>
        <v>0</v>
      </c>
      <c r="D199" s="388" t="str">
        <f>IF(C199=FALSE=NAMES!$B$8,"",IF(L199="N/A","N/A",O199&amp;N199&amp;L199&amp;"-"&amp;M199&amp;" ("&amp;U199&amp;"/"&amp;V199&amp;")"))</f>
        <v>2017EURAnker Verzekeringen n.v.-Formula 2 (7/365)</v>
      </c>
      <c r="E199" s="392" t="str">
        <f t="shared" si="158"/>
        <v>2017EURAnker Verzekeringen n.v.-Formula 2 (7/365)</v>
      </c>
      <c r="F199" s="1236" t="str">
        <f t="shared" si="159"/>
        <v>2017EURAnker Verzekeringen n.v.-Death AccidentFormula 2</v>
      </c>
      <c r="G199" s="1240" t="str">
        <f t="shared" si="160"/>
        <v>N/A</v>
      </c>
      <c r="H199" s="1240" t="str">
        <f t="shared" si="161"/>
        <v>2017EURAnker Verzekeringen n.v.-Permanent Disability AccidentFormula 2</v>
      </c>
      <c r="I199" s="1240" t="str">
        <f t="shared" si="162"/>
        <v>N/A</v>
      </c>
      <c r="J199" s="1240" t="str">
        <f t="shared" si="121"/>
        <v>2017EURAnker Verzekeringen n.v.-Temporary Disability Accident (70%/7/365)</v>
      </c>
      <c r="K199" s="1240" t="str">
        <f t="shared" si="122"/>
        <v>2017EURAnker Verzekeringen n.v.-Temporary Disability illness (70%/7/365)</v>
      </c>
      <c r="L199" s="392" t="s">
        <v>7</v>
      </c>
      <c r="M199" s="1109" t="s">
        <v>1779</v>
      </c>
      <c r="N199" s="392" t="s">
        <v>32</v>
      </c>
      <c r="O199" s="376">
        <v>2017</v>
      </c>
      <c r="P199" s="376" t="s">
        <v>2234</v>
      </c>
      <c r="Q199" s="376"/>
      <c r="R199" s="377">
        <v>0.1</v>
      </c>
      <c r="S199" s="1109"/>
      <c r="T199" s="387">
        <v>0.7</v>
      </c>
      <c r="U199" s="1109">
        <v>7</v>
      </c>
      <c r="V199" s="1109">
        <v>365</v>
      </c>
      <c r="W199" s="373">
        <f t="shared" si="123"/>
        <v>2.1496551724137933E-2</v>
      </c>
      <c r="X199" s="197" t="s">
        <v>6</v>
      </c>
      <c r="Y199" s="1410">
        <v>5.0100000000000003E-4</v>
      </c>
      <c r="Z199" s="377">
        <v>0.27500000000000002</v>
      </c>
      <c r="AA199" s="1190">
        <f t="shared" si="155"/>
        <v>6.9103448275862072E-4</v>
      </c>
      <c r="AB199" s="377">
        <v>0</v>
      </c>
      <c r="AC199" s="378">
        <v>0</v>
      </c>
      <c r="AD199" s="393"/>
      <c r="AE199" s="377">
        <v>0.04</v>
      </c>
      <c r="AF199" s="377"/>
      <c r="AG199" s="1205">
        <f t="shared" si="156"/>
        <v>7.1867586206896558E-4</v>
      </c>
      <c r="AH199" s="388" t="s">
        <v>2224</v>
      </c>
      <c r="AI199" s="1416"/>
      <c r="AJ199" s="1171"/>
      <c r="AK199" s="1418">
        <f t="shared" si="146"/>
        <v>0</v>
      </c>
      <c r="AL199" s="1171"/>
      <c r="AM199" s="1171"/>
      <c r="AN199" s="393"/>
      <c r="AO199" s="1171"/>
      <c r="AP199" s="377"/>
      <c r="AQ199" s="1205" t="str">
        <f t="shared" si="157"/>
        <v/>
      </c>
      <c r="AR199" s="197" t="s">
        <v>9</v>
      </c>
      <c r="AS199" s="1410">
        <v>6.1899999999999998E-4</v>
      </c>
      <c r="AT199" s="377">
        <v>0.27500000000000002</v>
      </c>
      <c r="AU199" s="1190">
        <f t="shared" si="147"/>
        <v>8.5379310344827581E-4</v>
      </c>
      <c r="AV199" s="377">
        <v>0</v>
      </c>
      <c r="AW199" s="378">
        <v>0</v>
      </c>
      <c r="AX199" s="393"/>
      <c r="AY199" s="377">
        <v>0.04</v>
      </c>
      <c r="AZ199" s="377"/>
      <c r="BA199" s="1205">
        <f t="shared" si="148"/>
        <v>8.8794482758620692E-4</v>
      </c>
      <c r="BB199" s="388" t="s">
        <v>2113</v>
      </c>
      <c r="BC199" s="393"/>
      <c r="BD199" s="377"/>
      <c r="BE199" s="1190">
        <f t="shared" si="149"/>
        <v>0</v>
      </c>
      <c r="BF199" s="393"/>
      <c r="BG199" s="393"/>
      <c r="BH199" s="393"/>
      <c r="BI199" s="377"/>
      <c r="BJ199" s="377"/>
      <c r="BK199" s="1205" t="str">
        <f t="shared" si="150"/>
        <v/>
      </c>
      <c r="BL199" s="197" t="s">
        <v>2831</v>
      </c>
      <c r="BM199" s="393">
        <v>4.8240000000000002E-3</v>
      </c>
      <c r="BN199" s="377">
        <v>0.27500000000000002</v>
      </c>
      <c r="BO199" s="1190">
        <f t="shared" si="151"/>
        <v>6.6537931034482767E-3</v>
      </c>
      <c r="BP199" s="377">
        <v>0</v>
      </c>
      <c r="BQ199" s="378">
        <v>0</v>
      </c>
      <c r="BR199" s="393"/>
      <c r="BS199" s="377">
        <v>0.04</v>
      </c>
      <c r="BT199" s="377"/>
      <c r="BU199" s="1205">
        <f t="shared" si="164"/>
        <v>6.9199448275862078E-3</v>
      </c>
      <c r="BV199" s="197" t="s">
        <v>2835</v>
      </c>
      <c r="BW199" s="393">
        <v>9.6410000000000003E-3</v>
      </c>
      <c r="BX199" s="377">
        <v>0.27500000000000002</v>
      </c>
      <c r="BY199" s="1190">
        <f t="shared" si="153"/>
        <v>1.3297931034482759E-2</v>
      </c>
      <c r="BZ199" s="377">
        <v>0</v>
      </c>
      <c r="CA199" s="378">
        <v>0</v>
      </c>
      <c r="CB199" s="393"/>
      <c r="CC199" s="377">
        <v>0.04</v>
      </c>
      <c r="CD199" s="377"/>
      <c r="CE199" s="1205">
        <f t="shared" si="163"/>
        <v>1.382984827586207E-2</v>
      </c>
    </row>
    <row r="200" spans="1:83" s="1127" customFormat="1">
      <c r="A200" s="291" t="b">
        <v>0</v>
      </c>
      <c r="B200" s="291" t="s">
        <v>2243</v>
      </c>
      <c r="C200" s="291" t="b">
        <f t="shared" si="119"/>
        <v>0</v>
      </c>
      <c r="D200" s="388" t="str">
        <f>IF(C200=FALSE=NAMES!$B$8,"",IF(L200="N/A","N/A",O200&amp;N200&amp;L200&amp;"-"&amp;M200&amp;" ("&amp;U200&amp;"/"&amp;V200&amp;")"))</f>
        <v>N/A</v>
      </c>
      <c r="E200" s="392" t="str">
        <f t="shared" si="158"/>
        <v>N/A</v>
      </c>
      <c r="F200" s="1236" t="str">
        <f t="shared" si="159"/>
        <v>N/A</v>
      </c>
      <c r="G200" s="1240" t="str">
        <f t="shared" si="160"/>
        <v>N/A</v>
      </c>
      <c r="H200" s="1240" t="str">
        <f t="shared" si="161"/>
        <v>N/A</v>
      </c>
      <c r="I200" s="1240" t="str">
        <f t="shared" si="162"/>
        <v>N/A</v>
      </c>
      <c r="J200" s="1240" t="str">
        <f t="shared" si="121"/>
        <v>N/A</v>
      </c>
      <c r="K200" s="1240" t="str">
        <f t="shared" si="122"/>
        <v>N/A</v>
      </c>
      <c r="L200" s="389" t="s">
        <v>2224</v>
      </c>
      <c r="M200" s="1109"/>
      <c r="N200" s="392"/>
      <c r="O200" s="376"/>
      <c r="P200" s="376"/>
      <c r="Q200" s="376"/>
      <c r="R200" s="377"/>
      <c r="S200" s="1109"/>
      <c r="T200" s="387"/>
      <c r="U200" s="1109"/>
      <c r="V200" s="1109"/>
      <c r="W200" s="373" t="str">
        <f t="shared" si="123"/>
        <v/>
      </c>
      <c r="X200" s="388" t="s">
        <v>2224</v>
      </c>
      <c r="Y200" s="1410"/>
      <c r="Z200" s="377"/>
      <c r="AA200" s="1190" t="str">
        <f t="shared" si="155"/>
        <v/>
      </c>
      <c r="AB200" s="377"/>
      <c r="AC200" s="378"/>
      <c r="AD200" s="393"/>
      <c r="AE200" s="377"/>
      <c r="AF200" s="377"/>
      <c r="AG200" s="1205"/>
      <c r="AH200" s="388" t="s">
        <v>2224</v>
      </c>
      <c r="AI200" s="1416"/>
      <c r="AJ200" s="1171"/>
      <c r="AK200" s="1418">
        <f t="shared" si="146"/>
        <v>0</v>
      </c>
      <c r="AL200" s="1171"/>
      <c r="AM200" s="1171"/>
      <c r="AN200" s="393"/>
      <c r="AO200" s="1171"/>
      <c r="AP200" s="1171"/>
      <c r="AQ200" s="1205"/>
      <c r="AR200" s="388" t="s">
        <v>2224</v>
      </c>
      <c r="AS200" s="1410"/>
      <c r="AT200" s="377"/>
      <c r="AU200" s="1190" t="str">
        <f t="shared" si="147"/>
        <v/>
      </c>
      <c r="AV200" s="377">
        <v>0</v>
      </c>
      <c r="AW200" s="378">
        <v>0</v>
      </c>
      <c r="AX200" s="393"/>
      <c r="AY200" s="377"/>
      <c r="AZ200" s="377"/>
      <c r="BA200" s="1205" t="str">
        <f>IF(AR200="N/A","",AU200*(1+AY200))</f>
        <v/>
      </c>
      <c r="BB200" s="388" t="s">
        <v>2113</v>
      </c>
      <c r="BC200" s="393"/>
      <c r="BD200" s="377"/>
      <c r="BE200" s="1190">
        <f t="shared" si="149"/>
        <v>0</v>
      </c>
      <c r="BF200" s="393"/>
      <c r="BG200" s="393"/>
      <c r="BH200" s="393"/>
      <c r="BI200" s="377"/>
      <c r="BJ200" s="377"/>
      <c r="BK200" s="1205" t="str">
        <f t="shared" ref="BK200:BK211" si="165">IF(BB200="N/A","",BE200*(1+BI200))</f>
        <v/>
      </c>
      <c r="BL200" s="388" t="s">
        <v>2113</v>
      </c>
      <c r="BM200" s="393"/>
      <c r="BN200" s="377"/>
      <c r="BO200" s="1190" t="str">
        <f t="shared" si="151"/>
        <v/>
      </c>
      <c r="BP200" s="377">
        <v>0</v>
      </c>
      <c r="BQ200" s="378">
        <v>0</v>
      </c>
      <c r="BR200" s="393"/>
      <c r="BS200" s="377"/>
      <c r="BT200" s="377"/>
      <c r="BU200" s="1205" t="str">
        <f>IF(BL200="N/A","",BO200*(1+BS200))</f>
        <v/>
      </c>
      <c r="BV200" s="388" t="s">
        <v>2224</v>
      </c>
      <c r="BW200" s="393"/>
      <c r="BX200" s="377"/>
      <c r="BY200" s="1190" t="str">
        <f t="shared" si="153"/>
        <v/>
      </c>
      <c r="BZ200" s="377">
        <v>0</v>
      </c>
      <c r="CA200" s="378">
        <v>0</v>
      </c>
      <c r="CB200" s="393"/>
      <c r="CC200" s="377"/>
      <c r="CD200" s="377"/>
      <c r="CE200" s="1205" t="str">
        <f t="shared" si="163"/>
        <v/>
      </c>
    </row>
    <row r="201" spans="1:83" s="1127" customFormat="1">
      <c r="A201" s="291" t="b">
        <v>0</v>
      </c>
      <c r="B201" s="291" t="s">
        <v>2243</v>
      </c>
      <c r="C201" s="291" t="b">
        <f t="shared" si="119"/>
        <v>0</v>
      </c>
      <c r="D201" s="388" t="str">
        <f>IF(C201=FALSE=NAMES!$B$8,"",IF(L201="N/A","N/A",O201&amp;N201&amp;L201&amp;"-"&amp;M201&amp;" ("&amp;U201&amp;"/"&amp;V201&amp;")"))</f>
        <v>2017USDAnker Verzekeringen n.v.-Formula 2 (7/120)</v>
      </c>
      <c r="E201" s="392" t="str">
        <f t="shared" si="158"/>
        <v>2017USDAnker Verzekeringen n.v.-Formula 2 (7/120)</v>
      </c>
      <c r="F201" s="1236" t="str">
        <f t="shared" si="159"/>
        <v>2017USDAnker Verzekeringen n.v.-Death AccidentFormula 2</v>
      </c>
      <c r="G201" s="1240" t="str">
        <f t="shared" si="160"/>
        <v>N/A</v>
      </c>
      <c r="H201" s="1240" t="str">
        <f t="shared" si="161"/>
        <v>2017USDAnker Verzekeringen n.v.-Permanent Disability AccidentFormula 2</v>
      </c>
      <c r="I201" s="1240" t="str">
        <f t="shared" si="162"/>
        <v>N/A</v>
      </c>
      <c r="J201" s="1240" t="str">
        <f t="shared" si="121"/>
        <v>2017USDAnker Verzekeringen n.v.-Temporary Disability Accident (100%/7/120)</v>
      </c>
      <c r="K201" s="1240" t="str">
        <f t="shared" si="122"/>
        <v>2017USDAnker Verzekeringen n.v.-Temporary Disability illness (100%/7/120)</v>
      </c>
      <c r="L201" s="392" t="s">
        <v>7</v>
      </c>
      <c r="M201" s="1109" t="s">
        <v>1779</v>
      </c>
      <c r="N201" s="392" t="s">
        <v>87</v>
      </c>
      <c r="O201" s="376">
        <v>2017</v>
      </c>
      <c r="P201" s="376" t="s">
        <v>2234</v>
      </c>
      <c r="Q201" s="376"/>
      <c r="R201" s="377">
        <v>0.1</v>
      </c>
      <c r="S201" s="1109"/>
      <c r="T201" s="387">
        <v>1</v>
      </c>
      <c r="U201" s="1109">
        <v>7</v>
      </c>
      <c r="V201" s="1109">
        <v>120</v>
      </c>
      <c r="W201" s="373">
        <f t="shared" si="123"/>
        <v>2.356551724137931E-2</v>
      </c>
      <c r="X201" s="197" t="s">
        <v>6</v>
      </c>
      <c r="Y201" s="1410">
        <v>5.7614999999999999E-4</v>
      </c>
      <c r="Z201" s="377">
        <v>0.27500000000000002</v>
      </c>
      <c r="AA201" s="1190">
        <f t="shared" si="155"/>
        <v>7.9468965517241383E-4</v>
      </c>
      <c r="AB201" s="377">
        <v>0</v>
      </c>
      <c r="AC201" s="378">
        <v>0</v>
      </c>
      <c r="AD201" s="393"/>
      <c r="AE201" s="377">
        <v>0.04</v>
      </c>
      <c r="AF201" s="377"/>
      <c r="AG201" s="1205">
        <f t="shared" ref="AG201:AG205" si="166">IF(X201="N/A","",AA201*(1+AE201))</f>
        <v>8.2647724137931047E-4</v>
      </c>
      <c r="AH201" s="388" t="s">
        <v>2224</v>
      </c>
      <c r="AI201" s="1416"/>
      <c r="AJ201" s="1171"/>
      <c r="AK201" s="1418">
        <f t="shared" si="146"/>
        <v>0</v>
      </c>
      <c r="AL201" s="1171"/>
      <c r="AM201" s="1171"/>
      <c r="AN201" s="393"/>
      <c r="AO201" s="1171"/>
      <c r="AP201" s="377"/>
      <c r="AQ201" s="1205" t="str">
        <f t="shared" ref="AQ201:AQ205" si="167">IF(AH201="N/A","",AK201*(1+AO201))</f>
        <v/>
      </c>
      <c r="AR201" s="197" t="s">
        <v>9</v>
      </c>
      <c r="AS201" s="1410">
        <v>7.1184999999999998E-4</v>
      </c>
      <c r="AT201" s="377">
        <v>0.27500000000000002</v>
      </c>
      <c r="AU201" s="1190">
        <f t="shared" si="147"/>
        <v>9.8186206896551734E-4</v>
      </c>
      <c r="AV201" s="377">
        <v>0</v>
      </c>
      <c r="AW201" s="378">
        <v>0</v>
      </c>
      <c r="AX201" s="393"/>
      <c r="AY201" s="377">
        <v>0.04</v>
      </c>
      <c r="AZ201" s="377"/>
      <c r="BA201" s="1205">
        <f t="shared" ref="BA201:BA211" si="168">IF(AR201="N/A","",AU201*(1+AY201))</f>
        <v>1.0211365517241381E-3</v>
      </c>
      <c r="BB201" s="388" t="s">
        <v>2113</v>
      </c>
      <c r="BC201" s="393"/>
      <c r="BD201" s="377"/>
      <c r="BE201" s="1190">
        <f t="shared" si="149"/>
        <v>0</v>
      </c>
      <c r="BF201" s="393"/>
      <c r="BG201" s="393"/>
      <c r="BH201" s="393"/>
      <c r="BI201" s="377"/>
      <c r="BJ201" s="377"/>
      <c r="BK201" s="1205" t="str">
        <f t="shared" si="165"/>
        <v/>
      </c>
      <c r="BL201" s="197" t="s">
        <v>2827</v>
      </c>
      <c r="BM201" s="393">
        <v>6.7759999999999999E-3</v>
      </c>
      <c r="BN201" s="377">
        <v>0.27500000000000002</v>
      </c>
      <c r="BO201" s="1190">
        <f t="shared" si="151"/>
        <v>9.3462068965517245E-3</v>
      </c>
      <c r="BP201" s="377">
        <v>0</v>
      </c>
      <c r="BQ201" s="378">
        <v>0</v>
      </c>
      <c r="BR201" s="393"/>
      <c r="BS201" s="377">
        <v>0.04</v>
      </c>
      <c r="BT201" s="377"/>
      <c r="BU201" s="1205">
        <f t="shared" ref="BU201:BU202" si="169">IF(BL201="N/A","",BO201*(1+BS201))</f>
        <v>9.7200551724137933E-3</v>
      </c>
      <c r="BV201" s="197" t="s">
        <v>2836</v>
      </c>
      <c r="BW201" s="393">
        <v>9.0209999999999995E-3</v>
      </c>
      <c r="BX201" s="377">
        <v>0.27500000000000002</v>
      </c>
      <c r="BY201" s="1190">
        <f t="shared" si="153"/>
        <v>1.2442758620689654E-2</v>
      </c>
      <c r="BZ201" s="377">
        <v>0</v>
      </c>
      <c r="CA201" s="378">
        <v>0</v>
      </c>
      <c r="CB201" s="393"/>
      <c r="CC201" s="377">
        <v>0.04</v>
      </c>
      <c r="CD201" s="377"/>
      <c r="CE201" s="1205">
        <f t="shared" si="163"/>
        <v>1.2940468965517241E-2</v>
      </c>
    </row>
    <row r="202" spans="1:83" s="1127" customFormat="1">
      <c r="A202" s="291" t="b">
        <v>0</v>
      </c>
      <c r="B202" s="291" t="s">
        <v>2243</v>
      </c>
      <c r="C202" s="291" t="b">
        <f t="shared" si="119"/>
        <v>0</v>
      </c>
      <c r="D202" s="388" t="str">
        <f>IF(C202=FALSE=NAMES!$B$8,"",IF(L202="N/A","N/A",O202&amp;N202&amp;L202&amp;"-"&amp;M202&amp;" ("&amp;U202&amp;"/"&amp;V202&amp;")"))</f>
        <v>2017USDAnker Verzekeringen n.v.-Formula 2 (7/365)</v>
      </c>
      <c r="E202" s="392" t="str">
        <f t="shared" si="158"/>
        <v>2017USDAnker Verzekeringen n.v.-Formula 2 (7/365)</v>
      </c>
      <c r="F202" s="1236" t="str">
        <f t="shared" si="159"/>
        <v>2017USDAnker Verzekeringen n.v.-Death AccidentFormula 2</v>
      </c>
      <c r="G202" s="1240" t="str">
        <f t="shared" si="160"/>
        <v>N/A</v>
      </c>
      <c r="H202" s="1240" t="str">
        <f t="shared" si="161"/>
        <v>2017USDAnker Verzekeringen n.v.-Permanent Disability AccidentFormula 2</v>
      </c>
      <c r="I202" s="1240" t="str">
        <f t="shared" si="162"/>
        <v>N/A</v>
      </c>
      <c r="J202" s="1240" t="str">
        <f t="shared" si="121"/>
        <v>2017USDAnker Verzekeringen n.v.-Temporary Disability Accident (100%/7/365)</v>
      </c>
      <c r="K202" s="1240" t="str">
        <f t="shared" si="122"/>
        <v>2017USDAnker Verzekeringen n.v.-Temporary Disability illness (100%/7/365)</v>
      </c>
      <c r="L202" s="392" t="s">
        <v>7</v>
      </c>
      <c r="M202" s="1109" t="s">
        <v>1779</v>
      </c>
      <c r="N202" s="392" t="s">
        <v>87</v>
      </c>
      <c r="O202" s="376">
        <v>2017</v>
      </c>
      <c r="P202" s="376" t="s">
        <v>2234</v>
      </c>
      <c r="Q202" s="376"/>
      <c r="R202" s="377">
        <v>0.1</v>
      </c>
      <c r="S202" s="1109"/>
      <c r="T202" s="387">
        <v>1</v>
      </c>
      <c r="U202" s="1109">
        <v>7</v>
      </c>
      <c r="V202" s="1109">
        <v>365</v>
      </c>
      <c r="W202" s="373">
        <f t="shared" si="123"/>
        <v>2.983034482758621E-2</v>
      </c>
      <c r="X202" s="197" t="s">
        <v>6</v>
      </c>
      <c r="Y202" s="1410">
        <v>5.7614999999999999E-4</v>
      </c>
      <c r="Z202" s="377">
        <v>0.27500000000000002</v>
      </c>
      <c r="AA202" s="1190">
        <f t="shared" si="155"/>
        <v>7.9468965517241383E-4</v>
      </c>
      <c r="AB202" s="377">
        <v>0</v>
      </c>
      <c r="AC202" s="378">
        <v>0</v>
      </c>
      <c r="AD202" s="393"/>
      <c r="AE202" s="377">
        <v>0.04</v>
      </c>
      <c r="AF202" s="377"/>
      <c r="AG202" s="1205">
        <f t="shared" si="166"/>
        <v>8.2647724137931047E-4</v>
      </c>
      <c r="AH202" s="388" t="s">
        <v>2224</v>
      </c>
      <c r="AI202" s="1416"/>
      <c r="AJ202" s="1171"/>
      <c r="AK202" s="1418">
        <f t="shared" si="146"/>
        <v>0</v>
      </c>
      <c r="AL202" s="1171"/>
      <c r="AM202" s="1171"/>
      <c r="AN202" s="393"/>
      <c r="AO202" s="1171"/>
      <c r="AP202" s="377"/>
      <c r="AQ202" s="1205" t="str">
        <f t="shared" si="167"/>
        <v/>
      </c>
      <c r="AR202" s="197" t="s">
        <v>9</v>
      </c>
      <c r="AS202" s="1410">
        <v>7.1184999999999998E-4</v>
      </c>
      <c r="AT202" s="377">
        <v>0.27500000000000002</v>
      </c>
      <c r="AU202" s="1190">
        <f t="shared" si="147"/>
        <v>9.8186206896551734E-4</v>
      </c>
      <c r="AV202" s="377">
        <v>0</v>
      </c>
      <c r="AW202" s="378">
        <v>0</v>
      </c>
      <c r="AX202" s="393"/>
      <c r="AY202" s="377">
        <v>0.04</v>
      </c>
      <c r="AZ202" s="377"/>
      <c r="BA202" s="1205">
        <f t="shared" si="168"/>
        <v>1.0211365517241381E-3</v>
      </c>
      <c r="BB202" s="388" t="s">
        <v>2113</v>
      </c>
      <c r="BC202" s="393"/>
      <c r="BD202" s="377"/>
      <c r="BE202" s="1190">
        <f t="shared" si="149"/>
        <v>0</v>
      </c>
      <c r="BF202" s="393"/>
      <c r="BG202" s="393"/>
      <c r="BH202" s="393"/>
      <c r="BI202" s="377"/>
      <c r="BJ202" s="377"/>
      <c r="BK202" s="1205" t="str">
        <f t="shared" si="165"/>
        <v/>
      </c>
      <c r="BL202" s="197" t="s">
        <v>2828</v>
      </c>
      <c r="BM202" s="393">
        <v>6.7759999999999999E-3</v>
      </c>
      <c r="BN202" s="377">
        <v>0.27500000000000002</v>
      </c>
      <c r="BO202" s="1190">
        <f t="shared" si="151"/>
        <v>9.3462068965517245E-3</v>
      </c>
      <c r="BP202" s="377">
        <v>0</v>
      </c>
      <c r="BQ202" s="378">
        <v>0</v>
      </c>
      <c r="BR202" s="393"/>
      <c r="BS202" s="377">
        <v>0.04</v>
      </c>
      <c r="BT202" s="377"/>
      <c r="BU202" s="1205">
        <f t="shared" si="169"/>
        <v>9.7200551724137933E-3</v>
      </c>
      <c r="BV202" s="197" t="s">
        <v>2832</v>
      </c>
      <c r="BW202" s="393">
        <v>1.3563E-2</v>
      </c>
      <c r="BX202" s="377">
        <v>0.27500000000000002</v>
      </c>
      <c r="BY202" s="1190">
        <f t="shared" si="153"/>
        <v>1.8707586206896554E-2</v>
      </c>
      <c r="BZ202" s="377">
        <v>0</v>
      </c>
      <c r="CA202" s="378">
        <v>0</v>
      </c>
      <c r="CB202" s="393"/>
      <c r="CC202" s="377">
        <v>0.04</v>
      </c>
      <c r="CD202" s="377"/>
      <c r="CE202" s="1205">
        <f t="shared" si="163"/>
        <v>1.9455889655172417E-2</v>
      </c>
    </row>
    <row r="203" spans="1:83" s="1127" customFormat="1">
      <c r="A203" s="291" t="b">
        <v>0</v>
      </c>
      <c r="B203" s="291" t="s">
        <v>2243</v>
      </c>
      <c r="C203" s="291" t="b">
        <f t="shared" si="119"/>
        <v>0</v>
      </c>
      <c r="D203" s="388" t="str">
        <f>IF(C203=FALSE=NAMES!$B$8,"",IF(L203="N/A","N/A",O203&amp;N203&amp;L203&amp;"-"&amp;M203&amp;" ("&amp;U203&amp;"/"&amp;V203&amp;")"))</f>
        <v>2017USDAnker Verzekeringen n.v.-Formula 2 (28/365)</v>
      </c>
      <c r="E203" s="392" t="str">
        <f t="shared" si="158"/>
        <v>2017USDAnker Verzekeringen n.v.-Formula 2 (28/365)</v>
      </c>
      <c r="F203" s="1236" t="str">
        <f t="shared" si="159"/>
        <v>2017USDAnker Verzekeringen n.v.-Death AccidentFormula 2</v>
      </c>
      <c r="G203" s="1240" t="str">
        <f t="shared" si="160"/>
        <v>N/A</v>
      </c>
      <c r="H203" s="1240" t="str">
        <f t="shared" si="161"/>
        <v>2017USDAnker Verzekeringen n.v.-Permanent Disability AccidentFormula 2</v>
      </c>
      <c r="I203" s="1240" t="str">
        <f t="shared" si="162"/>
        <v>N/A</v>
      </c>
      <c r="J203" s="1240" t="str">
        <f t="shared" si="121"/>
        <v>2017USDAnker Verzekeringen n.v.-Temporary Disability Accident (100%/28/365)</v>
      </c>
      <c r="K203" s="1240" t="str">
        <f t="shared" si="122"/>
        <v>2017USDAnker Verzekeringen n.v.-Temporary Disability illness (100%/28/365)</v>
      </c>
      <c r="L203" s="392" t="s">
        <v>7</v>
      </c>
      <c r="M203" s="1109" t="s">
        <v>1779</v>
      </c>
      <c r="N203" s="392" t="s">
        <v>87</v>
      </c>
      <c r="O203" s="376">
        <v>2017</v>
      </c>
      <c r="P203" s="376" t="s">
        <v>2234</v>
      </c>
      <c r="Q203" s="376"/>
      <c r="R203" s="377">
        <v>0.1</v>
      </c>
      <c r="S203" s="1109"/>
      <c r="T203" s="387">
        <v>1</v>
      </c>
      <c r="U203" s="1109">
        <v>28</v>
      </c>
      <c r="V203" s="1109">
        <v>365</v>
      </c>
      <c r="W203" s="373">
        <f t="shared" si="123"/>
        <v>2.4780689655172414E-2</v>
      </c>
      <c r="X203" s="197" t="s">
        <v>6</v>
      </c>
      <c r="Y203" s="1410">
        <v>5.7614999999999999E-4</v>
      </c>
      <c r="Z203" s="377">
        <v>0.27500000000000002</v>
      </c>
      <c r="AA203" s="1190">
        <f t="shared" si="155"/>
        <v>7.9468965517241383E-4</v>
      </c>
      <c r="AB203" s="377">
        <v>0</v>
      </c>
      <c r="AC203" s="378">
        <v>0</v>
      </c>
      <c r="AD203" s="393"/>
      <c r="AE203" s="377">
        <v>0.04</v>
      </c>
      <c r="AF203" s="377"/>
      <c r="AG203" s="1205">
        <f t="shared" si="166"/>
        <v>8.2647724137931047E-4</v>
      </c>
      <c r="AH203" s="388" t="s">
        <v>2224</v>
      </c>
      <c r="AI203" s="1416"/>
      <c r="AJ203" s="1171"/>
      <c r="AK203" s="1418">
        <f t="shared" si="146"/>
        <v>0</v>
      </c>
      <c r="AL203" s="1171"/>
      <c r="AM203" s="1171"/>
      <c r="AN203" s="393"/>
      <c r="AO203" s="1171"/>
      <c r="AP203" s="377"/>
      <c r="AQ203" s="1205" t="str">
        <f t="shared" si="167"/>
        <v/>
      </c>
      <c r="AR203" s="197" t="s">
        <v>9</v>
      </c>
      <c r="AS203" s="1410">
        <v>7.1184999999999998E-4</v>
      </c>
      <c r="AT203" s="377">
        <v>0.27500000000000002</v>
      </c>
      <c r="AU203" s="1190">
        <f t="shared" si="147"/>
        <v>9.8186206896551734E-4</v>
      </c>
      <c r="AV203" s="377">
        <v>0</v>
      </c>
      <c r="AW203" s="378">
        <v>0</v>
      </c>
      <c r="AX203" s="393"/>
      <c r="AY203" s="377">
        <v>0.04</v>
      </c>
      <c r="AZ203" s="377"/>
      <c r="BA203" s="1205">
        <f t="shared" si="168"/>
        <v>1.0211365517241381E-3</v>
      </c>
      <c r="BB203" s="388" t="s">
        <v>2113</v>
      </c>
      <c r="BC203" s="393"/>
      <c r="BD203" s="377"/>
      <c r="BE203" s="1190">
        <f t="shared" si="149"/>
        <v>0</v>
      </c>
      <c r="BF203" s="393"/>
      <c r="BG203" s="393"/>
      <c r="BH203" s="393"/>
      <c r="BI203" s="377"/>
      <c r="BJ203" s="377"/>
      <c r="BK203" s="1205" t="str">
        <f t="shared" si="165"/>
        <v/>
      </c>
      <c r="BL203" s="197" t="s">
        <v>2829</v>
      </c>
      <c r="BM203" s="393">
        <v>5.5560000000000002E-3</v>
      </c>
      <c r="BN203" s="377">
        <v>0.27500000000000002</v>
      </c>
      <c r="BO203" s="1190">
        <f t="shared" si="151"/>
        <v>7.6634482758620691E-3</v>
      </c>
      <c r="BP203" s="377">
        <v>0</v>
      </c>
      <c r="BQ203" s="378">
        <v>0</v>
      </c>
      <c r="BR203" s="393"/>
      <c r="BS203" s="377">
        <v>0.04</v>
      </c>
      <c r="BT203" s="377"/>
      <c r="BU203" s="1205">
        <f>IF(BL203="N/A","",BO203*(1+BS203))</f>
        <v>7.9699862068965521E-3</v>
      </c>
      <c r="BV203" s="197" t="s">
        <v>2833</v>
      </c>
      <c r="BW203" s="393">
        <v>1.1122E-2</v>
      </c>
      <c r="BX203" s="377">
        <v>0.27500000000000002</v>
      </c>
      <c r="BY203" s="1190">
        <f t="shared" si="153"/>
        <v>1.5340689655172414E-2</v>
      </c>
      <c r="BZ203" s="377">
        <v>0</v>
      </c>
      <c r="CA203" s="378">
        <v>0</v>
      </c>
      <c r="CB203" s="393"/>
      <c r="CC203" s="377">
        <v>0.04</v>
      </c>
      <c r="CD203" s="377"/>
      <c r="CE203" s="1205">
        <f t="shared" si="163"/>
        <v>1.5954317241379311E-2</v>
      </c>
    </row>
    <row r="204" spans="1:83" s="1127" customFormat="1">
      <c r="A204" s="291" t="b">
        <v>0</v>
      </c>
      <c r="B204" s="291" t="s">
        <v>2243</v>
      </c>
      <c r="C204" s="291" t="b">
        <f t="shared" si="119"/>
        <v>0</v>
      </c>
      <c r="D204" s="388" t="str">
        <f>IF(C204=FALSE=NAMES!$B$8,"",IF(L204="N/A","N/A",O204&amp;N204&amp;L204&amp;"-"&amp;M204&amp;" ("&amp;U204&amp;"/"&amp;V204&amp;")"))</f>
        <v>2017USDAnker Verzekeringen n.v.-Formula 2 (42/365)</v>
      </c>
      <c r="E204" s="392" t="str">
        <f t="shared" si="158"/>
        <v>2017USDAnker Verzekeringen n.v.-Formula 2 (42/365)</v>
      </c>
      <c r="F204" s="1236" t="str">
        <f t="shared" si="159"/>
        <v>2017USDAnker Verzekeringen n.v.-Death AccidentFormula 2</v>
      </c>
      <c r="G204" s="1240" t="str">
        <f t="shared" si="160"/>
        <v>N/A</v>
      </c>
      <c r="H204" s="1240" t="str">
        <f t="shared" si="161"/>
        <v>2017USDAnker Verzekeringen n.v.-Permanent Disability AccidentFormula 2</v>
      </c>
      <c r="I204" s="1240" t="str">
        <f t="shared" si="162"/>
        <v>N/A</v>
      </c>
      <c r="J204" s="1240" t="str">
        <f t="shared" si="121"/>
        <v>2017USDAnker Verzekeringen n.v.-Temporary Disability Accident (100%/42/365)</v>
      </c>
      <c r="K204" s="1240" t="str">
        <f t="shared" si="122"/>
        <v>2017USDAnker Verzekeringen n.v.-Temporary Disability illness (100%/42/365)</v>
      </c>
      <c r="L204" s="392" t="s">
        <v>7</v>
      </c>
      <c r="M204" s="1109" t="s">
        <v>1779</v>
      </c>
      <c r="N204" s="392" t="s">
        <v>87</v>
      </c>
      <c r="O204" s="376">
        <v>2017</v>
      </c>
      <c r="P204" s="376" t="s">
        <v>2234</v>
      </c>
      <c r="Q204" s="376"/>
      <c r="R204" s="377">
        <v>0.1</v>
      </c>
      <c r="S204" s="1109"/>
      <c r="T204" s="387">
        <v>1</v>
      </c>
      <c r="U204" s="1109">
        <v>42</v>
      </c>
      <c r="V204" s="1109">
        <v>365</v>
      </c>
      <c r="W204" s="373">
        <f t="shared" si="123"/>
        <v>2.3355862068965519E-2</v>
      </c>
      <c r="X204" s="197" t="s">
        <v>6</v>
      </c>
      <c r="Y204" s="1410">
        <v>5.7614999999999999E-4</v>
      </c>
      <c r="Z204" s="377">
        <v>0.27500000000000002</v>
      </c>
      <c r="AA204" s="1190">
        <f t="shared" si="155"/>
        <v>7.9468965517241383E-4</v>
      </c>
      <c r="AB204" s="377">
        <v>0</v>
      </c>
      <c r="AC204" s="378">
        <v>0</v>
      </c>
      <c r="AD204" s="393"/>
      <c r="AE204" s="377">
        <v>0.04</v>
      </c>
      <c r="AF204" s="377"/>
      <c r="AG204" s="1205">
        <f t="shared" si="166"/>
        <v>8.2647724137931047E-4</v>
      </c>
      <c r="AH204" s="388" t="s">
        <v>2224</v>
      </c>
      <c r="AI204" s="1416"/>
      <c r="AJ204" s="1171"/>
      <c r="AK204" s="1418">
        <f t="shared" si="146"/>
        <v>0</v>
      </c>
      <c r="AL204" s="1171"/>
      <c r="AM204" s="1171"/>
      <c r="AN204" s="393"/>
      <c r="AO204" s="1171"/>
      <c r="AP204" s="377"/>
      <c r="AQ204" s="1205" t="str">
        <f t="shared" si="167"/>
        <v/>
      </c>
      <c r="AR204" s="197" t="s">
        <v>9</v>
      </c>
      <c r="AS204" s="1410">
        <v>7.1184999999999998E-4</v>
      </c>
      <c r="AT204" s="377">
        <v>0.27500000000000002</v>
      </c>
      <c r="AU204" s="1190">
        <f t="shared" si="147"/>
        <v>9.8186206896551734E-4</v>
      </c>
      <c r="AV204" s="377">
        <v>0</v>
      </c>
      <c r="AW204" s="378">
        <v>0</v>
      </c>
      <c r="AX204" s="393"/>
      <c r="AY204" s="377">
        <v>0.04</v>
      </c>
      <c r="AZ204" s="377"/>
      <c r="BA204" s="1205">
        <f t="shared" si="168"/>
        <v>1.0211365517241381E-3</v>
      </c>
      <c r="BB204" s="388" t="s">
        <v>2113</v>
      </c>
      <c r="BC204" s="393"/>
      <c r="BD204" s="377"/>
      <c r="BE204" s="1190">
        <f t="shared" si="149"/>
        <v>0</v>
      </c>
      <c r="BF204" s="393"/>
      <c r="BG204" s="393"/>
      <c r="BH204" s="393"/>
      <c r="BI204" s="377"/>
      <c r="BJ204" s="377"/>
      <c r="BK204" s="1205" t="str">
        <f t="shared" si="165"/>
        <v/>
      </c>
      <c r="BL204" s="197" t="s">
        <v>2830</v>
      </c>
      <c r="BM204" s="393">
        <v>5.2119999999999996E-3</v>
      </c>
      <c r="BN204" s="377">
        <v>0.27500000000000002</v>
      </c>
      <c r="BO204" s="1190">
        <f t="shared" si="151"/>
        <v>7.1889655172413794E-3</v>
      </c>
      <c r="BP204" s="377">
        <v>0</v>
      </c>
      <c r="BQ204" s="378">
        <v>0</v>
      </c>
      <c r="BR204" s="393"/>
      <c r="BS204" s="377">
        <v>0.04</v>
      </c>
      <c r="BT204" s="377"/>
      <c r="BU204" s="1205">
        <f>IF(BL204="N/A","",BO204*(1+BS204))</f>
        <v>7.4765241379310347E-3</v>
      </c>
      <c r="BV204" s="197" t="s">
        <v>2834</v>
      </c>
      <c r="BW204" s="393">
        <v>1.0433E-2</v>
      </c>
      <c r="BX204" s="377">
        <v>0.27500000000000002</v>
      </c>
      <c r="BY204" s="1190">
        <f t="shared" si="153"/>
        <v>1.4390344827586207E-2</v>
      </c>
      <c r="BZ204" s="377">
        <v>0</v>
      </c>
      <c r="CA204" s="378">
        <v>0</v>
      </c>
      <c r="CB204" s="393"/>
      <c r="CC204" s="377">
        <v>0.04</v>
      </c>
      <c r="CD204" s="377"/>
      <c r="CE204" s="1205">
        <f t="shared" si="163"/>
        <v>1.4965958620689656E-2</v>
      </c>
    </row>
    <row r="205" spans="1:83" s="1127" customFormat="1">
      <c r="A205" s="291" t="b">
        <v>0</v>
      </c>
      <c r="B205" s="291" t="s">
        <v>2243</v>
      </c>
      <c r="C205" s="291" t="b">
        <f t="shared" si="119"/>
        <v>0</v>
      </c>
      <c r="D205" s="388" t="str">
        <f>IF(C205=FALSE=NAMES!$B$8,"",IF(L205="N/A","N/A",O205&amp;N205&amp;L205&amp;"-"&amp;M205&amp;" ("&amp;U205&amp;"/"&amp;V205&amp;")"))</f>
        <v>2017USDAnker Verzekeringen n.v.-Formula 2 (7/365)</v>
      </c>
      <c r="E205" s="392" t="str">
        <f t="shared" si="158"/>
        <v>2017USDAnker Verzekeringen n.v.-Formula 2 (7/365)</v>
      </c>
      <c r="F205" s="1236" t="str">
        <f t="shared" si="159"/>
        <v>2017USDAnker Verzekeringen n.v.-Death AccidentFormula 2</v>
      </c>
      <c r="G205" s="1240" t="str">
        <f t="shared" si="160"/>
        <v>N/A</v>
      </c>
      <c r="H205" s="1240" t="str">
        <f t="shared" si="161"/>
        <v>2017USDAnker Verzekeringen n.v.-Permanent Disability AccidentFormula 2</v>
      </c>
      <c r="I205" s="1240" t="str">
        <f t="shared" si="162"/>
        <v>N/A</v>
      </c>
      <c r="J205" s="1240" t="str">
        <f t="shared" si="121"/>
        <v>2017USDAnker Verzekeringen n.v.-Temporary Disability Accident (70%/7/365)</v>
      </c>
      <c r="K205" s="1240" t="str">
        <f t="shared" si="122"/>
        <v>2017USDAnker Verzekeringen n.v.-Temporary Disability illness (70%/7/365)</v>
      </c>
      <c r="L205" s="392" t="s">
        <v>7</v>
      </c>
      <c r="M205" s="1109" t="s">
        <v>1779</v>
      </c>
      <c r="N205" s="392" t="s">
        <v>87</v>
      </c>
      <c r="O205" s="376">
        <v>2017</v>
      </c>
      <c r="P205" s="376" t="s">
        <v>2234</v>
      </c>
      <c r="Q205" s="376"/>
      <c r="R205" s="377">
        <v>0.1</v>
      </c>
      <c r="S205" s="1109"/>
      <c r="T205" s="387">
        <v>0.7</v>
      </c>
      <c r="U205" s="1109">
        <v>7</v>
      </c>
      <c r="V205" s="1109">
        <v>365</v>
      </c>
      <c r="W205" s="373">
        <f t="shared" si="123"/>
        <v>2.4780689655172414E-2</v>
      </c>
      <c r="X205" s="197" t="s">
        <v>6</v>
      </c>
      <c r="Y205" s="1410">
        <v>5.7614999999999999E-4</v>
      </c>
      <c r="Z205" s="377">
        <v>0.27500000000000002</v>
      </c>
      <c r="AA205" s="1190">
        <f t="shared" si="155"/>
        <v>7.9468965517241383E-4</v>
      </c>
      <c r="AB205" s="377">
        <v>0</v>
      </c>
      <c r="AC205" s="378">
        <v>0</v>
      </c>
      <c r="AD205" s="393"/>
      <c r="AE205" s="377">
        <v>0.04</v>
      </c>
      <c r="AF205" s="377"/>
      <c r="AG205" s="1205">
        <f t="shared" si="166"/>
        <v>8.2647724137931047E-4</v>
      </c>
      <c r="AH205" s="388" t="s">
        <v>2224</v>
      </c>
      <c r="AI205" s="1416"/>
      <c r="AJ205" s="1171"/>
      <c r="AK205" s="1418">
        <f t="shared" si="146"/>
        <v>0</v>
      </c>
      <c r="AL205" s="1171"/>
      <c r="AM205" s="1171"/>
      <c r="AN205" s="393"/>
      <c r="AO205" s="1171"/>
      <c r="AP205" s="377"/>
      <c r="AQ205" s="1205" t="str">
        <f t="shared" si="167"/>
        <v/>
      </c>
      <c r="AR205" s="197" t="s">
        <v>9</v>
      </c>
      <c r="AS205" s="1410">
        <v>7.1184999999999998E-4</v>
      </c>
      <c r="AT205" s="377">
        <v>0.27500000000000002</v>
      </c>
      <c r="AU205" s="1190">
        <f t="shared" si="147"/>
        <v>9.8186206896551734E-4</v>
      </c>
      <c r="AV205" s="377">
        <v>0</v>
      </c>
      <c r="AW205" s="378">
        <v>0</v>
      </c>
      <c r="AX205" s="393"/>
      <c r="AY205" s="377">
        <v>0.04</v>
      </c>
      <c r="AZ205" s="377"/>
      <c r="BA205" s="1205">
        <f t="shared" si="168"/>
        <v>1.0211365517241381E-3</v>
      </c>
      <c r="BB205" s="388" t="s">
        <v>2113</v>
      </c>
      <c r="BC205" s="393"/>
      <c r="BD205" s="377"/>
      <c r="BE205" s="1190">
        <f t="shared" si="149"/>
        <v>0</v>
      </c>
      <c r="BF205" s="393"/>
      <c r="BG205" s="393"/>
      <c r="BH205" s="393"/>
      <c r="BI205" s="377"/>
      <c r="BJ205" s="377"/>
      <c r="BK205" s="1205" t="str">
        <f t="shared" si="165"/>
        <v/>
      </c>
      <c r="BL205" s="197" t="s">
        <v>2831</v>
      </c>
      <c r="BM205" s="393">
        <v>5.5560000000000002E-3</v>
      </c>
      <c r="BN205" s="377">
        <v>0.27500000000000002</v>
      </c>
      <c r="BO205" s="1190">
        <f t="shared" si="151"/>
        <v>7.6634482758620691E-3</v>
      </c>
      <c r="BP205" s="377">
        <v>0</v>
      </c>
      <c r="BQ205" s="378">
        <v>0</v>
      </c>
      <c r="BR205" s="393"/>
      <c r="BS205" s="377">
        <v>0.04</v>
      </c>
      <c r="BT205" s="377"/>
      <c r="BU205" s="1205">
        <f t="shared" ref="BU205:BU207" si="170">IF(BL205="N/A","",BO205*(1+BS205))</f>
        <v>7.9699862068965521E-3</v>
      </c>
      <c r="BV205" s="197" t="s">
        <v>2835</v>
      </c>
      <c r="BW205" s="393">
        <v>1.1122E-2</v>
      </c>
      <c r="BX205" s="377">
        <v>0.27500000000000002</v>
      </c>
      <c r="BY205" s="1190">
        <f t="shared" si="153"/>
        <v>1.5340689655172414E-2</v>
      </c>
      <c r="BZ205" s="377">
        <v>0</v>
      </c>
      <c r="CA205" s="378">
        <v>0</v>
      </c>
      <c r="CB205" s="393"/>
      <c r="CC205" s="377">
        <v>0.04</v>
      </c>
      <c r="CD205" s="377"/>
      <c r="CE205" s="1205">
        <f>IF(BV205="N/A","",BY205*(1+CC205))</f>
        <v>1.5954317241379311E-2</v>
      </c>
    </row>
    <row r="206" spans="1:83" s="1127" customFormat="1">
      <c r="A206" s="291" t="b">
        <v>0</v>
      </c>
      <c r="B206" s="291" t="s">
        <v>2243</v>
      </c>
      <c r="C206" s="291" t="b">
        <f t="shared" ref="C206:C218" si="171">IF(B206="N/A","",IF(B206="newRates",FALSE,TRUE))</f>
        <v>0</v>
      </c>
      <c r="D206" s="388" t="str">
        <f>IF(C206=FALSE=NAMES!$B$8,"",IF(L206="N/A","N/A",O206&amp;N206&amp;L206&amp;"-"&amp;M206&amp;" ("&amp;U206&amp;"/"&amp;V206&amp;")"))</f>
        <v>N/A</v>
      </c>
      <c r="E206" s="392" t="str">
        <f t="shared" si="158"/>
        <v>N/A</v>
      </c>
      <c r="F206" s="1236" t="str">
        <f t="shared" si="159"/>
        <v>N/A</v>
      </c>
      <c r="G206" s="1240" t="str">
        <f t="shared" si="160"/>
        <v>N/A</v>
      </c>
      <c r="H206" s="1240" t="str">
        <f t="shared" si="161"/>
        <v>N/A</v>
      </c>
      <c r="I206" s="1240" t="str">
        <f t="shared" si="162"/>
        <v>N/A</v>
      </c>
      <c r="J206" s="1240" t="str">
        <f t="shared" si="121"/>
        <v>N/A</v>
      </c>
      <c r="K206" s="1240" t="str">
        <f t="shared" si="122"/>
        <v>N/A</v>
      </c>
      <c r="L206" s="389" t="s">
        <v>2224</v>
      </c>
      <c r="M206" s="1109"/>
      <c r="N206" s="392"/>
      <c r="O206" s="376"/>
      <c r="P206" s="376"/>
      <c r="Q206" s="376"/>
      <c r="R206" s="377"/>
      <c r="S206" s="1151"/>
      <c r="T206" s="1151"/>
      <c r="U206" s="1151"/>
      <c r="V206" s="1109"/>
      <c r="W206" s="373" t="str">
        <f t="shared" si="123"/>
        <v/>
      </c>
      <c r="X206" s="388" t="s">
        <v>2224</v>
      </c>
      <c r="Y206" s="1410"/>
      <c r="Z206" s="377"/>
      <c r="AA206" s="1190" t="str">
        <f>IF(X206="N/A","",Y206/(1-Z206))</f>
        <v/>
      </c>
      <c r="AB206" s="377"/>
      <c r="AC206" s="378"/>
      <c r="AD206" s="393"/>
      <c r="AE206" s="377"/>
      <c r="AF206" s="377"/>
      <c r="AG206" s="1205"/>
      <c r="AH206" s="388" t="s">
        <v>2224</v>
      </c>
      <c r="AI206" s="1416"/>
      <c r="AJ206" s="1171"/>
      <c r="AK206" s="1418">
        <f t="shared" si="146"/>
        <v>0</v>
      </c>
      <c r="AL206" s="1171"/>
      <c r="AM206" s="1171"/>
      <c r="AN206" s="393"/>
      <c r="AO206" s="1171"/>
      <c r="AP206" s="1171"/>
      <c r="AQ206" s="1205"/>
      <c r="AR206" s="388" t="s">
        <v>2224</v>
      </c>
      <c r="AS206" s="1410"/>
      <c r="AT206" s="377"/>
      <c r="AU206" s="1190" t="str">
        <f t="shared" ref="AU206:AU217" si="172">IF(AR206="N/A","",AS206/(1-AT206))</f>
        <v/>
      </c>
      <c r="AV206" s="393"/>
      <c r="AW206" s="393"/>
      <c r="AX206" s="393"/>
      <c r="AY206" s="377"/>
      <c r="AZ206" s="377"/>
      <c r="BA206" s="1205" t="str">
        <f t="shared" si="168"/>
        <v/>
      </c>
      <c r="BB206" s="388" t="s">
        <v>2113</v>
      </c>
      <c r="BC206" s="393"/>
      <c r="BD206" s="377"/>
      <c r="BE206" s="1190">
        <f t="shared" si="149"/>
        <v>0</v>
      </c>
      <c r="BF206" s="393"/>
      <c r="BG206" s="393"/>
      <c r="BH206" s="393"/>
      <c r="BI206" s="377"/>
      <c r="BJ206" s="377"/>
      <c r="BK206" s="1205" t="str">
        <f t="shared" si="165"/>
        <v/>
      </c>
      <c r="BL206" s="388" t="s">
        <v>2113</v>
      </c>
      <c r="BM206" s="393"/>
      <c r="BN206" s="377"/>
      <c r="BO206" s="1190" t="str">
        <f t="shared" ref="BO206:BO217" si="173">IF(BL206="N/A","",BM206/(1-BN206))</f>
        <v/>
      </c>
      <c r="BP206" s="393"/>
      <c r="BQ206" s="393"/>
      <c r="BR206" s="393"/>
      <c r="BS206" s="377"/>
      <c r="BT206" s="377"/>
      <c r="BU206" s="1205" t="str">
        <f t="shared" si="170"/>
        <v/>
      </c>
      <c r="BV206" s="388" t="s">
        <v>2113</v>
      </c>
      <c r="BW206" s="393"/>
      <c r="BX206" s="377"/>
      <c r="BY206" s="1190" t="str">
        <f t="shared" ref="BY206:BY217" si="174">IF(BV206="N/A","",BW206/(1-BX206))</f>
        <v/>
      </c>
      <c r="BZ206" s="393"/>
      <c r="CA206" s="393"/>
      <c r="CB206" s="393"/>
      <c r="CC206" s="377"/>
      <c r="CD206" s="377"/>
      <c r="CE206" s="1205" t="str">
        <f t="shared" ref="CE206:CE207" si="175">IF(BV206="N/A","",BY206*(1+CC206))</f>
        <v/>
      </c>
    </row>
    <row r="207" spans="1:83" s="1127" customFormat="1">
      <c r="A207" s="291" t="b">
        <v>0</v>
      </c>
      <c r="B207" s="291" t="s">
        <v>2243</v>
      </c>
      <c r="C207" s="291" t="b">
        <f t="shared" si="171"/>
        <v>0</v>
      </c>
      <c r="D207" s="388" t="str">
        <f>IF(C207=FALSE=NAMES!$B$8,"",IF(L207="N/A","N/A",O207&amp;N207&amp;L207&amp;"-"&amp;M207&amp;" ("&amp;U207&amp;"/"&amp;V207&amp;")"))</f>
        <v>2017EURAnker Verzekeringen n.v.-Formula 3 (7/120)</v>
      </c>
      <c r="E207" s="392" t="str">
        <f t="shared" si="158"/>
        <v>2017EURAnker Verzekeringen n.v.-Formula 3 (7/120)</v>
      </c>
      <c r="F207" s="1236" t="str">
        <f t="shared" si="159"/>
        <v>2017EURAnker Verzekeringen n.v.-Death AccidentFormula 3</v>
      </c>
      <c r="G207" s="1240" t="str">
        <f t="shared" si="160"/>
        <v>2017EURAnker Verzekeringen n.v.-Death illnessFormula 3</v>
      </c>
      <c r="H207" s="1240" t="str">
        <f t="shared" si="161"/>
        <v>2017EURAnker Verzekeringen n.v.-Permanent Disability AccidentFormula 3</v>
      </c>
      <c r="I207" s="1240" t="str">
        <f t="shared" si="162"/>
        <v>2017EURAnker Verzekeringen n.v.-Permanent Disability illnessFormula 3</v>
      </c>
      <c r="J207" s="1240" t="str">
        <f t="shared" si="121"/>
        <v>2017EURAnker Verzekeringen n.v.-Temporary Disability Accident (100%/7/120)</v>
      </c>
      <c r="K207" s="1240" t="str">
        <f t="shared" si="122"/>
        <v>2017EURAnker Verzekeringen n.v.-Temporary Disability illness (100%/7/120)</v>
      </c>
      <c r="L207" s="392" t="s">
        <v>7</v>
      </c>
      <c r="M207" s="1109" t="s">
        <v>88</v>
      </c>
      <c r="N207" s="392" t="s">
        <v>32</v>
      </c>
      <c r="O207" s="376">
        <v>2017</v>
      </c>
      <c r="P207" s="376" t="s">
        <v>2234</v>
      </c>
      <c r="Q207" s="376"/>
      <c r="R207" s="377">
        <v>0.1</v>
      </c>
      <c r="S207" s="1109"/>
      <c r="T207" s="387">
        <v>1</v>
      </c>
      <c r="U207" s="1109">
        <v>7</v>
      </c>
      <c r="V207" s="1109">
        <v>120</v>
      </c>
      <c r="W207" s="373">
        <f t="shared" si="123"/>
        <v>2.4223448275862071E-2</v>
      </c>
      <c r="X207" s="197" t="s">
        <v>6</v>
      </c>
      <c r="Y207" s="1410">
        <v>5.0100000000000003E-4</v>
      </c>
      <c r="Z207" s="377">
        <v>0.27500000000000002</v>
      </c>
      <c r="AA207" s="1190">
        <f t="shared" ref="AA207:AA217" si="176">IF(X207="N/A","",Y207/(1-Z207))</f>
        <v>6.9103448275862072E-4</v>
      </c>
      <c r="AB207" s="377">
        <v>0</v>
      </c>
      <c r="AC207" s="378">
        <v>0</v>
      </c>
      <c r="AD207" s="393"/>
      <c r="AE207" s="377">
        <v>0.04</v>
      </c>
      <c r="AF207" s="377"/>
      <c r="AG207" s="1205">
        <f t="shared" ref="AG207:AG211" si="177">IF(X207="N/A","",AA207*(1+AE207))</f>
        <v>7.1867586206896558E-4</v>
      </c>
      <c r="AH207" s="197" t="s">
        <v>2114</v>
      </c>
      <c r="AI207" s="1410">
        <v>1.253E-3</v>
      </c>
      <c r="AJ207" s="377">
        <v>0.27500000000000002</v>
      </c>
      <c r="AK207" s="1418">
        <f t="shared" si="146"/>
        <v>1.7282758620689655E-3</v>
      </c>
      <c r="AL207" s="377">
        <v>0</v>
      </c>
      <c r="AM207" s="378">
        <v>0</v>
      </c>
      <c r="AN207" s="393"/>
      <c r="AO207" s="377">
        <v>0.04</v>
      </c>
      <c r="AP207" s="377"/>
      <c r="AQ207" s="1205">
        <f t="shared" ref="AQ207:AQ211" si="178">IF(AH207="N/A","",AK207*(1+AO207))</f>
        <v>1.7974068965517242E-3</v>
      </c>
      <c r="AR207" s="197" t="s">
        <v>9</v>
      </c>
      <c r="AS207" s="1410">
        <v>6.1899999999999998E-4</v>
      </c>
      <c r="AT207" s="377">
        <v>0.27500000000000002</v>
      </c>
      <c r="AU207" s="1190">
        <f t="shared" si="172"/>
        <v>8.5379310344827581E-4</v>
      </c>
      <c r="AV207" s="377">
        <v>0</v>
      </c>
      <c r="AW207" s="378">
        <v>0</v>
      </c>
      <c r="AX207" s="393"/>
      <c r="AY207" s="377">
        <v>0.04</v>
      </c>
      <c r="AZ207" s="377"/>
      <c r="BA207" s="1205">
        <f t="shared" si="168"/>
        <v>8.8794482758620692E-4</v>
      </c>
      <c r="BB207" s="197" t="s">
        <v>2115</v>
      </c>
      <c r="BC207" s="393">
        <v>1.4890000000000001E-3</v>
      </c>
      <c r="BD207" s="377">
        <v>0.27500000000000002</v>
      </c>
      <c r="BE207" s="1190">
        <f>IF(BB207="N/A",0,BC207/(1-BD207))</f>
        <v>2.0537931034482759E-3</v>
      </c>
      <c r="BF207" s="377">
        <v>0</v>
      </c>
      <c r="BG207" s="378">
        <v>0</v>
      </c>
      <c r="BH207" s="393"/>
      <c r="BI207" s="377">
        <v>0.04</v>
      </c>
      <c r="BJ207" s="377"/>
      <c r="BK207" s="1205">
        <f t="shared" si="165"/>
        <v>2.1359448275862069E-3</v>
      </c>
      <c r="BL207" s="197" t="s">
        <v>2827</v>
      </c>
      <c r="BM207" s="393">
        <v>5.8729999999999997E-3</v>
      </c>
      <c r="BN207" s="377">
        <v>0.27500000000000002</v>
      </c>
      <c r="BO207" s="1190">
        <f t="shared" si="173"/>
        <v>8.100689655172414E-3</v>
      </c>
      <c r="BP207" s="377">
        <v>0</v>
      </c>
      <c r="BQ207" s="378">
        <v>0</v>
      </c>
      <c r="BR207" s="393"/>
      <c r="BS207" s="377">
        <v>0.04</v>
      </c>
      <c r="BT207" s="377"/>
      <c r="BU207" s="1205">
        <f t="shared" si="170"/>
        <v>8.4247172413793106E-3</v>
      </c>
      <c r="BV207" s="197" t="s">
        <v>2836</v>
      </c>
      <c r="BW207" s="393">
        <v>7.8270000000000006E-3</v>
      </c>
      <c r="BX207" s="377">
        <v>0.27500000000000002</v>
      </c>
      <c r="BY207" s="1190">
        <f t="shared" si="174"/>
        <v>1.0795862068965519E-2</v>
      </c>
      <c r="BZ207" s="377">
        <v>0</v>
      </c>
      <c r="CA207" s="378">
        <v>0</v>
      </c>
      <c r="CB207" s="393"/>
      <c r="CC207" s="377">
        <v>0.04</v>
      </c>
      <c r="CD207" s="377"/>
      <c r="CE207" s="1205">
        <f t="shared" si="175"/>
        <v>1.1227696551724141E-2</v>
      </c>
    </row>
    <row r="208" spans="1:83" s="1127" customFormat="1">
      <c r="A208" s="291" t="b">
        <v>0</v>
      </c>
      <c r="B208" s="291" t="s">
        <v>2243</v>
      </c>
      <c r="C208" s="291" t="b">
        <f t="shared" si="171"/>
        <v>0</v>
      </c>
      <c r="D208" s="388" t="str">
        <f>IF(C208=FALSE=NAMES!$B$8,"",IF(L208="N/A","N/A",O208&amp;N208&amp;L208&amp;"-"&amp;M208&amp;" ("&amp;U208&amp;"/"&amp;V208&amp;")"))</f>
        <v>2017EURAnker Verzekeringen n.v.-Formula 3 (7/365)</v>
      </c>
      <c r="E208" s="392" t="str">
        <f t="shared" si="158"/>
        <v>2017EURAnker Verzekeringen n.v.-Formula 3 (7/365)</v>
      </c>
      <c r="F208" s="1236" t="str">
        <f t="shared" si="159"/>
        <v>2017EURAnker Verzekeringen n.v.-Death AccidentFormula 3</v>
      </c>
      <c r="G208" s="1240" t="str">
        <f t="shared" si="160"/>
        <v>2017EURAnker Verzekeringen n.v.-Death illnessFormula 3</v>
      </c>
      <c r="H208" s="1240" t="str">
        <f t="shared" si="161"/>
        <v>2017EURAnker Verzekeringen n.v.-Permanent Disability AccidentFormula 3</v>
      </c>
      <c r="I208" s="1240" t="str">
        <f t="shared" si="162"/>
        <v>2017EURAnker Verzekeringen n.v.-Permanent Disability illnessFormula 3</v>
      </c>
      <c r="J208" s="1240" t="str">
        <f t="shared" si="121"/>
        <v>2017EURAnker Verzekeringen n.v.-Temporary Disability Accident (100%/7/365)</v>
      </c>
      <c r="K208" s="1240" t="str">
        <f t="shared" si="122"/>
        <v>2017EURAnker Verzekeringen n.v.-Temporary Disability illness (100%/7/365)</v>
      </c>
      <c r="L208" s="392" t="s">
        <v>7</v>
      </c>
      <c r="M208" s="1109" t="s">
        <v>88</v>
      </c>
      <c r="N208" s="392" t="s">
        <v>32</v>
      </c>
      <c r="O208" s="376">
        <v>2017</v>
      </c>
      <c r="P208" s="376" t="s">
        <v>2234</v>
      </c>
      <c r="Q208" s="376"/>
      <c r="R208" s="377">
        <v>0.1</v>
      </c>
      <c r="S208" s="1109"/>
      <c r="T208" s="387">
        <v>1</v>
      </c>
      <c r="U208" s="1109">
        <v>7</v>
      </c>
      <c r="V208" s="1109">
        <v>365</v>
      </c>
      <c r="W208" s="373">
        <f t="shared" si="123"/>
        <v>2.9657931034482762E-2</v>
      </c>
      <c r="X208" s="197" t="s">
        <v>6</v>
      </c>
      <c r="Y208" s="1410">
        <v>5.0100000000000003E-4</v>
      </c>
      <c r="Z208" s="377">
        <v>0.27500000000000002</v>
      </c>
      <c r="AA208" s="1190">
        <f t="shared" si="176"/>
        <v>6.9103448275862072E-4</v>
      </c>
      <c r="AB208" s="377">
        <v>0</v>
      </c>
      <c r="AC208" s="378">
        <v>0</v>
      </c>
      <c r="AD208" s="393"/>
      <c r="AE208" s="377">
        <v>0.04</v>
      </c>
      <c r="AF208" s="377"/>
      <c r="AG208" s="1205">
        <f t="shared" si="177"/>
        <v>7.1867586206896558E-4</v>
      </c>
      <c r="AH208" s="197" t="s">
        <v>2114</v>
      </c>
      <c r="AI208" s="1410">
        <v>1.253E-3</v>
      </c>
      <c r="AJ208" s="377">
        <v>0.27500000000000002</v>
      </c>
      <c r="AK208" s="1418">
        <f t="shared" si="146"/>
        <v>1.7282758620689655E-3</v>
      </c>
      <c r="AL208" s="377">
        <v>0</v>
      </c>
      <c r="AM208" s="378">
        <v>0</v>
      </c>
      <c r="AN208" s="393"/>
      <c r="AO208" s="377">
        <v>0.04</v>
      </c>
      <c r="AP208" s="377"/>
      <c r="AQ208" s="1205">
        <f t="shared" si="178"/>
        <v>1.7974068965517242E-3</v>
      </c>
      <c r="AR208" s="197" t="s">
        <v>9</v>
      </c>
      <c r="AS208" s="1410">
        <v>6.1899999999999998E-4</v>
      </c>
      <c r="AT208" s="377">
        <v>0.27500000000000002</v>
      </c>
      <c r="AU208" s="1190">
        <f t="shared" si="172"/>
        <v>8.5379310344827581E-4</v>
      </c>
      <c r="AV208" s="377">
        <v>0</v>
      </c>
      <c r="AW208" s="378">
        <v>0</v>
      </c>
      <c r="AX208" s="393"/>
      <c r="AY208" s="377">
        <v>0.04</v>
      </c>
      <c r="AZ208" s="377"/>
      <c r="BA208" s="1205">
        <f t="shared" si="168"/>
        <v>8.8794482758620692E-4</v>
      </c>
      <c r="BB208" s="197" t="s">
        <v>2115</v>
      </c>
      <c r="BC208" s="393">
        <v>1.4890000000000001E-3</v>
      </c>
      <c r="BD208" s="377">
        <v>0.27500000000000002</v>
      </c>
      <c r="BE208" s="1190">
        <f t="shared" ref="BE208:BE209" si="179">IF(BB208="N/A",0,BC208/(1-BD208))</f>
        <v>2.0537931034482759E-3</v>
      </c>
      <c r="BF208" s="377">
        <v>0</v>
      </c>
      <c r="BG208" s="378">
        <v>0</v>
      </c>
      <c r="BH208" s="393"/>
      <c r="BI208" s="377">
        <v>0.04</v>
      </c>
      <c r="BJ208" s="377"/>
      <c r="BK208" s="1205">
        <f t="shared" si="165"/>
        <v>2.1359448275862069E-3</v>
      </c>
      <c r="BL208" s="197" t="s">
        <v>2828</v>
      </c>
      <c r="BM208" s="393">
        <v>5.8830000000000002E-3</v>
      </c>
      <c r="BN208" s="377">
        <v>0.27500000000000002</v>
      </c>
      <c r="BO208" s="1190">
        <f t="shared" si="173"/>
        <v>8.1144827586206898E-3</v>
      </c>
      <c r="BP208" s="377">
        <v>0</v>
      </c>
      <c r="BQ208" s="378">
        <v>0</v>
      </c>
      <c r="BR208" s="393"/>
      <c r="BS208" s="377">
        <v>0.04</v>
      </c>
      <c r="BT208" s="377"/>
      <c r="BU208" s="1205">
        <f>IF(BL208="N/A","",BO208*(1+BS208))</f>
        <v>8.439062068965518E-3</v>
      </c>
      <c r="BV208" s="197" t="s">
        <v>2832</v>
      </c>
      <c r="BW208" s="393">
        <v>1.1757E-2</v>
      </c>
      <c r="BX208" s="377">
        <v>0.27500000000000002</v>
      </c>
      <c r="BY208" s="1190">
        <f t="shared" si="174"/>
        <v>1.6216551724137933E-2</v>
      </c>
      <c r="BZ208" s="377">
        <v>0</v>
      </c>
      <c r="CA208" s="378">
        <v>0</v>
      </c>
      <c r="CB208" s="393"/>
      <c r="CC208" s="377">
        <v>0.04</v>
      </c>
      <c r="CD208" s="377"/>
      <c r="CE208" s="1205">
        <f>IF(BV208="N/A","",BY208*(1+CC208))</f>
        <v>1.6865213793103451E-2</v>
      </c>
    </row>
    <row r="209" spans="1:83" s="1127" customFormat="1">
      <c r="A209" s="291" t="b">
        <v>0</v>
      </c>
      <c r="B209" s="291" t="s">
        <v>2243</v>
      </c>
      <c r="C209" s="291" t="b">
        <f t="shared" si="171"/>
        <v>0</v>
      </c>
      <c r="D209" s="388" t="str">
        <f>IF(C209=FALSE=NAMES!$B$8,"",IF(L209="N/A","N/A",O209&amp;N209&amp;L209&amp;"-"&amp;M209&amp;" ("&amp;U209&amp;"/"&amp;V209&amp;")"))</f>
        <v>2017EURAnker Verzekeringen n.v.-Formula 3 (28/365)</v>
      </c>
      <c r="E209" s="392" t="str">
        <f t="shared" si="158"/>
        <v>2017EURAnker Verzekeringen n.v.-Formula 3 (28/365)</v>
      </c>
      <c r="F209" s="1236" t="str">
        <f t="shared" si="159"/>
        <v>2017EURAnker Verzekeringen n.v.-Death AccidentFormula 3</v>
      </c>
      <c r="G209" s="1240" t="str">
        <f t="shared" si="160"/>
        <v>2017EURAnker Verzekeringen n.v.-Death illnessFormula 3</v>
      </c>
      <c r="H209" s="1240" t="str">
        <f t="shared" si="161"/>
        <v>2017EURAnker Verzekeringen n.v.-Permanent Disability AccidentFormula 3</v>
      </c>
      <c r="I209" s="1240" t="str">
        <f t="shared" si="162"/>
        <v>2017EURAnker Verzekeringen n.v.-Permanent Disability illnessFormula 3</v>
      </c>
      <c r="J209" s="1240" t="str">
        <f t="shared" si="121"/>
        <v>2017EURAnker Verzekeringen n.v.-Temporary Disability Accident (100%/28/365)</v>
      </c>
      <c r="K209" s="1240" t="str">
        <f t="shared" si="122"/>
        <v>2017EURAnker Verzekeringen n.v.-Temporary Disability illness (100%/28/365)</v>
      </c>
      <c r="L209" s="392" t="s">
        <v>7</v>
      </c>
      <c r="M209" s="1109" t="s">
        <v>88</v>
      </c>
      <c r="N209" s="392" t="s">
        <v>32</v>
      </c>
      <c r="O209" s="376">
        <v>2017</v>
      </c>
      <c r="P209" s="376" t="s">
        <v>2234</v>
      </c>
      <c r="Q209" s="376"/>
      <c r="R209" s="377">
        <v>0.1</v>
      </c>
      <c r="S209" s="1109"/>
      <c r="T209" s="387">
        <v>1</v>
      </c>
      <c r="U209" s="1109">
        <v>28</v>
      </c>
      <c r="V209" s="1109">
        <v>365</v>
      </c>
      <c r="W209" s="373">
        <f t="shared" si="123"/>
        <v>2.5278620689655175E-2</v>
      </c>
      <c r="X209" s="197" t="s">
        <v>6</v>
      </c>
      <c r="Y209" s="1410">
        <v>5.0100000000000003E-4</v>
      </c>
      <c r="Z209" s="377">
        <v>0.27500000000000002</v>
      </c>
      <c r="AA209" s="1190">
        <f t="shared" si="176"/>
        <v>6.9103448275862072E-4</v>
      </c>
      <c r="AB209" s="377">
        <v>0</v>
      </c>
      <c r="AC209" s="378">
        <v>0</v>
      </c>
      <c r="AD209" s="393"/>
      <c r="AE209" s="377">
        <v>0.04</v>
      </c>
      <c r="AF209" s="377"/>
      <c r="AG209" s="1205">
        <f t="shared" si="177"/>
        <v>7.1867586206896558E-4</v>
      </c>
      <c r="AH209" s="197" t="s">
        <v>2114</v>
      </c>
      <c r="AI209" s="1410">
        <v>1.253E-3</v>
      </c>
      <c r="AJ209" s="377">
        <v>0.27500000000000002</v>
      </c>
      <c r="AK209" s="1418">
        <f t="shared" si="146"/>
        <v>1.7282758620689655E-3</v>
      </c>
      <c r="AL209" s="377">
        <v>0</v>
      </c>
      <c r="AM209" s="378">
        <v>0</v>
      </c>
      <c r="AN209" s="393"/>
      <c r="AO209" s="377">
        <v>0.04</v>
      </c>
      <c r="AP209" s="377"/>
      <c r="AQ209" s="1205">
        <f t="shared" si="178"/>
        <v>1.7974068965517242E-3</v>
      </c>
      <c r="AR209" s="197" t="s">
        <v>9</v>
      </c>
      <c r="AS209" s="1410">
        <v>6.1899999999999998E-4</v>
      </c>
      <c r="AT209" s="377">
        <v>0.27500000000000002</v>
      </c>
      <c r="AU209" s="1190">
        <f t="shared" si="172"/>
        <v>8.5379310344827581E-4</v>
      </c>
      <c r="AV209" s="377">
        <v>0</v>
      </c>
      <c r="AW209" s="378">
        <v>0</v>
      </c>
      <c r="AX209" s="393"/>
      <c r="AY209" s="377">
        <v>0.04</v>
      </c>
      <c r="AZ209" s="377"/>
      <c r="BA209" s="1205">
        <f t="shared" si="168"/>
        <v>8.8794482758620692E-4</v>
      </c>
      <c r="BB209" s="197" t="s">
        <v>2115</v>
      </c>
      <c r="BC209" s="393">
        <v>1.4890000000000001E-3</v>
      </c>
      <c r="BD209" s="377">
        <v>0.27500000000000002</v>
      </c>
      <c r="BE209" s="1190">
        <f t="shared" si="179"/>
        <v>2.0537931034482759E-3</v>
      </c>
      <c r="BF209" s="377">
        <v>0</v>
      </c>
      <c r="BG209" s="378">
        <v>0</v>
      </c>
      <c r="BH209" s="393"/>
      <c r="BI209" s="377">
        <v>0.04</v>
      </c>
      <c r="BJ209" s="377"/>
      <c r="BK209" s="1205">
        <f t="shared" si="165"/>
        <v>2.1359448275862069E-3</v>
      </c>
      <c r="BL209" s="197" t="s">
        <v>2829</v>
      </c>
      <c r="BM209" s="393">
        <v>4.8240000000000002E-3</v>
      </c>
      <c r="BN209" s="377">
        <v>0.27500000000000002</v>
      </c>
      <c r="BO209" s="1190">
        <f t="shared" si="173"/>
        <v>6.6537931034482767E-3</v>
      </c>
      <c r="BP209" s="377">
        <v>0</v>
      </c>
      <c r="BQ209" s="378">
        <v>0</v>
      </c>
      <c r="BR209" s="393"/>
      <c r="BS209" s="377">
        <v>0.04</v>
      </c>
      <c r="BT209" s="377"/>
      <c r="BU209" s="1205">
        <f>IF(BL209="N/A","",BO209*(1+BS209))</f>
        <v>6.9199448275862078E-3</v>
      </c>
      <c r="BV209" s="197" t="s">
        <v>2833</v>
      </c>
      <c r="BW209" s="393">
        <v>9.6410000000000003E-3</v>
      </c>
      <c r="BX209" s="377">
        <v>0.27500000000000002</v>
      </c>
      <c r="BY209" s="1190">
        <f t="shared" si="174"/>
        <v>1.3297931034482759E-2</v>
      </c>
      <c r="BZ209" s="377">
        <v>0</v>
      </c>
      <c r="CA209" s="378">
        <v>0</v>
      </c>
      <c r="CB209" s="393"/>
      <c r="CC209" s="377">
        <v>0.04</v>
      </c>
      <c r="CD209" s="377"/>
      <c r="CE209" s="1205">
        <f t="shared" ref="CE209:CE216" si="180">IF(BV209="N/A","",BY209*(1+CC209))</f>
        <v>1.382984827586207E-2</v>
      </c>
    </row>
    <row r="210" spans="1:83" s="1127" customFormat="1">
      <c r="A210" s="291" t="b">
        <v>0</v>
      </c>
      <c r="B210" s="291" t="s">
        <v>2243</v>
      </c>
      <c r="C210" s="291" t="b">
        <f t="shared" si="171"/>
        <v>0</v>
      </c>
      <c r="D210" s="388" t="str">
        <f>IF(C210=FALSE=NAMES!$B$8,"",IF(L210="N/A","N/A",O210&amp;N210&amp;L210&amp;"-"&amp;M210&amp;" ("&amp;U210&amp;"/"&amp;V210&amp;")"))</f>
        <v>2017EURAnker Verzekeringen n.v.-Formula 3 (42/365)</v>
      </c>
      <c r="E210" s="392" t="str">
        <f t="shared" si="158"/>
        <v>2017EURAnker Verzekeringen n.v.-Formula 3 (42/365)</v>
      </c>
      <c r="F210" s="1236" t="str">
        <f t="shared" si="159"/>
        <v>2017EURAnker Verzekeringen n.v.-Death AccidentFormula 3</v>
      </c>
      <c r="G210" s="1240" t="str">
        <f t="shared" si="160"/>
        <v>2017EURAnker Verzekeringen n.v.-Death illnessFormula 3</v>
      </c>
      <c r="H210" s="1240" t="str">
        <f t="shared" si="161"/>
        <v>2017EURAnker Verzekeringen n.v.-Permanent Disability AccidentFormula 3</v>
      </c>
      <c r="I210" s="1240" t="str">
        <f t="shared" si="162"/>
        <v>2017EURAnker Verzekeringen n.v.-Permanent Disability illnessFormula 3</v>
      </c>
      <c r="J210" s="1240" t="str">
        <f t="shared" si="121"/>
        <v>2017EURAnker Verzekeringen n.v.-Temporary Disability Accident (100%/42/365)</v>
      </c>
      <c r="K210" s="1240" t="str">
        <f t="shared" si="122"/>
        <v>2017EURAnker Verzekeringen n.v.-Temporary Disability illness (100%/42/365)</v>
      </c>
      <c r="L210" s="392" t="s">
        <v>7</v>
      </c>
      <c r="M210" s="1109" t="s">
        <v>88</v>
      </c>
      <c r="N210" s="392" t="s">
        <v>32</v>
      </c>
      <c r="O210" s="376">
        <v>2017</v>
      </c>
      <c r="P210" s="376" t="s">
        <v>2234</v>
      </c>
      <c r="Q210" s="376"/>
      <c r="R210" s="377">
        <v>0.1</v>
      </c>
      <c r="S210" s="1109"/>
      <c r="T210" s="387">
        <v>1</v>
      </c>
      <c r="U210" s="1109">
        <v>42</v>
      </c>
      <c r="V210" s="1109">
        <v>365</v>
      </c>
      <c r="W210" s="373">
        <f t="shared" si="123"/>
        <v>2.4042758620689657E-2</v>
      </c>
      <c r="X210" s="197" t="s">
        <v>6</v>
      </c>
      <c r="Y210" s="1410">
        <v>5.0100000000000003E-4</v>
      </c>
      <c r="Z210" s="377">
        <v>0.27500000000000002</v>
      </c>
      <c r="AA210" s="1190">
        <f t="shared" si="176"/>
        <v>6.9103448275862072E-4</v>
      </c>
      <c r="AB210" s="377">
        <v>0</v>
      </c>
      <c r="AC210" s="378">
        <v>0</v>
      </c>
      <c r="AD210" s="393"/>
      <c r="AE210" s="377">
        <v>0.04</v>
      </c>
      <c r="AF210" s="377"/>
      <c r="AG210" s="1205">
        <f t="shared" si="177"/>
        <v>7.1867586206896558E-4</v>
      </c>
      <c r="AH210" s="197" t="s">
        <v>2114</v>
      </c>
      <c r="AI210" s="1410">
        <v>1.253E-3</v>
      </c>
      <c r="AJ210" s="377">
        <v>0.27500000000000002</v>
      </c>
      <c r="AK210" s="1418">
        <f t="shared" si="146"/>
        <v>1.7282758620689655E-3</v>
      </c>
      <c r="AL210" s="377">
        <v>0</v>
      </c>
      <c r="AM210" s="378">
        <v>0</v>
      </c>
      <c r="AN210" s="393"/>
      <c r="AO210" s="377">
        <v>0.04</v>
      </c>
      <c r="AP210" s="377"/>
      <c r="AQ210" s="1205">
        <f t="shared" si="178"/>
        <v>1.7974068965517242E-3</v>
      </c>
      <c r="AR210" s="197" t="s">
        <v>9</v>
      </c>
      <c r="AS210" s="1410">
        <v>6.1899999999999998E-4</v>
      </c>
      <c r="AT210" s="377">
        <v>0.27500000000000002</v>
      </c>
      <c r="AU210" s="1190">
        <f t="shared" si="172"/>
        <v>8.5379310344827581E-4</v>
      </c>
      <c r="AV210" s="377">
        <v>0</v>
      </c>
      <c r="AW210" s="378">
        <v>0</v>
      </c>
      <c r="AX210" s="393"/>
      <c r="AY210" s="377">
        <v>0.04</v>
      </c>
      <c r="AZ210" s="377"/>
      <c r="BA210" s="1205">
        <f t="shared" si="168"/>
        <v>8.8794482758620692E-4</v>
      </c>
      <c r="BB210" s="197" t="s">
        <v>2115</v>
      </c>
      <c r="BC210" s="393">
        <v>1.4890000000000001E-3</v>
      </c>
      <c r="BD210" s="377">
        <v>0.27500000000000002</v>
      </c>
      <c r="BE210" s="1190">
        <f>IF(BB210="N/A",0,BC210/(1-BD210))</f>
        <v>2.0537931034482759E-3</v>
      </c>
      <c r="BF210" s="377">
        <v>0</v>
      </c>
      <c r="BG210" s="378">
        <v>0</v>
      </c>
      <c r="BH210" s="393"/>
      <c r="BI210" s="377">
        <v>0.04</v>
      </c>
      <c r="BJ210" s="377"/>
      <c r="BK210" s="1205">
        <f t="shared" si="165"/>
        <v>2.1359448275862069E-3</v>
      </c>
      <c r="BL210" s="197" t="s">
        <v>2830</v>
      </c>
      <c r="BM210" s="393">
        <v>4.5250000000000004E-3</v>
      </c>
      <c r="BN210" s="377">
        <v>0.27500000000000002</v>
      </c>
      <c r="BO210" s="1190">
        <f t="shared" si="173"/>
        <v>6.241379310344828E-3</v>
      </c>
      <c r="BP210" s="377">
        <v>0</v>
      </c>
      <c r="BQ210" s="378">
        <v>0</v>
      </c>
      <c r="BR210" s="393"/>
      <c r="BS210" s="377">
        <v>0.04</v>
      </c>
      <c r="BT210" s="377"/>
      <c r="BU210" s="1205">
        <f t="shared" ref="BU210:BU211" si="181">IF(BL210="N/A","",BO210*(1+BS210))</f>
        <v>6.491034482758621E-3</v>
      </c>
      <c r="BV210" s="197" t="s">
        <v>2834</v>
      </c>
      <c r="BW210" s="393">
        <v>9.044E-3</v>
      </c>
      <c r="BX210" s="377">
        <v>0.27500000000000002</v>
      </c>
      <c r="BY210" s="1190">
        <f t="shared" si="174"/>
        <v>1.2474482758620689E-2</v>
      </c>
      <c r="BZ210" s="377">
        <v>0</v>
      </c>
      <c r="CA210" s="378">
        <v>0</v>
      </c>
      <c r="CB210" s="393"/>
      <c r="CC210" s="377">
        <v>0.04</v>
      </c>
      <c r="CD210" s="377"/>
      <c r="CE210" s="1205">
        <f t="shared" si="180"/>
        <v>1.2973462068965517E-2</v>
      </c>
    </row>
    <row r="211" spans="1:83" s="1127" customFormat="1">
      <c r="A211" s="291" t="b">
        <v>0</v>
      </c>
      <c r="B211" s="291" t="s">
        <v>2243</v>
      </c>
      <c r="C211" s="291" t="b">
        <f t="shared" si="171"/>
        <v>0</v>
      </c>
      <c r="D211" s="388" t="str">
        <f>IF(C211=FALSE=NAMES!$B$8,"",IF(L211="N/A","N/A",O211&amp;N211&amp;L211&amp;"-"&amp;M211&amp;" ("&amp;U211&amp;"/"&amp;V211&amp;")"))</f>
        <v>2017EURAnker Verzekeringen n.v.-Formula 3 (7/365)</v>
      </c>
      <c r="E211" s="392" t="str">
        <f t="shared" si="158"/>
        <v>2017EURAnker Verzekeringen n.v.-Formula 3 (7/365)</v>
      </c>
      <c r="F211" s="1236" t="str">
        <f t="shared" si="159"/>
        <v>2017EURAnker Verzekeringen n.v.-Death AccidentFormula 3</v>
      </c>
      <c r="G211" s="1240" t="str">
        <f t="shared" si="160"/>
        <v>2017EURAnker Verzekeringen n.v.-Death illnessFormula 3</v>
      </c>
      <c r="H211" s="1240" t="str">
        <f t="shared" si="161"/>
        <v>2017EURAnker Verzekeringen n.v.-Permanent Disability AccidentFormula 3</v>
      </c>
      <c r="I211" s="1240" t="str">
        <f t="shared" si="162"/>
        <v>2017EURAnker Verzekeringen n.v.-Permanent Disability illnessFormula 3</v>
      </c>
      <c r="J211" s="1240" t="str">
        <f t="shared" si="121"/>
        <v>2017EURAnker Verzekeringen n.v.-Temporary Disability Accident (70%/7/365)</v>
      </c>
      <c r="K211" s="1240" t="str">
        <f t="shared" si="122"/>
        <v>2017EURAnker Verzekeringen n.v.-Temporary Disability illness (70%/7/365)</v>
      </c>
      <c r="L211" s="392" t="s">
        <v>7</v>
      </c>
      <c r="M211" s="1109" t="s">
        <v>88</v>
      </c>
      <c r="N211" s="392" t="s">
        <v>32</v>
      </c>
      <c r="O211" s="376">
        <v>2017</v>
      </c>
      <c r="P211" s="376" t="s">
        <v>2234</v>
      </c>
      <c r="Q211" s="376"/>
      <c r="R211" s="377">
        <v>0.1</v>
      </c>
      <c r="S211" s="1109"/>
      <c r="T211" s="387">
        <v>0.7</v>
      </c>
      <c r="U211" s="1109">
        <v>7</v>
      </c>
      <c r="V211" s="1109">
        <v>365</v>
      </c>
      <c r="W211" s="373">
        <f t="shared" si="123"/>
        <v>2.5278620689655175E-2</v>
      </c>
      <c r="X211" s="197" t="s">
        <v>6</v>
      </c>
      <c r="Y211" s="1410">
        <v>5.0100000000000003E-4</v>
      </c>
      <c r="Z211" s="377">
        <v>0.27500000000000002</v>
      </c>
      <c r="AA211" s="1190">
        <f t="shared" si="176"/>
        <v>6.9103448275862072E-4</v>
      </c>
      <c r="AB211" s="377">
        <v>0</v>
      </c>
      <c r="AC211" s="378">
        <v>0</v>
      </c>
      <c r="AD211" s="393"/>
      <c r="AE211" s="377">
        <v>0.04</v>
      </c>
      <c r="AF211" s="377"/>
      <c r="AG211" s="1205">
        <f t="shared" si="177"/>
        <v>7.1867586206896558E-4</v>
      </c>
      <c r="AH211" s="197" t="s">
        <v>2114</v>
      </c>
      <c r="AI211" s="1410">
        <v>1.253E-3</v>
      </c>
      <c r="AJ211" s="377">
        <v>0.27500000000000002</v>
      </c>
      <c r="AK211" s="1418">
        <f t="shared" si="146"/>
        <v>1.7282758620689655E-3</v>
      </c>
      <c r="AL211" s="377">
        <v>0</v>
      </c>
      <c r="AM211" s="378">
        <v>0</v>
      </c>
      <c r="AN211" s="393"/>
      <c r="AO211" s="377">
        <v>0.04</v>
      </c>
      <c r="AP211" s="377"/>
      <c r="AQ211" s="1205">
        <f t="shared" si="178"/>
        <v>1.7974068965517242E-3</v>
      </c>
      <c r="AR211" s="197" t="s">
        <v>9</v>
      </c>
      <c r="AS211" s="1410">
        <v>6.1899999999999998E-4</v>
      </c>
      <c r="AT211" s="377">
        <v>0.27500000000000002</v>
      </c>
      <c r="AU211" s="1190">
        <f t="shared" si="172"/>
        <v>8.5379310344827581E-4</v>
      </c>
      <c r="AV211" s="377">
        <v>0</v>
      </c>
      <c r="AW211" s="378">
        <v>0</v>
      </c>
      <c r="AX211" s="393"/>
      <c r="AY211" s="377">
        <v>0.04</v>
      </c>
      <c r="AZ211" s="377"/>
      <c r="BA211" s="1205">
        <f t="shared" si="168"/>
        <v>8.8794482758620692E-4</v>
      </c>
      <c r="BB211" s="197" t="s">
        <v>2115</v>
      </c>
      <c r="BC211" s="393">
        <v>1.4890000000000001E-3</v>
      </c>
      <c r="BD211" s="377">
        <v>0.27500000000000002</v>
      </c>
      <c r="BE211" s="1190">
        <f>IF(BB211="N/A",0,BC211/(1-BD211))</f>
        <v>2.0537931034482759E-3</v>
      </c>
      <c r="BF211" s="377">
        <v>0</v>
      </c>
      <c r="BG211" s="378">
        <v>0</v>
      </c>
      <c r="BH211" s="393"/>
      <c r="BI211" s="377">
        <v>0.04</v>
      </c>
      <c r="BJ211" s="377"/>
      <c r="BK211" s="1205">
        <f t="shared" si="165"/>
        <v>2.1359448275862069E-3</v>
      </c>
      <c r="BL211" s="197" t="s">
        <v>2831</v>
      </c>
      <c r="BM211" s="393">
        <v>4.8240000000000002E-3</v>
      </c>
      <c r="BN211" s="377">
        <v>0.27500000000000002</v>
      </c>
      <c r="BO211" s="1190">
        <f t="shared" si="173"/>
        <v>6.6537931034482767E-3</v>
      </c>
      <c r="BP211" s="377">
        <v>0</v>
      </c>
      <c r="BQ211" s="378">
        <v>0</v>
      </c>
      <c r="BR211" s="393"/>
      <c r="BS211" s="377">
        <v>0.04</v>
      </c>
      <c r="BT211" s="377"/>
      <c r="BU211" s="1205">
        <f t="shared" si="181"/>
        <v>6.9199448275862078E-3</v>
      </c>
      <c r="BV211" s="197" t="s">
        <v>2835</v>
      </c>
      <c r="BW211" s="393">
        <v>9.6410000000000003E-3</v>
      </c>
      <c r="BX211" s="377">
        <v>0.27500000000000002</v>
      </c>
      <c r="BY211" s="1190">
        <f t="shared" si="174"/>
        <v>1.3297931034482759E-2</v>
      </c>
      <c r="BZ211" s="377">
        <v>0</v>
      </c>
      <c r="CA211" s="378">
        <v>0</v>
      </c>
      <c r="CB211" s="393"/>
      <c r="CC211" s="377">
        <v>0.04</v>
      </c>
      <c r="CD211" s="377"/>
      <c r="CE211" s="1205">
        <f t="shared" si="180"/>
        <v>1.382984827586207E-2</v>
      </c>
    </row>
    <row r="212" spans="1:83" s="1127" customFormat="1">
      <c r="A212" s="291" t="b">
        <v>0</v>
      </c>
      <c r="B212" s="291" t="s">
        <v>2243</v>
      </c>
      <c r="C212" s="291" t="b">
        <f t="shared" si="171"/>
        <v>0</v>
      </c>
      <c r="D212" s="388" t="str">
        <f>IF(C212=FALSE=NAMES!$B$8,"",IF(L212="N/A","N/A",O212&amp;N212&amp;L212&amp;"-"&amp;M212&amp;" ("&amp;U212&amp;"/"&amp;V212&amp;")"))</f>
        <v>N/A</v>
      </c>
      <c r="E212" s="392" t="str">
        <f t="shared" si="158"/>
        <v>N/A</v>
      </c>
      <c r="F212" s="1236" t="str">
        <f t="shared" si="159"/>
        <v>N/A</v>
      </c>
      <c r="G212" s="1240" t="str">
        <f t="shared" si="160"/>
        <v>N/A</v>
      </c>
      <c r="H212" s="1240" t="str">
        <f t="shared" si="161"/>
        <v>N/A</v>
      </c>
      <c r="I212" s="1240" t="str">
        <f t="shared" si="162"/>
        <v>N/A</v>
      </c>
      <c r="J212" s="1240" t="str">
        <f t="shared" si="121"/>
        <v>N/A</v>
      </c>
      <c r="K212" s="1240" t="str">
        <f t="shared" si="122"/>
        <v>N/A</v>
      </c>
      <c r="L212" s="389" t="s">
        <v>2224</v>
      </c>
      <c r="M212" s="1109"/>
      <c r="N212" s="392"/>
      <c r="O212" s="376"/>
      <c r="P212" s="376"/>
      <c r="Q212" s="376"/>
      <c r="R212" s="377"/>
      <c r="S212" s="1109"/>
      <c r="T212" s="387"/>
      <c r="U212" s="1109"/>
      <c r="V212" s="1109"/>
      <c r="W212" s="373" t="str">
        <f t="shared" si="123"/>
        <v/>
      </c>
      <c r="X212" s="388" t="s">
        <v>2224</v>
      </c>
      <c r="Y212" s="1410"/>
      <c r="Z212" s="377"/>
      <c r="AA212" s="1190" t="str">
        <f t="shared" si="176"/>
        <v/>
      </c>
      <c r="AB212" s="377"/>
      <c r="AC212" s="378"/>
      <c r="AD212" s="393"/>
      <c r="AE212" s="377"/>
      <c r="AF212" s="377"/>
      <c r="AG212" s="1205"/>
      <c r="AH212" s="388" t="s">
        <v>2224</v>
      </c>
      <c r="AI212" s="1416"/>
      <c r="AJ212" s="1171"/>
      <c r="AK212" s="1418">
        <f t="shared" si="146"/>
        <v>0</v>
      </c>
      <c r="AL212" s="1171"/>
      <c r="AM212" s="1171"/>
      <c r="AN212" s="393"/>
      <c r="AO212" s="1171"/>
      <c r="AP212" s="1171"/>
      <c r="AQ212" s="1205"/>
      <c r="AR212" s="388" t="s">
        <v>2224</v>
      </c>
      <c r="AS212" s="1410"/>
      <c r="AT212" s="377"/>
      <c r="AU212" s="1190" t="str">
        <f t="shared" si="172"/>
        <v/>
      </c>
      <c r="AV212" s="377">
        <v>0</v>
      </c>
      <c r="AW212" s="378">
        <v>0</v>
      </c>
      <c r="AX212" s="393"/>
      <c r="AY212" s="377"/>
      <c r="AZ212" s="377"/>
      <c r="BA212" s="1205" t="str">
        <f>IF(AR212="N/A","",AU212*(1+AY212))</f>
        <v/>
      </c>
      <c r="BB212" s="388" t="s">
        <v>2224</v>
      </c>
      <c r="BC212" s="393"/>
      <c r="BD212" s="377"/>
      <c r="BE212" s="1190">
        <f t="shared" ref="BE212" si="182">IF(BB212="N/A",0,BC212/(1-BD212))</f>
        <v>0</v>
      </c>
      <c r="BF212" s="377">
        <v>0</v>
      </c>
      <c r="BG212" s="378">
        <v>0</v>
      </c>
      <c r="BH212" s="393"/>
      <c r="BI212" s="377"/>
      <c r="BJ212" s="377"/>
      <c r="BK212" s="1205" t="str">
        <f t="shared" ref="BK212:BK217" si="183">IF(BB212="N/A","",BE212*(1+BI212))</f>
        <v/>
      </c>
      <c r="BL212" s="388" t="s">
        <v>2113</v>
      </c>
      <c r="BM212" s="393"/>
      <c r="BN212" s="377"/>
      <c r="BO212" s="1190" t="str">
        <f t="shared" si="173"/>
        <v/>
      </c>
      <c r="BP212" s="377">
        <v>0</v>
      </c>
      <c r="BQ212" s="378">
        <v>0</v>
      </c>
      <c r="BR212" s="393"/>
      <c r="BS212" s="377"/>
      <c r="BT212" s="377"/>
      <c r="BU212" s="1205" t="str">
        <f>IF(BL212="N/A","",BO212*(1+BS212))</f>
        <v/>
      </c>
      <c r="BV212" s="388" t="s">
        <v>2224</v>
      </c>
      <c r="BW212" s="393"/>
      <c r="BX212" s="377"/>
      <c r="BY212" s="1190" t="str">
        <f t="shared" si="174"/>
        <v/>
      </c>
      <c r="BZ212" s="377">
        <v>0</v>
      </c>
      <c r="CA212" s="378">
        <v>0</v>
      </c>
      <c r="CB212" s="393"/>
      <c r="CC212" s="377"/>
      <c r="CD212" s="377"/>
      <c r="CE212" s="1205" t="str">
        <f t="shared" si="180"/>
        <v/>
      </c>
    </row>
    <row r="213" spans="1:83" s="1127" customFormat="1">
      <c r="A213" s="291" t="b">
        <v>0</v>
      </c>
      <c r="B213" s="291" t="s">
        <v>2243</v>
      </c>
      <c r="C213" s="291" t="b">
        <f t="shared" si="171"/>
        <v>0</v>
      </c>
      <c r="D213" s="388" t="str">
        <f>IF(C213=FALSE=NAMES!$B$8,"",IF(L213="N/A","N/A",O213&amp;N213&amp;L213&amp;"-"&amp;M213&amp;" ("&amp;U213&amp;"/"&amp;V213&amp;")"))</f>
        <v>2017USDAnker Verzekeringen n.v.-Formula 3 (7/120)</v>
      </c>
      <c r="E213" s="392" t="str">
        <f t="shared" si="158"/>
        <v>2017USDAnker Verzekeringen n.v.-Formula 3 (7/120)</v>
      </c>
      <c r="F213" s="1236" t="str">
        <f t="shared" si="159"/>
        <v>2017USDAnker Verzekeringen n.v.-Death AccidentFormula 3</v>
      </c>
      <c r="G213" s="1240" t="str">
        <f t="shared" si="160"/>
        <v>2017USDAnker Verzekeringen n.v.-Death illnessFormula 3</v>
      </c>
      <c r="H213" s="1240" t="str">
        <f t="shared" si="161"/>
        <v>2017USDAnker Verzekeringen n.v.-Permanent Disability AccidentFormula 3</v>
      </c>
      <c r="I213" s="1240" t="str">
        <f t="shared" si="162"/>
        <v>2017USDAnker Verzekeringen n.v.-Permanent Disability illnessFormula 3</v>
      </c>
      <c r="J213" s="1240" t="str">
        <f t="shared" si="121"/>
        <v>2017USDAnker Verzekeringen n.v.-Temporary Disability Accident (100%/7/120)</v>
      </c>
      <c r="K213" s="1240" t="str">
        <f t="shared" si="122"/>
        <v>2017USDAnker Verzekeringen n.v.-Temporary Disability illness (100%/7/120)</v>
      </c>
      <c r="L213" s="392" t="s">
        <v>7</v>
      </c>
      <c r="M213" s="1109" t="s">
        <v>88</v>
      </c>
      <c r="N213" s="392" t="s">
        <v>87</v>
      </c>
      <c r="O213" s="376">
        <v>2017</v>
      </c>
      <c r="P213" s="376" t="s">
        <v>2234</v>
      </c>
      <c r="Q213" s="376"/>
      <c r="R213" s="377">
        <v>0.1</v>
      </c>
      <c r="S213" s="1109"/>
      <c r="T213" s="387">
        <v>1</v>
      </c>
      <c r="U213" s="1109">
        <v>7</v>
      </c>
      <c r="V213" s="1109">
        <v>120</v>
      </c>
      <c r="W213" s="373">
        <f t="shared" si="123"/>
        <v>2.6946137931034481E-2</v>
      </c>
      <c r="X213" s="197" t="s">
        <v>6</v>
      </c>
      <c r="Y213" s="1410">
        <v>5.7614999999999999E-4</v>
      </c>
      <c r="Z213" s="377">
        <v>0.27500000000000002</v>
      </c>
      <c r="AA213" s="1190">
        <f t="shared" si="176"/>
        <v>7.9468965517241383E-4</v>
      </c>
      <c r="AB213" s="377">
        <v>0</v>
      </c>
      <c r="AC213" s="378">
        <v>0</v>
      </c>
      <c r="AD213" s="393"/>
      <c r="AE213" s="377">
        <v>0.04</v>
      </c>
      <c r="AF213" s="377"/>
      <c r="AG213" s="1205">
        <f t="shared" ref="AG213:AG217" si="184">IF(X213="N/A","",AA213*(1+AE213))</f>
        <v>8.2647724137931047E-4</v>
      </c>
      <c r="AH213" s="197" t="s">
        <v>2114</v>
      </c>
      <c r="AI213" s="1410">
        <v>1.4409500000000001E-3</v>
      </c>
      <c r="AJ213" s="377">
        <v>0.27500000000000002</v>
      </c>
      <c r="AK213" s="1418">
        <f t="shared" si="146"/>
        <v>1.9875172413793105E-3</v>
      </c>
      <c r="AL213" s="377">
        <v>0</v>
      </c>
      <c r="AM213" s="378">
        <v>0</v>
      </c>
      <c r="AN213" s="393"/>
      <c r="AO213" s="377">
        <v>0.04</v>
      </c>
      <c r="AP213" s="377"/>
      <c r="AQ213" s="1205">
        <f t="shared" ref="AQ213:AQ217" si="185">IF(AH213="N/A","",AK213*(1+AO213))</f>
        <v>2.067017931034483E-3</v>
      </c>
      <c r="AR213" s="197" t="s">
        <v>9</v>
      </c>
      <c r="AS213" s="1410">
        <v>7.1184999999999998E-4</v>
      </c>
      <c r="AT213" s="377">
        <v>0.27500000000000002</v>
      </c>
      <c r="AU213" s="1190">
        <f t="shared" si="172"/>
        <v>9.8186206896551734E-4</v>
      </c>
      <c r="AV213" s="377">
        <v>0</v>
      </c>
      <c r="AW213" s="378">
        <v>0</v>
      </c>
      <c r="AX213" s="393"/>
      <c r="AY213" s="377">
        <v>0.04</v>
      </c>
      <c r="AZ213" s="377"/>
      <c r="BA213" s="1205">
        <f t="shared" ref="BA213:BA217" si="186">IF(AR213="N/A","",AU213*(1+AY213))</f>
        <v>1.0211365517241381E-3</v>
      </c>
      <c r="BB213" s="197" t="s">
        <v>2115</v>
      </c>
      <c r="BC213" s="393">
        <v>1.01E-3</v>
      </c>
      <c r="BD213" s="377">
        <v>0.27500000000000002</v>
      </c>
      <c r="BE213" s="1190">
        <f>IF(BB213="N/A",0,BC213/(1-BD213))</f>
        <v>1.3931034482758621E-3</v>
      </c>
      <c r="BF213" s="377">
        <v>0</v>
      </c>
      <c r="BG213" s="378">
        <v>0</v>
      </c>
      <c r="BH213" s="393"/>
      <c r="BI213" s="377">
        <v>0.04</v>
      </c>
      <c r="BJ213" s="377"/>
      <c r="BK213" s="1205">
        <f t="shared" si="183"/>
        <v>1.4488275862068966E-3</v>
      </c>
      <c r="BL213" s="197" t="s">
        <v>2827</v>
      </c>
      <c r="BM213" s="393">
        <v>6.7759999999999999E-3</v>
      </c>
      <c r="BN213" s="377">
        <v>0.27500000000000002</v>
      </c>
      <c r="BO213" s="1190">
        <f t="shared" si="173"/>
        <v>9.3462068965517245E-3</v>
      </c>
      <c r="BP213" s="377">
        <v>0</v>
      </c>
      <c r="BQ213" s="378">
        <v>0</v>
      </c>
      <c r="BR213" s="393"/>
      <c r="BS213" s="377">
        <v>0.04</v>
      </c>
      <c r="BT213" s="377"/>
      <c r="BU213" s="1205">
        <f t="shared" ref="BU213:BU214" si="187">IF(BL213="N/A","",BO213*(1+BS213))</f>
        <v>9.7200551724137933E-3</v>
      </c>
      <c r="BV213" s="197" t="s">
        <v>2836</v>
      </c>
      <c r="BW213" s="393">
        <v>9.0209999999999995E-3</v>
      </c>
      <c r="BX213" s="377">
        <v>0.27500000000000002</v>
      </c>
      <c r="BY213" s="1190">
        <f t="shared" si="174"/>
        <v>1.2442758620689654E-2</v>
      </c>
      <c r="BZ213" s="377">
        <v>0</v>
      </c>
      <c r="CA213" s="378">
        <v>0</v>
      </c>
      <c r="CB213" s="393"/>
      <c r="CC213" s="377">
        <v>0.04</v>
      </c>
      <c r="CD213" s="377"/>
      <c r="CE213" s="1205">
        <f t="shared" si="180"/>
        <v>1.2940468965517241E-2</v>
      </c>
    </row>
    <row r="214" spans="1:83" s="1127" customFormat="1">
      <c r="A214" s="291" t="b">
        <v>0</v>
      </c>
      <c r="B214" s="291" t="s">
        <v>2243</v>
      </c>
      <c r="C214" s="291" t="b">
        <f t="shared" si="171"/>
        <v>0</v>
      </c>
      <c r="D214" s="388" t="str">
        <f>IF(C214=FALSE=NAMES!$B$8,"",IF(L214="N/A","N/A",O214&amp;N214&amp;L214&amp;"-"&amp;M214&amp;" ("&amp;U214&amp;"/"&amp;V214&amp;")"))</f>
        <v>2017USDAnker Verzekeringen n.v.-Formula 3 (7/365)</v>
      </c>
      <c r="E214" s="392" t="str">
        <f t="shared" si="158"/>
        <v>2017USDAnker Verzekeringen n.v.-Formula 3 (7/365)</v>
      </c>
      <c r="F214" s="1236" t="str">
        <f t="shared" si="159"/>
        <v>2017USDAnker Verzekeringen n.v.-Death AccidentFormula 3</v>
      </c>
      <c r="G214" s="1240" t="str">
        <f t="shared" si="160"/>
        <v>2017USDAnker Verzekeringen n.v.-Death illnessFormula 3</v>
      </c>
      <c r="H214" s="1240" t="str">
        <f t="shared" si="161"/>
        <v>2017USDAnker Verzekeringen n.v.-Permanent Disability AccidentFormula 3</v>
      </c>
      <c r="I214" s="1240" t="str">
        <f t="shared" si="162"/>
        <v>2017USDAnker Verzekeringen n.v.-Permanent Disability illnessFormula 3</v>
      </c>
      <c r="J214" s="1240" t="str">
        <f t="shared" si="121"/>
        <v>2017USDAnker Verzekeringen n.v.-Temporary Disability Accident (100%/7/365)</v>
      </c>
      <c r="K214" s="1240" t="str">
        <f t="shared" si="122"/>
        <v>2017USDAnker Verzekeringen n.v.-Temporary Disability illness (100%/7/365)</v>
      </c>
      <c r="L214" s="392" t="s">
        <v>7</v>
      </c>
      <c r="M214" s="1109" t="s">
        <v>88</v>
      </c>
      <c r="N214" s="392" t="s">
        <v>87</v>
      </c>
      <c r="O214" s="376">
        <v>2017</v>
      </c>
      <c r="P214" s="376" t="s">
        <v>2234</v>
      </c>
      <c r="Q214" s="376"/>
      <c r="R214" s="377">
        <v>0.1</v>
      </c>
      <c r="S214" s="1109"/>
      <c r="T214" s="387">
        <v>1</v>
      </c>
      <c r="U214" s="1109">
        <v>7</v>
      </c>
      <c r="V214" s="1109">
        <v>365</v>
      </c>
      <c r="W214" s="373">
        <f t="shared" si="123"/>
        <v>3.3210965517241384E-2</v>
      </c>
      <c r="X214" s="197" t="s">
        <v>6</v>
      </c>
      <c r="Y214" s="1410">
        <v>5.7614999999999999E-4</v>
      </c>
      <c r="Z214" s="377">
        <v>0.27500000000000002</v>
      </c>
      <c r="AA214" s="1190">
        <f t="shared" si="176"/>
        <v>7.9468965517241383E-4</v>
      </c>
      <c r="AB214" s="377">
        <v>0</v>
      </c>
      <c r="AC214" s="378">
        <v>0</v>
      </c>
      <c r="AD214" s="393"/>
      <c r="AE214" s="377">
        <v>0.04</v>
      </c>
      <c r="AF214" s="377"/>
      <c r="AG214" s="1205">
        <f t="shared" si="184"/>
        <v>8.2647724137931047E-4</v>
      </c>
      <c r="AH214" s="197" t="s">
        <v>2114</v>
      </c>
      <c r="AI214" s="1410">
        <v>1.4409500000000001E-3</v>
      </c>
      <c r="AJ214" s="377">
        <v>0.27500000000000002</v>
      </c>
      <c r="AK214" s="1418">
        <f t="shared" si="146"/>
        <v>1.9875172413793105E-3</v>
      </c>
      <c r="AL214" s="377">
        <v>0</v>
      </c>
      <c r="AM214" s="378">
        <v>0</v>
      </c>
      <c r="AN214" s="393"/>
      <c r="AO214" s="377">
        <v>0.04</v>
      </c>
      <c r="AP214" s="377"/>
      <c r="AQ214" s="1205">
        <f t="shared" si="185"/>
        <v>2.067017931034483E-3</v>
      </c>
      <c r="AR214" s="197" t="s">
        <v>9</v>
      </c>
      <c r="AS214" s="1410">
        <v>7.1184999999999998E-4</v>
      </c>
      <c r="AT214" s="377">
        <v>0.27500000000000002</v>
      </c>
      <c r="AU214" s="1190">
        <f t="shared" si="172"/>
        <v>9.8186206896551734E-4</v>
      </c>
      <c r="AV214" s="377">
        <v>0</v>
      </c>
      <c r="AW214" s="378">
        <v>0</v>
      </c>
      <c r="AX214" s="393"/>
      <c r="AY214" s="377">
        <v>0.04</v>
      </c>
      <c r="AZ214" s="377"/>
      <c r="BA214" s="1205">
        <f t="shared" si="186"/>
        <v>1.0211365517241381E-3</v>
      </c>
      <c r="BB214" s="197" t="s">
        <v>2115</v>
      </c>
      <c r="BC214" s="393">
        <v>1.01E-3</v>
      </c>
      <c r="BD214" s="377">
        <v>0.27500000000000002</v>
      </c>
      <c r="BE214" s="1190">
        <f t="shared" ref="BE214:BE218" si="188">IF(BB214="N/A",0,BC214/(1-BD214))</f>
        <v>1.3931034482758621E-3</v>
      </c>
      <c r="BF214" s="377">
        <v>0</v>
      </c>
      <c r="BG214" s="378">
        <v>0</v>
      </c>
      <c r="BH214" s="393"/>
      <c r="BI214" s="377">
        <v>0.04</v>
      </c>
      <c r="BJ214" s="377"/>
      <c r="BK214" s="1205">
        <f t="shared" si="183"/>
        <v>1.4488275862068966E-3</v>
      </c>
      <c r="BL214" s="197" t="s">
        <v>2828</v>
      </c>
      <c r="BM214" s="393">
        <v>6.7759999999999999E-3</v>
      </c>
      <c r="BN214" s="377">
        <v>0.27500000000000002</v>
      </c>
      <c r="BO214" s="1190">
        <f t="shared" si="173"/>
        <v>9.3462068965517245E-3</v>
      </c>
      <c r="BP214" s="377">
        <v>0</v>
      </c>
      <c r="BQ214" s="378">
        <v>0</v>
      </c>
      <c r="BR214" s="393"/>
      <c r="BS214" s="377">
        <v>0.04</v>
      </c>
      <c r="BT214" s="377"/>
      <c r="BU214" s="1205">
        <f t="shared" si="187"/>
        <v>9.7200551724137933E-3</v>
      </c>
      <c r="BV214" s="197" t="s">
        <v>2832</v>
      </c>
      <c r="BW214" s="393">
        <v>1.3563E-2</v>
      </c>
      <c r="BX214" s="377">
        <v>0.27500000000000002</v>
      </c>
      <c r="BY214" s="1190">
        <f t="shared" si="174"/>
        <v>1.8707586206896554E-2</v>
      </c>
      <c r="BZ214" s="377">
        <v>0</v>
      </c>
      <c r="CA214" s="378">
        <v>0</v>
      </c>
      <c r="CB214" s="393"/>
      <c r="CC214" s="377">
        <v>0.04</v>
      </c>
      <c r="CD214" s="377"/>
      <c r="CE214" s="1205">
        <f t="shared" si="180"/>
        <v>1.9455889655172417E-2</v>
      </c>
    </row>
    <row r="215" spans="1:83" s="1127" customFormat="1">
      <c r="A215" s="291" t="b">
        <v>0</v>
      </c>
      <c r="B215" s="291" t="s">
        <v>2243</v>
      </c>
      <c r="C215" s="291" t="b">
        <f t="shared" si="171"/>
        <v>0</v>
      </c>
      <c r="D215" s="388" t="str">
        <f>IF(C215=FALSE=NAMES!$B$8,"",IF(L215="N/A","N/A",O215&amp;N215&amp;L215&amp;"-"&amp;M215&amp;" ("&amp;U215&amp;"/"&amp;V215&amp;")"))</f>
        <v>2017USDAnker Verzekeringen n.v.-Formula 3 (28/365)</v>
      </c>
      <c r="E215" s="392" t="str">
        <f t="shared" si="158"/>
        <v>2017USDAnker Verzekeringen n.v.-Formula 3 (28/365)</v>
      </c>
      <c r="F215" s="1236" t="str">
        <f t="shared" si="159"/>
        <v>2017USDAnker Verzekeringen n.v.-Death AccidentFormula 3</v>
      </c>
      <c r="G215" s="1240" t="str">
        <f t="shared" si="160"/>
        <v>2017USDAnker Verzekeringen n.v.-Death illnessFormula 3</v>
      </c>
      <c r="H215" s="1240" t="str">
        <f t="shared" si="161"/>
        <v>2017USDAnker Verzekeringen n.v.-Permanent Disability AccidentFormula 3</v>
      </c>
      <c r="I215" s="1240" t="str">
        <f t="shared" si="162"/>
        <v>2017USDAnker Verzekeringen n.v.-Permanent Disability illnessFormula 3</v>
      </c>
      <c r="J215" s="1240" t="str">
        <f t="shared" si="121"/>
        <v>2017USDAnker Verzekeringen n.v.-Temporary Disability Accident (100%/28/365)</v>
      </c>
      <c r="K215" s="1240" t="str">
        <f t="shared" si="122"/>
        <v>2017USDAnker Verzekeringen n.v.-Temporary Disability illness (100%/28/365)</v>
      </c>
      <c r="L215" s="392" t="s">
        <v>7</v>
      </c>
      <c r="M215" s="1109" t="s">
        <v>88</v>
      </c>
      <c r="N215" s="392" t="s">
        <v>87</v>
      </c>
      <c r="O215" s="376">
        <v>2017</v>
      </c>
      <c r="P215" s="376" t="s">
        <v>2234</v>
      </c>
      <c r="Q215" s="376"/>
      <c r="R215" s="377">
        <v>0.1</v>
      </c>
      <c r="S215" s="1109"/>
      <c r="T215" s="387">
        <v>1</v>
      </c>
      <c r="U215" s="1109">
        <v>28</v>
      </c>
      <c r="V215" s="1109">
        <v>365</v>
      </c>
      <c r="W215" s="373">
        <f t="shared" si="123"/>
        <v>2.8161310344827585E-2</v>
      </c>
      <c r="X215" s="197" t="s">
        <v>6</v>
      </c>
      <c r="Y215" s="1410">
        <v>5.7614999999999999E-4</v>
      </c>
      <c r="Z215" s="377">
        <v>0.27500000000000002</v>
      </c>
      <c r="AA215" s="1190">
        <f t="shared" si="176"/>
        <v>7.9468965517241383E-4</v>
      </c>
      <c r="AB215" s="377">
        <v>0</v>
      </c>
      <c r="AC215" s="378">
        <v>0</v>
      </c>
      <c r="AD215" s="393"/>
      <c r="AE215" s="377">
        <v>0.04</v>
      </c>
      <c r="AF215" s="377"/>
      <c r="AG215" s="1205">
        <f t="shared" si="184"/>
        <v>8.2647724137931047E-4</v>
      </c>
      <c r="AH215" s="197" t="s">
        <v>2114</v>
      </c>
      <c r="AI215" s="1410">
        <v>1.4409500000000001E-3</v>
      </c>
      <c r="AJ215" s="377">
        <v>0.27500000000000002</v>
      </c>
      <c r="AK215" s="1418">
        <f t="shared" si="146"/>
        <v>1.9875172413793105E-3</v>
      </c>
      <c r="AL215" s="377">
        <v>0</v>
      </c>
      <c r="AM215" s="378">
        <v>0</v>
      </c>
      <c r="AN215" s="393"/>
      <c r="AO215" s="377">
        <v>0.04</v>
      </c>
      <c r="AP215" s="377"/>
      <c r="AQ215" s="1205">
        <f t="shared" si="185"/>
        <v>2.067017931034483E-3</v>
      </c>
      <c r="AR215" s="197" t="s">
        <v>9</v>
      </c>
      <c r="AS215" s="1410">
        <v>7.1184999999999998E-4</v>
      </c>
      <c r="AT215" s="377">
        <v>0.27500000000000002</v>
      </c>
      <c r="AU215" s="1190">
        <f t="shared" si="172"/>
        <v>9.8186206896551734E-4</v>
      </c>
      <c r="AV215" s="377">
        <v>0</v>
      </c>
      <c r="AW215" s="378">
        <v>0</v>
      </c>
      <c r="AX215" s="393"/>
      <c r="AY215" s="377">
        <v>0.04</v>
      </c>
      <c r="AZ215" s="377"/>
      <c r="BA215" s="1205">
        <f t="shared" si="186"/>
        <v>1.0211365517241381E-3</v>
      </c>
      <c r="BB215" s="197" t="s">
        <v>2115</v>
      </c>
      <c r="BC215" s="393">
        <v>1.01E-3</v>
      </c>
      <c r="BD215" s="377">
        <v>0.27500000000000002</v>
      </c>
      <c r="BE215" s="1190">
        <f t="shared" si="188"/>
        <v>1.3931034482758621E-3</v>
      </c>
      <c r="BF215" s="377">
        <v>0</v>
      </c>
      <c r="BG215" s="378">
        <v>0</v>
      </c>
      <c r="BH215" s="393"/>
      <c r="BI215" s="377">
        <v>0.04</v>
      </c>
      <c r="BJ215" s="377"/>
      <c r="BK215" s="1205">
        <f t="shared" si="183"/>
        <v>1.4488275862068966E-3</v>
      </c>
      <c r="BL215" s="197" t="s">
        <v>2829</v>
      </c>
      <c r="BM215" s="393">
        <v>5.5560000000000002E-3</v>
      </c>
      <c r="BN215" s="377">
        <v>0.27500000000000002</v>
      </c>
      <c r="BO215" s="1190">
        <f t="shared" si="173"/>
        <v>7.6634482758620691E-3</v>
      </c>
      <c r="BP215" s="377">
        <v>0</v>
      </c>
      <c r="BQ215" s="378">
        <v>0</v>
      </c>
      <c r="BR215" s="393"/>
      <c r="BS215" s="377">
        <v>0.04</v>
      </c>
      <c r="BT215" s="377"/>
      <c r="BU215" s="1205">
        <f>IF(BL215="N/A","",BO215*(1+BS215))</f>
        <v>7.9699862068965521E-3</v>
      </c>
      <c r="BV215" s="197" t="s">
        <v>2833</v>
      </c>
      <c r="BW215" s="393">
        <v>1.1122E-2</v>
      </c>
      <c r="BX215" s="377">
        <v>0.27500000000000002</v>
      </c>
      <c r="BY215" s="1190">
        <f t="shared" si="174"/>
        <v>1.5340689655172414E-2</v>
      </c>
      <c r="BZ215" s="377">
        <v>0</v>
      </c>
      <c r="CA215" s="378">
        <v>0</v>
      </c>
      <c r="CB215" s="393"/>
      <c r="CC215" s="377">
        <v>0.04</v>
      </c>
      <c r="CD215" s="377"/>
      <c r="CE215" s="1205">
        <f t="shared" si="180"/>
        <v>1.5954317241379311E-2</v>
      </c>
    </row>
    <row r="216" spans="1:83" s="1127" customFormat="1">
      <c r="A216" s="291" t="b">
        <v>0</v>
      </c>
      <c r="B216" s="291" t="s">
        <v>2243</v>
      </c>
      <c r="C216" s="291" t="b">
        <f t="shared" si="171"/>
        <v>0</v>
      </c>
      <c r="D216" s="388" t="str">
        <f>IF(C216=FALSE=NAMES!$B$8,"",IF(L216="N/A","N/A",O216&amp;N216&amp;L216&amp;"-"&amp;M216&amp;" ("&amp;U216&amp;"/"&amp;V216&amp;")"))</f>
        <v>2017USDAnker Verzekeringen n.v.-Formula 3 (42/365)</v>
      </c>
      <c r="E216" s="392" t="str">
        <f t="shared" si="158"/>
        <v>2017USDAnker Verzekeringen n.v.-Formula 3 (42/365)</v>
      </c>
      <c r="F216" s="1236" t="str">
        <f t="shared" si="159"/>
        <v>2017USDAnker Verzekeringen n.v.-Death AccidentFormula 3</v>
      </c>
      <c r="G216" s="1240" t="str">
        <f t="shared" si="160"/>
        <v>2017USDAnker Verzekeringen n.v.-Death illnessFormula 3</v>
      </c>
      <c r="H216" s="1240" t="str">
        <f t="shared" si="161"/>
        <v>2017USDAnker Verzekeringen n.v.-Permanent Disability AccidentFormula 3</v>
      </c>
      <c r="I216" s="1240" t="str">
        <f t="shared" si="162"/>
        <v>2017USDAnker Verzekeringen n.v.-Permanent Disability illnessFormula 3</v>
      </c>
      <c r="J216" s="1240" t="str">
        <f t="shared" si="121"/>
        <v>2017USDAnker Verzekeringen n.v.-Temporary Disability Accident (100%/42/365)</v>
      </c>
      <c r="K216" s="1240" t="str">
        <f t="shared" si="122"/>
        <v>2017USDAnker Verzekeringen n.v.-Temporary Disability illness (100%/42/365)</v>
      </c>
      <c r="L216" s="392" t="s">
        <v>7</v>
      </c>
      <c r="M216" s="1109" t="s">
        <v>88</v>
      </c>
      <c r="N216" s="392" t="s">
        <v>87</v>
      </c>
      <c r="O216" s="376">
        <v>2017</v>
      </c>
      <c r="P216" s="376" t="s">
        <v>2234</v>
      </c>
      <c r="Q216" s="376"/>
      <c r="R216" s="377">
        <v>0.1</v>
      </c>
      <c r="S216" s="1109"/>
      <c r="T216" s="387">
        <v>1</v>
      </c>
      <c r="U216" s="1109">
        <v>42</v>
      </c>
      <c r="V216" s="1109">
        <v>365</v>
      </c>
      <c r="W216" s="373">
        <f t="shared" si="123"/>
        <v>2.6736482758620689E-2</v>
      </c>
      <c r="X216" s="197" t="s">
        <v>6</v>
      </c>
      <c r="Y216" s="1410">
        <v>5.7614999999999999E-4</v>
      </c>
      <c r="Z216" s="377">
        <v>0.27500000000000002</v>
      </c>
      <c r="AA216" s="1190">
        <f t="shared" si="176"/>
        <v>7.9468965517241383E-4</v>
      </c>
      <c r="AB216" s="377">
        <v>0</v>
      </c>
      <c r="AC216" s="378">
        <v>0</v>
      </c>
      <c r="AD216" s="393"/>
      <c r="AE216" s="377">
        <v>0.04</v>
      </c>
      <c r="AF216" s="377"/>
      <c r="AG216" s="1205">
        <f t="shared" si="184"/>
        <v>8.2647724137931047E-4</v>
      </c>
      <c r="AH216" s="197" t="s">
        <v>2114</v>
      </c>
      <c r="AI216" s="1410">
        <v>1.4409500000000001E-3</v>
      </c>
      <c r="AJ216" s="377">
        <v>0.27500000000000002</v>
      </c>
      <c r="AK216" s="1418">
        <f t="shared" si="146"/>
        <v>1.9875172413793105E-3</v>
      </c>
      <c r="AL216" s="377">
        <v>0</v>
      </c>
      <c r="AM216" s="378">
        <v>0</v>
      </c>
      <c r="AN216" s="393"/>
      <c r="AO216" s="377">
        <v>0.04</v>
      </c>
      <c r="AP216" s="377"/>
      <c r="AQ216" s="1205">
        <f t="shared" si="185"/>
        <v>2.067017931034483E-3</v>
      </c>
      <c r="AR216" s="197" t="s">
        <v>9</v>
      </c>
      <c r="AS216" s="1410">
        <v>7.1184999999999998E-4</v>
      </c>
      <c r="AT216" s="377">
        <v>0.27500000000000002</v>
      </c>
      <c r="AU216" s="1190">
        <f t="shared" si="172"/>
        <v>9.8186206896551734E-4</v>
      </c>
      <c r="AV216" s="377">
        <v>0</v>
      </c>
      <c r="AW216" s="378">
        <v>0</v>
      </c>
      <c r="AX216" s="393"/>
      <c r="AY216" s="377">
        <v>0.04</v>
      </c>
      <c r="AZ216" s="377"/>
      <c r="BA216" s="1205">
        <f t="shared" si="186"/>
        <v>1.0211365517241381E-3</v>
      </c>
      <c r="BB216" s="197" t="s">
        <v>2115</v>
      </c>
      <c r="BC216" s="393">
        <v>1.01E-3</v>
      </c>
      <c r="BD216" s="377">
        <v>0.27500000000000002</v>
      </c>
      <c r="BE216" s="1190">
        <f t="shared" si="188"/>
        <v>1.3931034482758621E-3</v>
      </c>
      <c r="BF216" s="377">
        <v>0</v>
      </c>
      <c r="BG216" s="378">
        <v>0</v>
      </c>
      <c r="BH216" s="393"/>
      <c r="BI216" s="377">
        <v>0.04</v>
      </c>
      <c r="BJ216" s="377"/>
      <c r="BK216" s="1205">
        <f t="shared" si="183"/>
        <v>1.4488275862068966E-3</v>
      </c>
      <c r="BL216" s="197" t="s">
        <v>2830</v>
      </c>
      <c r="BM216" s="393">
        <v>5.2119999999999996E-3</v>
      </c>
      <c r="BN216" s="377">
        <v>0.27500000000000002</v>
      </c>
      <c r="BO216" s="1190">
        <f t="shared" si="173"/>
        <v>7.1889655172413794E-3</v>
      </c>
      <c r="BP216" s="377">
        <v>0</v>
      </c>
      <c r="BQ216" s="378">
        <v>0</v>
      </c>
      <c r="BR216" s="393"/>
      <c r="BS216" s="377">
        <v>0.04</v>
      </c>
      <c r="BT216" s="377"/>
      <c r="BU216" s="1205">
        <f>IF(BL216="N/A","",BO216*(1+BS216))</f>
        <v>7.4765241379310347E-3</v>
      </c>
      <c r="BV216" s="197" t="s">
        <v>2834</v>
      </c>
      <c r="BW216" s="393">
        <v>1.0433E-2</v>
      </c>
      <c r="BX216" s="377">
        <v>0.27500000000000002</v>
      </c>
      <c r="BY216" s="1190">
        <f t="shared" si="174"/>
        <v>1.4390344827586207E-2</v>
      </c>
      <c r="BZ216" s="377">
        <v>0</v>
      </c>
      <c r="CA216" s="378">
        <v>0</v>
      </c>
      <c r="CB216" s="393"/>
      <c r="CC216" s="377">
        <v>0.04</v>
      </c>
      <c r="CD216" s="377"/>
      <c r="CE216" s="1205">
        <f t="shared" si="180"/>
        <v>1.4965958620689656E-2</v>
      </c>
    </row>
    <row r="217" spans="1:83" s="1127" customFormat="1">
      <c r="A217" s="291" t="b">
        <v>0</v>
      </c>
      <c r="B217" s="291" t="s">
        <v>2243</v>
      </c>
      <c r="C217" s="291" t="b">
        <f t="shared" si="171"/>
        <v>0</v>
      </c>
      <c r="D217" s="388" t="str">
        <f>IF(C217=FALSE=NAMES!$B$8,"",IF(L217="N/A","N/A",O217&amp;N217&amp;L217&amp;"-"&amp;M217&amp;" ("&amp;U217&amp;"/"&amp;V217&amp;")"))</f>
        <v>2017USDAnker Verzekeringen n.v.-Formula 3 (7/365)</v>
      </c>
      <c r="E217" s="392" t="str">
        <f t="shared" si="158"/>
        <v>2017USDAnker Verzekeringen n.v.-Formula 3 (7/365)</v>
      </c>
      <c r="F217" s="1236" t="str">
        <f t="shared" si="159"/>
        <v>2017USDAnker Verzekeringen n.v.-Death AccidentFormula 3</v>
      </c>
      <c r="G217" s="1240" t="str">
        <f t="shared" si="160"/>
        <v>2017USDAnker Verzekeringen n.v.-Death illnessFormula 3</v>
      </c>
      <c r="H217" s="1240" t="str">
        <f t="shared" si="161"/>
        <v>2017USDAnker Verzekeringen n.v.-Permanent Disability AccidentFormula 3</v>
      </c>
      <c r="I217" s="1240" t="str">
        <f t="shared" si="162"/>
        <v>2017USDAnker Verzekeringen n.v.-Permanent Disability illnessFormula 3</v>
      </c>
      <c r="J217" s="1240" t="str">
        <f t="shared" si="121"/>
        <v>2017USDAnker Verzekeringen n.v.-Temporary Disability Accident (70%/7/365)</v>
      </c>
      <c r="K217" s="1240" t="str">
        <f t="shared" si="122"/>
        <v>2017USDAnker Verzekeringen n.v.-Temporary Disability illness (70%/7/365)</v>
      </c>
      <c r="L217" s="392" t="s">
        <v>7</v>
      </c>
      <c r="M217" s="1109" t="s">
        <v>88</v>
      </c>
      <c r="N217" s="392" t="s">
        <v>87</v>
      </c>
      <c r="O217" s="376">
        <v>2017</v>
      </c>
      <c r="P217" s="376" t="s">
        <v>2234</v>
      </c>
      <c r="Q217" s="376"/>
      <c r="R217" s="377">
        <v>0.1</v>
      </c>
      <c r="S217" s="1109"/>
      <c r="T217" s="387">
        <v>0.7</v>
      </c>
      <c r="U217" s="1109">
        <v>7</v>
      </c>
      <c r="V217" s="1109">
        <v>365</v>
      </c>
      <c r="W217" s="373">
        <f t="shared" si="123"/>
        <v>2.8161310344827585E-2</v>
      </c>
      <c r="X217" s="197" t="s">
        <v>6</v>
      </c>
      <c r="Y217" s="1410">
        <v>5.7614999999999999E-4</v>
      </c>
      <c r="Z217" s="377">
        <v>0.27500000000000002</v>
      </c>
      <c r="AA217" s="1190">
        <f t="shared" si="176"/>
        <v>7.9468965517241383E-4</v>
      </c>
      <c r="AB217" s="377">
        <v>0</v>
      </c>
      <c r="AC217" s="378">
        <v>0</v>
      </c>
      <c r="AD217" s="393"/>
      <c r="AE217" s="377">
        <v>0.04</v>
      </c>
      <c r="AF217" s="377"/>
      <c r="AG217" s="1205">
        <f t="shared" si="184"/>
        <v>8.2647724137931047E-4</v>
      </c>
      <c r="AH217" s="197" t="s">
        <v>2114</v>
      </c>
      <c r="AI217" s="1410">
        <v>1.4409500000000001E-3</v>
      </c>
      <c r="AJ217" s="377">
        <v>0.27500000000000002</v>
      </c>
      <c r="AK217" s="1418">
        <f t="shared" si="146"/>
        <v>1.9875172413793105E-3</v>
      </c>
      <c r="AL217" s="377">
        <v>0</v>
      </c>
      <c r="AM217" s="378">
        <v>0</v>
      </c>
      <c r="AN217" s="393"/>
      <c r="AO217" s="377">
        <v>0.04</v>
      </c>
      <c r="AP217" s="377"/>
      <c r="AQ217" s="1205">
        <f t="shared" si="185"/>
        <v>2.067017931034483E-3</v>
      </c>
      <c r="AR217" s="197" t="s">
        <v>9</v>
      </c>
      <c r="AS217" s="1410">
        <v>7.1184999999999998E-4</v>
      </c>
      <c r="AT217" s="377">
        <v>0.27500000000000002</v>
      </c>
      <c r="AU217" s="1190">
        <f t="shared" si="172"/>
        <v>9.8186206896551734E-4</v>
      </c>
      <c r="AV217" s="377">
        <v>0</v>
      </c>
      <c r="AW217" s="378">
        <v>0</v>
      </c>
      <c r="AX217" s="393"/>
      <c r="AY217" s="377">
        <v>0.04</v>
      </c>
      <c r="AZ217" s="377"/>
      <c r="BA217" s="1205">
        <f t="shared" si="186"/>
        <v>1.0211365517241381E-3</v>
      </c>
      <c r="BB217" s="197" t="s">
        <v>2115</v>
      </c>
      <c r="BC217" s="393">
        <v>1.01E-3</v>
      </c>
      <c r="BD217" s="377">
        <v>0.27500000000000002</v>
      </c>
      <c r="BE217" s="1190">
        <f t="shared" si="188"/>
        <v>1.3931034482758621E-3</v>
      </c>
      <c r="BF217" s="377">
        <v>0</v>
      </c>
      <c r="BG217" s="378">
        <v>0</v>
      </c>
      <c r="BH217" s="393"/>
      <c r="BI217" s="377">
        <v>0.04</v>
      </c>
      <c r="BJ217" s="377"/>
      <c r="BK217" s="1205">
        <f t="shared" si="183"/>
        <v>1.4488275862068966E-3</v>
      </c>
      <c r="BL217" s="197" t="s">
        <v>2831</v>
      </c>
      <c r="BM217" s="393">
        <v>5.5560000000000002E-3</v>
      </c>
      <c r="BN217" s="377">
        <v>0.27500000000000002</v>
      </c>
      <c r="BO217" s="1190">
        <f t="shared" si="173"/>
        <v>7.6634482758620691E-3</v>
      </c>
      <c r="BP217" s="377">
        <v>0</v>
      </c>
      <c r="BQ217" s="378">
        <v>0</v>
      </c>
      <c r="BR217" s="393"/>
      <c r="BS217" s="377">
        <v>0.04</v>
      </c>
      <c r="BT217" s="377"/>
      <c r="BU217" s="1205">
        <f t="shared" ref="BU217" si="189">IF(BL217="N/A","",BO217*(1+BS217))</f>
        <v>7.9699862068965521E-3</v>
      </c>
      <c r="BV217" s="197" t="s">
        <v>2835</v>
      </c>
      <c r="BW217" s="393">
        <v>1.1122E-2</v>
      </c>
      <c r="BX217" s="377">
        <v>0.27500000000000002</v>
      </c>
      <c r="BY217" s="1190">
        <f t="shared" si="174"/>
        <v>1.5340689655172414E-2</v>
      </c>
      <c r="BZ217" s="377">
        <v>0</v>
      </c>
      <c r="CA217" s="378">
        <v>0</v>
      </c>
      <c r="CB217" s="393"/>
      <c r="CC217" s="377">
        <v>0.04</v>
      </c>
      <c r="CD217" s="377"/>
      <c r="CE217" s="1205">
        <f>IF(BV217="N/A","",BY217*(1+CC217))</f>
        <v>1.5954317241379311E-2</v>
      </c>
    </row>
    <row r="218" spans="1:83" s="1150" customFormat="1">
      <c r="A218" s="291" t="b">
        <v>0</v>
      </c>
      <c r="B218" s="291" t="s">
        <v>2243</v>
      </c>
      <c r="C218" s="291" t="b">
        <f t="shared" si="171"/>
        <v>0</v>
      </c>
      <c r="D218" s="388" t="str">
        <f>IF(C218=FALSE=NAMES!$B$8,"",IF(L218="N/A","N/A",O218&amp;N218&amp;L218&amp;"-"&amp;M218&amp;" ("&amp;U218&amp;"/"&amp;V218&amp;")"))</f>
        <v>N/A</v>
      </c>
      <c r="E218" s="392" t="str">
        <f t="shared" si="158"/>
        <v>N/A</v>
      </c>
      <c r="F218" s="1236" t="str">
        <f t="shared" si="159"/>
        <v>N/A</v>
      </c>
      <c r="G218" s="1240" t="str">
        <f t="shared" si="160"/>
        <v>N/A</v>
      </c>
      <c r="H218" s="1240" t="str">
        <f t="shared" si="161"/>
        <v>N/A</v>
      </c>
      <c r="I218" s="1240" t="str">
        <f t="shared" si="162"/>
        <v>N/A</v>
      </c>
      <c r="J218" s="1240" t="str">
        <f t="shared" si="121"/>
        <v>N/A</v>
      </c>
      <c r="K218" s="1240" t="str">
        <f t="shared" si="122"/>
        <v>N/A</v>
      </c>
      <c r="L218" s="389" t="s">
        <v>2224</v>
      </c>
      <c r="M218" s="392"/>
      <c r="N218" s="392"/>
      <c r="O218" s="376"/>
      <c r="P218" s="376"/>
      <c r="Q218" s="376"/>
      <c r="R218" s="378"/>
      <c r="S218" s="392"/>
      <c r="T218" s="392"/>
      <c r="U218" s="392"/>
      <c r="V218" s="1109"/>
      <c r="W218" s="373" t="str">
        <f t="shared" si="123"/>
        <v/>
      </c>
      <c r="X218" s="388" t="s">
        <v>2224</v>
      </c>
      <c r="Y218" s="1413" t="str">
        <f t="shared" ref="Y218" si="190">IF(X218="N/A","",AA218*(1-Z218))</f>
        <v/>
      </c>
      <c r="Z218" s="377"/>
      <c r="AA218" s="1189" t="str">
        <f t="shared" ref="AA218" si="191">IF(X218="N/A","",AG218/1.04)</f>
        <v/>
      </c>
      <c r="AB218" s="377"/>
      <c r="AC218" s="378"/>
      <c r="AD218" s="1100" t="str">
        <f>IF(E218="N/A","",AA218+AC218)</f>
        <v/>
      </c>
      <c r="AE218" s="377"/>
      <c r="AF218" s="377"/>
      <c r="AG218" s="1216"/>
      <c r="AH218" s="388" t="s">
        <v>2224</v>
      </c>
      <c r="AI218" s="1417" t="str">
        <f t="shared" ref="AI218" si="192">IF(AH218="N/A","",AK218*(1-AJ218))</f>
        <v/>
      </c>
      <c r="AJ218" s="378"/>
      <c r="AK218" s="1418">
        <f t="shared" si="146"/>
        <v>0</v>
      </c>
      <c r="AL218" s="378"/>
      <c r="AM218" s="378"/>
      <c r="AN218" s="378"/>
      <c r="AO218" s="378"/>
      <c r="AP218" s="378"/>
      <c r="AQ218" s="1216"/>
      <c r="AR218" s="388" t="s">
        <v>2224</v>
      </c>
      <c r="AS218" s="1412"/>
      <c r="AT218" s="1151"/>
      <c r="AU218" s="1151"/>
      <c r="AV218" s="1151"/>
      <c r="AW218" s="1151"/>
      <c r="AX218" s="1151"/>
      <c r="AY218" s="1151"/>
      <c r="AZ218" s="1151"/>
      <c r="BA218" s="183"/>
      <c r="BB218" s="388" t="s">
        <v>2224</v>
      </c>
      <c r="BC218" s="1151"/>
      <c r="BD218" s="1151"/>
      <c r="BE218" s="1190">
        <f t="shared" si="188"/>
        <v>0</v>
      </c>
      <c r="BF218" s="1151"/>
      <c r="BG218" s="1151"/>
      <c r="BH218" s="1151"/>
      <c r="BI218" s="1151"/>
      <c r="BJ218" s="1151"/>
      <c r="BK218" s="183"/>
      <c r="BL218" s="388" t="s">
        <v>2224</v>
      </c>
      <c r="BM218" s="1151"/>
      <c r="BN218" s="1151"/>
      <c r="BO218" s="1151"/>
      <c r="BP218" s="1151"/>
      <c r="BQ218" s="1151"/>
      <c r="BR218" s="1151"/>
      <c r="BS218" s="1151"/>
      <c r="BT218" s="1151"/>
      <c r="BU218" s="183"/>
      <c r="BV218" s="388" t="s">
        <v>2224</v>
      </c>
      <c r="BW218" s="1151"/>
      <c r="BX218" s="1151"/>
      <c r="BY218" s="1151"/>
      <c r="BZ218" s="1151"/>
      <c r="CA218" s="1151"/>
      <c r="CB218" s="1151"/>
      <c r="CC218" s="1151"/>
      <c r="CD218" s="1151"/>
      <c r="CE218" s="183"/>
    </row>
    <row r="219" spans="1:83" s="1150" customFormat="1">
      <c r="A219" s="1186" t="b">
        <v>1</v>
      </c>
      <c r="B219" s="1813" t="s">
        <v>2809</v>
      </c>
      <c r="C219" s="1814"/>
      <c r="D219" s="1814"/>
      <c r="E219" s="1815"/>
      <c r="F219" s="1242" t="s">
        <v>2804</v>
      </c>
      <c r="G219" s="1242" t="s">
        <v>2805</v>
      </c>
      <c r="H219" s="1242" t="s">
        <v>2806</v>
      </c>
      <c r="I219" s="1242" t="s">
        <v>2807</v>
      </c>
      <c r="J219" s="1242" t="s">
        <v>2810</v>
      </c>
      <c r="K219" s="1242" t="s">
        <v>2811</v>
      </c>
      <c r="L219" s="1816" t="s">
        <v>2803</v>
      </c>
      <c r="M219" s="1817"/>
      <c r="N219" s="1817"/>
      <c r="O219" s="1817"/>
      <c r="P219" s="1817"/>
      <c r="Q219" s="1817"/>
      <c r="R219" s="1817"/>
      <c r="S219" s="1817"/>
      <c r="T219" s="1817"/>
      <c r="U219" s="1817"/>
      <c r="V219" s="1818"/>
      <c r="W219" s="1227"/>
      <c r="X219" s="1807" t="s">
        <v>2804</v>
      </c>
      <c r="Y219" s="1808"/>
      <c r="Z219" s="1808"/>
      <c r="AA219" s="1808"/>
      <c r="AB219" s="1808"/>
      <c r="AC219" s="1808"/>
      <c r="AD219" s="1808"/>
      <c r="AE219" s="1808"/>
      <c r="AF219" s="1808"/>
      <c r="AG219" s="1809"/>
      <c r="AH219" s="1807" t="s">
        <v>2805</v>
      </c>
      <c r="AI219" s="1808"/>
      <c r="AJ219" s="1808"/>
      <c r="AK219" s="1808"/>
      <c r="AL219" s="1808"/>
      <c r="AM219" s="1808"/>
      <c r="AN219" s="1808"/>
      <c r="AO219" s="1808"/>
      <c r="AP219" s="1808"/>
      <c r="AQ219" s="1809"/>
      <c r="AR219" s="1807" t="s">
        <v>2806</v>
      </c>
      <c r="AS219" s="1808"/>
      <c r="AT219" s="1808"/>
      <c r="AU219" s="1808"/>
      <c r="AV219" s="1808"/>
      <c r="AW219" s="1808"/>
      <c r="AX219" s="1808"/>
      <c r="AY219" s="1808"/>
      <c r="AZ219" s="1808"/>
      <c r="BA219" s="1809"/>
      <c r="BB219" s="1807" t="s">
        <v>2807</v>
      </c>
      <c r="BC219" s="1808"/>
      <c r="BD219" s="1808"/>
      <c r="BE219" s="1808"/>
      <c r="BF219" s="1808"/>
      <c r="BG219" s="1808"/>
      <c r="BH219" s="1808"/>
      <c r="BI219" s="1808"/>
      <c r="BJ219" s="1808"/>
      <c r="BK219" s="1809"/>
      <c r="BL219" s="1807" t="s">
        <v>2810</v>
      </c>
      <c r="BM219" s="1808"/>
      <c r="BN219" s="1808"/>
      <c r="BO219" s="1808"/>
      <c r="BP219" s="1808"/>
      <c r="BQ219" s="1808"/>
      <c r="BR219" s="1808"/>
      <c r="BS219" s="1808"/>
      <c r="BT219" s="1808"/>
      <c r="BU219" s="1809"/>
      <c r="BV219" s="1807" t="s">
        <v>2811</v>
      </c>
      <c r="BW219" s="1808"/>
      <c r="BX219" s="1808"/>
      <c r="BY219" s="1808"/>
      <c r="BZ219" s="1808"/>
      <c r="CA219" s="1808"/>
      <c r="CB219" s="1808"/>
      <c r="CC219" s="1808"/>
      <c r="CD219" s="1808"/>
      <c r="CE219" s="1809"/>
    </row>
    <row r="220" spans="1:83" s="1150" customFormat="1" ht="105.75" thickBot="1">
      <c r="A220" s="1186"/>
      <c r="B220" s="1186"/>
      <c r="C220" s="1186"/>
      <c r="D220" s="1187" t="s">
        <v>2000</v>
      </c>
      <c r="E220" s="1187" t="s">
        <v>2000</v>
      </c>
      <c r="F220" s="1243" t="s">
        <v>2818</v>
      </c>
      <c r="G220" s="1243" t="s">
        <v>2819</v>
      </c>
      <c r="H220" s="1243" t="s">
        <v>2820</v>
      </c>
      <c r="I220" s="1243" t="s">
        <v>2821</v>
      </c>
      <c r="J220" s="1243" t="s">
        <v>2723</v>
      </c>
      <c r="K220" s="1243" t="s">
        <v>2240</v>
      </c>
      <c r="L220" s="1183" t="s">
        <v>2158</v>
      </c>
      <c r="M220" s="1184" t="s">
        <v>2226</v>
      </c>
      <c r="N220" s="1185" t="s">
        <v>2112</v>
      </c>
      <c r="O220" s="1184" t="s">
        <v>2228</v>
      </c>
      <c r="P220" s="1184" t="s">
        <v>2230</v>
      </c>
      <c r="Q220" s="1184" t="s">
        <v>2495</v>
      </c>
      <c r="R220" s="1185" t="s">
        <v>2242</v>
      </c>
      <c r="S220" s="1184" t="s">
        <v>2212</v>
      </c>
      <c r="T220" s="1184" t="s">
        <v>1148</v>
      </c>
      <c r="U220" s="1185" t="s">
        <v>2227</v>
      </c>
      <c r="V220" s="1219" t="s">
        <v>2107</v>
      </c>
      <c r="W220" s="1226"/>
      <c r="X220" s="1200" t="s">
        <v>2111</v>
      </c>
      <c r="Y220" s="1172" t="s">
        <v>2222</v>
      </c>
      <c r="Z220" s="1173" t="s">
        <v>2322</v>
      </c>
      <c r="AA220" s="1173" t="s">
        <v>2223</v>
      </c>
      <c r="AB220" s="1173" t="s">
        <v>23</v>
      </c>
      <c r="AC220" s="1173" t="s">
        <v>2774</v>
      </c>
      <c r="AD220" s="1191" t="s">
        <v>2775</v>
      </c>
      <c r="AE220" s="1173" t="s">
        <v>2773</v>
      </c>
      <c r="AF220" s="1173" t="s">
        <v>2225</v>
      </c>
      <c r="AG220" s="1201" t="s">
        <v>2229</v>
      </c>
      <c r="AH220" s="1200" t="s">
        <v>2111</v>
      </c>
      <c r="AI220" s="1172" t="s">
        <v>2222</v>
      </c>
      <c r="AJ220" s="1173" t="s">
        <v>2322</v>
      </c>
      <c r="AK220" s="1173" t="s">
        <v>2223</v>
      </c>
      <c r="AL220" s="1173" t="s">
        <v>23</v>
      </c>
      <c r="AM220" s="1173" t="s">
        <v>2774</v>
      </c>
      <c r="AN220" s="1173" t="s">
        <v>2775</v>
      </c>
      <c r="AO220" s="1173" t="s">
        <v>2773</v>
      </c>
      <c r="AP220" s="1173" t="s">
        <v>2225</v>
      </c>
      <c r="AQ220" s="1201" t="s">
        <v>2229</v>
      </c>
      <c r="AR220" s="1200" t="s">
        <v>2111</v>
      </c>
      <c r="AS220" s="1172" t="s">
        <v>2222</v>
      </c>
      <c r="AT220" s="1173" t="s">
        <v>2808</v>
      </c>
      <c r="AU220" s="1173" t="s">
        <v>2223</v>
      </c>
      <c r="AV220" s="1173" t="s">
        <v>23</v>
      </c>
      <c r="AW220" s="1173" t="s">
        <v>2774</v>
      </c>
      <c r="AX220" s="1173" t="s">
        <v>2775</v>
      </c>
      <c r="AY220" s="1173" t="s">
        <v>2773</v>
      </c>
      <c r="AZ220" s="1173" t="s">
        <v>2225</v>
      </c>
      <c r="BA220" s="1201" t="s">
        <v>2229</v>
      </c>
      <c r="BB220" s="1200" t="s">
        <v>2111</v>
      </c>
      <c r="BC220" s="1172" t="s">
        <v>2222</v>
      </c>
      <c r="BD220" s="1173" t="s">
        <v>2808</v>
      </c>
      <c r="BE220" s="1173" t="s">
        <v>2223</v>
      </c>
      <c r="BF220" s="1173" t="s">
        <v>23</v>
      </c>
      <c r="BG220" s="1173" t="s">
        <v>2774</v>
      </c>
      <c r="BH220" s="1173" t="s">
        <v>2775</v>
      </c>
      <c r="BI220" s="1173" t="s">
        <v>2773</v>
      </c>
      <c r="BJ220" s="1173" t="s">
        <v>2225</v>
      </c>
      <c r="BK220" s="1201" t="s">
        <v>2229</v>
      </c>
      <c r="BL220" s="1200" t="s">
        <v>2111</v>
      </c>
      <c r="BM220" s="1172" t="s">
        <v>2222</v>
      </c>
      <c r="BN220" s="1173" t="s">
        <v>2808</v>
      </c>
      <c r="BO220" s="1173" t="s">
        <v>2223</v>
      </c>
      <c r="BP220" s="1173" t="s">
        <v>23</v>
      </c>
      <c r="BQ220" s="1173" t="s">
        <v>2774</v>
      </c>
      <c r="BR220" s="1173" t="s">
        <v>2775</v>
      </c>
      <c r="BS220" s="1173" t="s">
        <v>2773</v>
      </c>
      <c r="BT220" s="1173" t="s">
        <v>2225</v>
      </c>
      <c r="BU220" s="1201" t="s">
        <v>2229</v>
      </c>
      <c r="BV220" s="1200" t="s">
        <v>2111</v>
      </c>
      <c r="BW220" s="1172" t="s">
        <v>2222</v>
      </c>
      <c r="BX220" s="1173" t="s">
        <v>2808</v>
      </c>
      <c r="BY220" s="1173" t="s">
        <v>2223</v>
      </c>
      <c r="BZ220" s="1173" t="s">
        <v>23</v>
      </c>
      <c r="CA220" s="1173" t="s">
        <v>2774</v>
      </c>
      <c r="CB220" s="1173" t="s">
        <v>2775</v>
      </c>
      <c r="CC220" s="1173" t="s">
        <v>2773</v>
      </c>
      <c r="CD220" s="1173" t="s">
        <v>2225</v>
      </c>
      <c r="CE220" s="1201" t="s">
        <v>2229</v>
      </c>
    </row>
    <row r="221" spans="1:83" s="1127" customFormat="1">
      <c r="A221" s="291" t="b">
        <v>0</v>
      </c>
      <c r="B221" s="291" t="s">
        <v>2244</v>
      </c>
      <c r="C221" s="291" t="b">
        <f t="shared" ref="C221:C251" si="193">IF(B221="N/A","",IF(B221="newRates",FALSE,TRUE))</f>
        <v>1</v>
      </c>
      <c r="D221" s="388" t="str">
        <f>IF(C221=FALSE=NAMES!$B$8,"",IF(L221="N/A","N/A",O221&amp;N221&amp;L221&amp;"-"&amp;M221))</f>
        <v/>
      </c>
      <c r="E221" s="392" t="str">
        <f>IF(L221="N/A","N/A",O221&amp;N221&amp;L221&amp;"-"&amp;M221)</f>
        <v>N/A</v>
      </c>
      <c r="F221" s="1236" t="str">
        <f t="shared" ref="F221" si="194">IF(X221="N/A","N/A",O221&amp;N221&amp;L221&amp;"-"&amp;X221&amp;M221)</f>
        <v>N/A</v>
      </c>
      <c r="G221" s="1240" t="str">
        <f t="shared" ref="G221" si="195">IF(AH221="N/A","N/A",O221&amp;N221&amp;L221&amp;"-"&amp;AH221&amp;M221)</f>
        <v>N/A</v>
      </c>
      <c r="H221" s="1240" t="str">
        <f t="shared" ref="H221" si="196">IF(AR221="N/A","N/A",O221&amp;N221&amp;L221&amp;"-"&amp;AR221&amp;M221)</f>
        <v>N/A</v>
      </c>
      <c r="I221" s="1240" t="str">
        <f t="shared" ref="I221" si="197">IF(BB221="N/A","N/A",O221&amp;N221&amp;L221&amp;"-"&amp;BB221&amp;M221)</f>
        <v>N/A</v>
      </c>
      <c r="J221" s="1240" t="str">
        <f t="shared" ref="J221:J264" si="198">IF(BL221="N/A","N/A",O221&amp;N221&amp;L221&amp;"-"&amp;BL221)</f>
        <v>N/A</v>
      </c>
      <c r="K221" s="1240" t="str">
        <f t="shared" ref="K221:K264" si="199">IF(BV221="N/A","N/A",O221&amp;N221&amp;L221&amp;"-"&amp;BV221)</f>
        <v>N/A</v>
      </c>
      <c r="L221" s="389" t="s">
        <v>2224</v>
      </c>
      <c r="M221" s="384"/>
      <c r="N221" s="365"/>
      <c r="O221" s="366"/>
      <c r="P221" s="376"/>
      <c r="Q221" s="376"/>
      <c r="R221" s="363"/>
      <c r="S221" s="384"/>
      <c r="T221" s="384"/>
      <c r="U221" s="384"/>
      <c r="V221" s="385"/>
      <c r="W221" s="373" t="str">
        <f t="shared" ref="W221:W264" si="200">IF(X221="N/A","",AA221+AK221+AU221+BE221+BO221+BY221)</f>
        <v/>
      </c>
      <c r="X221" s="388" t="s">
        <v>2224</v>
      </c>
      <c r="Y221" s="1410" t="str">
        <f>IF(E221="N/A","",AA221*(1-Z221))</f>
        <v/>
      </c>
      <c r="Z221" s="377"/>
      <c r="AA221" s="1190" t="str">
        <f>IF(X221="N/A","",Y221/(1-Z221))</f>
        <v/>
      </c>
      <c r="AB221" s="377"/>
      <c r="AC221" s="363"/>
      <c r="AD221" s="393"/>
      <c r="AE221" s="364"/>
      <c r="AF221" s="377"/>
      <c r="AG221" s="1205" t="str">
        <f t="shared" ref="AG221:AG227" si="201">IF(X221="N/A","",AA221*(1+AE221))</f>
        <v/>
      </c>
      <c r="AH221" s="388" t="s">
        <v>2224</v>
      </c>
      <c r="AI221" s="386"/>
      <c r="AJ221" s="377"/>
      <c r="AK221" s="1190">
        <f>IF(AH221="N/A",0,AI221/(1-AJ221))</f>
        <v>0</v>
      </c>
      <c r="AL221" s="393"/>
      <c r="AM221" s="393"/>
      <c r="AN221" s="393"/>
      <c r="AO221" s="377"/>
      <c r="AP221" s="377"/>
      <c r="AQ221" s="1205" t="str">
        <f t="shared" ref="AQ221:AQ227" si="202">IF(AH221="N/A","",AK221*(1+AO221))</f>
        <v/>
      </c>
      <c r="AR221" s="388" t="s">
        <v>2224</v>
      </c>
      <c r="AS221" s="393"/>
      <c r="AT221" s="377"/>
      <c r="AU221" s="1190" t="str">
        <f>IF(AR221="N/A","",AS221/(1-AT221))</f>
        <v/>
      </c>
      <c r="AV221" s="393"/>
      <c r="AW221" s="393"/>
      <c r="AX221" s="393"/>
      <c r="AY221" s="377"/>
      <c r="AZ221" s="377"/>
      <c r="BA221" s="1205" t="str">
        <f t="shared" ref="BA221:BA227" si="203">IF(AR221="N/A","",AU221*(1+AY221))</f>
        <v/>
      </c>
      <c r="BB221" s="388" t="s">
        <v>2224</v>
      </c>
      <c r="BC221" s="386"/>
      <c r="BD221" s="377"/>
      <c r="BE221" s="1190">
        <f t="shared" ref="BE221:BE264" si="204">IF(BB221="N/A",0,BC221/(1-BD221))</f>
        <v>0</v>
      </c>
      <c r="BF221" s="393"/>
      <c r="BG221" s="393"/>
      <c r="BH221" s="393"/>
      <c r="BI221" s="377"/>
      <c r="BJ221" s="377"/>
      <c r="BK221" s="1205" t="str">
        <f t="shared" ref="BK221:BK227" si="205">IF(BB221="N/A","",BE221*(1+BI221))</f>
        <v/>
      </c>
      <c r="BL221" s="388" t="s">
        <v>2224</v>
      </c>
      <c r="BM221" s="1109"/>
      <c r="BN221" s="1109"/>
      <c r="BO221" s="1190">
        <f>IF(BL221="N/A",0,BM221/(1-BN221))</f>
        <v>0</v>
      </c>
      <c r="BP221" s="1109"/>
      <c r="BQ221" s="1109"/>
      <c r="BR221" s="1109"/>
      <c r="BS221" s="1109"/>
      <c r="BT221" s="1109"/>
      <c r="BU221" s="380"/>
      <c r="BV221" s="388" t="s">
        <v>2224</v>
      </c>
      <c r="BW221" s="1109"/>
      <c r="BX221" s="1109"/>
      <c r="BY221" s="1190">
        <f>IF(BV221="N/A",0,BW221/(1-BX221))</f>
        <v>0</v>
      </c>
      <c r="BZ221" s="1109"/>
      <c r="CA221" s="1109"/>
      <c r="CB221" s="1109"/>
      <c r="CC221" s="1109"/>
      <c r="CD221" s="1109"/>
      <c r="CE221" s="380"/>
    </row>
    <row r="222" spans="1:83" s="1127" customFormat="1">
      <c r="A222" s="291" t="b">
        <v>0</v>
      </c>
      <c r="B222" s="291" t="s">
        <v>2244</v>
      </c>
      <c r="C222" s="291" t="b">
        <f t="shared" si="193"/>
        <v>1</v>
      </c>
      <c r="D222" s="388" t="str">
        <f>IF(C222=FALSE=NAMES!$B$8,"",IF(L222="N/A","N/A",O222&amp;N222&amp;L222&amp;"-"&amp;M222))</f>
        <v/>
      </c>
      <c r="E222" s="392" t="str">
        <f t="shared" ref="E222:E228" si="206">IF(L222="N/A","N/A",O222&amp;N222&amp;L222&amp;"-"&amp;M222)</f>
        <v>2016EURAIG Luxembourg-Formula 1C accident</v>
      </c>
      <c r="F222" s="1236" t="str">
        <f t="shared" ref="F222:F264" si="207">IF(X222="N/A","N/A",O222&amp;N222&amp;L222&amp;"-"&amp;X222&amp;M222)</f>
        <v>2016EURAIG Luxembourg-Death AccidentFormula 1C accident</v>
      </c>
      <c r="G222" s="1240" t="str">
        <f t="shared" ref="G222:G264" si="208">IF(AH222="N/A","N/A",O222&amp;N222&amp;L222&amp;"-"&amp;AH222&amp;M222)</f>
        <v>N/A</v>
      </c>
      <c r="H222" s="1240" t="str">
        <f t="shared" ref="H222:H264" si="209">IF(AR222="N/A","N/A",O222&amp;N222&amp;L222&amp;"-"&amp;AR222&amp;M222)</f>
        <v>2016EURAIG Luxembourg-Permanent Disability AccidentFormula 1C accident</v>
      </c>
      <c r="I222" s="1240" t="str">
        <f t="shared" ref="I222:I264" si="210">IF(BB222="N/A","N/A",O222&amp;N222&amp;L222&amp;"-"&amp;BB222&amp;M222)</f>
        <v>N/A</v>
      </c>
      <c r="J222" s="1240" t="str">
        <f t="shared" si="198"/>
        <v>N/A</v>
      </c>
      <c r="K222" s="1240" t="str">
        <f t="shared" si="199"/>
        <v>N/A</v>
      </c>
      <c r="L222" s="392" t="s">
        <v>4</v>
      </c>
      <c r="M222" s="1109" t="s">
        <v>2813</v>
      </c>
      <c r="N222" s="392" t="s">
        <v>32</v>
      </c>
      <c r="O222" s="376">
        <v>2016</v>
      </c>
      <c r="P222" s="376" t="s">
        <v>26</v>
      </c>
      <c r="Q222" s="376"/>
      <c r="R222" s="377">
        <v>0.05</v>
      </c>
      <c r="S222" s="1151"/>
      <c r="T222" s="1151"/>
      <c r="U222" s="1151"/>
      <c r="V222" s="1109">
        <v>365</v>
      </c>
      <c r="W222" s="373">
        <f t="shared" si="200"/>
        <v>1.7596000000000001E-3</v>
      </c>
      <c r="X222" s="197" t="s">
        <v>6</v>
      </c>
      <c r="Y222" s="1410"/>
      <c r="Z222" s="377">
        <v>0.25</v>
      </c>
      <c r="AA222" s="625">
        <v>8.7980000000000003E-4</v>
      </c>
      <c r="AB222" s="377">
        <v>0</v>
      </c>
      <c r="AC222" s="378">
        <v>0</v>
      </c>
      <c r="AD222" s="393"/>
      <c r="AE222" s="377">
        <v>0.04</v>
      </c>
      <c r="AF222" s="377"/>
      <c r="AG222" s="1205">
        <f t="shared" si="201"/>
        <v>9.1499200000000011E-4</v>
      </c>
      <c r="AH222" s="388" t="s">
        <v>2224</v>
      </c>
      <c r="AI222" s="1171"/>
      <c r="AJ222" s="1171"/>
      <c r="AK222" s="1190">
        <f t="shared" ref="AK222:AK223" si="211">IF(AH222="N/A",0,AI222/(1-AJ222))</f>
        <v>0</v>
      </c>
      <c r="AL222" s="1171"/>
      <c r="AM222" s="1171"/>
      <c r="AN222" s="393"/>
      <c r="AO222" s="1171"/>
      <c r="AP222" s="1171"/>
      <c r="AQ222" s="1205" t="str">
        <f t="shared" si="202"/>
        <v/>
      </c>
      <c r="AR222" s="197" t="s">
        <v>9</v>
      </c>
      <c r="AS222" s="386"/>
      <c r="AT222" s="377">
        <v>0.25</v>
      </c>
      <c r="AU222" s="625">
        <v>8.7980000000000003E-4</v>
      </c>
      <c r="AV222" s="377">
        <v>0</v>
      </c>
      <c r="AW222" s="378">
        <v>0</v>
      </c>
      <c r="AX222" s="393"/>
      <c r="AY222" s="377">
        <v>0.04</v>
      </c>
      <c r="AZ222" s="377"/>
      <c r="BA222" s="1205">
        <f t="shared" si="203"/>
        <v>9.1499200000000011E-4</v>
      </c>
      <c r="BB222" s="388" t="s">
        <v>2224</v>
      </c>
      <c r="BC222" s="1171"/>
      <c r="BD222" s="1171"/>
      <c r="BE222" s="1190">
        <f t="shared" si="204"/>
        <v>0</v>
      </c>
      <c r="BF222" s="1171"/>
      <c r="BG222" s="1171"/>
      <c r="BH222" s="393"/>
      <c r="BI222" s="1171"/>
      <c r="BJ222" s="1171"/>
      <c r="BK222" s="1205" t="str">
        <f t="shared" si="205"/>
        <v/>
      </c>
      <c r="BL222" s="388" t="s">
        <v>2224</v>
      </c>
      <c r="BM222" s="1109"/>
      <c r="BN222" s="1109"/>
      <c r="BO222" s="1190">
        <f t="shared" ref="BO222:BO264" si="212">IF(BL222="N/A",0,BM222/(1-BN222))</f>
        <v>0</v>
      </c>
      <c r="BP222" s="1109"/>
      <c r="BQ222" s="1109"/>
      <c r="BR222" s="1109"/>
      <c r="BS222" s="1109"/>
      <c r="BT222" s="1109"/>
      <c r="BU222" s="380"/>
      <c r="BV222" s="388" t="s">
        <v>2224</v>
      </c>
      <c r="BW222" s="1109"/>
      <c r="BX222" s="1109"/>
      <c r="BY222" s="1190">
        <f t="shared" ref="BY222:BY264" si="213">IF(BV222="N/A",0,BW222/(1-BX222))</f>
        <v>0</v>
      </c>
      <c r="BZ222" s="1109"/>
      <c r="CA222" s="1109"/>
      <c r="CB222" s="1109"/>
      <c r="CC222" s="1109"/>
      <c r="CD222" s="1109"/>
      <c r="CE222" s="380"/>
    </row>
    <row r="223" spans="1:83" s="1127" customFormat="1">
      <c r="A223" s="291" t="b">
        <v>0</v>
      </c>
      <c r="B223" s="291" t="s">
        <v>2244</v>
      </c>
      <c r="C223" s="291" t="b">
        <f t="shared" si="193"/>
        <v>1</v>
      </c>
      <c r="D223" s="388" t="str">
        <f>IF(C223=FALSE=NAMES!$B$8,"",IF(L223="N/A","N/A",O223&amp;N223&amp;L223&amp;"-"&amp;M223))</f>
        <v/>
      </c>
      <c r="E223" s="392" t="str">
        <f t="shared" si="206"/>
        <v>2016EURAnker Verzekeringen n.v.-Formula 1B</v>
      </c>
      <c r="F223" s="1236" t="str">
        <f t="shared" si="207"/>
        <v>2016EURAnker Verzekeringen n.v.-Death AccidentFormula 1B</v>
      </c>
      <c r="G223" s="1240" t="str">
        <f t="shared" si="208"/>
        <v>2016EURAnker Verzekeringen n.v.-Death illnessFormula 1B</v>
      </c>
      <c r="H223" s="1240" t="str">
        <f t="shared" si="209"/>
        <v>2016EURAnker Verzekeringen n.v.-Permanent Disability AccidentFormula 1B</v>
      </c>
      <c r="I223" s="1240" t="str">
        <f t="shared" si="210"/>
        <v>2016EURAnker Verzekeringen n.v.-Permanent Disability illnessFormula 1B</v>
      </c>
      <c r="J223" s="1240" t="str">
        <f t="shared" si="198"/>
        <v>N/A</v>
      </c>
      <c r="K223" s="1240" t="str">
        <f t="shared" si="199"/>
        <v>N/A</v>
      </c>
      <c r="L223" s="392" t="s">
        <v>7</v>
      </c>
      <c r="M223" s="1109" t="s">
        <v>1769</v>
      </c>
      <c r="N223" s="392" t="s">
        <v>32</v>
      </c>
      <c r="O223" s="376">
        <v>2016</v>
      </c>
      <c r="P223" s="376" t="s">
        <v>2234</v>
      </c>
      <c r="Q223" s="376"/>
      <c r="R223" s="377">
        <v>0</v>
      </c>
      <c r="S223" s="1109"/>
      <c r="T223" s="1109"/>
      <c r="U223" s="1109"/>
      <c r="V223" s="1109">
        <v>365</v>
      </c>
      <c r="W223" s="373">
        <f t="shared" si="200"/>
        <v>5.326896551724138E-3</v>
      </c>
      <c r="X223" s="197" t="s">
        <v>6</v>
      </c>
      <c r="Y223" s="1410">
        <v>5.0100000000000003E-4</v>
      </c>
      <c r="Z223" s="377">
        <v>0.27500000000000002</v>
      </c>
      <c r="AA223" s="1190">
        <f>IF(X223="N/A","",Y223/(1-Z223))</f>
        <v>6.9103448275862072E-4</v>
      </c>
      <c r="AB223" s="377">
        <v>0</v>
      </c>
      <c r="AC223" s="378">
        <v>0</v>
      </c>
      <c r="AD223" s="393"/>
      <c r="AE223" s="377">
        <v>0.04</v>
      </c>
      <c r="AF223" s="377"/>
      <c r="AG223" s="1205">
        <f t="shared" si="201"/>
        <v>7.1867586206896558E-4</v>
      </c>
      <c r="AH223" s="197" t="s">
        <v>2114</v>
      </c>
      <c r="AI223" s="393">
        <v>1.253E-3</v>
      </c>
      <c r="AJ223" s="377">
        <v>0.27500000000000002</v>
      </c>
      <c r="AK223" s="1190">
        <f t="shared" si="211"/>
        <v>1.7282758620689655E-3</v>
      </c>
      <c r="AL223" s="377">
        <v>0</v>
      </c>
      <c r="AM223" s="378">
        <v>0</v>
      </c>
      <c r="AN223" s="393"/>
      <c r="AO223" s="377">
        <v>0.04</v>
      </c>
      <c r="AP223" s="377"/>
      <c r="AQ223" s="1205">
        <f t="shared" si="202"/>
        <v>1.7974068965517242E-3</v>
      </c>
      <c r="AR223" s="197" t="s">
        <v>9</v>
      </c>
      <c r="AS223" s="393">
        <v>6.1899999999999998E-4</v>
      </c>
      <c r="AT223" s="377">
        <v>0.27500000000000002</v>
      </c>
      <c r="AU223" s="1190">
        <f>IF(AR223="N/A","",AS223/(1-AT223))</f>
        <v>8.5379310344827581E-4</v>
      </c>
      <c r="AV223" s="377">
        <v>0</v>
      </c>
      <c r="AW223" s="378">
        <v>0</v>
      </c>
      <c r="AX223" s="393"/>
      <c r="AY223" s="377">
        <v>0.04</v>
      </c>
      <c r="AZ223" s="377"/>
      <c r="BA223" s="1205">
        <f t="shared" si="203"/>
        <v>8.8794482758620692E-4</v>
      </c>
      <c r="BB223" s="197" t="s">
        <v>2115</v>
      </c>
      <c r="BC223" s="393">
        <v>1.4890000000000001E-3</v>
      </c>
      <c r="BD223" s="377">
        <v>0.27500000000000002</v>
      </c>
      <c r="BE223" s="1190">
        <f t="shared" si="204"/>
        <v>2.0537931034482759E-3</v>
      </c>
      <c r="BF223" s="377">
        <v>0</v>
      </c>
      <c r="BG223" s="378">
        <v>0</v>
      </c>
      <c r="BH223" s="393"/>
      <c r="BI223" s="377">
        <v>0.04</v>
      </c>
      <c r="BJ223" s="377"/>
      <c r="BK223" s="1205">
        <f t="shared" si="205"/>
        <v>2.1359448275862069E-3</v>
      </c>
      <c r="BL223" s="388" t="s">
        <v>2224</v>
      </c>
      <c r="BM223" s="1109"/>
      <c r="BN223" s="1109"/>
      <c r="BO223" s="1190">
        <f t="shared" si="212"/>
        <v>0</v>
      </c>
      <c r="BP223" s="1109"/>
      <c r="BQ223" s="1109"/>
      <c r="BR223" s="1109"/>
      <c r="BS223" s="1109"/>
      <c r="BT223" s="1109"/>
      <c r="BU223" s="380"/>
      <c r="BV223" s="388" t="s">
        <v>2224</v>
      </c>
      <c r="BW223" s="1109"/>
      <c r="BX223" s="1109"/>
      <c r="BY223" s="1190">
        <f t="shared" si="213"/>
        <v>0</v>
      </c>
      <c r="BZ223" s="1109"/>
      <c r="CA223" s="1109"/>
      <c r="CB223" s="1109"/>
      <c r="CC223" s="1109"/>
      <c r="CD223" s="1109"/>
      <c r="CE223" s="380"/>
    </row>
    <row r="224" spans="1:83" s="1198" customFormat="1">
      <c r="A224" s="291" t="b">
        <v>0</v>
      </c>
      <c r="B224" s="291" t="s">
        <v>2244</v>
      </c>
      <c r="C224" s="291" t="b">
        <f t="shared" si="193"/>
        <v>1</v>
      </c>
      <c r="D224" s="388" t="str">
        <f>IF(C224=FALSE=NAMES!$B$8,"",IF(L224="N/A","N/A",O224&amp;N224&amp;L224&amp;"-"&amp;M224))</f>
        <v/>
      </c>
      <c r="E224" s="392" t="str">
        <f t="shared" si="206"/>
        <v>2016EURAnker Verzekeringen n.v.-Formula 1R</v>
      </c>
      <c r="F224" s="1236" t="str">
        <f t="shared" si="207"/>
        <v>2016EURAnker Verzekeringen n.v.-Death AccidentFormula 1R</v>
      </c>
      <c r="G224" s="1240" t="str">
        <f t="shared" si="208"/>
        <v>2016EURAnker Verzekeringen n.v.-Death illnessFormula 1R</v>
      </c>
      <c r="H224" s="1240" t="str">
        <f t="shared" si="209"/>
        <v>2016EURAnker Verzekeringen n.v.-Permanent Disability AccidentFormula 1R</v>
      </c>
      <c r="I224" s="1240" t="str">
        <f t="shared" si="210"/>
        <v>2016EURAnker Verzekeringen n.v.-Permanent Disability illnessFormula 1R</v>
      </c>
      <c r="J224" s="1240" t="str">
        <f t="shared" si="198"/>
        <v>N/A</v>
      </c>
      <c r="K224" s="1240" t="str">
        <f t="shared" si="199"/>
        <v>N/A</v>
      </c>
      <c r="L224" s="1193" t="s">
        <v>7</v>
      </c>
      <c r="M224" s="1194" t="s">
        <v>2826</v>
      </c>
      <c r="N224" s="1193" t="s">
        <v>32</v>
      </c>
      <c r="O224" s="376">
        <v>2016</v>
      </c>
      <c r="P224" s="1195" t="s">
        <v>2234</v>
      </c>
      <c r="Q224" s="1195"/>
      <c r="R224" s="1196">
        <v>0</v>
      </c>
      <c r="S224" s="1194" t="s">
        <v>2379</v>
      </c>
      <c r="T224" s="1194"/>
      <c r="U224" s="1194"/>
      <c r="V224" s="1194">
        <v>365</v>
      </c>
      <c r="W224" s="373">
        <f t="shared" si="200"/>
        <v>4.7944827586206898E-3</v>
      </c>
      <c r="X224" s="1192" t="s">
        <v>6</v>
      </c>
      <c r="Y224" s="1411">
        <v>4.5100000000000001E-4</v>
      </c>
      <c r="Z224" s="1196">
        <v>0.27500000000000002</v>
      </c>
      <c r="AA224" s="373">
        <f>IF(X224="N/A","",Y224/(1-Z224))</f>
        <v>6.2206896551724139E-4</v>
      </c>
      <c r="AB224" s="1196">
        <v>0</v>
      </c>
      <c r="AC224" s="1199">
        <v>0</v>
      </c>
      <c r="AD224" s="373"/>
      <c r="AE224" s="1196">
        <v>0.04</v>
      </c>
      <c r="AF224" s="1196"/>
      <c r="AG224" s="1206">
        <f t="shared" si="201"/>
        <v>6.4695172413793104E-4</v>
      </c>
      <c r="AH224" s="1192" t="s">
        <v>2114</v>
      </c>
      <c r="AI224" s="373">
        <v>1.1280000000000001E-3</v>
      </c>
      <c r="AJ224" s="1196">
        <v>0.27500000000000002</v>
      </c>
      <c r="AK224" s="1190">
        <f>IF(AH224="N/A",0,AI224/(1-AJ224))</f>
        <v>1.5558620689655174E-3</v>
      </c>
      <c r="AL224" s="1196">
        <v>0</v>
      </c>
      <c r="AM224" s="1199">
        <v>0</v>
      </c>
      <c r="AN224" s="373"/>
      <c r="AO224" s="1196">
        <v>0.04</v>
      </c>
      <c r="AP224" s="1196"/>
      <c r="AQ224" s="1206">
        <f t="shared" si="202"/>
        <v>1.6180965517241382E-3</v>
      </c>
      <c r="AR224" s="1192" t="s">
        <v>9</v>
      </c>
      <c r="AS224" s="373">
        <v>5.5699999999999999E-4</v>
      </c>
      <c r="AT224" s="1196">
        <v>0.27500000000000002</v>
      </c>
      <c r="AU224" s="373">
        <f>IF(AR224="N/A","",AS224/(1-AT224))</f>
        <v>7.6827586206896549E-4</v>
      </c>
      <c r="AV224" s="1196">
        <v>0</v>
      </c>
      <c r="AW224" s="1199">
        <v>0</v>
      </c>
      <c r="AX224" s="373"/>
      <c r="AY224" s="1196">
        <v>0.04</v>
      </c>
      <c r="AZ224" s="1196"/>
      <c r="BA224" s="1206">
        <f t="shared" si="203"/>
        <v>7.9900689655172414E-4</v>
      </c>
      <c r="BB224" s="1192" t="s">
        <v>2115</v>
      </c>
      <c r="BC224" s="373">
        <v>1.34E-3</v>
      </c>
      <c r="BD224" s="1196">
        <v>0.27500000000000002</v>
      </c>
      <c r="BE224" s="1190">
        <f t="shared" si="204"/>
        <v>1.8482758620689656E-3</v>
      </c>
      <c r="BF224" s="1196">
        <v>0</v>
      </c>
      <c r="BG224" s="1199">
        <v>0</v>
      </c>
      <c r="BH224" s="373"/>
      <c r="BI224" s="1196">
        <v>0.04</v>
      </c>
      <c r="BJ224" s="1196"/>
      <c r="BK224" s="1206">
        <f t="shared" si="205"/>
        <v>1.9222068965517242E-3</v>
      </c>
      <c r="BL224" s="388" t="s">
        <v>2224</v>
      </c>
      <c r="BM224" s="1194"/>
      <c r="BN224" s="1194"/>
      <c r="BO224" s="1190">
        <f t="shared" si="212"/>
        <v>0</v>
      </c>
      <c r="BP224" s="1194"/>
      <c r="BQ224" s="1194"/>
      <c r="BR224" s="1194"/>
      <c r="BS224" s="1194"/>
      <c r="BT224" s="1194"/>
      <c r="BU224" s="1197"/>
      <c r="BV224" s="388" t="s">
        <v>2224</v>
      </c>
      <c r="BW224" s="1194"/>
      <c r="BX224" s="1194"/>
      <c r="BY224" s="1190">
        <f t="shared" si="213"/>
        <v>0</v>
      </c>
      <c r="BZ224" s="1194"/>
      <c r="CA224" s="1194"/>
      <c r="CB224" s="1194"/>
      <c r="CC224" s="1194"/>
      <c r="CD224" s="1194"/>
      <c r="CE224" s="1197"/>
    </row>
    <row r="225" spans="1:83" s="1127" customFormat="1">
      <c r="A225" s="291" t="b">
        <v>0</v>
      </c>
      <c r="B225" s="291" t="s">
        <v>2244</v>
      </c>
      <c r="C225" s="291" t="b">
        <f t="shared" si="193"/>
        <v>1</v>
      </c>
      <c r="D225" s="388" t="str">
        <f>IF(C225=FALSE=NAMES!$B$8,"",IF(L225="N/A","N/A",O225&amp;N225&amp;L225&amp;"-"&amp;M225))</f>
        <v/>
      </c>
      <c r="E225" s="392" t="str">
        <f t="shared" si="206"/>
        <v>2016USDAIG Luxembourg-Formula 1C accident</v>
      </c>
      <c r="F225" s="1236" t="str">
        <f t="shared" si="207"/>
        <v>2016USDAIG Luxembourg-Death AccidentFormula 1C accident</v>
      </c>
      <c r="G225" s="1240" t="str">
        <f t="shared" si="208"/>
        <v>N/A</v>
      </c>
      <c r="H225" s="1240" t="str">
        <f t="shared" si="209"/>
        <v>2016USDAIG Luxembourg-Permanent Disability AccidentFormula 1C accident</v>
      </c>
      <c r="I225" s="1240" t="str">
        <f t="shared" si="210"/>
        <v>N/A</v>
      </c>
      <c r="J225" s="1240" t="str">
        <f t="shared" si="198"/>
        <v>N/A</v>
      </c>
      <c r="K225" s="1240" t="str">
        <f t="shared" si="199"/>
        <v>N/A</v>
      </c>
      <c r="L225" s="392" t="s">
        <v>4</v>
      </c>
      <c r="M225" s="1109" t="s">
        <v>2813</v>
      </c>
      <c r="N225" s="392" t="s">
        <v>87</v>
      </c>
      <c r="O225" s="376">
        <v>2016</v>
      </c>
      <c r="P225" s="376" t="s">
        <v>26</v>
      </c>
      <c r="Q225" s="376"/>
      <c r="R225" s="377">
        <v>0.05</v>
      </c>
      <c r="S225" s="1151"/>
      <c r="T225" s="1151"/>
      <c r="U225" s="1151"/>
      <c r="V225" s="1109">
        <v>365</v>
      </c>
      <c r="W225" s="373">
        <f t="shared" si="200"/>
        <v>1.7596000000000001E-3</v>
      </c>
      <c r="X225" s="197" t="s">
        <v>6</v>
      </c>
      <c r="Y225" s="1412"/>
      <c r="Z225" s="377">
        <v>0.25</v>
      </c>
      <c r="AA225" s="625">
        <v>8.7980000000000003E-4</v>
      </c>
      <c r="AB225" s="377">
        <v>0</v>
      </c>
      <c r="AC225" s="378">
        <v>0</v>
      </c>
      <c r="AD225" s="393"/>
      <c r="AE225" s="377">
        <v>0.04</v>
      </c>
      <c r="AF225" s="377"/>
      <c r="AG225" s="1205">
        <f t="shared" si="201"/>
        <v>9.1499200000000011E-4</v>
      </c>
      <c r="AH225" s="388" t="s">
        <v>2224</v>
      </c>
      <c r="AI225" s="386"/>
      <c r="AJ225" s="377"/>
      <c r="AK225" s="1190">
        <f>IF(AH225="N/A",0,AI225/(1-AJ225))</f>
        <v>0</v>
      </c>
      <c r="AL225" s="393"/>
      <c r="AM225" s="393"/>
      <c r="AN225" s="393"/>
      <c r="AO225" s="377"/>
      <c r="AP225" s="377"/>
      <c r="AQ225" s="1205" t="str">
        <f t="shared" si="202"/>
        <v/>
      </c>
      <c r="AR225" s="197" t="s">
        <v>9</v>
      </c>
      <c r="AS225" s="386"/>
      <c r="AT225" s="377">
        <v>0.25</v>
      </c>
      <c r="AU225" s="625">
        <v>8.7980000000000003E-4</v>
      </c>
      <c r="AV225" s="377">
        <v>0</v>
      </c>
      <c r="AW225" s="378">
        <v>0</v>
      </c>
      <c r="AX225" s="393"/>
      <c r="AY225" s="377">
        <v>0.04</v>
      </c>
      <c r="AZ225" s="377"/>
      <c r="BA225" s="1205">
        <f t="shared" si="203"/>
        <v>9.1499200000000011E-4</v>
      </c>
      <c r="BB225" s="388" t="s">
        <v>2224</v>
      </c>
      <c r="BC225" s="386"/>
      <c r="BD225" s="377"/>
      <c r="BE225" s="1190">
        <f t="shared" si="204"/>
        <v>0</v>
      </c>
      <c r="BF225" s="393"/>
      <c r="BG225" s="393"/>
      <c r="BH225" s="393"/>
      <c r="BI225" s="377"/>
      <c r="BJ225" s="377"/>
      <c r="BK225" s="1205" t="str">
        <f t="shared" si="205"/>
        <v/>
      </c>
      <c r="BL225" s="388" t="s">
        <v>2224</v>
      </c>
      <c r="BM225" s="1109"/>
      <c r="BN225" s="1109"/>
      <c r="BO225" s="1190">
        <f t="shared" si="212"/>
        <v>0</v>
      </c>
      <c r="BP225" s="1109"/>
      <c r="BQ225" s="1109"/>
      <c r="BR225" s="1109"/>
      <c r="BS225" s="1109"/>
      <c r="BT225" s="1109"/>
      <c r="BU225" s="380"/>
      <c r="BV225" s="388" t="s">
        <v>2224</v>
      </c>
      <c r="BW225" s="1109"/>
      <c r="BX225" s="1109"/>
      <c r="BY225" s="1190">
        <f t="shared" si="213"/>
        <v>0</v>
      </c>
      <c r="BZ225" s="1109"/>
      <c r="CA225" s="1109"/>
      <c r="CB225" s="1109"/>
      <c r="CC225" s="1109"/>
      <c r="CD225" s="1109"/>
      <c r="CE225" s="380"/>
    </row>
    <row r="226" spans="1:83" s="1127" customFormat="1">
      <c r="A226" s="291" t="b">
        <v>0</v>
      </c>
      <c r="B226" s="291" t="s">
        <v>2244</v>
      </c>
      <c r="C226" s="291" t="b">
        <f t="shared" si="193"/>
        <v>1</v>
      </c>
      <c r="D226" s="388" t="str">
        <f>IF(C226=FALSE=NAMES!$B$8,"",IF(L226="N/A","N/A",O226&amp;N226&amp;L226&amp;"-"&amp;M226))</f>
        <v/>
      </c>
      <c r="E226" s="392" t="str">
        <f t="shared" si="206"/>
        <v>2016USDAnker Verzekeringen n.v.-Formula 1B</v>
      </c>
      <c r="F226" s="1236" t="str">
        <f t="shared" si="207"/>
        <v>2016USDAnker Verzekeringen n.v.-Death AccidentFormula 1B</v>
      </c>
      <c r="G226" s="1240" t="str">
        <f t="shared" si="208"/>
        <v>2016USDAnker Verzekeringen n.v.-Death illnessFormula 1B</v>
      </c>
      <c r="H226" s="1240" t="str">
        <f t="shared" si="209"/>
        <v>2016USDAnker Verzekeringen n.v.-Permanent Disability AccidentFormula 1B</v>
      </c>
      <c r="I226" s="1240" t="str">
        <f t="shared" si="210"/>
        <v>2016USDAnker Verzekeringen n.v.-Permanent Disability illnessFormula 1B</v>
      </c>
      <c r="J226" s="1240" t="str">
        <f t="shared" si="198"/>
        <v>N/A</v>
      </c>
      <c r="K226" s="1240" t="str">
        <f t="shared" si="199"/>
        <v>N/A</v>
      </c>
      <c r="L226" s="392" t="s">
        <v>7</v>
      </c>
      <c r="M226" s="1109" t="s">
        <v>1769</v>
      </c>
      <c r="N226" s="392" t="s">
        <v>87</v>
      </c>
      <c r="O226" s="376">
        <v>2016</v>
      </c>
      <c r="P226" s="376" t="s">
        <v>2234</v>
      </c>
      <c r="Q226" s="376"/>
      <c r="R226" s="377">
        <v>0</v>
      </c>
      <c r="S226" s="1109"/>
      <c r="T226" s="1109"/>
      <c r="U226" s="1109"/>
      <c r="V226" s="1109">
        <v>365</v>
      </c>
      <c r="W226" s="373">
        <f t="shared" si="200"/>
        <v>5.1682758620689656E-3</v>
      </c>
      <c r="X226" s="197" t="s">
        <v>6</v>
      </c>
      <c r="Y226" s="1410">
        <v>5.8600000000000004E-4</v>
      </c>
      <c r="Z226" s="377">
        <v>0.27500000000000002</v>
      </c>
      <c r="AA226" s="1190">
        <f>IF(X226="N/A","",Y226/(1-Z226))</f>
        <v>8.0827586206896559E-4</v>
      </c>
      <c r="AB226" s="377">
        <v>0</v>
      </c>
      <c r="AC226" s="378">
        <v>0</v>
      </c>
      <c r="AD226" s="393"/>
      <c r="AE226" s="377">
        <v>0.04</v>
      </c>
      <c r="AF226" s="377"/>
      <c r="AG226" s="1205">
        <f t="shared" si="201"/>
        <v>8.4060689655172428E-4</v>
      </c>
      <c r="AH226" s="197" t="s">
        <v>2114</v>
      </c>
      <c r="AI226" s="393">
        <v>1.444E-3</v>
      </c>
      <c r="AJ226" s="377">
        <v>0.27500000000000002</v>
      </c>
      <c r="AK226" s="1190">
        <f t="shared" ref="AK226" si="214">IF(AH226="N/A",0,AI226/(1-AJ226))</f>
        <v>1.9917241379310345E-3</v>
      </c>
      <c r="AL226" s="377">
        <v>0</v>
      </c>
      <c r="AM226" s="378">
        <v>0</v>
      </c>
      <c r="AN226" s="393"/>
      <c r="AO226" s="377">
        <v>0.04</v>
      </c>
      <c r="AP226" s="377"/>
      <c r="AQ226" s="1205">
        <f t="shared" si="202"/>
        <v>2.0713931034482759E-3</v>
      </c>
      <c r="AR226" s="197" t="s">
        <v>9</v>
      </c>
      <c r="AS226" s="393">
        <v>7.0699999999999995E-4</v>
      </c>
      <c r="AT226" s="377">
        <v>0.27500000000000002</v>
      </c>
      <c r="AU226" s="1190">
        <f>IF(AR226="N/A","",AS226/(1-AT226))</f>
        <v>9.7517241379310336E-4</v>
      </c>
      <c r="AV226" s="377">
        <v>0</v>
      </c>
      <c r="AW226" s="378">
        <v>0</v>
      </c>
      <c r="AX226" s="393"/>
      <c r="AY226" s="377">
        <v>0.04</v>
      </c>
      <c r="AZ226" s="377"/>
      <c r="BA226" s="1205">
        <f t="shared" si="203"/>
        <v>1.0141793103448276E-3</v>
      </c>
      <c r="BB226" s="197" t="s">
        <v>2115</v>
      </c>
      <c r="BC226" s="393">
        <v>1.01E-3</v>
      </c>
      <c r="BD226" s="377">
        <v>0.27500000000000002</v>
      </c>
      <c r="BE226" s="1190">
        <f t="shared" si="204"/>
        <v>1.3931034482758621E-3</v>
      </c>
      <c r="BF226" s="377">
        <v>0</v>
      </c>
      <c r="BG226" s="378">
        <v>0</v>
      </c>
      <c r="BH226" s="393"/>
      <c r="BI226" s="377">
        <v>0.04</v>
      </c>
      <c r="BJ226" s="377"/>
      <c r="BK226" s="1205">
        <f t="shared" si="205"/>
        <v>1.4488275862068966E-3</v>
      </c>
      <c r="BL226" s="388" t="s">
        <v>2224</v>
      </c>
      <c r="BM226" s="1109"/>
      <c r="BN226" s="1109"/>
      <c r="BO226" s="1190">
        <f t="shared" si="212"/>
        <v>0</v>
      </c>
      <c r="BP226" s="1109"/>
      <c r="BQ226" s="1109"/>
      <c r="BR226" s="1109"/>
      <c r="BS226" s="1109"/>
      <c r="BT226" s="1109"/>
      <c r="BU226" s="380"/>
      <c r="BV226" s="388" t="s">
        <v>2224</v>
      </c>
      <c r="BW226" s="1109"/>
      <c r="BX226" s="1109"/>
      <c r="BY226" s="1190">
        <f t="shared" si="213"/>
        <v>0</v>
      </c>
      <c r="BZ226" s="1109"/>
      <c r="CA226" s="1109"/>
      <c r="CB226" s="1109"/>
      <c r="CC226" s="1109"/>
      <c r="CD226" s="1109"/>
      <c r="CE226" s="380"/>
    </row>
    <row r="227" spans="1:83" s="1198" customFormat="1">
      <c r="A227" s="291" t="b">
        <v>0</v>
      </c>
      <c r="B227" s="291" t="s">
        <v>2244</v>
      </c>
      <c r="C227" s="291" t="b">
        <f t="shared" si="193"/>
        <v>1</v>
      </c>
      <c r="D227" s="388" t="str">
        <f>IF(C227=FALSE=NAMES!$B$8,"",IF(L227="N/A","N/A",O227&amp;N227&amp;L227&amp;"-"&amp;M227))</f>
        <v/>
      </c>
      <c r="E227" s="392" t="str">
        <f t="shared" si="206"/>
        <v>2016USDAnker Verzekeringen n.v.-Formula 1R</v>
      </c>
      <c r="F227" s="1236" t="str">
        <f t="shared" si="207"/>
        <v>2016USDAnker Verzekeringen n.v.-Death AccidentFormula 1R</v>
      </c>
      <c r="G227" s="1240" t="str">
        <f t="shared" si="208"/>
        <v>2016USDAnker Verzekeringen n.v.-Death illnessFormula 1R</v>
      </c>
      <c r="H227" s="1240" t="str">
        <f t="shared" si="209"/>
        <v>2016USDAnker Verzekeringen n.v.-Permanent Disability AccidentFormula 1R</v>
      </c>
      <c r="I227" s="1240" t="str">
        <f t="shared" si="210"/>
        <v>2016USDAnker Verzekeringen n.v.-Permanent Disability illnessFormula 1R</v>
      </c>
      <c r="J227" s="1240" t="str">
        <f t="shared" si="198"/>
        <v>N/A</v>
      </c>
      <c r="K227" s="1240" t="str">
        <f t="shared" si="199"/>
        <v>N/A</v>
      </c>
      <c r="L227" s="1193" t="s">
        <v>7</v>
      </c>
      <c r="M227" s="1194" t="s">
        <v>2826</v>
      </c>
      <c r="N227" s="1193" t="s">
        <v>87</v>
      </c>
      <c r="O227" s="376">
        <v>2016</v>
      </c>
      <c r="P227" s="1195" t="s">
        <v>2234</v>
      </c>
      <c r="Q227" s="1195"/>
      <c r="R227" s="1196">
        <v>0</v>
      </c>
      <c r="S227" s="1194" t="s">
        <v>2379</v>
      </c>
      <c r="T227" s="1194"/>
      <c r="U227" s="1194"/>
      <c r="V227" s="1194">
        <v>365</v>
      </c>
      <c r="W227" s="373">
        <f t="shared" si="200"/>
        <v>4.6510344827586205E-3</v>
      </c>
      <c r="X227" s="1192" t="s">
        <v>6</v>
      </c>
      <c r="Y227" s="1411">
        <v>5.2700000000000002E-4</v>
      </c>
      <c r="Z227" s="1196">
        <v>0.27500000000000002</v>
      </c>
      <c r="AA227" s="373">
        <f>IF(X227="N/A","",Y227/(1-Z227))</f>
        <v>7.2689655172413793E-4</v>
      </c>
      <c r="AB227" s="1196">
        <v>0</v>
      </c>
      <c r="AC227" s="1199">
        <v>0</v>
      </c>
      <c r="AD227" s="373"/>
      <c r="AE227" s="1196">
        <v>0.04</v>
      </c>
      <c r="AF227" s="1196"/>
      <c r="AG227" s="1206">
        <f t="shared" si="201"/>
        <v>7.5597241379310345E-4</v>
      </c>
      <c r="AH227" s="1192" t="s">
        <v>2114</v>
      </c>
      <c r="AI227" s="373">
        <v>1.2999999999999999E-3</v>
      </c>
      <c r="AJ227" s="1196">
        <v>0.27500000000000002</v>
      </c>
      <c r="AK227" s="1190">
        <f>IF(AH227="N/A",0,AI227/(1-AJ227))</f>
        <v>1.7931034482758621E-3</v>
      </c>
      <c r="AL227" s="1196">
        <v>0</v>
      </c>
      <c r="AM227" s="1199">
        <v>0</v>
      </c>
      <c r="AN227" s="373"/>
      <c r="AO227" s="1196">
        <v>0.04</v>
      </c>
      <c r="AP227" s="1196"/>
      <c r="AQ227" s="1206">
        <f t="shared" si="202"/>
        <v>1.8648275862068965E-3</v>
      </c>
      <c r="AR227" s="1192" t="s">
        <v>9</v>
      </c>
      <c r="AS227" s="373">
        <v>6.3599999999999996E-4</v>
      </c>
      <c r="AT227" s="1196">
        <v>0.27500000000000002</v>
      </c>
      <c r="AU227" s="373">
        <f>IF(AR227="N/A","",AS227/(1-AT227))</f>
        <v>8.7724137931034481E-4</v>
      </c>
      <c r="AV227" s="1196">
        <v>0</v>
      </c>
      <c r="AW227" s="1199">
        <v>0</v>
      </c>
      <c r="AX227" s="373"/>
      <c r="AY227" s="1196">
        <v>0.04</v>
      </c>
      <c r="AZ227" s="1196"/>
      <c r="BA227" s="1206">
        <f t="shared" si="203"/>
        <v>9.1233103448275861E-4</v>
      </c>
      <c r="BB227" s="1192" t="s">
        <v>2115</v>
      </c>
      <c r="BC227" s="373">
        <v>9.0899999999999998E-4</v>
      </c>
      <c r="BD227" s="1196">
        <v>0.27500000000000002</v>
      </c>
      <c r="BE227" s="1190">
        <f t="shared" si="204"/>
        <v>1.2537931034482758E-3</v>
      </c>
      <c r="BF227" s="1196">
        <v>0</v>
      </c>
      <c r="BG227" s="1199">
        <v>0</v>
      </c>
      <c r="BH227" s="373"/>
      <c r="BI227" s="1196">
        <v>0.04</v>
      </c>
      <c r="BJ227" s="1196"/>
      <c r="BK227" s="1206">
        <f t="shared" si="205"/>
        <v>1.3039448275862068E-3</v>
      </c>
      <c r="BL227" s="388" t="s">
        <v>2224</v>
      </c>
      <c r="BM227" s="1194"/>
      <c r="BN227" s="1194"/>
      <c r="BO227" s="1190">
        <f t="shared" si="212"/>
        <v>0</v>
      </c>
      <c r="BP227" s="1194"/>
      <c r="BQ227" s="1194"/>
      <c r="BR227" s="1194"/>
      <c r="BS227" s="1194"/>
      <c r="BT227" s="1194"/>
      <c r="BU227" s="1197"/>
      <c r="BV227" s="388" t="s">
        <v>2224</v>
      </c>
      <c r="BW227" s="1194"/>
      <c r="BX227" s="1194"/>
      <c r="BY227" s="1190">
        <f t="shared" si="213"/>
        <v>0</v>
      </c>
      <c r="BZ227" s="1194"/>
      <c r="CA227" s="1194"/>
      <c r="CB227" s="1194"/>
      <c r="CC227" s="1194"/>
      <c r="CD227" s="1194"/>
      <c r="CE227" s="1197"/>
    </row>
    <row r="228" spans="1:83" s="1127" customFormat="1">
      <c r="A228" s="291" t="b">
        <v>0</v>
      </c>
      <c r="B228" s="291" t="s">
        <v>2244</v>
      </c>
      <c r="C228" s="291" t="b">
        <f t="shared" si="193"/>
        <v>1</v>
      </c>
      <c r="D228" s="388" t="str">
        <f>IF(C228=FALSE=NAMES!$B$8,"",IF(L228="N/A","N/A",O228&amp;N228&amp;L228&amp;"-"&amp;M228))</f>
        <v/>
      </c>
      <c r="E228" s="392" t="str">
        <f t="shared" si="206"/>
        <v>N/A</v>
      </c>
      <c r="F228" s="1236" t="str">
        <f t="shared" si="207"/>
        <v>N/A</v>
      </c>
      <c r="G228" s="1240" t="str">
        <f t="shared" si="208"/>
        <v>N/A</v>
      </c>
      <c r="H228" s="1240" t="str">
        <f t="shared" si="209"/>
        <v>N/A</v>
      </c>
      <c r="I228" s="1240" t="str">
        <f t="shared" si="210"/>
        <v>N/A</v>
      </c>
      <c r="J228" s="1240" t="str">
        <f t="shared" si="198"/>
        <v>N/A</v>
      </c>
      <c r="K228" s="1240" t="str">
        <f t="shared" si="199"/>
        <v>N/A</v>
      </c>
      <c r="L228" s="389" t="s">
        <v>2224</v>
      </c>
      <c r="M228" s="1109"/>
      <c r="N228" s="392"/>
      <c r="O228" s="376"/>
      <c r="P228" s="376"/>
      <c r="Q228" s="376"/>
      <c r="R228" s="377"/>
      <c r="S228" s="1151"/>
      <c r="T228" s="1151"/>
      <c r="U228" s="1151"/>
      <c r="V228" s="1109"/>
      <c r="W228" s="373" t="str">
        <f t="shared" si="200"/>
        <v/>
      </c>
      <c r="X228" s="388" t="s">
        <v>2224</v>
      </c>
      <c r="Y228" s="1410"/>
      <c r="Z228" s="377"/>
      <c r="AA228" s="1190" t="str">
        <f>IF(X228="N/A","",Y228/(1-Z228))</f>
        <v/>
      </c>
      <c r="AB228" s="377"/>
      <c r="AC228" s="378"/>
      <c r="AD228" s="393"/>
      <c r="AE228" s="377"/>
      <c r="AF228" s="377"/>
      <c r="AG228" s="1205"/>
      <c r="AH228" s="388" t="s">
        <v>2224</v>
      </c>
      <c r="AI228" s="1171"/>
      <c r="AJ228" s="1171"/>
      <c r="AK228" s="1190">
        <f t="shared" ref="AK228:AK264" si="215">IF(AH228="N/A",0,AI228/(1-AJ228))</f>
        <v>0</v>
      </c>
      <c r="AL228" s="1171"/>
      <c r="AM228" s="1171"/>
      <c r="AN228" s="393"/>
      <c r="AO228" s="1171"/>
      <c r="AP228" s="1171"/>
      <c r="AQ228" s="1205"/>
      <c r="AR228" s="388" t="s">
        <v>2224</v>
      </c>
      <c r="AS228" s="393"/>
      <c r="AT228" s="377"/>
      <c r="AU228" s="1190" t="str">
        <f t="shared" ref="AU228:AU252" si="216">IF(AR228="N/A","",AS228/(1-AT228))</f>
        <v/>
      </c>
      <c r="AV228" s="393"/>
      <c r="AW228" s="393"/>
      <c r="AX228" s="393"/>
      <c r="AY228" s="377"/>
      <c r="AZ228" s="377"/>
      <c r="BA228" s="1205" t="str">
        <f t="shared" ref="BA228:BA233" si="217">IF(AR228="N/A","",AU228*(1+AY228))</f>
        <v/>
      </c>
      <c r="BB228" s="388" t="s">
        <v>2224</v>
      </c>
      <c r="BC228" s="393"/>
      <c r="BD228" s="377"/>
      <c r="BE228" s="1190">
        <f t="shared" si="204"/>
        <v>0</v>
      </c>
      <c r="BF228" s="393"/>
      <c r="BG228" s="393"/>
      <c r="BH228" s="393"/>
      <c r="BI228" s="377"/>
      <c r="BJ228" s="377"/>
      <c r="BK228" s="1205" t="str">
        <f t="shared" ref="BK228:BK258" si="218">IF(BB228="N/A","",BE228*(1+BI228))</f>
        <v/>
      </c>
      <c r="BL228" s="388" t="s">
        <v>2224</v>
      </c>
      <c r="BM228" s="393"/>
      <c r="BN228" s="377"/>
      <c r="BO228" s="1190">
        <f t="shared" si="212"/>
        <v>0</v>
      </c>
      <c r="BP228" s="393"/>
      <c r="BQ228" s="393"/>
      <c r="BR228" s="393"/>
      <c r="BS228" s="377"/>
      <c r="BT228" s="377"/>
      <c r="BU228" s="1205" t="str">
        <f t="shared" ref="BU228:BU229" si="219">IF(BL228="N/A","",BO228*(1+BS228))</f>
        <v/>
      </c>
      <c r="BV228" s="388" t="s">
        <v>2224</v>
      </c>
      <c r="BW228" s="393"/>
      <c r="BX228" s="377"/>
      <c r="BY228" s="1190">
        <f t="shared" si="213"/>
        <v>0</v>
      </c>
      <c r="BZ228" s="393"/>
      <c r="CA228" s="393"/>
      <c r="CB228" s="393"/>
      <c r="CC228" s="377"/>
      <c r="CD228" s="377"/>
      <c r="CE228" s="1205" t="str">
        <f t="shared" ref="CE228:CE229" si="220">IF(BV228="N/A","",BY228*(1+CC228))</f>
        <v/>
      </c>
    </row>
    <row r="229" spans="1:83" s="1127" customFormat="1">
      <c r="A229" s="291" t="b">
        <v>0</v>
      </c>
      <c r="B229" s="291" t="s">
        <v>2244</v>
      </c>
      <c r="C229" s="291" t="b">
        <f t="shared" si="193"/>
        <v>1</v>
      </c>
      <c r="D229" s="388" t="str">
        <f>IF(C229=FALSE=NAMES!$B$8,"",IF(L229="N/A","N/A",O229&amp;N229&amp;L229&amp;"-"&amp;M229&amp;" ("&amp;U229&amp;"/"&amp;V229&amp;")"))</f>
        <v/>
      </c>
      <c r="E229" s="392" t="str">
        <f t="shared" ref="E229:E252" si="221">IF(L229="N/A","N/A",O229&amp;N229&amp;L229&amp;"-"&amp;M229&amp;" ("&amp;U229&amp;"/"&amp;V229&amp;")")</f>
        <v>2016EURAnker Verzekeringen n.v.-Formula 2 (7/120)</v>
      </c>
      <c r="F229" s="1236" t="str">
        <f t="shared" si="207"/>
        <v>2016EURAnker Verzekeringen n.v.-Death AccidentFormula 2</v>
      </c>
      <c r="G229" s="1240" t="str">
        <f t="shared" si="208"/>
        <v>N/A</v>
      </c>
      <c r="H229" s="1240" t="str">
        <f t="shared" si="209"/>
        <v>2016EURAnker Verzekeringen n.v.-Permanent Disability AccidentFormula 2</v>
      </c>
      <c r="I229" s="1240" t="str">
        <f t="shared" si="210"/>
        <v>N/A</v>
      </c>
      <c r="J229" s="1240" t="str">
        <f t="shared" si="198"/>
        <v>2016EURAnker Verzekeringen n.v.-Temporary Disability Accident (100%/7/120)</v>
      </c>
      <c r="K229" s="1240" t="str">
        <f t="shared" si="199"/>
        <v>2016EURAnker Verzekeringen n.v.-Temporary Disability illness (100%/7/120)</v>
      </c>
      <c r="L229" s="392" t="s">
        <v>7</v>
      </c>
      <c r="M229" s="1109" t="s">
        <v>1779</v>
      </c>
      <c r="N229" s="392" t="s">
        <v>32</v>
      </c>
      <c r="O229" s="376">
        <v>2016</v>
      </c>
      <c r="P229" s="376" t="s">
        <v>2234</v>
      </c>
      <c r="Q229" s="376"/>
      <c r="R229" s="377">
        <v>0.1</v>
      </c>
      <c r="S229" s="1109"/>
      <c r="T229" s="387">
        <v>1</v>
      </c>
      <c r="U229" s="1109">
        <v>7</v>
      </c>
      <c r="V229" s="1109">
        <v>120</v>
      </c>
      <c r="W229" s="373">
        <f t="shared" si="200"/>
        <v>2.0441379310344829E-2</v>
      </c>
      <c r="X229" s="197" t="s">
        <v>6</v>
      </c>
      <c r="Y229" s="1410">
        <v>5.0100000000000003E-4</v>
      </c>
      <c r="Z229" s="377">
        <v>0.27500000000000002</v>
      </c>
      <c r="AA229" s="1190">
        <f t="shared" ref="AA229:AA239" si="222">IF(X229="N/A","",Y229/(1-Z229))</f>
        <v>6.9103448275862072E-4</v>
      </c>
      <c r="AB229" s="377">
        <v>0</v>
      </c>
      <c r="AC229" s="378">
        <v>0</v>
      </c>
      <c r="AD229" s="393"/>
      <c r="AE229" s="377">
        <v>0.04</v>
      </c>
      <c r="AF229" s="377"/>
      <c r="AG229" s="1205">
        <f t="shared" ref="AG229:AG233" si="223">IF(X229="N/A","",AA229*(1+AE229))</f>
        <v>7.1867586206896558E-4</v>
      </c>
      <c r="AH229" s="388" t="s">
        <v>2224</v>
      </c>
      <c r="AI229" s="1171"/>
      <c r="AJ229" s="1171"/>
      <c r="AK229" s="1190">
        <f t="shared" si="215"/>
        <v>0</v>
      </c>
      <c r="AL229" s="1171"/>
      <c r="AM229" s="1171"/>
      <c r="AN229" s="393"/>
      <c r="AO229" s="1171"/>
      <c r="AP229" s="377"/>
      <c r="AQ229" s="1205" t="str">
        <f t="shared" ref="AQ229:AQ233" si="224">IF(AH229="N/A","",AK229*(1+AO229))</f>
        <v/>
      </c>
      <c r="AR229" s="197" t="s">
        <v>9</v>
      </c>
      <c r="AS229" s="393">
        <v>6.1899999999999998E-4</v>
      </c>
      <c r="AT229" s="377">
        <v>0.27500000000000002</v>
      </c>
      <c r="AU229" s="1190">
        <f t="shared" si="216"/>
        <v>8.5379310344827581E-4</v>
      </c>
      <c r="AV229" s="377">
        <v>0</v>
      </c>
      <c r="AW229" s="378">
        <v>0</v>
      </c>
      <c r="AX229" s="393"/>
      <c r="AY229" s="377">
        <v>0.04</v>
      </c>
      <c r="AZ229" s="377"/>
      <c r="BA229" s="1205">
        <f t="shared" si="217"/>
        <v>8.8794482758620692E-4</v>
      </c>
      <c r="BB229" s="388" t="s">
        <v>2224</v>
      </c>
      <c r="BC229" s="393"/>
      <c r="BD229" s="377"/>
      <c r="BE229" s="1190">
        <f t="shared" si="204"/>
        <v>0</v>
      </c>
      <c r="BF229" s="393"/>
      <c r="BG229" s="393"/>
      <c r="BH229" s="393"/>
      <c r="BI229" s="377"/>
      <c r="BJ229" s="377"/>
      <c r="BK229" s="1205" t="str">
        <f t="shared" si="218"/>
        <v/>
      </c>
      <c r="BL229" s="197" t="s">
        <v>2827</v>
      </c>
      <c r="BM229" s="393">
        <v>5.8729999999999997E-3</v>
      </c>
      <c r="BN229" s="377">
        <v>0.27500000000000002</v>
      </c>
      <c r="BO229" s="1190">
        <f t="shared" si="212"/>
        <v>8.100689655172414E-3</v>
      </c>
      <c r="BP229" s="377">
        <v>0</v>
      </c>
      <c r="BQ229" s="378">
        <v>0</v>
      </c>
      <c r="BR229" s="393"/>
      <c r="BS229" s="377">
        <v>0.04</v>
      </c>
      <c r="BT229" s="377"/>
      <c r="BU229" s="1205">
        <f t="shared" si="219"/>
        <v>8.4247172413793106E-3</v>
      </c>
      <c r="BV229" s="197" t="s">
        <v>2836</v>
      </c>
      <c r="BW229" s="393">
        <v>7.8270000000000006E-3</v>
      </c>
      <c r="BX229" s="377">
        <v>0.27500000000000002</v>
      </c>
      <c r="BY229" s="1190">
        <f t="shared" si="213"/>
        <v>1.0795862068965519E-2</v>
      </c>
      <c r="BZ229" s="377">
        <v>0</v>
      </c>
      <c r="CA229" s="378">
        <v>0</v>
      </c>
      <c r="CB229" s="393"/>
      <c r="CC229" s="377">
        <v>0.04</v>
      </c>
      <c r="CD229" s="377"/>
      <c r="CE229" s="1205">
        <f t="shared" si="220"/>
        <v>1.1227696551724141E-2</v>
      </c>
    </row>
    <row r="230" spans="1:83" s="1127" customFormat="1">
      <c r="A230" s="291" t="b">
        <v>0</v>
      </c>
      <c r="B230" s="291" t="s">
        <v>2244</v>
      </c>
      <c r="C230" s="291" t="b">
        <f t="shared" si="193"/>
        <v>1</v>
      </c>
      <c r="D230" s="388" t="str">
        <f>IF(C230=FALSE=NAMES!$B$8,"",IF(L230="N/A","N/A",O230&amp;N230&amp;L230&amp;"-"&amp;M230&amp;" ("&amp;U230&amp;"/"&amp;V230&amp;")"))</f>
        <v/>
      </c>
      <c r="E230" s="392" t="str">
        <f t="shared" si="221"/>
        <v>2016EURAnker Verzekeringen n.v.-Formula 2 (7/365)</v>
      </c>
      <c r="F230" s="1236" t="str">
        <f t="shared" si="207"/>
        <v>2016EURAnker Verzekeringen n.v.-Death AccidentFormula 2</v>
      </c>
      <c r="G230" s="1240" t="str">
        <f t="shared" si="208"/>
        <v>N/A</v>
      </c>
      <c r="H230" s="1240" t="str">
        <f t="shared" si="209"/>
        <v>2016EURAnker Verzekeringen n.v.-Permanent Disability AccidentFormula 2</v>
      </c>
      <c r="I230" s="1240" t="str">
        <f t="shared" si="210"/>
        <v>N/A</v>
      </c>
      <c r="J230" s="1240" t="str">
        <f t="shared" si="198"/>
        <v>2016EURAnker Verzekeringen n.v.-Temporary Disability Accident (100%/7/365)</v>
      </c>
      <c r="K230" s="1240" t="str">
        <f t="shared" si="199"/>
        <v>2016EURAnker Verzekeringen n.v.-Temporary Disability illness (100%/7/365)</v>
      </c>
      <c r="L230" s="392" t="s">
        <v>7</v>
      </c>
      <c r="M230" s="1109" t="s">
        <v>1779</v>
      </c>
      <c r="N230" s="392" t="s">
        <v>32</v>
      </c>
      <c r="O230" s="376">
        <v>2016</v>
      </c>
      <c r="P230" s="376" t="s">
        <v>2234</v>
      </c>
      <c r="Q230" s="376"/>
      <c r="R230" s="377">
        <v>0.1</v>
      </c>
      <c r="S230" s="1109"/>
      <c r="T230" s="387">
        <v>1</v>
      </c>
      <c r="U230" s="1109">
        <v>7</v>
      </c>
      <c r="V230" s="1109">
        <v>365</v>
      </c>
      <c r="W230" s="373">
        <f t="shared" si="200"/>
        <v>2.587586206896552E-2</v>
      </c>
      <c r="X230" s="197" t="s">
        <v>6</v>
      </c>
      <c r="Y230" s="1410">
        <v>5.0100000000000003E-4</v>
      </c>
      <c r="Z230" s="377">
        <v>0.27500000000000002</v>
      </c>
      <c r="AA230" s="1190">
        <f t="shared" si="222"/>
        <v>6.9103448275862072E-4</v>
      </c>
      <c r="AB230" s="377">
        <v>0</v>
      </c>
      <c r="AC230" s="378">
        <v>0</v>
      </c>
      <c r="AD230" s="393"/>
      <c r="AE230" s="377">
        <v>0.04</v>
      </c>
      <c r="AF230" s="377"/>
      <c r="AG230" s="1205">
        <f t="shared" si="223"/>
        <v>7.1867586206896558E-4</v>
      </c>
      <c r="AH230" s="388" t="s">
        <v>2224</v>
      </c>
      <c r="AI230" s="1171"/>
      <c r="AJ230" s="1171"/>
      <c r="AK230" s="1190">
        <f t="shared" si="215"/>
        <v>0</v>
      </c>
      <c r="AL230" s="1171"/>
      <c r="AM230" s="1171"/>
      <c r="AN230" s="393"/>
      <c r="AO230" s="1171"/>
      <c r="AP230" s="377"/>
      <c r="AQ230" s="1205" t="str">
        <f t="shared" si="224"/>
        <v/>
      </c>
      <c r="AR230" s="197" t="s">
        <v>9</v>
      </c>
      <c r="AS230" s="393">
        <v>6.1899999999999998E-4</v>
      </c>
      <c r="AT230" s="377">
        <v>0.27500000000000002</v>
      </c>
      <c r="AU230" s="1190">
        <f t="shared" si="216"/>
        <v>8.5379310344827581E-4</v>
      </c>
      <c r="AV230" s="377">
        <v>0</v>
      </c>
      <c r="AW230" s="378">
        <v>0</v>
      </c>
      <c r="AX230" s="393"/>
      <c r="AY230" s="377">
        <v>0.04</v>
      </c>
      <c r="AZ230" s="377"/>
      <c r="BA230" s="1205">
        <f t="shared" si="217"/>
        <v>8.8794482758620692E-4</v>
      </c>
      <c r="BB230" s="388" t="s">
        <v>2224</v>
      </c>
      <c r="BC230" s="393"/>
      <c r="BD230" s="377"/>
      <c r="BE230" s="1190">
        <f t="shared" si="204"/>
        <v>0</v>
      </c>
      <c r="BF230" s="393"/>
      <c r="BG230" s="393"/>
      <c r="BH230" s="393"/>
      <c r="BI230" s="377"/>
      <c r="BJ230" s="377"/>
      <c r="BK230" s="1205" t="str">
        <f t="shared" si="218"/>
        <v/>
      </c>
      <c r="BL230" s="197" t="s">
        <v>2828</v>
      </c>
      <c r="BM230" s="393">
        <v>5.8830000000000002E-3</v>
      </c>
      <c r="BN230" s="377">
        <v>0.27500000000000002</v>
      </c>
      <c r="BO230" s="1190">
        <f t="shared" si="212"/>
        <v>8.1144827586206898E-3</v>
      </c>
      <c r="BP230" s="377">
        <v>0</v>
      </c>
      <c r="BQ230" s="378">
        <v>0</v>
      </c>
      <c r="BR230" s="393"/>
      <c r="BS230" s="377">
        <v>0.04</v>
      </c>
      <c r="BT230" s="377"/>
      <c r="BU230" s="1205">
        <f>IF(BL230="N/A","",BO230*(1+BS230))</f>
        <v>8.439062068965518E-3</v>
      </c>
      <c r="BV230" s="197" t="s">
        <v>2832</v>
      </c>
      <c r="BW230" s="393">
        <v>1.1757E-2</v>
      </c>
      <c r="BX230" s="377">
        <v>0.27500000000000002</v>
      </c>
      <c r="BY230" s="1190">
        <f t="shared" si="213"/>
        <v>1.6216551724137933E-2</v>
      </c>
      <c r="BZ230" s="377">
        <v>0</v>
      </c>
      <c r="CA230" s="378">
        <v>0</v>
      </c>
      <c r="CB230" s="393"/>
      <c r="CC230" s="377">
        <v>0.04</v>
      </c>
      <c r="CD230" s="377"/>
      <c r="CE230" s="1205">
        <f>IF(BV230="N/A","",BY230*(1+CC230))</f>
        <v>1.6865213793103451E-2</v>
      </c>
    </row>
    <row r="231" spans="1:83" s="1127" customFormat="1">
      <c r="A231" s="291" t="b">
        <v>0</v>
      </c>
      <c r="B231" s="291" t="s">
        <v>2244</v>
      </c>
      <c r="C231" s="291" t="b">
        <f t="shared" si="193"/>
        <v>1</v>
      </c>
      <c r="D231" s="388" t="str">
        <f>IF(C231=FALSE=NAMES!$B$8,"",IF(L231="N/A","N/A",O231&amp;N231&amp;L231&amp;"-"&amp;M231&amp;" ("&amp;U231&amp;"/"&amp;V231&amp;")"))</f>
        <v/>
      </c>
      <c r="E231" s="392" t="str">
        <f t="shared" si="221"/>
        <v>2016EURAnker Verzekeringen n.v.-Formula 2 (28/365)</v>
      </c>
      <c r="F231" s="1236" t="str">
        <f t="shared" si="207"/>
        <v>2016EURAnker Verzekeringen n.v.-Death AccidentFormula 2</v>
      </c>
      <c r="G231" s="1240" t="str">
        <f t="shared" si="208"/>
        <v>N/A</v>
      </c>
      <c r="H231" s="1240" t="str">
        <f t="shared" si="209"/>
        <v>2016EURAnker Verzekeringen n.v.-Permanent Disability AccidentFormula 2</v>
      </c>
      <c r="I231" s="1240" t="str">
        <f t="shared" si="210"/>
        <v>N/A</v>
      </c>
      <c r="J231" s="1240" t="str">
        <f t="shared" si="198"/>
        <v>2016EURAnker Verzekeringen n.v.-Temporary Disability Accident (100%/28/365)</v>
      </c>
      <c r="K231" s="1240" t="str">
        <f t="shared" si="199"/>
        <v>2016EURAnker Verzekeringen n.v.-Temporary Disability illness (100%/28/365)</v>
      </c>
      <c r="L231" s="392" t="s">
        <v>7</v>
      </c>
      <c r="M231" s="1109" t="s">
        <v>1779</v>
      </c>
      <c r="N231" s="392" t="s">
        <v>32</v>
      </c>
      <c r="O231" s="376">
        <v>2016</v>
      </c>
      <c r="P231" s="376" t="s">
        <v>2234</v>
      </c>
      <c r="Q231" s="376"/>
      <c r="R231" s="377">
        <v>0.1</v>
      </c>
      <c r="S231" s="1109"/>
      <c r="T231" s="387">
        <v>1</v>
      </c>
      <c r="U231" s="1109">
        <v>28</v>
      </c>
      <c r="V231" s="1109">
        <v>365</v>
      </c>
      <c r="W231" s="373">
        <f t="shared" si="200"/>
        <v>2.1496551724137933E-2</v>
      </c>
      <c r="X231" s="197" t="s">
        <v>6</v>
      </c>
      <c r="Y231" s="1410">
        <v>5.0100000000000003E-4</v>
      </c>
      <c r="Z231" s="377">
        <v>0.27500000000000002</v>
      </c>
      <c r="AA231" s="1190">
        <f t="shared" si="222"/>
        <v>6.9103448275862072E-4</v>
      </c>
      <c r="AB231" s="377">
        <v>0</v>
      </c>
      <c r="AC231" s="378">
        <v>0</v>
      </c>
      <c r="AD231" s="393"/>
      <c r="AE231" s="377">
        <v>0.04</v>
      </c>
      <c r="AF231" s="377"/>
      <c r="AG231" s="1205">
        <f t="shared" si="223"/>
        <v>7.1867586206896558E-4</v>
      </c>
      <c r="AH231" s="388" t="s">
        <v>2224</v>
      </c>
      <c r="AI231" s="1171"/>
      <c r="AJ231" s="1171"/>
      <c r="AK231" s="1190">
        <f t="shared" si="215"/>
        <v>0</v>
      </c>
      <c r="AL231" s="1171"/>
      <c r="AM231" s="1171"/>
      <c r="AN231" s="393"/>
      <c r="AO231" s="1171"/>
      <c r="AP231" s="377"/>
      <c r="AQ231" s="1205" t="str">
        <f t="shared" si="224"/>
        <v/>
      </c>
      <c r="AR231" s="197" t="s">
        <v>9</v>
      </c>
      <c r="AS231" s="393">
        <v>6.1899999999999998E-4</v>
      </c>
      <c r="AT231" s="377">
        <v>0.27500000000000002</v>
      </c>
      <c r="AU231" s="1190">
        <f t="shared" si="216"/>
        <v>8.5379310344827581E-4</v>
      </c>
      <c r="AV231" s="377">
        <v>0</v>
      </c>
      <c r="AW231" s="378">
        <v>0</v>
      </c>
      <c r="AX231" s="393"/>
      <c r="AY231" s="377">
        <v>0.04</v>
      </c>
      <c r="AZ231" s="377"/>
      <c r="BA231" s="1205">
        <f t="shared" si="217"/>
        <v>8.8794482758620692E-4</v>
      </c>
      <c r="BB231" s="388" t="s">
        <v>2224</v>
      </c>
      <c r="BC231" s="393"/>
      <c r="BD231" s="377"/>
      <c r="BE231" s="1190">
        <f t="shared" si="204"/>
        <v>0</v>
      </c>
      <c r="BF231" s="393"/>
      <c r="BG231" s="393"/>
      <c r="BH231" s="393"/>
      <c r="BI231" s="377"/>
      <c r="BJ231" s="377"/>
      <c r="BK231" s="1205" t="str">
        <f t="shared" si="218"/>
        <v/>
      </c>
      <c r="BL231" s="197" t="s">
        <v>2829</v>
      </c>
      <c r="BM231" s="393">
        <v>4.8240000000000002E-3</v>
      </c>
      <c r="BN231" s="377">
        <v>0.27500000000000002</v>
      </c>
      <c r="BO231" s="1190">
        <f t="shared" si="212"/>
        <v>6.6537931034482767E-3</v>
      </c>
      <c r="BP231" s="377">
        <v>0</v>
      </c>
      <c r="BQ231" s="378">
        <v>0</v>
      </c>
      <c r="BR231" s="393"/>
      <c r="BS231" s="377">
        <v>0.04</v>
      </c>
      <c r="BT231" s="377"/>
      <c r="BU231" s="1205">
        <f>IF(BL231="N/A","",BO231*(1+BS231))</f>
        <v>6.9199448275862078E-3</v>
      </c>
      <c r="BV231" s="197" t="s">
        <v>2833</v>
      </c>
      <c r="BW231" s="393">
        <v>9.6410000000000003E-3</v>
      </c>
      <c r="BX231" s="377">
        <v>0.27500000000000002</v>
      </c>
      <c r="BY231" s="1190">
        <f t="shared" si="213"/>
        <v>1.3297931034482759E-2</v>
      </c>
      <c r="BZ231" s="377">
        <v>0</v>
      </c>
      <c r="CA231" s="378">
        <v>0</v>
      </c>
      <c r="CB231" s="393"/>
      <c r="CC231" s="377">
        <v>0.04</v>
      </c>
      <c r="CD231" s="377"/>
      <c r="CE231" s="1205">
        <f t="shared" ref="CE231:CE238" si="225">IF(BV231="N/A","",BY231*(1+CC231))</f>
        <v>1.382984827586207E-2</v>
      </c>
    </row>
    <row r="232" spans="1:83" s="1127" customFormat="1">
      <c r="A232" s="291" t="b">
        <v>0</v>
      </c>
      <c r="B232" s="291" t="s">
        <v>2244</v>
      </c>
      <c r="C232" s="291" t="b">
        <f t="shared" si="193"/>
        <v>1</v>
      </c>
      <c r="D232" s="388" t="str">
        <f>IF(C232=FALSE=NAMES!$B$8,"",IF(L232="N/A","N/A",O232&amp;N232&amp;L232&amp;"-"&amp;M232&amp;" ("&amp;U232&amp;"/"&amp;V232&amp;")"))</f>
        <v/>
      </c>
      <c r="E232" s="392" t="str">
        <f t="shared" si="221"/>
        <v>2016EURAnker Verzekeringen n.v.-Formula 2 (42/365)</v>
      </c>
      <c r="F232" s="1236" t="str">
        <f t="shared" si="207"/>
        <v>2016EURAnker Verzekeringen n.v.-Death AccidentFormula 2</v>
      </c>
      <c r="G232" s="1240" t="str">
        <f t="shared" si="208"/>
        <v>N/A</v>
      </c>
      <c r="H232" s="1240" t="str">
        <f t="shared" si="209"/>
        <v>2016EURAnker Verzekeringen n.v.-Permanent Disability AccidentFormula 2</v>
      </c>
      <c r="I232" s="1240" t="str">
        <f t="shared" si="210"/>
        <v>N/A</v>
      </c>
      <c r="J232" s="1240" t="str">
        <f t="shared" si="198"/>
        <v>2016EURAnker Verzekeringen n.v.-Temporary Disability Accident (100%/42/365)</v>
      </c>
      <c r="K232" s="1240" t="str">
        <f t="shared" si="199"/>
        <v>2016EURAnker Verzekeringen n.v.-Temporary Disability illness (100%/42/365)</v>
      </c>
      <c r="L232" s="392" t="s">
        <v>7</v>
      </c>
      <c r="M232" s="1109" t="s">
        <v>1779</v>
      </c>
      <c r="N232" s="392" t="s">
        <v>32</v>
      </c>
      <c r="O232" s="376">
        <v>2016</v>
      </c>
      <c r="P232" s="376" t="s">
        <v>2234</v>
      </c>
      <c r="Q232" s="376"/>
      <c r="R232" s="377">
        <v>0.1</v>
      </c>
      <c r="S232" s="1109"/>
      <c r="T232" s="387">
        <v>1</v>
      </c>
      <c r="U232" s="1109">
        <v>42</v>
      </c>
      <c r="V232" s="1109">
        <v>365</v>
      </c>
      <c r="W232" s="373">
        <f t="shared" si="200"/>
        <v>2.0260689655172415E-2</v>
      </c>
      <c r="X232" s="197" t="s">
        <v>6</v>
      </c>
      <c r="Y232" s="1410">
        <v>5.0100000000000003E-4</v>
      </c>
      <c r="Z232" s="377">
        <v>0.27500000000000002</v>
      </c>
      <c r="AA232" s="1190">
        <f t="shared" si="222"/>
        <v>6.9103448275862072E-4</v>
      </c>
      <c r="AB232" s="377">
        <v>0</v>
      </c>
      <c r="AC232" s="378">
        <v>0</v>
      </c>
      <c r="AD232" s="393"/>
      <c r="AE232" s="377">
        <v>0.04</v>
      </c>
      <c r="AF232" s="377"/>
      <c r="AG232" s="1205">
        <f t="shared" si="223"/>
        <v>7.1867586206896558E-4</v>
      </c>
      <c r="AH232" s="388" t="s">
        <v>2224</v>
      </c>
      <c r="AI232" s="1171"/>
      <c r="AJ232" s="1171"/>
      <c r="AK232" s="1190">
        <f t="shared" si="215"/>
        <v>0</v>
      </c>
      <c r="AL232" s="1171"/>
      <c r="AM232" s="1171"/>
      <c r="AN232" s="393"/>
      <c r="AO232" s="1171"/>
      <c r="AP232" s="377"/>
      <c r="AQ232" s="1205" t="str">
        <f t="shared" si="224"/>
        <v/>
      </c>
      <c r="AR232" s="197" t="s">
        <v>9</v>
      </c>
      <c r="AS232" s="393">
        <v>6.1899999999999998E-4</v>
      </c>
      <c r="AT232" s="377">
        <v>0.27500000000000002</v>
      </c>
      <c r="AU232" s="1190">
        <f t="shared" si="216"/>
        <v>8.5379310344827581E-4</v>
      </c>
      <c r="AV232" s="377">
        <v>0</v>
      </c>
      <c r="AW232" s="378">
        <v>0</v>
      </c>
      <c r="AX232" s="393"/>
      <c r="AY232" s="377">
        <v>0.04</v>
      </c>
      <c r="AZ232" s="377"/>
      <c r="BA232" s="1205">
        <f t="shared" si="217"/>
        <v>8.8794482758620692E-4</v>
      </c>
      <c r="BB232" s="388" t="s">
        <v>2224</v>
      </c>
      <c r="BC232" s="393"/>
      <c r="BD232" s="377"/>
      <c r="BE232" s="1190">
        <f t="shared" si="204"/>
        <v>0</v>
      </c>
      <c r="BF232" s="393"/>
      <c r="BG232" s="393"/>
      <c r="BH232" s="393"/>
      <c r="BI232" s="377"/>
      <c r="BJ232" s="377"/>
      <c r="BK232" s="1205" t="str">
        <f t="shared" si="218"/>
        <v/>
      </c>
      <c r="BL232" s="197" t="s">
        <v>2830</v>
      </c>
      <c r="BM232" s="393">
        <v>4.5250000000000004E-3</v>
      </c>
      <c r="BN232" s="377">
        <v>0.27500000000000002</v>
      </c>
      <c r="BO232" s="1190">
        <f t="shared" si="212"/>
        <v>6.241379310344828E-3</v>
      </c>
      <c r="BP232" s="377">
        <v>0</v>
      </c>
      <c r="BQ232" s="378">
        <v>0</v>
      </c>
      <c r="BR232" s="393"/>
      <c r="BS232" s="377">
        <v>0.04</v>
      </c>
      <c r="BT232" s="377"/>
      <c r="BU232" s="1205">
        <f t="shared" ref="BU232:BU233" si="226">IF(BL232="N/A","",BO232*(1+BS232))</f>
        <v>6.491034482758621E-3</v>
      </c>
      <c r="BV232" s="197" t="s">
        <v>2834</v>
      </c>
      <c r="BW232" s="393">
        <v>9.044E-3</v>
      </c>
      <c r="BX232" s="377">
        <v>0.27500000000000002</v>
      </c>
      <c r="BY232" s="1190">
        <f t="shared" si="213"/>
        <v>1.2474482758620689E-2</v>
      </c>
      <c r="BZ232" s="377">
        <v>0</v>
      </c>
      <c r="CA232" s="378">
        <v>0</v>
      </c>
      <c r="CB232" s="393"/>
      <c r="CC232" s="377">
        <v>0.04</v>
      </c>
      <c r="CD232" s="377"/>
      <c r="CE232" s="1205">
        <f t="shared" si="225"/>
        <v>1.2973462068965517E-2</v>
      </c>
    </row>
    <row r="233" spans="1:83" s="1127" customFormat="1">
      <c r="A233" s="291" t="b">
        <v>0</v>
      </c>
      <c r="B233" s="291" t="s">
        <v>2244</v>
      </c>
      <c r="C233" s="291" t="b">
        <f t="shared" si="193"/>
        <v>1</v>
      </c>
      <c r="D233" s="388" t="str">
        <f>IF(C233=FALSE=NAMES!$B$8,"",IF(L233="N/A","N/A",O233&amp;N233&amp;L233&amp;"-"&amp;M233&amp;" ("&amp;U233&amp;"/"&amp;V233&amp;")"))</f>
        <v/>
      </c>
      <c r="E233" s="392" t="str">
        <f t="shared" si="221"/>
        <v>2016EURAnker Verzekeringen n.v.-Formula 2 (7/365)</v>
      </c>
      <c r="F233" s="1236" t="str">
        <f t="shared" si="207"/>
        <v>2016EURAnker Verzekeringen n.v.-Death AccidentFormula 2</v>
      </c>
      <c r="G233" s="1240" t="str">
        <f t="shared" si="208"/>
        <v>N/A</v>
      </c>
      <c r="H233" s="1240" t="str">
        <f t="shared" si="209"/>
        <v>2016EURAnker Verzekeringen n.v.-Permanent Disability AccidentFormula 2</v>
      </c>
      <c r="I233" s="1240" t="str">
        <f t="shared" si="210"/>
        <v>N/A</v>
      </c>
      <c r="J233" s="1240" t="str">
        <f t="shared" si="198"/>
        <v>2016EURAnker Verzekeringen n.v.-Temporary Disability Accident (70%/7/365)</v>
      </c>
      <c r="K233" s="1240" t="str">
        <f t="shared" si="199"/>
        <v>2016EURAnker Verzekeringen n.v.-Temporary Disability illness (70%/7/365)</v>
      </c>
      <c r="L233" s="392" t="s">
        <v>7</v>
      </c>
      <c r="M233" s="1109" t="s">
        <v>1779</v>
      </c>
      <c r="N233" s="392" t="s">
        <v>32</v>
      </c>
      <c r="O233" s="376">
        <v>2016</v>
      </c>
      <c r="P233" s="376" t="s">
        <v>2234</v>
      </c>
      <c r="Q233" s="376"/>
      <c r="R233" s="377">
        <v>0.1</v>
      </c>
      <c r="S233" s="1109"/>
      <c r="T233" s="387">
        <v>0.7</v>
      </c>
      <c r="U233" s="1109">
        <v>7</v>
      </c>
      <c r="V233" s="1109">
        <v>365</v>
      </c>
      <c r="W233" s="373">
        <f t="shared" si="200"/>
        <v>2.1496551724137933E-2</v>
      </c>
      <c r="X233" s="197" t="s">
        <v>6</v>
      </c>
      <c r="Y233" s="1410">
        <v>5.0100000000000003E-4</v>
      </c>
      <c r="Z233" s="377">
        <v>0.27500000000000002</v>
      </c>
      <c r="AA233" s="1190">
        <f t="shared" si="222"/>
        <v>6.9103448275862072E-4</v>
      </c>
      <c r="AB233" s="377">
        <v>0</v>
      </c>
      <c r="AC233" s="378">
        <v>0</v>
      </c>
      <c r="AD233" s="393"/>
      <c r="AE233" s="377">
        <v>0.04</v>
      </c>
      <c r="AF233" s="377"/>
      <c r="AG233" s="1205">
        <f t="shared" si="223"/>
        <v>7.1867586206896558E-4</v>
      </c>
      <c r="AH233" s="388" t="s">
        <v>2224</v>
      </c>
      <c r="AI233" s="1171"/>
      <c r="AJ233" s="1171"/>
      <c r="AK233" s="1190">
        <f t="shared" si="215"/>
        <v>0</v>
      </c>
      <c r="AL233" s="1171"/>
      <c r="AM233" s="1171"/>
      <c r="AN233" s="393"/>
      <c r="AO233" s="1171"/>
      <c r="AP233" s="377"/>
      <c r="AQ233" s="1205" t="str">
        <f t="shared" si="224"/>
        <v/>
      </c>
      <c r="AR233" s="197" t="s">
        <v>9</v>
      </c>
      <c r="AS233" s="393">
        <v>6.1899999999999998E-4</v>
      </c>
      <c r="AT233" s="377">
        <v>0.27500000000000002</v>
      </c>
      <c r="AU233" s="1190">
        <f t="shared" si="216"/>
        <v>8.5379310344827581E-4</v>
      </c>
      <c r="AV233" s="377">
        <v>0</v>
      </c>
      <c r="AW233" s="378">
        <v>0</v>
      </c>
      <c r="AX233" s="393"/>
      <c r="AY233" s="377">
        <v>0.04</v>
      </c>
      <c r="AZ233" s="377"/>
      <c r="BA233" s="1205">
        <f t="shared" si="217"/>
        <v>8.8794482758620692E-4</v>
      </c>
      <c r="BB233" s="388" t="s">
        <v>2224</v>
      </c>
      <c r="BC233" s="393"/>
      <c r="BD233" s="377"/>
      <c r="BE233" s="1190">
        <f t="shared" si="204"/>
        <v>0</v>
      </c>
      <c r="BF233" s="393"/>
      <c r="BG233" s="393"/>
      <c r="BH233" s="393"/>
      <c r="BI233" s="377"/>
      <c r="BJ233" s="377"/>
      <c r="BK233" s="1205" t="str">
        <f t="shared" si="218"/>
        <v/>
      </c>
      <c r="BL233" s="197" t="s">
        <v>2831</v>
      </c>
      <c r="BM233" s="393">
        <v>4.8240000000000002E-3</v>
      </c>
      <c r="BN233" s="377">
        <v>0.27500000000000002</v>
      </c>
      <c r="BO233" s="1190">
        <f t="shared" si="212"/>
        <v>6.6537931034482767E-3</v>
      </c>
      <c r="BP233" s="377">
        <v>0</v>
      </c>
      <c r="BQ233" s="378">
        <v>0</v>
      </c>
      <c r="BR233" s="393"/>
      <c r="BS233" s="377">
        <v>0.04</v>
      </c>
      <c r="BT233" s="377"/>
      <c r="BU233" s="1205">
        <f t="shared" si="226"/>
        <v>6.9199448275862078E-3</v>
      </c>
      <c r="BV233" s="197" t="s">
        <v>2835</v>
      </c>
      <c r="BW233" s="393">
        <v>9.6410000000000003E-3</v>
      </c>
      <c r="BX233" s="377">
        <v>0.27500000000000002</v>
      </c>
      <c r="BY233" s="1190">
        <f t="shared" si="213"/>
        <v>1.3297931034482759E-2</v>
      </c>
      <c r="BZ233" s="377">
        <v>0</v>
      </c>
      <c r="CA233" s="378">
        <v>0</v>
      </c>
      <c r="CB233" s="393"/>
      <c r="CC233" s="377">
        <v>0.04</v>
      </c>
      <c r="CD233" s="377"/>
      <c r="CE233" s="1205">
        <f t="shared" si="225"/>
        <v>1.382984827586207E-2</v>
      </c>
    </row>
    <row r="234" spans="1:83" s="1127" customFormat="1">
      <c r="A234" s="291" t="b">
        <v>0</v>
      </c>
      <c r="B234" s="291" t="s">
        <v>2244</v>
      </c>
      <c r="C234" s="291" t="b">
        <f t="shared" si="193"/>
        <v>1</v>
      </c>
      <c r="D234" s="388" t="str">
        <f>IF(C234=FALSE=NAMES!$B$8,"",IF(L234="N/A","N/A",O234&amp;N234&amp;L234&amp;"-"&amp;M234&amp;" ("&amp;U234&amp;"/"&amp;V234&amp;")"))</f>
        <v/>
      </c>
      <c r="E234" s="392" t="str">
        <f t="shared" si="221"/>
        <v>N/A</v>
      </c>
      <c r="F234" s="1236" t="str">
        <f t="shared" si="207"/>
        <v>N/A</v>
      </c>
      <c r="G234" s="1240" t="str">
        <f t="shared" si="208"/>
        <v>N/A</v>
      </c>
      <c r="H234" s="1240" t="str">
        <f t="shared" si="209"/>
        <v>N/A</v>
      </c>
      <c r="I234" s="1240" t="str">
        <f t="shared" si="210"/>
        <v>N/A</v>
      </c>
      <c r="J234" s="1240" t="str">
        <f t="shared" si="198"/>
        <v>N/A</v>
      </c>
      <c r="K234" s="1240" t="str">
        <f t="shared" si="199"/>
        <v>N/A</v>
      </c>
      <c r="L234" s="389" t="s">
        <v>2224</v>
      </c>
      <c r="M234" s="1109"/>
      <c r="N234" s="392"/>
      <c r="O234" s="376"/>
      <c r="P234" s="376"/>
      <c r="Q234" s="376"/>
      <c r="R234" s="377"/>
      <c r="S234" s="1109"/>
      <c r="T234" s="387"/>
      <c r="U234" s="1109"/>
      <c r="V234" s="1109"/>
      <c r="W234" s="373" t="str">
        <f t="shared" si="200"/>
        <v/>
      </c>
      <c r="X234" s="388" t="s">
        <v>2224</v>
      </c>
      <c r="Y234" s="1410"/>
      <c r="Z234" s="377"/>
      <c r="AA234" s="1190" t="str">
        <f t="shared" si="222"/>
        <v/>
      </c>
      <c r="AB234" s="377"/>
      <c r="AC234" s="378"/>
      <c r="AD234" s="393"/>
      <c r="AE234" s="377"/>
      <c r="AF234" s="377"/>
      <c r="AG234" s="1205"/>
      <c r="AH234" s="388" t="s">
        <v>2224</v>
      </c>
      <c r="AI234" s="1171"/>
      <c r="AJ234" s="1171"/>
      <c r="AK234" s="1190">
        <f t="shared" si="215"/>
        <v>0</v>
      </c>
      <c r="AL234" s="1171"/>
      <c r="AM234" s="1171"/>
      <c r="AN234" s="393"/>
      <c r="AO234" s="1171"/>
      <c r="AP234" s="1171"/>
      <c r="AQ234" s="1205"/>
      <c r="AR234" s="388" t="s">
        <v>2224</v>
      </c>
      <c r="AS234" s="393"/>
      <c r="AT234" s="377"/>
      <c r="AU234" s="1190" t="str">
        <f t="shared" si="216"/>
        <v/>
      </c>
      <c r="AV234" s="377">
        <v>0</v>
      </c>
      <c r="AW234" s="378">
        <v>0</v>
      </c>
      <c r="AX234" s="393"/>
      <c r="AY234" s="377"/>
      <c r="AZ234" s="377"/>
      <c r="BA234" s="1205" t="str">
        <f>IF(AR234="N/A","",AU234*(1+AY234))</f>
        <v/>
      </c>
      <c r="BB234" s="388" t="s">
        <v>2224</v>
      </c>
      <c r="BC234" s="393"/>
      <c r="BD234" s="377"/>
      <c r="BE234" s="1190">
        <f t="shared" si="204"/>
        <v>0</v>
      </c>
      <c r="BF234" s="393"/>
      <c r="BG234" s="393"/>
      <c r="BH234" s="393"/>
      <c r="BI234" s="377"/>
      <c r="BJ234" s="377"/>
      <c r="BK234" s="1205" t="str">
        <f t="shared" si="218"/>
        <v/>
      </c>
      <c r="BL234" s="388" t="s">
        <v>2224</v>
      </c>
      <c r="BM234" s="393"/>
      <c r="BN234" s="377"/>
      <c r="BO234" s="1190">
        <f t="shared" si="212"/>
        <v>0</v>
      </c>
      <c r="BP234" s="377">
        <v>0</v>
      </c>
      <c r="BQ234" s="378">
        <v>0</v>
      </c>
      <c r="BR234" s="393"/>
      <c r="BS234" s="377"/>
      <c r="BT234" s="377"/>
      <c r="BU234" s="1205" t="str">
        <f>IF(BL234="N/A","",BO234*(1+BS234))</f>
        <v/>
      </c>
      <c r="BV234" s="388" t="s">
        <v>2224</v>
      </c>
      <c r="BW234" s="393"/>
      <c r="BX234" s="377"/>
      <c r="BY234" s="1190">
        <f t="shared" si="213"/>
        <v>0</v>
      </c>
      <c r="BZ234" s="377">
        <v>0</v>
      </c>
      <c r="CA234" s="378">
        <v>0</v>
      </c>
      <c r="CB234" s="393"/>
      <c r="CC234" s="377"/>
      <c r="CD234" s="377"/>
      <c r="CE234" s="1205" t="str">
        <f t="shared" si="225"/>
        <v/>
      </c>
    </row>
    <row r="235" spans="1:83" s="1127" customFormat="1">
      <c r="A235" s="291" t="b">
        <v>0</v>
      </c>
      <c r="B235" s="291" t="s">
        <v>2244</v>
      </c>
      <c r="C235" s="291" t="b">
        <f t="shared" si="193"/>
        <v>1</v>
      </c>
      <c r="D235" s="388" t="str">
        <f>IF(C235=FALSE=NAMES!$B$8,"",IF(L235="N/A","N/A",O235&amp;N235&amp;L235&amp;"-"&amp;M235&amp;" ("&amp;U235&amp;"/"&amp;V235&amp;")"))</f>
        <v/>
      </c>
      <c r="E235" s="392" t="str">
        <f t="shared" si="221"/>
        <v>2016USDAnker Verzekeringen n.v.-Formula 2 (7/120)</v>
      </c>
      <c r="F235" s="1236" t="str">
        <f t="shared" si="207"/>
        <v>2016USDAnker Verzekeringen n.v.-Death AccidentFormula 2</v>
      </c>
      <c r="G235" s="1240" t="str">
        <f t="shared" si="208"/>
        <v>N/A</v>
      </c>
      <c r="H235" s="1240" t="str">
        <f t="shared" si="209"/>
        <v>2016USDAnker Verzekeringen n.v.-Permanent Disability AccidentFormula 2</v>
      </c>
      <c r="I235" s="1240" t="str">
        <f t="shared" si="210"/>
        <v>N/A</v>
      </c>
      <c r="J235" s="1240" t="str">
        <f t="shared" si="198"/>
        <v>2016USDAnker Verzekeringen n.v.-Temporary Disability Accident (100%/7/120)</v>
      </c>
      <c r="K235" s="1240" t="str">
        <f t="shared" si="199"/>
        <v>2016USDAnker Verzekeringen n.v.-Temporary Disability illness (100%/7/120)</v>
      </c>
      <c r="L235" s="392" t="s">
        <v>7</v>
      </c>
      <c r="M235" s="1109" t="s">
        <v>1779</v>
      </c>
      <c r="N235" s="392" t="s">
        <v>87</v>
      </c>
      <c r="O235" s="376">
        <v>2016</v>
      </c>
      <c r="P235" s="376" t="s">
        <v>2234</v>
      </c>
      <c r="Q235" s="376"/>
      <c r="R235" s="377">
        <v>0.1</v>
      </c>
      <c r="S235" s="1109"/>
      <c r="T235" s="387">
        <v>1</v>
      </c>
      <c r="U235" s="1109">
        <v>7</v>
      </c>
      <c r="V235" s="1109">
        <v>120</v>
      </c>
      <c r="W235" s="373">
        <f t="shared" si="200"/>
        <v>2.3572413793103448E-2</v>
      </c>
      <c r="X235" s="197" t="s">
        <v>6</v>
      </c>
      <c r="Y235" s="1410">
        <v>5.8600000000000004E-4</v>
      </c>
      <c r="Z235" s="377">
        <v>0.27500000000000002</v>
      </c>
      <c r="AA235" s="1190">
        <f t="shared" si="222"/>
        <v>8.0827586206896559E-4</v>
      </c>
      <c r="AB235" s="377">
        <v>0</v>
      </c>
      <c r="AC235" s="378">
        <v>0</v>
      </c>
      <c r="AD235" s="393"/>
      <c r="AE235" s="377">
        <v>0.04</v>
      </c>
      <c r="AF235" s="377"/>
      <c r="AG235" s="1205">
        <f t="shared" ref="AG235:AG239" si="227">IF(X235="N/A","",AA235*(1+AE235))</f>
        <v>8.4060689655172428E-4</v>
      </c>
      <c r="AH235" s="388" t="s">
        <v>2224</v>
      </c>
      <c r="AI235" s="1171"/>
      <c r="AJ235" s="1171"/>
      <c r="AK235" s="1190">
        <f t="shared" si="215"/>
        <v>0</v>
      </c>
      <c r="AL235" s="1171"/>
      <c r="AM235" s="1171"/>
      <c r="AN235" s="393"/>
      <c r="AO235" s="1171"/>
      <c r="AP235" s="377"/>
      <c r="AQ235" s="1205" t="str">
        <f t="shared" ref="AQ235:AQ239" si="228">IF(AH235="N/A","",AK235*(1+AO235))</f>
        <v/>
      </c>
      <c r="AR235" s="197" t="s">
        <v>9</v>
      </c>
      <c r="AS235" s="393">
        <v>7.0699999999999995E-4</v>
      </c>
      <c r="AT235" s="377">
        <v>0.27500000000000002</v>
      </c>
      <c r="AU235" s="1190">
        <f t="shared" si="216"/>
        <v>9.7517241379310336E-4</v>
      </c>
      <c r="AV235" s="377">
        <v>0</v>
      </c>
      <c r="AW235" s="378">
        <v>0</v>
      </c>
      <c r="AX235" s="393"/>
      <c r="AY235" s="377">
        <v>0.04</v>
      </c>
      <c r="AZ235" s="377"/>
      <c r="BA235" s="1205">
        <f t="shared" ref="BA235:BA245" si="229">IF(AR235="N/A","",AU235*(1+AY235))</f>
        <v>1.0141793103448276E-3</v>
      </c>
      <c r="BB235" s="388" t="s">
        <v>2224</v>
      </c>
      <c r="BC235" s="393"/>
      <c r="BD235" s="377"/>
      <c r="BE235" s="1190">
        <f t="shared" si="204"/>
        <v>0</v>
      </c>
      <c r="BF235" s="393"/>
      <c r="BG235" s="393"/>
      <c r="BH235" s="393"/>
      <c r="BI235" s="377"/>
      <c r="BJ235" s="377"/>
      <c r="BK235" s="1205" t="str">
        <f t="shared" si="218"/>
        <v/>
      </c>
      <c r="BL235" s="197" t="s">
        <v>2827</v>
      </c>
      <c r="BM235" s="393">
        <v>6.7759999999999999E-3</v>
      </c>
      <c r="BN235" s="377">
        <v>0.27500000000000002</v>
      </c>
      <c r="BO235" s="1190">
        <f t="shared" si="212"/>
        <v>9.3462068965517245E-3</v>
      </c>
      <c r="BP235" s="377">
        <v>0</v>
      </c>
      <c r="BQ235" s="378">
        <v>0</v>
      </c>
      <c r="BR235" s="393"/>
      <c r="BS235" s="377">
        <v>0.04</v>
      </c>
      <c r="BT235" s="377"/>
      <c r="BU235" s="1205">
        <f t="shared" ref="BU235:BU236" si="230">IF(BL235="N/A","",BO235*(1+BS235))</f>
        <v>9.7200551724137933E-3</v>
      </c>
      <c r="BV235" s="197" t="s">
        <v>2836</v>
      </c>
      <c r="BW235" s="393">
        <v>9.0209999999999995E-3</v>
      </c>
      <c r="BX235" s="377">
        <v>0.27500000000000002</v>
      </c>
      <c r="BY235" s="1190">
        <f t="shared" si="213"/>
        <v>1.2442758620689654E-2</v>
      </c>
      <c r="BZ235" s="377">
        <v>0</v>
      </c>
      <c r="CA235" s="378">
        <v>0</v>
      </c>
      <c r="CB235" s="393"/>
      <c r="CC235" s="377">
        <v>0.04</v>
      </c>
      <c r="CD235" s="377"/>
      <c r="CE235" s="1205">
        <f t="shared" si="225"/>
        <v>1.2940468965517241E-2</v>
      </c>
    </row>
    <row r="236" spans="1:83" s="1127" customFormat="1">
      <c r="A236" s="291" t="b">
        <v>0</v>
      </c>
      <c r="B236" s="291" t="s">
        <v>2244</v>
      </c>
      <c r="C236" s="291" t="b">
        <f t="shared" si="193"/>
        <v>1</v>
      </c>
      <c r="D236" s="388" t="str">
        <f>IF(C236=FALSE=NAMES!$B$8,"",IF(L236="N/A","N/A",O236&amp;N236&amp;L236&amp;"-"&amp;M236&amp;" ("&amp;U236&amp;"/"&amp;V236&amp;")"))</f>
        <v/>
      </c>
      <c r="E236" s="392" t="str">
        <f t="shared" si="221"/>
        <v>2016USDAnker Verzekeringen n.v.-Formula 2 (7/365)</v>
      </c>
      <c r="F236" s="1236" t="str">
        <f t="shared" si="207"/>
        <v>2016USDAnker Verzekeringen n.v.-Death AccidentFormula 2</v>
      </c>
      <c r="G236" s="1240" t="str">
        <f t="shared" si="208"/>
        <v>N/A</v>
      </c>
      <c r="H236" s="1240" t="str">
        <f t="shared" si="209"/>
        <v>2016USDAnker Verzekeringen n.v.-Permanent Disability AccidentFormula 2</v>
      </c>
      <c r="I236" s="1240" t="str">
        <f t="shared" si="210"/>
        <v>N/A</v>
      </c>
      <c r="J236" s="1240" t="str">
        <f t="shared" si="198"/>
        <v>2016USDAnker Verzekeringen n.v.-Temporary Disability Accident (100%/7/365)</v>
      </c>
      <c r="K236" s="1240" t="str">
        <f t="shared" si="199"/>
        <v>2016USDAnker Verzekeringen n.v.-Temporary Disability illness (100%/7/365)</v>
      </c>
      <c r="L236" s="392" t="s">
        <v>7</v>
      </c>
      <c r="M236" s="1109" t="s">
        <v>1779</v>
      </c>
      <c r="N236" s="392" t="s">
        <v>87</v>
      </c>
      <c r="O236" s="376">
        <v>2016</v>
      </c>
      <c r="P236" s="376" t="s">
        <v>2234</v>
      </c>
      <c r="Q236" s="376"/>
      <c r="R236" s="377">
        <v>0.1</v>
      </c>
      <c r="S236" s="1109"/>
      <c r="T236" s="387">
        <v>1</v>
      </c>
      <c r="U236" s="1109">
        <v>7</v>
      </c>
      <c r="V236" s="1109">
        <v>365</v>
      </c>
      <c r="W236" s="373">
        <f t="shared" si="200"/>
        <v>2.9837241379310347E-2</v>
      </c>
      <c r="X236" s="197" t="s">
        <v>6</v>
      </c>
      <c r="Y236" s="1410">
        <v>5.8600000000000004E-4</v>
      </c>
      <c r="Z236" s="377">
        <v>0.27500000000000002</v>
      </c>
      <c r="AA236" s="1190">
        <f t="shared" si="222"/>
        <v>8.0827586206896559E-4</v>
      </c>
      <c r="AB236" s="377">
        <v>0</v>
      </c>
      <c r="AC236" s="378">
        <v>0</v>
      </c>
      <c r="AD236" s="393"/>
      <c r="AE236" s="377">
        <v>0.04</v>
      </c>
      <c r="AF236" s="377"/>
      <c r="AG236" s="1205">
        <f t="shared" si="227"/>
        <v>8.4060689655172428E-4</v>
      </c>
      <c r="AH236" s="388" t="s">
        <v>2224</v>
      </c>
      <c r="AI236" s="1171"/>
      <c r="AJ236" s="1171"/>
      <c r="AK236" s="1190">
        <f t="shared" si="215"/>
        <v>0</v>
      </c>
      <c r="AL236" s="1171"/>
      <c r="AM236" s="1171"/>
      <c r="AN236" s="393"/>
      <c r="AO236" s="1171"/>
      <c r="AP236" s="377"/>
      <c r="AQ236" s="1205" t="str">
        <f t="shared" si="228"/>
        <v/>
      </c>
      <c r="AR236" s="197" t="s">
        <v>9</v>
      </c>
      <c r="AS236" s="393">
        <v>7.0699999999999995E-4</v>
      </c>
      <c r="AT236" s="377">
        <v>0.27500000000000002</v>
      </c>
      <c r="AU236" s="1190">
        <f t="shared" si="216"/>
        <v>9.7517241379310336E-4</v>
      </c>
      <c r="AV236" s="377">
        <v>0</v>
      </c>
      <c r="AW236" s="378">
        <v>0</v>
      </c>
      <c r="AX236" s="393"/>
      <c r="AY236" s="377">
        <v>0.04</v>
      </c>
      <c r="AZ236" s="377"/>
      <c r="BA236" s="1205">
        <f t="shared" si="229"/>
        <v>1.0141793103448276E-3</v>
      </c>
      <c r="BB236" s="388" t="s">
        <v>2224</v>
      </c>
      <c r="BC236" s="393"/>
      <c r="BD236" s="377"/>
      <c r="BE236" s="1190">
        <f t="shared" si="204"/>
        <v>0</v>
      </c>
      <c r="BF236" s="393"/>
      <c r="BG236" s="393"/>
      <c r="BH236" s="393"/>
      <c r="BI236" s="377"/>
      <c r="BJ236" s="377"/>
      <c r="BK236" s="1205" t="str">
        <f t="shared" si="218"/>
        <v/>
      </c>
      <c r="BL236" s="197" t="s">
        <v>2828</v>
      </c>
      <c r="BM236" s="393">
        <v>6.7759999999999999E-3</v>
      </c>
      <c r="BN236" s="377">
        <v>0.27500000000000002</v>
      </c>
      <c r="BO236" s="1190">
        <f t="shared" si="212"/>
        <v>9.3462068965517245E-3</v>
      </c>
      <c r="BP236" s="377">
        <v>0</v>
      </c>
      <c r="BQ236" s="378">
        <v>0</v>
      </c>
      <c r="BR236" s="393"/>
      <c r="BS236" s="377">
        <v>0.04</v>
      </c>
      <c r="BT236" s="377"/>
      <c r="BU236" s="1205">
        <f t="shared" si="230"/>
        <v>9.7200551724137933E-3</v>
      </c>
      <c r="BV236" s="197" t="s">
        <v>2832</v>
      </c>
      <c r="BW236" s="393">
        <v>1.3563E-2</v>
      </c>
      <c r="BX236" s="377">
        <v>0.27500000000000002</v>
      </c>
      <c r="BY236" s="1190">
        <f t="shared" si="213"/>
        <v>1.8707586206896554E-2</v>
      </c>
      <c r="BZ236" s="377">
        <v>0</v>
      </c>
      <c r="CA236" s="378">
        <v>0</v>
      </c>
      <c r="CB236" s="393"/>
      <c r="CC236" s="377">
        <v>0.04</v>
      </c>
      <c r="CD236" s="377"/>
      <c r="CE236" s="1205">
        <f t="shared" si="225"/>
        <v>1.9455889655172417E-2</v>
      </c>
    </row>
    <row r="237" spans="1:83" s="1127" customFormat="1">
      <c r="A237" s="291" t="b">
        <v>0</v>
      </c>
      <c r="B237" s="291" t="s">
        <v>2244</v>
      </c>
      <c r="C237" s="291" t="b">
        <f t="shared" si="193"/>
        <v>1</v>
      </c>
      <c r="D237" s="388" t="str">
        <f>IF(C237=FALSE=NAMES!$B$8,"",IF(L237="N/A","N/A",O237&amp;N237&amp;L237&amp;"-"&amp;M237&amp;" ("&amp;U237&amp;"/"&amp;V237&amp;")"))</f>
        <v/>
      </c>
      <c r="E237" s="392" t="str">
        <f t="shared" si="221"/>
        <v>2016USDAnker Verzekeringen n.v.-Formula 2 (28/365)</v>
      </c>
      <c r="F237" s="1236" t="str">
        <f t="shared" si="207"/>
        <v>2016USDAnker Verzekeringen n.v.-Death AccidentFormula 2</v>
      </c>
      <c r="G237" s="1240" t="str">
        <f t="shared" si="208"/>
        <v>N/A</v>
      </c>
      <c r="H237" s="1240" t="str">
        <f t="shared" si="209"/>
        <v>2016USDAnker Verzekeringen n.v.-Permanent Disability AccidentFormula 2</v>
      </c>
      <c r="I237" s="1240" t="str">
        <f t="shared" si="210"/>
        <v>N/A</v>
      </c>
      <c r="J237" s="1240" t="str">
        <f t="shared" si="198"/>
        <v>2016USDAnker Verzekeringen n.v.-Temporary Disability Accident (100%/28/365)</v>
      </c>
      <c r="K237" s="1240" t="str">
        <f t="shared" si="199"/>
        <v>2016USDAnker Verzekeringen n.v.-Temporary Disability illness (100%/28/365)</v>
      </c>
      <c r="L237" s="392" t="s">
        <v>7</v>
      </c>
      <c r="M237" s="1109" t="s">
        <v>1779</v>
      </c>
      <c r="N237" s="392" t="s">
        <v>87</v>
      </c>
      <c r="O237" s="376">
        <v>2016</v>
      </c>
      <c r="P237" s="376" t="s">
        <v>2234</v>
      </c>
      <c r="Q237" s="376"/>
      <c r="R237" s="377">
        <v>0.1</v>
      </c>
      <c r="S237" s="1109"/>
      <c r="T237" s="387">
        <v>1</v>
      </c>
      <c r="U237" s="1109">
        <v>28</v>
      </c>
      <c r="V237" s="1109">
        <v>365</v>
      </c>
      <c r="W237" s="373">
        <f t="shared" si="200"/>
        <v>2.4787586206896552E-2</v>
      </c>
      <c r="X237" s="197" t="s">
        <v>6</v>
      </c>
      <c r="Y237" s="1410">
        <v>5.8600000000000004E-4</v>
      </c>
      <c r="Z237" s="377">
        <v>0.27500000000000002</v>
      </c>
      <c r="AA237" s="1190">
        <f t="shared" si="222"/>
        <v>8.0827586206896559E-4</v>
      </c>
      <c r="AB237" s="377">
        <v>0</v>
      </c>
      <c r="AC237" s="378">
        <v>0</v>
      </c>
      <c r="AD237" s="393"/>
      <c r="AE237" s="377">
        <v>0.04</v>
      </c>
      <c r="AF237" s="377"/>
      <c r="AG237" s="1205">
        <f t="shared" si="227"/>
        <v>8.4060689655172428E-4</v>
      </c>
      <c r="AH237" s="388" t="s">
        <v>2224</v>
      </c>
      <c r="AI237" s="1171"/>
      <c r="AJ237" s="1171"/>
      <c r="AK237" s="1190">
        <f t="shared" si="215"/>
        <v>0</v>
      </c>
      <c r="AL237" s="1171"/>
      <c r="AM237" s="1171"/>
      <c r="AN237" s="393"/>
      <c r="AO237" s="1171"/>
      <c r="AP237" s="377"/>
      <c r="AQ237" s="1205" t="str">
        <f t="shared" si="228"/>
        <v/>
      </c>
      <c r="AR237" s="197" t="s">
        <v>9</v>
      </c>
      <c r="AS237" s="393">
        <v>7.0699999999999995E-4</v>
      </c>
      <c r="AT237" s="377">
        <v>0.27500000000000002</v>
      </c>
      <c r="AU237" s="1190">
        <f t="shared" si="216"/>
        <v>9.7517241379310336E-4</v>
      </c>
      <c r="AV237" s="377">
        <v>0</v>
      </c>
      <c r="AW237" s="378">
        <v>0</v>
      </c>
      <c r="AX237" s="393"/>
      <c r="AY237" s="377">
        <v>0.04</v>
      </c>
      <c r="AZ237" s="377"/>
      <c r="BA237" s="1205">
        <f t="shared" si="229"/>
        <v>1.0141793103448276E-3</v>
      </c>
      <c r="BB237" s="388" t="s">
        <v>2224</v>
      </c>
      <c r="BC237" s="393"/>
      <c r="BD237" s="377"/>
      <c r="BE237" s="1190">
        <f t="shared" si="204"/>
        <v>0</v>
      </c>
      <c r="BF237" s="393"/>
      <c r="BG237" s="393"/>
      <c r="BH237" s="393"/>
      <c r="BI237" s="377"/>
      <c r="BJ237" s="377"/>
      <c r="BK237" s="1205" t="str">
        <f t="shared" si="218"/>
        <v/>
      </c>
      <c r="BL237" s="197" t="s">
        <v>2829</v>
      </c>
      <c r="BM237" s="393">
        <v>5.5560000000000002E-3</v>
      </c>
      <c r="BN237" s="377">
        <v>0.27500000000000002</v>
      </c>
      <c r="BO237" s="1190">
        <f t="shared" si="212"/>
        <v>7.6634482758620691E-3</v>
      </c>
      <c r="BP237" s="377">
        <v>0</v>
      </c>
      <c r="BQ237" s="378">
        <v>0</v>
      </c>
      <c r="BR237" s="393"/>
      <c r="BS237" s="377">
        <v>0.04</v>
      </c>
      <c r="BT237" s="377"/>
      <c r="BU237" s="1205">
        <f>IF(BL237="N/A","",BO237*(1+BS237))</f>
        <v>7.9699862068965521E-3</v>
      </c>
      <c r="BV237" s="197" t="s">
        <v>2833</v>
      </c>
      <c r="BW237" s="393">
        <v>1.1122E-2</v>
      </c>
      <c r="BX237" s="377">
        <v>0.27500000000000002</v>
      </c>
      <c r="BY237" s="1190">
        <f t="shared" si="213"/>
        <v>1.5340689655172414E-2</v>
      </c>
      <c r="BZ237" s="377">
        <v>0</v>
      </c>
      <c r="CA237" s="378">
        <v>0</v>
      </c>
      <c r="CB237" s="393"/>
      <c r="CC237" s="377">
        <v>0.04</v>
      </c>
      <c r="CD237" s="377"/>
      <c r="CE237" s="1205">
        <f t="shared" si="225"/>
        <v>1.5954317241379311E-2</v>
      </c>
    </row>
    <row r="238" spans="1:83" s="1127" customFormat="1">
      <c r="A238" s="291" t="b">
        <v>0</v>
      </c>
      <c r="B238" s="291" t="s">
        <v>2244</v>
      </c>
      <c r="C238" s="291" t="b">
        <f t="shared" si="193"/>
        <v>1</v>
      </c>
      <c r="D238" s="388" t="str">
        <f>IF(C238=FALSE=NAMES!$B$8,"",IF(L238="N/A","N/A",O238&amp;N238&amp;L238&amp;"-"&amp;M238&amp;" ("&amp;U238&amp;"/"&amp;V238&amp;")"))</f>
        <v/>
      </c>
      <c r="E238" s="392" t="str">
        <f t="shared" si="221"/>
        <v>2016USDAnker Verzekeringen n.v.-Formula 2 (42/365)</v>
      </c>
      <c r="F238" s="1236" t="str">
        <f t="shared" si="207"/>
        <v>2016USDAnker Verzekeringen n.v.-Death AccidentFormula 2</v>
      </c>
      <c r="G238" s="1240" t="str">
        <f t="shared" si="208"/>
        <v>N/A</v>
      </c>
      <c r="H238" s="1240" t="str">
        <f t="shared" si="209"/>
        <v>2016USDAnker Verzekeringen n.v.-Permanent Disability AccidentFormula 2</v>
      </c>
      <c r="I238" s="1240" t="str">
        <f t="shared" si="210"/>
        <v>N/A</v>
      </c>
      <c r="J238" s="1240" t="str">
        <f t="shared" si="198"/>
        <v>2016USDAnker Verzekeringen n.v.-Temporary Disability Accident (100%/42/365)</v>
      </c>
      <c r="K238" s="1240" t="str">
        <f t="shared" si="199"/>
        <v>2016USDAnker Verzekeringen n.v.-Temporary Disability illness (100%/42/365)</v>
      </c>
      <c r="L238" s="392" t="s">
        <v>7</v>
      </c>
      <c r="M238" s="1109" t="s">
        <v>1779</v>
      </c>
      <c r="N238" s="392" t="s">
        <v>87</v>
      </c>
      <c r="O238" s="376">
        <v>2016</v>
      </c>
      <c r="P238" s="376" t="s">
        <v>2234</v>
      </c>
      <c r="Q238" s="376"/>
      <c r="R238" s="377">
        <v>0.1</v>
      </c>
      <c r="S238" s="1109"/>
      <c r="T238" s="387">
        <v>1</v>
      </c>
      <c r="U238" s="1109">
        <v>42</v>
      </c>
      <c r="V238" s="1109">
        <v>365</v>
      </c>
      <c r="W238" s="373">
        <f t="shared" si="200"/>
        <v>2.3362758620689657E-2</v>
      </c>
      <c r="X238" s="197" t="s">
        <v>6</v>
      </c>
      <c r="Y238" s="1410">
        <v>5.8600000000000004E-4</v>
      </c>
      <c r="Z238" s="377">
        <v>0.27500000000000002</v>
      </c>
      <c r="AA238" s="1190">
        <f t="shared" si="222"/>
        <v>8.0827586206896559E-4</v>
      </c>
      <c r="AB238" s="377">
        <v>0</v>
      </c>
      <c r="AC238" s="378">
        <v>0</v>
      </c>
      <c r="AD238" s="393"/>
      <c r="AE238" s="377">
        <v>0.04</v>
      </c>
      <c r="AF238" s="377"/>
      <c r="AG238" s="1205">
        <f t="shared" si="227"/>
        <v>8.4060689655172428E-4</v>
      </c>
      <c r="AH238" s="388" t="s">
        <v>2224</v>
      </c>
      <c r="AI238" s="1171"/>
      <c r="AJ238" s="1171"/>
      <c r="AK238" s="1190">
        <f t="shared" si="215"/>
        <v>0</v>
      </c>
      <c r="AL238" s="1171"/>
      <c r="AM238" s="1171"/>
      <c r="AN238" s="393"/>
      <c r="AO238" s="1171"/>
      <c r="AP238" s="377"/>
      <c r="AQ238" s="1205" t="str">
        <f t="shared" si="228"/>
        <v/>
      </c>
      <c r="AR238" s="197" t="s">
        <v>9</v>
      </c>
      <c r="AS238" s="393">
        <v>7.0699999999999995E-4</v>
      </c>
      <c r="AT238" s="377">
        <v>0.27500000000000002</v>
      </c>
      <c r="AU238" s="1190">
        <f t="shared" si="216"/>
        <v>9.7517241379310336E-4</v>
      </c>
      <c r="AV238" s="377">
        <v>0</v>
      </c>
      <c r="AW238" s="378">
        <v>0</v>
      </c>
      <c r="AX238" s="393"/>
      <c r="AY238" s="377">
        <v>0.04</v>
      </c>
      <c r="AZ238" s="377"/>
      <c r="BA238" s="1205">
        <f t="shared" si="229"/>
        <v>1.0141793103448276E-3</v>
      </c>
      <c r="BB238" s="388" t="s">
        <v>2224</v>
      </c>
      <c r="BC238" s="393"/>
      <c r="BD238" s="377"/>
      <c r="BE238" s="1190">
        <f t="shared" si="204"/>
        <v>0</v>
      </c>
      <c r="BF238" s="393"/>
      <c r="BG238" s="393"/>
      <c r="BH238" s="393"/>
      <c r="BI238" s="377"/>
      <c r="BJ238" s="377"/>
      <c r="BK238" s="1205" t="str">
        <f t="shared" si="218"/>
        <v/>
      </c>
      <c r="BL238" s="197" t="s">
        <v>2830</v>
      </c>
      <c r="BM238" s="393">
        <v>5.2119999999999996E-3</v>
      </c>
      <c r="BN238" s="377">
        <v>0.27500000000000002</v>
      </c>
      <c r="BO238" s="1190">
        <f t="shared" si="212"/>
        <v>7.1889655172413794E-3</v>
      </c>
      <c r="BP238" s="377">
        <v>0</v>
      </c>
      <c r="BQ238" s="378">
        <v>0</v>
      </c>
      <c r="BR238" s="393"/>
      <c r="BS238" s="377">
        <v>0.04</v>
      </c>
      <c r="BT238" s="377"/>
      <c r="BU238" s="1205">
        <f>IF(BL238="N/A","",BO238*(1+BS238))</f>
        <v>7.4765241379310347E-3</v>
      </c>
      <c r="BV238" s="197" t="s">
        <v>2834</v>
      </c>
      <c r="BW238" s="393">
        <v>1.0433E-2</v>
      </c>
      <c r="BX238" s="377">
        <v>0.27500000000000002</v>
      </c>
      <c r="BY238" s="1190">
        <f t="shared" si="213"/>
        <v>1.4390344827586207E-2</v>
      </c>
      <c r="BZ238" s="377">
        <v>0</v>
      </c>
      <c r="CA238" s="378">
        <v>0</v>
      </c>
      <c r="CB238" s="393"/>
      <c r="CC238" s="377">
        <v>0.04</v>
      </c>
      <c r="CD238" s="377"/>
      <c r="CE238" s="1205">
        <f t="shared" si="225"/>
        <v>1.4965958620689656E-2</v>
      </c>
    </row>
    <row r="239" spans="1:83" s="1127" customFormat="1">
      <c r="A239" s="291" t="b">
        <v>0</v>
      </c>
      <c r="B239" s="291" t="s">
        <v>2244</v>
      </c>
      <c r="C239" s="291" t="b">
        <f t="shared" si="193"/>
        <v>1</v>
      </c>
      <c r="D239" s="388" t="str">
        <f>IF(C239=FALSE=NAMES!$B$8,"",IF(L239="N/A","N/A",O239&amp;N239&amp;L239&amp;"-"&amp;M239&amp;" ("&amp;U239&amp;"/"&amp;V239&amp;")"))</f>
        <v/>
      </c>
      <c r="E239" s="392" t="str">
        <f t="shared" si="221"/>
        <v>2016USDAnker Verzekeringen n.v.-Formula 2 (7/365)</v>
      </c>
      <c r="F239" s="1236" t="str">
        <f t="shared" si="207"/>
        <v>2016USDAnker Verzekeringen n.v.-Death AccidentFormula 2</v>
      </c>
      <c r="G239" s="1240" t="str">
        <f t="shared" si="208"/>
        <v>N/A</v>
      </c>
      <c r="H239" s="1240" t="str">
        <f t="shared" si="209"/>
        <v>2016USDAnker Verzekeringen n.v.-Permanent Disability AccidentFormula 2</v>
      </c>
      <c r="I239" s="1240" t="str">
        <f t="shared" si="210"/>
        <v>N/A</v>
      </c>
      <c r="J239" s="1240" t="str">
        <f t="shared" si="198"/>
        <v>2016USDAnker Verzekeringen n.v.-Temporary Disability Accident (70%/7/365)</v>
      </c>
      <c r="K239" s="1240" t="str">
        <f t="shared" si="199"/>
        <v>2016USDAnker Verzekeringen n.v.-Temporary Disability illness (70%/7/365)</v>
      </c>
      <c r="L239" s="392" t="s">
        <v>7</v>
      </c>
      <c r="M239" s="1109" t="s">
        <v>1779</v>
      </c>
      <c r="N239" s="392" t="s">
        <v>87</v>
      </c>
      <c r="O239" s="376">
        <v>2016</v>
      </c>
      <c r="P239" s="376" t="s">
        <v>2234</v>
      </c>
      <c r="Q239" s="376"/>
      <c r="R239" s="377">
        <v>0.1</v>
      </c>
      <c r="S239" s="1109"/>
      <c r="T239" s="387">
        <v>0.7</v>
      </c>
      <c r="U239" s="1109">
        <v>7</v>
      </c>
      <c r="V239" s="1109">
        <v>365</v>
      </c>
      <c r="W239" s="373">
        <f t="shared" si="200"/>
        <v>2.4787586206896552E-2</v>
      </c>
      <c r="X239" s="197" t="s">
        <v>6</v>
      </c>
      <c r="Y239" s="1410">
        <v>5.8600000000000004E-4</v>
      </c>
      <c r="Z239" s="377">
        <v>0.27500000000000002</v>
      </c>
      <c r="AA239" s="1190">
        <f t="shared" si="222"/>
        <v>8.0827586206896559E-4</v>
      </c>
      <c r="AB239" s="377">
        <v>0</v>
      </c>
      <c r="AC239" s="378">
        <v>0</v>
      </c>
      <c r="AD239" s="393"/>
      <c r="AE239" s="377">
        <v>0.04</v>
      </c>
      <c r="AF239" s="377"/>
      <c r="AG239" s="1205">
        <f t="shared" si="227"/>
        <v>8.4060689655172428E-4</v>
      </c>
      <c r="AH239" s="388" t="s">
        <v>2224</v>
      </c>
      <c r="AI239" s="1171"/>
      <c r="AJ239" s="1171"/>
      <c r="AK239" s="1190">
        <f t="shared" si="215"/>
        <v>0</v>
      </c>
      <c r="AL239" s="1171"/>
      <c r="AM239" s="1171"/>
      <c r="AN239" s="393"/>
      <c r="AO239" s="1171"/>
      <c r="AP239" s="377"/>
      <c r="AQ239" s="1205" t="str">
        <f t="shared" si="228"/>
        <v/>
      </c>
      <c r="AR239" s="197" t="s">
        <v>9</v>
      </c>
      <c r="AS239" s="393">
        <v>7.0699999999999995E-4</v>
      </c>
      <c r="AT239" s="377">
        <v>0.27500000000000002</v>
      </c>
      <c r="AU239" s="1190">
        <f t="shared" si="216"/>
        <v>9.7517241379310336E-4</v>
      </c>
      <c r="AV239" s="377">
        <v>0</v>
      </c>
      <c r="AW239" s="378">
        <v>0</v>
      </c>
      <c r="AX239" s="393"/>
      <c r="AY239" s="377">
        <v>0.04</v>
      </c>
      <c r="AZ239" s="377"/>
      <c r="BA239" s="1205">
        <f t="shared" si="229"/>
        <v>1.0141793103448276E-3</v>
      </c>
      <c r="BB239" s="388" t="s">
        <v>2224</v>
      </c>
      <c r="BC239" s="393"/>
      <c r="BD239" s="377"/>
      <c r="BE239" s="1190">
        <f t="shared" si="204"/>
        <v>0</v>
      </c>
      <c r="BF239" s="393"/>
      <c r="BG239" s="393"/>
      <c r="BH239" s="393"/>
      <c r="BI239" s="377"/>
      <c r="BJ239" s="377"/>
      <c r="BK239" s="1205" t="str">
        <f t="shared" si="218"/>
        <v/>
      </c>
      <c r="BL239" s="197" t="s">
        <v>2831</v>
      </c>
      <c r="BM239" s="393">
        <v>5.5560000000000002E-3</v>
      </c>
      <c r="BN239" s="377">
        <v>0.27500000000000002</v>
      </c>
      <c r="BO239" s="1190">
        <f t="shared" si="212"/>
        <v>7.6634482758620691E-3</v>
      </c>
      <c r="BP239" s="377">
        <v>0</v>
      </c>
      <c r="BQ239" s="378">
        <v>0</v>
      </c>
      <c r="BR239" s="393"/>
      <c r="BS239" s="377">
        <v>0.04</v>
      </c>
      <c r="BT239" s="377"/>
      <c r="BU239" s="1205">
        <f t="shared" ref="BU239:BU241" si="231">IF(BL239="N/A","",BO239*(1+BS239))</f>
        <v>7.9699862068965521E-3</v>
      </c>
      <c r="BV239" s="197" t="s">
        <v>2835</v>
      </c>
      <c r="BW239" s="393">
        <v>1.1122E-2</v>
      </c>
      <c r="BX239" s="377">
        <v>0.27500000000000002</v>
      </c>
      <c r="BY239" s="1190">
        <f t="shared" si="213"/>
        <v>1.5340689655172414E-2</v>
      </c>
      <c r="BZ239" s="377">
        <v>0</v>
      </c>
      <c r="CA239" s="378">
        <v>0</v>
      </c>
      <c r="CB239" s="393"/>
      <c r="CC239" s="377">
        <v>0.04</v>
      </c>
      <c r="CD239" s="377"/>
      <c r="CE239" s="1205">
        <f>IF(BV239="N/A","",BY239*(1+CC239))</f>
        <v>1.5954317241379311E-2</v>
      </c>
    </row>
    <row r="240" spans="1:83" s="1127" customFormat="1">
      <c r="A240" s="291" t="b">
        <v>0</v>
      </c>
      <c r="B240" s="291" t="s">
        <v>2244</v>
      </c>
      <c r="C240" s="291" t="b">
        <f t="shared" si="193"/>
        <v>1</v>
      </c>
      <c r="D240" s="388" t="str">
        <f>IF(C240=FALSE=NAMES!$B$8,"",IF(L240="N/A","N/A",O240&amp;N240&amp;L240&amp;"-"&amp;M240&amp;" ("&amp;U240&amp;"/"&amp;V240&amp;")"))</f>
        <v/>
      </c>
      <c r="E240" s="392" t="str">
        <f t="shared" si="221"/>
        <v>N/A</v>
      </c>
      <c r="F240" s="1236" t="str">
        <f t="shared" si="207"/>
        <v>N/A</v>
      </c>
      <c r="G240" s="1240" t="str">
        <f t="shared" si="208"/>
        <v>N/A</v>
      </c>
      <c r="H240" s="1240" t="str">
        <f t="shared" si="209"/>
        <v>N/A</v>
      </c>
      <c r="I240" s="1240" t="str">
        <f t="shared" si="210"/>
        <v>N/A</v>
      </c>
      <c r="J240" s="1240" t="str">
        <f t="shared" si="198"/>
        <v>N/A</v>
      </c>
      <c r="K240" s="1240" t="str">
        <f t="shared" si="199"/>
        <v>N/A</v>
      </c>
      <c r="L240" s="389" t="s">
        <v>2224</v>
      </c>
      <c r="M240" s="1109"/>
      <c r="N240" s="392"/>
      <c r="O240" s="376"/>
      <c r="P240" s="376"/>
      <c r="Q240" s="376"/>
      <c r="R240" s="377"/>
      <c r="S240" s="1151"/>
      <c r="T240" s="1151"/>
      <c r="U240" s="1151"/>
      <c r="V240" s="1109"/>
      <c r="W240" s="373" t="str">
        <f t="shared" si="200"/>
        <v/>
      </c>
      <c r="X240" s="388" t="s">
        <v>2224</v>
      </c>
      <c r="Y240" s="1410"/>
      <c r="Z240" s="377"/>
      <c r="AA240" s="1190" t="str">
        <f>IF(X240="N/A","",Y240/(1-Z240))</f>
        <v/>
      </c>
      <c r="AB240" s="377"/>
      <c r="AC240" s="378"/>
      <c r="AD240" s="393"/>
      <c r="AE240" s="377"/>
      <c r="AF240" s="377"/>
      <c r="AG240" s="1205"/>
      <c r="AH240" s="388" t="s">
        <v>2224</v>
      </c>
      <c r="AI240" s="1171"/>
      <c r="AJ240" s="1171"/>
      <c r="AK240" s="1190">
        <f t="shared" si="215"/>
        <v>0</v>
      </c>
      <c r="AL240" s="1171"/>
      <c r="AM240" s="1171"/>
      <c r="AN240" s="393"/>
      <c r="AO240" s="1171"/>
      <c r="AP240" s="1171"/>
      <c r="AQ240" s="1205"/>
      <c r="AR240" s="388" t="s">
        <v>2224</v>
      </c>
      <c r="AS240" s="393"/>
      <c r="AT240" s="377"/>
      <c r="AU240" s="1190" t="str">
        <f t="shared" si="216"/>
        <v/>
      </c>
      <c r="AV240" s="393"/>
      <c r="AW240" s="393"/>
      <c r="AX240" s="393"/>
      <c r="AY240" s="377"/>
      <c r="AZ240" s="377"/>
      <c r="BA240" s="1205" t="str">
        <f t="shared" si="229"/>
        <v/>
      </c>
      <c r="BB240" s="388" t="s">
        <v>2224</v>
      </c>
      <c r="BC240" s="393"/>
      <c r="BD240" s="377"/>
      <c r="BE240" s="1190">
        <f t="shared" si="204"/>
        <v>0</v>
      </c>
      <c r="BF240" s="393"/>
      <c r="BG240" s="393"/>
      <c r="BH240" s="393"/>
      <c r="BI240" s="377"/>
      <c r="BJ240" s="377"/>
      <c r="BK240" s="1205" t="str">
        <f t="shared" si="218"/>
        <v/>
      </c>
      <c r="BL240" s="388" t="s">
        <v>2224</v>
      </c>
      <c r="BM240" s="393"/>
      <c r="BN240" s="377"/>
      <c r="BO240" s="1190">
        <f t="shared" si="212"/>
        <v>0</v>
      </c>
      <c r="BP240" s="393"/>
      <c r="BQ240" s="393"/>
      <c r="BR240" s="393"/>
      <c r="BS240" s="377"/>
      <c r="BT240" s="377"/>
      <c r="BU240" s="1205" t="str">
        <f t="shared" si="231"/>
        <v/>
      </c>
      <c r="BV240" s="388" t="s">
        <v>2113</v>
      </c>
      <c r="BW240" s="393"/>
      <c r="BX240" s="377"/>
      <c r="BY240" s="1190">
        <f t="shared" si="213"/>
        <v>0</v>
      </c>
      <c r="BZ240" s="393"/>
      <c r="CA240" s="393"/>
      <c r="CB240" s="393"/>
      <c r="CC240" s="377"/>
      <c r="CD240" s="377"/>
      <c r="CE240" s="1205" t="str">
        <f t="shared" ref="CE240:CE241" si="232">IF(BV240="N/A","",BY240*(1+CC240))</f>
        <v/>
      </c>
    </row>
    <row r="241" spans="1:83" s="1127" customFormat="1">
      <c r="A241" s="291" t="b">
        <v>0</v>
      </c>
      <c r="B241" s="291" t="s">
        <v>2244</v>
      </c>
      <c r="C241" s="291" t="b">
        <f t="shared" si="193"/>
        <v>1</v>
      </c>
      <c r="D241" s="388" t="str">
        <f>IF(C241=FALSE=NAMES!$B$8,"",IF(L241="N/A","N/A",O241&amp;N241&amp;L241&amp;"-"&amp;M241&amp;" ("&amp;U241&amp;"/"&amp;V241&amp;")"))</f>
        <v/>
      </c>
      <c r="E241" s="392" t="str">
        <f t="shared" si="221"/>
        <v>2016EURAnker Verzekeringen n.v.-Formula 3 (7/120)</v>
      </c>
      <c r="F241" s="1236" t="str">
        <f t="shared" si="207"/>
        <v>2016EURAnker Verzekeringen n.v.-Death AccidentFormula 3</v>
      </c>
      <c r="G241" s="1240" t="str">
        <f t="shared" si="208"/>
        <v>2016EURAnker Verzekeringen n.v.-Death illnessFormula 3</v>
      </c>
      <c r="H241" s="1240" t="str">
        <f t="shared" si="209"/>
        <v>2016EURAnker Verzekeringen n.v.-Permanent Disability AccidentFormula 3</v>
      </c>
      <c r="I241" s="1240" t="str">
        <f t="shared" si="210"/>
        <v>2016EURAnker Verzekeringen n.v.-Permanent Disability illnessFormula 3</v>
      </c>
      <c r="J241" s="1240" t="str">
        <f t="shared" si="198"/>
        <v>2016EURAnker Verzekeringen n.v.-Temporary Disability Accident (100%/7/120)</v>
      </c>
      <c r="K241" s="1240" t="str">
        <f t="shared" si="199"/>
        <v>2016EURAnker Verzekeringen n.v.-Temporary Disability illness (100%/7/120)</v>
      </c>
      <c r="L241" s="392" t="s">
        <v>7</v>
      </c>
      <c r="M241" s="1109" t="s">
        <v>88</v>
      </c>
      <c r="N241" s="392" t="s">
        <v>32</v>
      </c>
      <c r="O241" s="376">
        <v>2016</v>
      </c>
      <c r="P241" s="376" t="s">
        <v>2234</v>
      </c>
      <c r="Q241" s="376"/>
      <c r="R241" s="377">
        <v>0.1</v>
      </c>
      <c r="S241" s="1109"/>
      <c r="T241" s="387">
        <v>1</v>
      </c>
      <c r="U241" s="1109">
        <v>7</v>
      </c>
      <c r="V241" s="1109">
        <v>120</v>
      </c>
      <c r="W241" s="373">
        <f t="shared" si="200"/>
        <v>2.4223448275862071E-2</v>
      </c>
      <c r="X241" s="197" t="s">
        <v>6</v>
      </c>
      <c r="Y241" s="1410">
        <v>5.0100000000000003E-4</v>
      </c>
      <c r="Z241" s="377">
        <v>0.27500000000000002</v>
      </c>
      <c r="AA241" s="1190">
        <f t="shared" ref="AA241:AA252" si="233">IF(X241="N/A","",Y241/(1-Z241))</f>
        <v>6.9103448275862072E-4</v>
      </c>
      <c r="AB241" s="377">
        <v>0</v>
      </c>
      <c r="AC241" s="378">
        <v>0</v>
      </c>
      <c r="AD241" s="393"/>
      <c r="AE241" s="377">
        <v>0.04</v>
      </c>
      <c r="AF241" s="377"/>
      <c r="AG241" s="1205">
        <f t="shared" ref="AG241:AG245" si="234">IF(X241="N/A","",AA241*(1+AE241))</f>
        <v>7.1867586206896558E-4</v>
      </c>
      <c r="AH241" s="197" t="s">
        <v>2114</v>
      </c>
      <c r="AI241" s="393">
        <v>1.253E-3</v>
      </c>
      <c r="AJ241" s="377">
        <v>0.27500000000000002</v>
      </c>
      <c r="AK241" s="1190">
        <f t="shared" si="215"/>
        <v>1.7282758620689655E-3</v>
      </c>
      <c r="AL241" s="377">
        <v>0</v>
      </c>
      <c r="AM241" s="378">
        <v>0</v>
      </c>
      <c r="AN241" s="393"/>
      <c r="AO241" s="377">
        <v>0.04</v>
      </c>
      <c r="AP241" s="377"/>
      <c r="AQ241" s="1205">
        <f t="shared" ref="AQ241:AQ245" si="235">IF(AH241="N/A","",AK241*(1+AO241))</f>
        <v>1.7974068965517242E-3</v>
      </c>
      <c r="AR241" s="197" t="s">
        <v>9</v>
      </c>
      <c r="AS241" s="393">
        <v>6.1899999999999998E-4</v>
      </c>
      <c r="AT241" s="377">
        <v>0.27500000000000002</v>
      </c>
      <c r="AU241" s="1190">
        <f t="shared" si="216"/>
        <v>8.5379310344827581E-4</v>
      </c>
      <c r="AV241" s="377">
        <v>0</v>
      </c>
      <c r="AW241" s="378">
        <v>0</v>
      </c>
      <c r="AX241" s="393"/>
      <c r="AY241" s="377">
        <v>0.04</v>
      </c>
      <c r="AZ241" s="377"/>
      <c r="BA241" s="1205">
        <f t="shared" si="229"/>
        <v>8.8794482758620692E-4</v>
      </c>
      <c r="BB241" s="197" t="s">
        <v>2115</v>
      </c>
      <c r="BC241" s="393">
        <v>1.4890000000000001E-3</v>
      </c>
      <c r="BD241" s="377">
        <v>0.27500000000000002</v>
      </c>
      <c r="BE241" s="1190">
        <f t="shared" si="204"/>
        <v>2.0537931034482759E-3</v>
      </c>
      <c r="BF241" s="377">
        <v>0</v>
      </c>
      <c r="BG241" s="378">
        <v>0</v>
      </c>
      <c r="BH241" s="393"/>
      <c r="BI241" s="377">
        <v>0.04</v>
      </c>
      <c r="BJ241" s="377"/>
      <c r="BK241" s="1205">
        <f t="shared" si="218"/>
        <v>2.1359448275862069E-3</v>
      </c>
      <c r="BL241" s="197" t="s">
        <v>2827</v>
      </c>
      <c r="BM241" s="393">
        <v>5.8729999999999997E-3</v>
      </c>
      <c r="BN241" s="377">
        <v>0.27500000000000002</v>
      </c>
      <c r="BO241" s="1190">
        <f t="shared" si="212"/>
        <v>8.100689655172414E-3</v>
      </c>
      <c r="BP241" s="377">
        <v>0</v>
      </c>
      <c r="BQ241" s="378">
        <v>0</v>
      </c>
      <c r="BR241" s="393"/>
      <c r="BS241" s="377">
        <v>0.04</v>
      </c>
      <c r="BT241" s="377"/>
      <c r="BU241" s="1205">
        <f t="shared" si="231"/>
        <v>8.4247172413793106E-3</v>
      </c>
      <c r="BV241" s="197" t="s">
        <v>2836</v>
      </c>
      <c r="BW241" s="393">
        <v>7.8270000000000006E-3</v>
      </c>
      <c r="BX241" s="377">
        <v>0.27500000000000002</v>
      </c>
      <c r="BY241" s="1190">
        <f t="shared" si="213"/>
        <v>1.0795862068965519E-2</v>
      </c>
      <c r="BZ241" s="377">
        <v>0</v>
      </c>
      <c r="CA241" s="378">
        <v>0</v>
      </c>
      <c r="CB241" s="393"/>
      <c r="CC241" s="377">
        <v>0.04</v>
      </c>
      <c r="CD241" s="377"/>
      <c r="CE241" s="1205">
        <f t="shared" si="232"/>
        <v>1.1227696551724141E-2</v>
      </c>
    </row>
    <row r="242" spans="1:83" s="1127" customFormat="1">
      <c r="A242" s="291" t="b">
        <v>0</v>
      </c>
      <c r="B242" s="291" t="s">
        <v>2244</v>
      </c>
      <c r="C242" s="291" t="b">
        <f t="shared" si="193"/>
        <v>1</v>
      </c>
      <c r="D242" s="388" t="str">
        <f>IF(C242=FALSE=NAMES!$B$8,"",IF(L242="N/A","N/A",O242&amp;N242&amp;L242&amp;"-"&amp;M242&amp;" ("&amp;U242&amp;"/"&amp;V242&amp;")"))</f>
        <v/>
      </c>
      <c r="E242" s="392" t="str">
        <f t="shared" si="221"/>
        <v>2016EURAnker Verzekeringen n.v.-Formula 3 (7/365)</v>
      </c>
      <c r="F242" s="1236" t="str">
        <f t="shared" si="207"/>
        <v>2016EURAnker Verzekeringen n.v.-Death AccidentFormula 3</v>
      </c>
      <c r="G242" s="1240" t="str">
        <f t="shared" si="208"/>
        <v>2016EURAnker Verzekeringen n.v.-Death illnessFormula 3</v>
      </c>
      <c r="H242" s="1240" t="str">
        <f t="shared" si="209"/>
        <v>2016EURAnker Verzekeringen n.v.-Permanent Disability AccidentFormula 3</v>
      </c>
      <c r="I242" s="1240" t="str">
        <f t="shared" si="210"/>
        <v>2016EURAnker Verzekeringen n.v.-Permanent Disability illnessFormula 3</v>
      </c>
      <c r="J242" s="1240" t="str">
        <f t="shared" si="198"/>
        <v>2016EURAnker Verzekeringen n.v.-Temporary Disability Accident (100%/7/365)</v>
      </c>
      <c r="K242" s="1240" t="str">
        <f t="shared" si="199"/>
        <v>2016EURAnker Verzekeringen n.v.-Temporary Disability illness (100%/7/365)</v>
      </c>
      <c r="L242" s="392" t="s">
        <v>7</v>
      </c>
      <c r="M242" s="1109" t="s">
        <v>88</v>
      </c>
      <c r="N242" s="392" t="s">
        <v>32</v>
      </c>
      <c r="O242" s="376">
        <v>2016</v>
      </c>
      <c r="P242" s="376" t="s">
        <v>2234</v>
      </c>
      <c r="Q242" s="376"/>
      <c r="R242" s="377">
        <v>0.1</v>
      </c>
      <c r="S242" s="1109"/>
      <c r="T242" s="387">
        <v>1</v>
      </c>
      <c r="U242" s="1109">
        <v>7</v>
      </c>
      <c r="V242" s="1109">
        <v>365</v>
      </c>
      <c r="W242" s="373">
        <f t="shared" si="200"/>
        <v>2.9657931034482762E-2</v>
      </c>
      <c r="X242" s="197" t="s">
        <v>6</v>
      </c>
      <c r="Y242" s="1410">
        <v>5.0100000000000003E-4</v>
      </c>
      <c r="Z242" s="377">
        <v>0.27500000000000002</v>
      </c>
      <c r="AA242" s="1190">
        <f t="shared" si="233"/>
        <v>6.9103448275862072E-4</v>
      </c>
      <c r="AB242" s="377">
        <v>0</v>
      </c>
      <c r="AC242" s="378">
        <v>0</v>
      </c>
      <c r="AD242" s="393"/>
      <c r="AE242" s="377">
        <v>0.04</v>
      </c>
      <c r="AF242" s="377"/>
      <c r="AG242" s="1205">
        <f t="shared" si="234"/>
        <v>7.1867586206896558E-4</v>
      </c>
      <c r="AH242" s="197" t="s">
        <v>2114</v>
      </c>
      <c r="AI242" s="393">
        <v>1.253E-3</v>
      </c>
      <c r="AJ242" s="377">
        <v>0.27500000000000002</v>
      </c>
      <c r="AK242" s="1190">
        <f t="shared" si="215"/>
        <v>1.7282758620689655E-3</v>
      </c>
      <c r="AL242" s="377">
        <v>0</v>
      </c>
      <c r="AM242" s="378">
        <v>0</v>
      </c>
      <c r="AN242" s="393"/>
      <c r="AO242" s="377">
        <v>0.04</v>
      </c>
      <c r="AP242" s="377"/>
      <c r="AQ242" s="1205">
        <f t="shared" si="235"/>
        <v>1.7974068965517242E-3</v>
      </c>
      <c r="AR242" s="197" t="s">
        <v>9</v>
      </c>
      <c r="AS242" s="393">
        <v>6.1899999999999998E-4</v>
      </c>
      <c r="AT242" s="377">
        <v>0.27500000000000002</v>
      </c>
      <c r="AU242" s="1190">
        <f t="shared" si="216"/>
        <v>8.5379310344827581E-4</v>
      </c>
      <c r="AV242" s="377">
        <v>0</v>
      </c>
      <c r="AW242" s="378">
        <v>0</v>
      </c>
      <c r="AX242" s="393"/>
      <c r="AY242" s="377">
        <v>0.04</v>
      </c>
      <c r="AZ242" s="377"/>
      <c r="BA242" s="1205">
        <f t="shared" si="229"/>
        <v>8.8794482758620692E-4</v>
      </c>
      <c r="BB242" s="197" t="s">
        <v>2115</v>
      </c>
      <c r="BC242" s="393">
        <v>1.4890000000000001E-3</v>
      </c>
      <c r="BD242" s="377">
        <v>0.27500000000000002</v>
      </c>
      <c r="BE242" s="1190">
        <f t="shared" si="204"/>
        <v>2.0537931034482759E-3</v>
      </c>
      <c r="BF242" s="377">
        <v>0</v>
      </c>
      <c r="BG242" s="378">
        <v>0</v>
      </c>
      <c r="BH242" s="393"/>
      <c r="BI242" s="377">
        <v>0.04</v>
      </c>
      <c r="BJ242" s="377"/>
      <c r="BK242" s="1205">
        <f t="shared" si="218"/>
        <v>2.1359448275862069E-3</v>
      </c>
      <c r="BL242" s="197" t="s">
        <v>2828</v>
      </c>
      <c r="BM242" s="393">
        <v>5.8830000000000002E-3</v>
      </c>
      <c r="BN242" s="377">
        <v>0.27500000000000002</v>
      </c>
      <c r="BO242" s="1190">
        <f t="shared" si="212"/>
        <v>8.1144827586206898E-3</v>
      </c>
      <c r="BP242" s="377">
        <v>0</v>
      </c>
      <c r="BQ242" s="378">
        <v>0</v>
      </c>
      <c r="BR242" s="393"/>
      <c r="BS242" s="377">
        <v>0.04</v>
      </c>
      <c r="BT242" s="377"/>
      <c r="BU242" s="1205">
        <f>IF(BL242="N/A","",BO242*(1+BS242))</f>
        <v>8.439062068965518E-3</v>
      </c>
      <c r="BV242" s="197" t="s">
        <v>2832</v>
      </c>
      <c r="BW242" s="393">
        <v>1.1757E-2</v>
      </c>
      <c r="BX242" s="377">
        <v>0.27500000000000002</v>
      </c>
      <c r="BY242" s="1190">
        <f t="shared" si="213"/>
        <v>1.6216551724137933E-2</v>
      </c>
      <c r="BZ242" s="377">
        <v>0</v>
      </c>
      <c r="CA242" s="378">
        <v>0</v>
      </c>
      <c r="CB242" s="393"/>
      <c r="CC242" s="377">
        <v>0.04</v>
      </c>
      <c r="CD242" s="377"/>
      <c r="CE242" s="1205">
        <f>IF(BV242="N/A","",BY242*(1+CC242))</f>
        <v>1.6865213793103451E-2</v>
      </c>
    </row>
    <row r="243" spans="1:83" s="1127" customFormat="1">
      <c r="A243" s="291" t="b">
        <v>0</v>
      </c>
      <c r="B243" s="291" t="s">
        <v>2244</v>
      </c>
      <c r="C243" s="291" t="b">
        <f t="shared" si="193"/>
        <v>1</v>
      </c>
      <c r="D243" s="388" t="str">
        <f>IF(C243=FALSE=NAMES!$B$8,"",IF(L243="N/A","N/A",O243&amp;N243&amp;L243&amp;"-"&amp;M243&amp;" ("&amp;U243&amp;"/"&amp;V243&amp;")"))</f>
        <v/>
      </c>
      <c r="E243" s="392" t="str">
        <f t="shared" si="221"/>
        <v>2016EURAnker Verzekeringen n.v.-Formula 3 (28/365)</v>
      </c>
      <c r="F243" s="1236" t="str">
        <f t="shared" si="207"/>
        <v>2016EURAnker Verzekeringen n.v.-Death AccidentFormula 3</v>
      </c>
      <c r="G243" s="1240" t="str">
        <f t="shared" si="208"/>
        <v>2016EURAnker Verzekeringen n.v.-Death illnessFormula 3</v>
      </c>
      <c r="H243" s="1240" t="str">
        <f t="shared" si="209"/>
        <v>2016EURAnker Verzekeringen n.v.-Permanent Disability AccidentFormula 3</v>
      </c>
      <c r="I243" s="1240" t="str">
        <f t="shared" si="210"/>
        <v>2016EURAnker Verzekeringen n.v.-Permanent Disability illnessFormula 3</v>
      </c>
      <c r="J243" s="1240" t="str">
        <f t="shared" si="198"/>
        <v>2016EURAnker Verzekeringen n.v.-Temporary Disability Accident (100%/28/365)</v>
      </c>
      <c r="K243" s="1240" t="str">
        <f t="shared" si="199"/>
        <v>2016EURAnker Verzekeringen n.v.-Temporary Disability illness (100%/28/365)</v>
      </c>
      <c r="L243" s="392" t="s">
        <v>7</v>
      </c>
      <c r="M243" s="1109" t="s">
        <v>88</v>
      </c>
      <c r="N243" s="392" t="s">
        <v>32</v>
      </c>
      <c r="O243" s="376">
        <v>2016</v>
      </c>
      <c r="P243" s="376" t="s">
        <v>2234</v>
      </c>
      <c r="Q243" s="376"/>
      <c r="R243" s="377">
        <v>0.1</v>
      </c>
      <c r="S243" s="1109"/>
      <c r="T243" s="387">
        <v>1</v>
      </c>
      <c r="U243" s="1109">
        <v>28</v>
      </c>
      <c r="V243" s="1109">
        <v>365</v>
      </c>
      <c r="W243" s="373">
        <f t="shared" si="200"/>
        <v>2.5278620689655175E-2</v>
      </c>
      <c r="X243" s="197" t="s">
        <v>6</v>
      </c>
      <c r="Y243" s="1410">
        <v>5.0100000000000003E-4</v>
      </c>
      <c r="Z243" s="377">
        <v>0.27500000000000002</v>
      </c>
      <c r="AA243" s="1190">
        <f t="shared" si="233"/>
        <v>6.9103448275862072E-4</v>
      </c>
      <c r="AB243" s="377">
        <v>0</v>
      </c>
      <c r="AC243" s="378">
        <v>0</v>
      </c>
      <c r="AD243" s="393"/>
      <c r="AE243" s="377">
        <v>0.04</v>
      </c>
      <c r="AF243" s="377"/>
      <c r="AG243" s="1205">
        <f t="shared" si="234"/>
        <v>7.1867586206896558E-4</v>
      </c>
      <c r="AH243" s="197" t="s">
        <v>2114</v>
      </c>
      <c r="AI243" s="393">
        <v>1.253E-3</v>
      </c>
      <c r="AJ243" s="377">
        <v>0.27500000000000002</v>
      </c>
      <c r="AK243" s="1190">
        <f t="shared" si="215"/>
        <v>1.7282758620689655E-3</v>
      </c>
      <c r="AL243" s="377">
        <v>0</v>
      </c>
      <c r="AM243" s="378">
        <v>0</v>
      </c>
      <c r="AN243" s="393"/>
      <c r="AO243" s="377">
        <v>0.04</v>
      </c>
      <c r="AP243" s="377"/>
      <c r="AQ243" s="1205">
        <f t="shared" si="235"/>
        <v>1.7974068965517242E-3</v>
      </c>
      <c r="AR243" s="197" t="s">
        <v>9</v>
      </c>
      <c r="AS243" s="393">
        <v>6.1899999999999998E-4</v>
      </c>
      <c r="AT243" s="377">
        <v>0.27500000000000002</v>
      </c>
      <c r="AU243" s="1190">
        <f t="shared" si="216"/>
        <v>8.5379310344827581E-4</v>
      </c>
      <c r="AV243" s="377">
        <v>0</v>
      </c>
      <c r="AW243" s="378">
        <v>0</v>
      </c>
      <c r="AX243" s="393"/>
      <c r="AY243" s="377">
        <v>0.04</v>
      </c>
      <c r="AZ243" s="377"/>
      <c r="BA243" s="1205">
        <f t="shared" si="229"/>
        <v>8.8794482758620692E-4</v>
      </c>
      <c r="BB243" s="197" t="s">
        <v>2115</v>
      </c>
      <c r="BC243" s="393">
        <v>1.4890000000000001E-3</v>
      </c>
      <c r="BD243" s="377">
        <v>0.27500000000000002</v>
      </c>
      <c r="BE243" s="1190">
        <f t="shared" si="204"/>
        <v>2.0537931034482759E-3</v>
      </c>
      <c r="BF243" s="377">
        <v>0</v>
      </c>
      <c r="BG243" s="378">
        <v>0</v>
      </c>
      <c r="BH243" s="393"/>
      <c r="BI243" s="377">
        <v>0.04</v>
      </c>
      <c r="BJ243" s="377"/>
      <c r="BK243" s="1205">
        <f t="shared" si="218"/>
        <v>2.1359448275862069E-3</v>
      </c>
      <c r="BL243" s="197" t="s">
        <v>2829</v>
      </c>
      <c r="BM243" s="393">
        <v>4.8240000000000002E-3</v>
      </c>
      <c r="BN243" s="377">
        <v>0.27500000000000002</v>
      </c>
      <c r="BO243" s="1190">
        <f t="shared" si="212"/>
        <v>6.6537931034482767E-3</v>
      </c>
      <c r="BP243" s="377">
        <v>0</v>
      </c>
      <c r="BQ243" s="378">
        <v>0</v>
      </c>
      <c r="BR243" s="393"/>
      <c r="BS243" s="377">
        <v>0.04</v>
      </c>
      <c r="BT243" s="377"/>
      <c r="BU243" s="1205">
        <f>IF(BL243="N/A","",BO243*(1+BS243))</f>
        <v>6.9199448275862078E-3</v>
      </c>
      <c r="BV243" s="197" t="s">
        <v>2833</v>
      </c>
      <c r="BW243" s="393">
        <v>9.6410000000000003E-3</v>
      </c>
      <c r="BX243" s="377">
        <v>0.27500000000000002</v>
      </c>
      <c r="BY243" s="1190">
        <f t="shared" si="213"/>
        <v>1.3297931034482759E-2</v>
      </c>
      <c r="BZ243" s="377">
        <v>0</v>
      </c>
      <c r="CA243" s="378">
        <v>0</v>
      </c>
      <c r="CB243" s="393"/>
      <c r="CC243" s="377">
        <v>0.04</v>
      </c>
      <c r="CD243" s="377"/>
      <c r="CE243" s="1205">
        <f t="shared" ref="CE243:CE250" si="236">IF(BV243="N/A","",BY243*(1+CC243))</f>
        <v>1.382984827586207E-2</v>
      </c>
    </row>
    <row r="244" spans="1:83" s="1127" customFormat="1">
      <c r="A244" s="291" t="b">
        <v>0</v>
      </c>
      <c r="B244" s="291" t="s">
        <v>2244</v>
      </c>
      <c r="C244" s="291" t="b">
        <f t="shared" si="193"/>
        <v>1</v>
      </c>
      <c r="D244" s="388" t="str">
        <f>IF(C244=FALSE=NAMES!$B$8,"",IF(L244="N/A","N/A",O244&amp;N244&amp;L244&amp;"-"&amp;M244&amp;" ("&amp;U244&amp;"/"&amp;V244&amp;")"))</f>
        <v/>
      </c>
      <c r="E244" s="392" t="str">
        <f t="shared" si="221"/>
        <v>2016EURAnker Verzekeringen n.v.-Formula 3 (42/365)</v>
      </c>
      <c r="F244" s="1236" t="str">
        <f t="shared" si="207"/>
        <v>2016EURAnker Verzekeringen n.v.-Death AccidentFormula 3</v>
      </c>
      <c r="G244" s="1240" t="str">
        <f t="shared" si="208"/>
        <v>2016EURAnker Verzekeringen n.v.-Death illnessFormula 3</v>
      </c>
      <c r="H244" s="1240" t="str">
        <f t="shared" si="209"/>
        <v>2016EURAnker Verzekeringen n.v.-Permanent Disability AccidentFormula 3</v>
      </c>
      <c r="I244" s="1240" t="str">
        <f t="shared" si="210"/>
        <v>2016EURAnker Verzekeringen n.v.-Permanent Disability illnessFormula 3</v>
      </c>
      <c r="J244" s="1240" t="str">
        <f t="shared" si="198"/>
        <v>2016EURAnker Verzekeringen n.v.-Temporary Disability Accident (100%/42/365)</v>
      </c>
      <c r="K244" s="1240" t="str">
        <f t="shared" si="199"/>
        <v>2016EURAnker Verzekeringen n.v.-Temporary Disability illness (100%/42/365)</v>
      </c>
      <c r="L244" s="392" t="s">
        <v>7</v>
      </c>
      <c r="M244" s="1109" t="s">
        <v>88</v>
      </c>
      <c r="N244" s="392" t="s">
        <v>32</v>
      </c>
      <c r="O244" s="376">
        <v>2016</v>
      </c>
      <c r="P244" s="376" t="s">
        <v>2234</v>
      </c>
      <c r="Q244" s="376"/>
      <c r="R244" s="377">
        <v>0.1</v>
      </c>
      <c r="S244" s="1109"/>
      <c r="T244" s="387">
        <v>1</v>
      </c>
      <c r="U244" s="1109">
        <v>42</v>
      </c>
      <c r="V244" s="1109">
        <v>365</v>
      </c>
      <c r="W244" s="373">
        <f t="shared" si="200"/>
        <v>2.4042758620689657E-2</v>
      </c>
      <c r="X244" s="197" t="s">
        <v>6</v>
      </c>
      <c r="Y244" s="1410">
        <v>5.0100000000000003E-4</v>
      </c>
      <c r="Z244" s="377">
        <v>0.27500000000000002</v>
      </c>
      <c r="AA244" s="1190">
        <f t="shared" si="233"/>
        <v>6.9103448275862072E-4</v>
      </c>
      <c r="AB244" s="377">
        <v>0</v>
      </c>
      <c r="AC244" s="378">
        <v>0</v>
      </c>
      <c r="AD244" s="393"/>
      <c r="AE244" s="377">
        <v>0.04</v>
      </c>
      <c r="AF244" s="377"/>
      <c r="AG244" s="1205">
        <f t="shared" si="234"/>
        <v>7.1867586206896558E-4</v>
      </c>
      <c r="AH244" s="197" t="s">
        <v>2114</v>
      </c>
      <c r="AI244" s="393">
        <v>1.253E-3</v>
      </c>
      <c r="AJ244" s="377">
        <v>0.27500000000000002</v>
      </c>
      <c r="AK244" s="1190">
        <f t="shared" si="215"/>
        <v>1.7282758620689655E-3</v>
      </c>
      <c r="AL244" s="377">
        <v>0</v>
      </c>
      <c r="AM244" s="378">
        <v>0</v>
      </c>
      <c r="AN244" s="393"/>
      <c r="AO244" s="377">
        <v>0.04</v>
      </c>
      <c r="AP244" s="377"/>
      <c r="AQ244" s="1205">
        <f t="shared" si="235"/>
        <v>1.7974068965517242E-3</v>
      </c>
      <c r="AR244" s="197" t="s">
        <v>9</v>
      </c>
      <c r="AS244" s="393">
        <v>6.1899999999999998E-4</v>
      </c>
      <c r="AT244" s="377">
        <v>0.27500000000000002</v>
      </c>
      <c r="AU244" s="1190">
        <f t="shared" si="216"/>
        <v>8.5379310344827581E-4</v>
      </c>
      <c r="AV244" s="377">
        <v>0</v>
      </c>
      <c r="AW244" s="378">
        <v>0</v>
      </c>
      <c r="AX244" s="393"/>
      <c r="AY244" s="377">
        <v>0.04</v>
      </c>
      <c r="AZ244" s="377"/>
      <c r="BA244" s="1205">
        <f t="shared" si="229"/>
        <v>8.8794482758620692E-4</v>
      </c>
      <c r="BB244" s="197" t="s">
        <v>2115</v>
      </c>
      <c r="BC244" s="393">
        <v>1.4890000000000001E-3</v>
      </c>
      <c r="BD244" s="377">
        <v>0.27500000000000002</v>
      </c>
      <c r="BE244" s="1190">
        <f t="shared" si="204"/>
        <v>2.0537931034482759E-3</v>
      </c>
      <c r="BF244" s="377">
        <v>0</v>
      </c>
      <c r="BG244" s="378">
        <v>0</v>
      </c>
      <c r="BH244" s="393"/>
      <c r="BI244" s="377">
        <v>0.04</v>
      </c>
      <c r="BJ244" s="377"/>
      <c r="BK244" s="1205">
        <f t="shared" si="218"/>
        <v>2.1359448275862069E-3</v>
      </c>
      <c r="BL244" s="197" t="s">
        <v>2830</v>
      </c>
      <c r="BM244" s="393">
        <v>4.5250000000000004E-3</v>
      </c>
      <c r="BN244" s="377">
        <v>0.27500000000000002</v>
      </c>
      <c r="BO244" s="1190">
        <f t="shared" si="212"/>
        <v>6.241379310344828E-3</v>
      </c>
      <c r="BP244" s="377">
        <v>0</v>
      </c>
      <c r="BQ244" s="378">
        <v>0</v>
      </c>
      <c r="BR244" s="393"/>
      <c r="BS244" s="377">
        <v>0.04</v>
      </c>
      <c r="BT244" s="377"/>
      <c r="BU244" s="1205">
        <f t="shared" ref="BU244:BU245" si="237">IF(BL244="N/A","",BO244*(1+BS244))</f>
        <v>6.491034482758621E-3</v>
      </c>
      <c r="BV244" s="197" t="s">
        <v>2834</v>
      </c>
      <c r="BW244" s="393">
        <v>9.044E-3</v>
      </c>
      <c r="BX244" s="377">
        <v>0.27500000000000002</v>
      </c>
      <c r="BY244" s="1190">
        <f t="shared" si="213"/>
        <v>1.2474482758620689E-2</v>
      </c>
      <c r="BZ244" s="377">
        <v>0</v>
      </c>
      <c r="CA244" s="378">
        <v>0</v>
      </c>
      <c r="CB244" s="393"/>
      <c r="CC244" s="377">
        <v>0.04</v>
      </c>
      <c r="CD244" s="377"/>
      <c r="CE244" s="1205">
        <f t="shared" si="236"/>
        <v>1.2973462068965517E-2</v>
      </c>
    </row>
    <row r="245" spans="1:83" s="1127" customFormat="1">
      <c r="A245" s="291" t="b">
        <v>0</v>
      </c>
      <c r="B245" s="291" t="s">
        <v>2244</v>
      </c>
      <c r="C245" s="291" t="b">
        <f t="shared" si="193"/>
        <v>1</v>
      </c>
      <c r="D245" s="388" t="str">
        <f>IF(C245=FALSE=NAMES!$B$8,"",IF(L245="N/A","N/A",O245&amp;N245&amp;L245&amp;"-"&amp;M245&amp;" ("&amp;U245&amp;"/"&amp;V245&amp;")"))</f>
        <v/>
      </c>
      <c r="E245" s="392" t="str">
        <f t="shared" si="221"/>
        <v>2016EURAnker Verzekeringen n.v.-Formula 3 (7/365)</v>
      </c>
      <c r="F245" s="1236" t="str">
        <f t="shared" si="207"/>
        <v>2016EURAnker Verzekeringen n.v.-Death AccidentFormula 3</v>
      </c>
      <c r="G245" s="1240" t="str">
        <f t="shared" si="208"/>
        <v>2016EURAnker Verzekeringen n.v.-Death illnessFormula 3</v>
      </c>
      <c r="H245" s="1240" t="str">
        <f t="shared" si="209"/>
        <v>2016EURAnker Verzekeringen n.v.-Permanent Disability AccidentFormula 3</v>
      </c>
      <c r="I245" s="1240" t="str">
        <f t="shared" si="210"/>
        <v>2016EURAnker Verzekeringen n.v.-Permanent Disability illnessFormula 3</v>
      </c>
      <c r="J245" s="1240" t="str">
        <f t="shared" si="198"/>
        <v>2016EURAnker Verzekeringen n.v.-Temporary Disability Accident (70%/7/365)</v>
      </c>
      <c r="K245" s="1240" t="str">
        <f t="shared" si="199"/>
        <v>2016EURAnker Verzekeringen n.v.-Temporary Disability illness (70%/7/365)</v>
      </c>
      <c r="L245" s="392" t="s">
        <v>7</v>
      </c>
      <c r="M245" s="1109" t="s">
        <v>88</v>
      </c>
      <c r="N245" s="392" t="s">
        <v>32</v>
      </c>
      <c r="O245" s="376">
        <v>2016</v>
      </c>
      <c r="P245" s="376" t="s">
        <v>2234</v>
      </c>
      <c r="Q245" s="376"/>
      <c r="R245" s="377">
        <v>0.1</v>
      </c>
      <c r="S245" s="1109"/>
      <c r="T245" s="387">
        <v>0.7</v>
      </c>
      <c r="U245" s="1109">
        <v>7</v>
      </c>
      <c r="V245" s="1109">
        <v>365</v>
      </c>
      <c r="W245" s="373">
        <f t="shared" si="200"/>
        <v>2.5278620689655175E-2</v>
      </c>
      <c r="X245" s="197" t="s">
        <v>6</v>
      </c>
      <c r="Y245" s="1410">
        <v>5.0100000000000003E-4</v>
      </c>
      <c r="Z245" s="377">
        <v>0.27500000000000002</v>
      </c>
      <c r="AA245" s="1190">
        <f t="shared" si="233"/>
        <v>6.9103448275862072E-4</v>
      </c>
      <c r="AB245" s="377">
        <v>0</v>
      </c>
      <c r="AC245" s="378">
        <v>0</v>
      </c>
      <c r="AD245" s="393"/>
      <c r="AE245" s="377">
        <v>0.04</v>
      </c>
      <c r="AF245" s="377"/>
      <c r="AG245" s="1205">
        <f t="shared" si="234"/>
        <v>7.1867586206896558E-4</v>
      </c>
      <c r="AH245" s="197" t="s">
        <v>2114</v>
      </c>
      <c r="AI245" s="393">
        <v>1.253E-3</v>
      </c>
      <c r="AJ245" s="377">
        <v>0.27500000000000002</v>
      </c>
      <c r="AK245" s="1190">
        <f t="shared" si="215"/>
        <v>1.7282758620689655E-3</v>
      </c>
      <c r="AL245" s="377">
        <v>0</v>
      </c>
      <c r="AM245" s="378">
        <v>0</v>
      </c>
      <c r="AN245" s="393"/>
      <c r="AO245" s="377">
        <v>0.04</v>
      </c>
      <c r="AP245" s="377"/>
      <c r="AQ245" s="1205">
        <f t="shared" si="235"/>
        <v>1.7974068965517242E-3</v>
      </c>
      <c r="AR245" s="197" t="s">
        <v>9</v>
      </c>
      <c r="AS245" s="393">
        <v>6.1899999999999998E-4</v>
      </c>
      <c r="AT245" s="377">
        <v>0.27500000000000002</v>
      </c>
      <c r="AU245" s="1190">
        <f t="shared" si="216"/>
        <v>8.5379310344827581E-4</v>
      </c>
      <c r="AV245" s="377">
        <v>0</v>
      </c>
      <c r="AW245" s="378">
        <v>0</v>
      </c>
      <c r="AX245" s="393"/>
      <c r="AY245" s="377">
        <v>0.04</v>
      </c>
      <c r="AZ245" s="377"/>
      <c r="BA245" s="1205">
        <f t="shared" si="229"/>
        <v>8.8794482758620692E-4</v>
      </c>
      <c r="BB245" s="197" t="s">
        <v>2115</v>
      </c>
      <c r="BC245" s="393">
        <v>1.4890000000000001E-3</v>
      </c>
      <c r="BD245" s="377">
        <v>0.27500000000000002</v>
      </c>
      <c r="BE245" s="1190">
        <f t="shared" si="204"/>
        <v>2.0537931034482759E-3</v>
      </c>
      <c r="BF245" s="377">
        <v>0</v>
      </c>
      <c r="BG245" s="378">
        <v>0</v>
      </c>
      <c r="BH245" s="393"/>
      <c r="BI245" s="377">
        <v>0.04</v>
      </c>
      <c r="BJ245" s="377"/>
      <c r="BK245" s="1205">
        <f t="shared" si="218"/>
        <v>2.1359448275862069E-3</v>
      </c>
      <c r="BL245" s="197" t="s">
        <v>2831</v>
      </c>
      <c r="BM245" s="393">
        <v>4.8240000000000002E-3</v>
      </c>
      <c r="BN245" s="377">
        <v>0.27500000000000002</v>
      </c>
      <c r="BO245" s="1190">
        <f t="shared" si="212"/>
        <v>6.6537931034482767E-3</v>
      </c>
      <c r="BP245" s="377">
        <v>0</v>
      </c>
      <c r="BQ245" s="378">
        <v>0</v>
      </c>
      <c r="BR245" s="393"/>
      <c r="BS245" s="377">
        <v>0.04</v>
      </c>
      <c r="BT245" s="377"/>
      <c r="BU245" s="1205">
        <f t="shared" si="237"/>
        <v>6.9199448275862078E-3</v>
      </c>
      <c r="BV245" s="197" t="s">
        <v>2835</v>
      </c>
      <c r="BW245" s="393">
        <v>9.6410000000000003E-3</v>
      </c>
      <c r="BX245" s="377">
        <v>0.27500000000000002</v>
      </c>
      <c r="BY245" s="1190">
        <f t="shared" si="213"/>
        <v>1.3297931034482759E-2</v>
      </c>
      <c r="BZ245" s="377">
        <v>0</v>
      </c>
      <c r="CA245" s="378">
        <v>0</v>
      </c>
      <c r="CB245" s="393"/>
      <c r="CC245" s="377">
        <v>0.04</v>
      </c>
      <c r="CD245" s="377"/>
      <c r="CE245" s="1205">
        <f t="shared" si="236"/>
        <v>1.382984827586207E-2</v>
      </c>
    </row>
    <row r="246" spans="1:83" s="1127" customFormat="1">
      <c r="A246" s="291" t="b">
        <v>0</v>
      </c>
      <c r="B246" s="291" t="s">
        <v>2244</v>
      </c>
      <c r="C246" s="291" t="b">
        <f t="shared" si="193"/>
        <v>1</v>
      </c>
      <c r="D246" s="388" t="str">
        <f>IF(C246=FALSE=NAMES!$B$8,"",IF(L246="N/A","N/A",O246&amp;N246&amp;L246&amp;"-"&amp;M246&amp;" ("&amp;U246&amp;"/"&amp;V246&amp;")"))</f>
        <v/>
      </c>
      <c r="E246" s="392" t="str">
        <f t="shared" si="221"/>
        <v>N/A</v>
      </c>
      <c r="F246" s="1236" t="str">
        <f t="shared" si="207"/>
        <v>N/A</v>
      </c>
      <c r="G246" s="1240" t="str">
        <f t="shared" si="208"/>
        <v>N/A</v>
      </c>
      <c r="H246" s="1240" t="str">
        <f t="shared" si="209"/>
        <v>N/A</v>
      </c>
      <c r="I246" s="1240" t="str">
        <f t="shared" si="210"/>
        <v>N/A</v>
      </c>
      <c r="J246" s="1240" t="str">
        <f t="shared" si="198"/>
        <v>N/A</v>
      </c>
      <c r="K246" s="1240" t="str">
        <f t="shared" si="199"/>
        <v>N/A</v>
      </c>
      <c r="L246" s="389" t="s">
        <v>2224</v>
      </c>
      <c r="M246" s="1109"/>
      <c r="N246" s="392"/>
      <c r="O246" s="376"/>
      <c r="P246" s="376"/>
      <c r="Q246" s="376"/>
      <c r="R246" s="377"/>
      <c r="S246" s="1109"/>
      <c r="T246" s="387"/>
      <c r="U246" s="1109"/>
      <c r="V246" s="1109"/>
      <c r="W246" s="373" t="str">
        <f t="shared" si="200"/>
        <v/>
      </c>
      <c r="X246" s="388" t="s">
        <v>2224</v>
      </c>
      <c r="Y246" s="1410"/>
      <c r="Z246" s="377"/>
      <c r="AA246" s="1190" t="str">
        <f t="shared" si="233"/>
        <v/>
      </c>
      <c r="AB246" s="377"/>
      <c r="AC246" s="378"/>
      <c r="AD246" s="393"/>
      <c r="AE246" s="377"/>
      <c r="AF246" s="377"/>
      <c r="AG246" s="1205"/>
      <c r="AH246" s="388" t="s">
        <v>2224</v>
      </c>
      <c r="AI246" s="1171"/>
      <c r="AJ246" s="1171"/>
      <c r="AK246" s="1190">
        <f t="shared" si="215"/>
        <v>0</v>
      </c>
      <c r="AL246" s="1171"/>
      <c r="AM246" s="1171"/>
      <c r="AN246" s="393"/>
      <c r="AO246" s="1171"/>
      <c r="AP246" s="1171"/>
      <c r="AQ246" s="1205"/>
      <c r="AR246" s="388" t="s">
        <v>2224</v>
      </c>
      <c r="AS246" s="393"/>
      <c r="AT246" s="377"/>
      <c r="AU246" s="1190" t="str">
        <f t="shared" si="216"/>
        <v/>
      </c>
      <c r="AV246" s="377">
        <v>0</v>
      </c>
      <c r="AW246" s="378">
        <v>0</v>
      </c>
      <c r="AX246" s="393"/>
      <c r="AY246" s="377"/>
      <c r="AZ246" s="377"/>
      <c r="BA246" s="1205" t="str">
        <f>IF(AR246="N/A","",AU246*(1+AY246))</f>
        <v/>
      </c>
      <c r="BB246" s="388" t="s">
        <v>2224</v>
      </c>
      <c r="BC246" s="393"/>
      <c r="BD246" s="377"/>
      <c r="BE246" s="1190">
        <f t="shared" si="204"/>
        <v>0</v>
      </c>
      <c r="BF246" s="377">
        <v>0</v>
      </c>
      <c r="BG246" s="378">
        <v>0</v>
      </c>
      <c r="BH246" s="393"/>
      <c r="BI246" s="377"/>
      <c r="BJ246" s="377"/>
      <c r="BK246" s="1205" t="str">
        <f t="shared" si="218"/>
        <v/>
      </c>
      <c r="BL246" s="388" t="s">
        <v>2224</v>
      </c>
      <c r="BM246" s="393"/>
      <c r="BN246" s="377"/>
      <c r="BO246" s="1190">
        <f t="shared" si="212"/>
        <v>0</v>
      </c>
      <c r="BP246" s="377">
        <v>0</v>
      </c>
      <c r="BQ246" s="378">
        <v>0</v>
      </c>
      <c r="BR246" s="393"/>
      <c r="BS246" s="377"/>
      <c r="BT246" s="377"/>
      <c r="BU246" s="1205" t="str">
        <f>IF(BL246="N/A","",BO246*(1+BS246))</f>
        <v/>
      </c>
      <c r="BV246" s="388" t="s">
        <v>2224</v>
      </c>
      <c r="BW246" s="393"/>
      <c r="BX246" s="377"/>
      <c r="BY246" s="1190">
        <f t="shared" si="213"/>
        <v>0</v>
      </c>
      <c r="BZ246" s="377">
        <v>0</v>
      </c>
      <c r="CA246" s="378">
        <v>0</v>
      </c>
      <c r="CB246" s="393"/>
      <c r="CC246" s="377"/>
      <c r="CD246" s="377"/>
      <c r="CE246" s="1205" t="str">
        <f t="shared" si="236"/>
        <v/>
      </c>
    </row>
    <row r="247" spans="1:83" s="1127" customFormat="1">
      <c r="A247" s="291" t="b">
        <v>0</v>
      </c>
      <c r="B247" s="291" t="s">
        <v>2244</v>
      </c>
      <c r="C247" s="291" t="b">
        <f t="shared" si="193"/>
        <v>1</v>
      </c>
      <c r="D247" s="388" t="str">
        <f>IF(C247=FALSE=NAMES!$B$8,"",IF(L247="N/A","N/A",O247&amp;N247&amp;L247&amp;"-"&amp;M247&amp;" ("&amp;U247&amp;"/"&amp;V247&amp;")"))</f>
        <v/>
      </c>
      <c r="E247" s="392" t="str">
        <f t="shared" si="221"/>
        <v>2016USDAnker Verzekeringen n.v.-Formula 3 (7/120)</v>
      </c>
      <c r="F247" s="1236" t="str">
        <f t="shared" si="207"/>
        <v>2016USDAnker Verzekeringen n.v.-Death AccidentFormula 3</v>
      </c>
      <c r="G247" s="1240" t="str">
        <f t="shared" si="208"/>
        <v>2016USDAnker Verzekeringen n.v.-Death illnessFormula 3</v>
      </c>
      <c r="H247" s="1240" t="str">
        <f t="shared" si="209"/>
        <v>2016USDAnker Verzekeringen n.v.-Permanent Disability AccidentFormula 3</v>
      </c>
      <c r="I247" s="1240" t="str">
        <f t="shared" si="210"/>
        <v>2016USDAnker Verzekeringen n.v.-Permanent Disability illnessFormula 3</v>
      </c>
      <c r="J247" s="1240" t="str">
        <f t="shared" si="198"/>
        <v>2016USDAnker Verzekeringen n.v.-Temporary Disability Accident (100%/7/120)</v>
      </c>
      <c r="K247" s="1240" t="str">
        <f t="shared" si="199"/>
        <v>2016USDAnker Verzekeringen n.v.-Temporary Disability illness (100%/7/120)</v>
      </c>
      <c r="L247" s="392" t="s">
        <v>7</v>
      </c>
      <c r="M247" s="1109" t="s">
        <v>88</v>
      </c>
      <c r="N247" s="392" t="s">
        <v>87</v>
      </c>
      <c r="O247" s="376">
        <v>2016</v>
      </c>
      <c r="P247" s="376" t="s">
        <v>2234</v>
      </c>
      <c r="Q247" s="376"/>
      <c r="R247" s="377">
        <v>0.1</v>
      </c>
      <c r="S247" s="1109"/>
      <c r="T247" s="387">
        <v>1</v>
      </c>
      <c r="U247" s="1109">
        <v>7</v>
      </c>
      <c r="V247" s="1109">
        <v>120</v>
      </c>
      <c r="W247" s="373">
        <f t="shared" si="200"/>
        <v>2.6957241379310343E-2</v>
      </c>
      <c r="X247" s="197" t="s">
        <v>6</v>
      </c>
      <c r="Y247" s="1410">
        <v>5.8600000000000004E-4</v>
      </c>
      <c r="Z247" s="377">
        <v>0.27500000000000002</v>
      </c>
      <c r="AA247" s="1190">
        <f t="shared" si="233"/>
        <v>8.0827586206896559E-4</v>
      </c>
      <c r="AB247" s="377">
        <v>0</v>
      </c>
      <c r="AC247" s="378">
        <v>0</v>
      </c>
      <c r="AD247" s="393"/>
      <c r="AE247" s="377">
        <v>0.04</v>
      </c>
      <c r="AF247" s="377"/>
      <c r="AG247" s="1205">
        <f t="shared" ref="AG247:AG264" si="238">IF(X247="N/A","",AA247*(1+AE247))</f>
        <v>8.4060689655172428E-4</v>
      </c>
      <c r="AH247" s="197" t="s">
        <v>2114</v>
      </c>
      <c r="AI247" s="393">
        <v>1.444E-3</v>
      </c>
      <c r="AJ247" s="377">
        <v>0.27500000000000002</v>
      </c>
      <c r="AK247" s="1190">
        <f t="shared" si="215"/>
        <v>1.9917241379310345E-3</v>
      </c>
      <c r="AL247" s="377">
        <v>0</v>
      </c>
      <c r="AM247" s="378">
        <v>0</v>
      </c>
      <c r="AN247" s="393"/>
      <c r="AO247" s="377">
        <v>0.04</v>
      </c>
      <c r="AP247" s="377"/>
      <c r="AQ247" s="1205">
        <f t="shared" ref="AQ247:AQ252" si="239">IF(AH247="N/A","",AK247*(1+AO247))</f>
        <v>2.0713931034482759E-3</v>
      </c>
      <c r="AR247" s="197" t="s">
        <v>9</v>
      </c>
      <c r="AS247" s="393">
        <v>7.0699999999999995E-4</v>
      </c>
      <c r="AT247" s="377">
        <v>0.27500000000000002</v>
      </c>
      <c r="AU247" s="1190">
        <f t="shared" si="216"/>
        <v>9.7517241379310336E-4</v>
      </c>
      <c r="AV247" s="377">
        <v>0</v>
      </c>
      <c r="AW247" s="378">
        <v>0</v>
      </c>
      <c r="AX247" s="393"/>
      <c r="AY247" s="377">
        <v>0.04</v>
      </c>
      <c r="AZ247" s="377"/>
      <c r="BA247" s="1205">
        <f t="shared" ref="BA247:BA256" si="240">IF(AR247="N/A","",AU247*(1+AY247))</f>
        <v>1.0141793103448276E-3</v>
      </c>
      <c r="BB247" s="197" t="s">
        <v>2115</v>
      </c>
      <c r="BC247" s="393">
        <v>1.01E-3</v>
      </c>
      <c r="BD247" s="377">
        <v>0.27500000000000002</v>
      </c>
      <c r="BE247" s="1190">
        <f t="shared" si="204"/>
        <v>1.3931034482758621E-3</v>
      </c>
      <c r="BF247" s="377">
        <v>0</v>
      </c>
      <c r="BG247" s="378">
        <v>0</v>
      </c>
      <c r="BH247" s="393"/>
      <c r="BI247" s="377">
        <v>0.04</v>
      </c>
      <c r="BJ247" s="377"/>
      <c r="BK247" s="1205">
        <f t="shared" si="218"/>
        <v>1.4488275862068966E-3</v>
      </c>
      <c r="BL247" s="197" t="s">
        <v>2827</v>
      </c>
      <c r="BM247" s="393">
        <v>6.7759999999999999E-3</v>
      </c>
      <c r="BN247" s="377">
        <v>0.27500000000000002</v>
      </c>
      <c r="BO247" s="1190">
        <f t="shared" si="212"/>
        <v>9.3462068965517245E-3</v>
      </c>
      <c r="BP247" s="377">
        <v>0</v>
      </c>
      <c r="BQ247" s="378">
        <v>0</v>
      </c>
      <c r="BR247" s="393"/>
      <c r="BS247" s="377">
        <v>0.04</v>
      </c>
      <c r="BT247" s="377"/>
      <c r="BU247" s="1205">
        <f t="shared" ref="BU247:BU248" si="241">IF(BL247="N/A","",BO247*(1+BS247))</f>
        <v>9.7200551724137933E-3</v>
      </c>
      <c r="BV247" s="197" t="s">
        <v>2836</v>
      </c>
      <c r="BW247" s="393">
        <v>9.0209999999999995E-3</v>
      </c>
      <c r="BX247" s="377">
        <v>0.27500000000000002</v>
      </c>
      <c r="BY247" s="1190">
        <f t="shared" si="213"/>
        <v>1.2442758620689654E-2</v>
      </c>
      <c r="BZ247" s="377">
        <v>0</v>
      </c>
      <c r="CA247" s="378">
        <v>0</v>
      </c>
      <c r="CB247" s="393"/>
      <c r="CC247" s="377">
        <v>0.04</v>
      </c>
      <c r="CD247" s="377"/>
      <c r="CE247" s="1205">
        <f t="shared" si="236"/>
        <v>1.2940468965517241E-2</v>
      </c>
    </row>
    <row r="248" spans="1:83" s="1127" customFormat="1">
      <c r="A248" s="291" t="b">
        <v>0</v>
      </c>
      <c r="B248" s="291" t="s">
        <v>2244</v>
      </c>
      <c r="C248" s="291" t="b">
        <f t="shared" si="193"/>
        <v>1</v>
      </c>
      <c r="D248" s="388" t="str">
        <f>IF(C248=FALSE=NAMES!$B$8,"",IF(L248="N/A","N/A",O248&amp;N248&amp;L248&amp;"-"&amp;M248&amp;" ("&amp;U248&amp;"/"&amp;V248&amp;")"))</f>
        <v/>
      </c>
      <c r="E248" s="392" t="str">
        <f t="shared" si="221"/>
        <v>2016USDAnker Verzekeringen n.v.-Formula 3 (7/365)</v>
      </c>
      <c r="F248" s="1236" t="str">
        <f t="shared" si="207"/>
        <v>2016USDAnker Verzekeringen n.v.-Death AccidentFormula 3</v>
      </c>
      <c r="G248" s="1240" t="str">
        <f t="shared" si="208"/>
        <v>2016USDAnker Verzekeringen n.v.-Death illnessFormula 3</v>
      </c>
      <c r="H248" s="1240" t="str">
        <f t="shared" si="209"/>
        <v>2016USDAnker Verzekeringen n.v.-Permanent Disability AccidentFormula 3</v>
      </c>
      <c r="I248" s="1240" t="str">
        <f t="shared" si="210"/>
        <v>2016USDAnker Verzekeringen n.v.-Permanent Disability illnessFormula 3</v>
      </c>
      <c r="J248" s="1240" t="str">
        <f t="shared" si="198"/>
        <v>2016USDAnker Verzekeringen n.v.-Temporary Disability Accident (100%/7/365)</v>
      </c>
      <c r="K248" s="1240" t="str">
        <f t="shared" si="199"/>
        <v>2016USDAnker Verzekeringen n.v.-Temporary Disability illness (100%/7/365)</v>
      </c>
      <c r="L248" s="392" t="s">
        <v>7</v>
      </c>
      <c r="M248" s="1109" t="s">
        <v>88</v>
      </c>
      <c r="N248" s="392" t="s">
        <v>87</v>
      </c>
      <c r="O248" s="376">
        <v>2016</v>
      </c>
      <c r="P248" s="376" t="s">
        <v>2234</v>
      </c>
      <c r="Q248" s="376"/>
      <c r="R248" s="377">
        <v>0.1</v>
      </c>
      <c r="S248" s="1109"/>
      <c r="T248" s="387">
        <v>1</v>
      </c>
      <c r="U248" s="1109">
        <v>7</v>
      </c>
      <c r="V248" s="1109">
        <v>365</v>
      </c>
      <c r="W248" s="373">
        <f t="shared" si="200"/>
        <v>3.3222068965517243E-2</v>
      </c>
      <c r="X248" s="197" t="s">
        <v>6</v>
      </c>
      <c r="Y248" s="1410">
        <v>5.8600000000000004E-4</v>
      </c>
      <c r="Z248" s="377">
        <v>0.27500000000000002</v>
      </c>
      <c r="AA248" s="1190">
        <f t="shared" si="233"/>
        <v>8.0827586206896559E-4</v>
      </c>
      <c r="AB248" s="377">
        <v>0</v>
      </c>
      <c r="AC248" s="378">
        <v>0</v>
      </c>
      <c r="AD248" s="393"/>
      <c r="AE248" s="377">
        <v>0.04</v>
      </c>
      <c r="AF248" s="377"/>
      <c r="AG248" s="1205">
        <f t="shared" si="238"/>
        <v>8.4060689655172428E-4</v>
      </c>
      <c r="AH248" s="197" t="s">
        <v>2114</v>
      </c>
      <c r="AI248" s="393">
        <v>1.444E-3</v>
      </c>
      <c r="AJ248" s="377">
        <v>0.27500000000000002</v>
      </c>
      <c r="AK248" s="1190">
        <f t="shared" si="215"/>
        <v>1.9917241379310345E-3</v>
      </c>
      <c r="AL248" s="377">
        <v>0</v>
      </c>
      <c r="AM248" s="378">
        <v>0</v>
      </c>
      <c r="AN248" s="393"/>
      <c r="AO248" s="377">
        <v>0.04</v>
      </c>
      <c r="AP248" s="377"/>
      <c r="AQ248" s="1205">
        <f t="shared" si="239"/>
        <v>2.0713931034482759E-3</v>
      </c>
      <c r="AR248" s="197" t="s">
        <v>9</v>
      </c>
      <c r="AS248" s="393">
        <v>7.0699999999999995E-4</v>
      </c>
      <c r="AT248" s="377">
        <v>0.27500000000000002</v>
      </c>
      <c r="AU248" s="1190">
        <f t="shared" si="216"/>
        <v>9.7517241379310336E-4</v>
      </c>
      <c r="AV248" s="377">
        <v>0</v>
      </c>
      <c r="AW248" s="378">
        <v>0</v>
      </c>
      <c r="AX248" s="393"/>
      <c r="AY248" s="377">
        <v>0.04</v>
      </c>
      <c r="AZ248" s="377"/>
      <c r="BA248" s="1205">
        <f t="shared" si="240"/>
        <v>1.0141793103448276E-3</v>
      </c>
      <c r="BB248" s="197" t="s">
        <v>2115</v>
      </c>
      <c r="BC248" s="393">
        <v>1.01E-3</v>
      </c>
      <c r="BD248" s="377">
        <v>0.27500000000000002</v>
      </c>
      <c r="BE248" s="1190">
        <f t="shared" si="204"/>
        <v>1.3931034482758621E-3</v>
      </c>
      <c r="BF248" s="377">
        <v>0</v>
      </c>
      <c r="BG248" s="378">
        <v>0</v>
      </c>
      <c r="BH248" s="393"/>
      <c r="BI248" s="377">
        <v>0.04</v>
      </c>
      <c r="BJ248" s="377"/>
      <c r="BK248" s="1205">
        <f t="shared" si="218"/>
        <v>1.4488275862068966E-3</v>
      </c>
      <c r="BL248" s="197" t="s">
        <v>2828</v>
      </c>
      <c r="BM248" s="393">
        <v>6.7759999999999999E-3</v>
      </c>
      <c r="BN248" s="377">
        <v>0.27500000000000002</v>
      </c>
      <c r="BO248" s="1190">
        <f t="shared" si="212"/>
        <v>9.3462068965517245E-3</v>
      </c>
      <c r="BP248" s="377">
        <v>0</v>
      </c>
      <c r="BQ248" s="378">
        <v>0</v>
      </c>
      <c r="BR248" s="393"/>
      <c r="BS248" s="377">
        <v>0.04</v>
      </c>
      <c r="BT248" s="377"/>
      <c r="BU248" s="1205">
        <f t="shared" si="241"/>
        <v>9.7200551724137933E-3</v>
      </c>
      <c r="BV248" s="197" t="s">
        <v>2832</v>
      </c>
      <c r="BW248" s="393">
        <v>1.3563E-2</v>
      </c>
      <c r="BX248" s="377">
        <v>0.27500000000000002</v>
      </c>
      <c r="BY248" s="1190">
        <f t="shared" si="213"/>
        <v>1.8707586206896554E-2</v>
      </c>
      <c r="BZ248" s="377">
        <v>0</v>
      </c>
      <c r="CA248" s="378">
        <v>0</v>
      </c>
      <c r="CB248" s="393"/>
      <c r="CC248" s="377">
        <v>0.04</v>
      </c>
      <c r="CD248" s="377"/>
      <c r="CE248" s="1205">
        <f t="shared" si="236"/>
        <v>1.9455889655172417E-2</v>
      </c>
    </row>
    <row r="249" spans="1:83" s="1127" customFormat="1">
      <c r="A249" s="291" t="b">
        <v>0</v>
      </c>
      <c r="B249" s="291" t="s">
        <v>2244</v>
      </c>
      <c r="C249" s="291" t="b">
        <f t="shared" si="193"/>
        <v>1</v>
      </c>
      <c r="D249" s="388" t="str">
        <f>IF(C249=FALSE=NAMES!$B$8,"",IF(L249="N/A","N/A",O249&amp;N249&amp;L249&amp;"-"&amp;M249&amp;" ("&amp;U249&amp;"/"&amp;V249&amp;")"))</f>
        <v/>
      </c>
      <c r="E249" s="392" t="str">
        <f t="shared" si="221"/>
        <v>2016USDAnker Verzekeringen n.v.-Formula 3 (28/365)</v>
      </c>
      <c r="F249" s="1236" t="str">
        <f t="shared" si="207"/>
        <v>2016USDAnker Verzekeringen n.v.-Death AccidentFormula 3</v>
      </c>
      <c r="G249" s="1240" t="str">
        <f t="shared" si="208"/>
        <v>2016USDAnker Verzekeringen n.v.-Death illnessFormula 3</v>
      </c>
      <c r="H249" s="1240" t="str">
        <f t="shared" si="209"/>
        <v>2016USDAnker Verzekeringen n.v.-Permanent Disability AccidentFormula 3</v>
      </c>
      <c r="I249" s="1240" t="str">
        <f t="shared" si="210"/>
        <v>2016USDAnker Verzekeringen n.v.-Permanent Disability illnessFormula 3</v>
      </c>
      <c r="J249" s="1240" t="str">
        <f t="shared" si="198"/>
        <v>2016USDAnker Verzekeringen n.v.-Temporary Disability Accident (100%/28/365)</v>
      </c>
      <c r="K249" s="1240" t="str">
        <f t="shared" si="199"/>
        <v>2016USDAnker Verzekeringen n.v.-Temporary Disability illness (100%/28/365)</v>
      </c>
      <c r="L249" s="392" t="s">
        <v>7</v>
      </c>
      <c r="M249" s="1109" t="s">
        <v>88</v>
      </c>
      <c r="N249" s="392" t="s">
        <v>87</v>
      </c>
      <c r="O249" s="376">
        <v>2016</v>
      </c>
      <c r="P249" s="376" t="s">
        <v>2234</v>
      </c>
      <c r="Q249" s="376"/>
      <c r="R249" s="377">
        <v>0.1</v>
      </c>
      <c r="S249" s="1109"/>
      <c r="T249" s="387">
        <v>1</v>
      </c>
      <c r="U249" s="1109">
        <v>28</v>
      </c>
      <c r="V249" s="1109">
        <v>365</v>
      </c>
      <c r="W249" s="373">
        <f t="shared" si="200"/>
        <v>2.8172413793103448E-2</v>
      </c>
      <c r="X249" s="197" t="s">
        <v>6</v>
      </c>
      <c r="Y249" s="1410">
        <v>5.8600000000000004E-4</v>
      </c>
      <c r="Z249" s="377">
        <v>0.27500000000000002</v>
      </c>
      <c r="AA249" s="1190">
        <f t="shared" si="233"/>
        <v>8.0827586206896559E-4</v>
      </c>
      <c r="AB249" s="377">
        <v>0</v>
      </c>
      <c r="AC249" s="378">
        <v>0</v>
      </c>
      <c r="AD249" s="393"/>
      <c r="AE249" s="377">
        <v>0.04</v>
      </c>
      <c r="AF249" s="377"/>
      <c r="AG249" s="1205">
        <f t="shared" si="238"/>
        <v>8.4060689655172428E-4</v>
      </c>
      <c r="AH249" s="197" t="s">
        <v>2114</v>
      </c>
      <c r="AI249" s="393">
        <v>1.444E-3</v>
      </c>
      <c r="AJ249" s="377">
        <v>0.27500000000000002</v>
      </c>
      <c r="AK249" s="1190">
        <f t="shared" si="215"/>
        <v>1.9917241379310345E-3</v>
      </c>
      <c r="AL249" s="377">
        <v>0</v>
      </c>
      <c r="AM249" s="378">
        <v>0</v>
      </c>
      <c r="AN249" s="393"/>
      <c r="AO249" s="377">
        <v>0.04</v>
      </c>
      <c r="AP249" s="377"/>
      <c r="AQ249" s="1205">
        <f t="shared" si="239"/>
        <v>2.0713931034482759E-3</v>
      </c>
      <c r="AR249" s="197" t="s">
        <v>9</v>
      </c>
      <c r="AS249" s="393">
        <v>7.0699999999999995E-4</v>
      </c>
      <c r="AT249" s="377">
        <v>0.27500000000000002</v>
      </c>
      <c r="AU249" s="1190">
        <f t="shared" si="216"/>
        <v>9.7517241379310336E-4</v>
      </c>
      <c r="AV249" s="377">
        <v>0</v>
      </c>
      <c r="AW249" s="378">
        <v>0</v>
      </c>
      <c r="AX249" s="393"/>
      <c r="AY249" s="377">
        <v>0.04</v>
      </c>
      <c r="AZ249" s="377"/>
      <c r="BA249" s="1205">
        <f t="shared" si="240"/>
        <v>1.0141793103448276E-3</v>
      </c>
      <c r="BB249" s="197" t="s">
        <v>2115</v>
      </c>
      <c r="BC249" s="393">
        <v>1.01E-3</v>
      </c>
      <c r="BD249" s="377">
        <v>0.27500000000000002</v>
      </c>
      <c r="BE249" s="1190">
        <f t="shared" si="204"/>
        <v>1.3931034482758621E-3</v>
      </c>
      <c r="BF249" s="377">
        <v>0</v>
      </c>
      <c r="BG249" s="378">
        <v>0</v>
      </c>
      <c r="BH249" s="393"/>
      <c r="BI249" s="377">
        <v>0.04</v>
      </c>
      <c r="BJ249" s="377"/>
      <c r="BK249" s="1205">
        <f t="shared" si="218"/>
        <v>1.4488275862068966E-3</v>
      </c>
      <c r="BL249" s="197" t="s">
        <v>2829</v>
      </c>
      <c r="BM249" s="393">
        <v>5.5560000000000002E-3</v>
      </c>
      <c r="BN249" s="377">
        <v>0.27500000000000002</v>
      </c>
      <c r="BO249" s="1190">
        <f t="shared" si="212"/>
        <v>7.6634482758620691E-3</v>
      </c>
      <c r="BP249" s="377">
        <v>0</v>
      </c>
      <c r="BQ249" s="378">
        <v>0</v>
      </c>
      <c r="BR249" s="393"/>
      <c r="BS249" s="377">
        <v>0.04</v>
      </c>
      <c r="BT249" s="377"/>
      <c r="BU249" s="1205">
        <f>IF(BL249="N/A","",BO249*(1+BS249))</f>
        <v>7.9699862068965521E-3</v>
      </c>
      <c r="BV249" s="197" t="s">
        <v>2833</v>
      </c>
      <c r="BW249" s="393">
        <v>1.1122E-2</v>
      </c>
      <c r="BX249" s="377">
        <v>0.27500000000000002</v>
      </c>
      <c r="BY249" s="1190">
        <f t="shared" si="213"/>
        <v>1.5340689655172414E-2</v>
      </c>
      <c r="BZ249" s="377">
        <v>0</v>
      </c>
      <c r="CA249" s="378">
        <v>0</v>
      </c>
      <c r="CB249" s="393"/>
      <c r="CC249" s="377">
        <v>0.04</v>
      </c>
      <c r="CD249" s="377"/>
      <c r="CE249" s="1205">
        <f t="shared" si="236"/>
        <v>1.5954317241379311E-2</v>
      </c>
    </row>
    <row r="250" spans="1:83" s="1127" customFormat="1">
      <c r="A250" s="291" t="b">
        <v>0</v>
      </c>
      <c r="B250" s="291" t="s">
        <v>2244</v>
      </c>
      <c r="C250" s="291" t="b">
        <f t="shared" si="193"/>
        <v>1</v>
      </c>
      <c r="D250" s="388" t="str">
        <f>IF(C250=FALSE=NAMES!$B$8,"",IF(L250="N/A","N/A",O250&amp;N250&amp;L250&amp;"-"&amp;M250&amp;" ("&amp;U250&amp;"/"&amp;V250&amp;")"))</f>
        <v/>
      </c>
      <c r="E250" s="392" t="str">
        <f t="shared" si="221"/>
        <v>2016USDAnker Verzekeringen n.v.-Formula 3 (42/365)</v>
      </c>
      <c r="F250" s="1236" t="str">
        <f t="shared" si="207"/>
        <v>2016USDAnker Verzekeringen n.v.-Death AccidentFormula 3</v>
      </c>
      <c r="G250" s="1240" t="str">
        <f t="shared" si="208"/>
        <v>2016USDAnker Verzekeringen n.v.-Death illnessFormula 3</v>
      </c>
      <c r="H250" s="1240" t="str">
        <f t="shared" si="209"/>
        <v>2016USDAnker Verzekeringen n.v.-Permanent Disability AccidentFormula 3</v>
      </c>
      <c r="I250" s="1240" t="str">
        <f t="shared" si="210"/>
        <v>2016USDAnker Verzekeringen n.v.-Permanent Disability illnessFormula 3</v>
      </c>
      <c r="J250" s="1240" t="str">
        <f t="shared" si="198"/>
        <v>2016USDAnker Verzekeringen n.v.-Temporary Disability Accident (100%/42/365)</v>
      </c>
      <c r="K250" s="1240" t="str">
        <f t="shared" si="199"/>
        <v>2016USDAnker Verzekeringen n.v.-Temporary Disability illness (100%/42/365)</v>
      </c>
      <c r="L250" s="392" t="s">
        <v>7</v>
      </c>
      <c r="M250" s="1109" t="s">
        <v>88</v>
      </c>
      <c r="N250" s="392" t="s">
        <v>87</v>
      </c>
      <c r="O250" s="376">
        <v>2016</v>
      </c>
      <c r="P250" s="376" t="s">
        <v>2234</v>
      </c>
      <c r="Q250" s="376"/>
      <c r="R250" s="377">
        <v>0.1</v>
      </c>
      <c r="S250" s="1109"/>
      <c r="T250" s="387">
        <v>1</v>
      </c>
      <c r="U250" s="1109">
        <v>42</v>
      </c>
      <c r="V250" s="1109">
        <v>365</v>
      </c>
      <c r="W250" s="373">
        <f t="shared" si="200"/>
        <v>2.6747586206896552E-2</v>
      </c>
      <c r="X250" s="197" t="s">
        <v>6</v>
      </c>
      <c r="Y250" s="1410">
        <v>5.8600000000000004E-4</v>
      </c>
      <c r="Z250" s="377">
        <v>0.27500000000000002</v>
      </c>
      <c r="AA250" s="1190">
        <f t="shared" si="233"/>
        <v>8.0827586206896559E-4</v>
      </c>
      <c r="AB250" s="377">
        <v>0</v>
      </c>
      <c r="AC250" s="378">
        <v>0</v>
      </c>
      <c r="AD250" s="393"/>
      <c r="AE250" s="377">
        <v>0.04</v>
      </c>
      <c r="AF250" s="377"/>
      <c r="AG250" s="1205">
        <f t="shared" si="238"/>
        <v>8.4060689655172428E-4</v>
      </c>
      <c r="AH250" s="197" t="s">
        <v>2114</v>
      </c>
      <c r="AI250" s="393">
        <v>1.444E-3</v>
      </c>
      <c r="AJ250" s="377">
        <v>0.27500000000000002</v>
      </c>
      <c r="AK250" s="1190">
        <f t="shared" si="215"/>
        <v>1.9917241379310345E-3</v>
      </c>
      <c r="AL250" s="377">
        <v>0</v>
      </c>
      <c r="AM250" s="378">
        <v>0</v>
      </c>
      <c r="AN250" s="393"/>
      <c r="AO250" s="377">
        <v>0.04</v>
      </c>
      <c r="AP250" s="377"/>
      <c r="AQ250" s="1205">
        <f t="shared" si="239"/>
        <v>2.0713931034482759E-3</v>
      </c>
      <c r="AR250" s="197" t="s">
        <v>9</v>
      </c>
      <c r="AS250" s="393">
        <v>7.0699999999999995E-4</v>
      </c>
      <c r="AT250" s="377">
        <v>0.27500000000000002</v>
      </c>
      <c r="AU250" s="1190">
        <f t="shared" si="216"/>
        <v>9.7517241379310336E-4</v>
      </c>
      <c r="AV250" s="377">
        <v>0</v>
      </c>
      <c r="AW250" s="378">
        <v>0</v>
      </c>
      <c r="AX250" s="393"/>
      <c r="AY250" s="377">
        <v>0.04</v>
      </c>
      <c r="AZ250" s="377"/>
      <c r="BA250" s="1205">
        <f t="shared" si="240"/>
        <v>1.0141793103448276E-3</v>
      </c>
      <c r="BB250" s="197" t="s">
        <v>2115</v>
      </c>
      <c r="BC250" s="393">
        <v>1.01E-3</v>
      </c>
      <c r="BD250" s="377">
        <v>0.27500000000000002</v>
      </c>
      <c r="BE250" s="1190">
        <f t="shared" si="204"/>
        <v>1.3931034482758621E-3</v>
      </c>
      <c r="BF250" s="377">
        <v>0</v>
      </c>
      <c r="BG250" s="378">
        <v>0</v>
      </c>
      <c r="BH250" s="393"/>
      <c r="BI250" s="377">
        <v>0.04</v>
      </c>
      <c r="BJ250" s="377"/>
      <c r="BK250" s="1205">
        <f t="shared" si="218"/>
        <v>1.4488275862068966E-3</v>
      </c>
      <c r="BL250" s="197" t="s">
        <v>2830</v>
      </c>
      <c r="BM250" s="393">
        <v>5.2119999999999996E-3</v>
      </c>
      <c r="BN250" s="377">
        <v>0.27500000000000002</v>
      </c>
      <c r="BO250" s="1190">
        <f t="shared" si="212"/>
        <v>7.1889655172413794E-3</v>
      </c>
      <c r="BP250" s="377">
        <v>0</v>
      </c>
      <c r="BQ250" s="378">
        <v>0</v>
      </c>
      <c r="BR250" s="393"/>
      <c r="BS250" s="377">
        <v>0.04</v>
      </c>
      <c r="BT250" s="377"/>
      <c r="BU250" s="1205">
        <f>IF(BL250="N/A","",BO250*(1+BS250))</f>
        <v>7.4765241379310347E-3</v>
      </c>
      <c r="BV250" s="197" t="s">
        <v>2834</v>
      </c>
      <c r="BW250" s="393">
        <v>1.0433E-2</v>
      </c>
      <c r="BX250" s="377">
        <v>0.27500000000000002</v>
      </c>
      <c r="BY250" s="1190">
        <f t="shared" si="213"/>
        <v>1.4390344827586207E-2</v>
      </c>
      <c r="BZ250" s="377">
        <v>0</v>
      </c>
      <c r="CA250" s="378">
        <v>0</v>
      </c>
      <c r="CB250" s="393"/>
      <c r="CC250" s="377">
        <v>0.04</v>
      </c>
      <c r="CD250" s="377"/>
      <c r="CE250" s="1205">
        <f t="shared" si="236"/>
        <v>1.4965958620689656E-2</v>
      </c>
    </row>
    <row r="251" spans="1:83" s="1127" customFormat="1">
      <c r="A251" s="291" t="b">
        <v>0</v>
      </c>
      <c r="B251" s="291" t="s">
        <v>2244</v>
      </c>
      <c r="C251" s="291" t="b">
        <f t="shared" si="193"/>
        <v>1</v>
      </c>
      <c r="D251" s="388" t="str">
        <f>IF(C251=FALSE=NAMES!$B$8,"",IF(L251="N/A","N/A",O251&amp;N251&amp;L251&amp;"-"&amp;M251&amp;" ("&amp;U251&amp;"/"&amp;V251&amp;")"))</f>
        <v/>
      </c>
      <c r="E251" s="392" t="str">
        <f t="shared" si="221"/>
        <v>2016USDAnker Verzekeringen n.v.-Formula 3 (7/365)</v>
      </c>
      <c r="F251" s="1236" t="str">
        <f t="shared" si="207"/>
        <v>2016USDAnker Verzekeringen n.v.-Death AccidentFormula 3</v>
      </c>
      <c r="G251" s="1240" t="str">
        <f t="shared" si="208"/>
        <v>2016USDAnker Verzekeringen n.v.-Death illnessFormula 3</v>
      </c>
      <c r="H251" s="1240" t="str">
        <f t="shared" si="209"/>
        <v>2016USDAnker Verzekeringen n.v.-Permanent Disability AccidentFormula 3</v>
      </c>
      <c r="I251" s="1240" t="str">
        <f t="shared" si="210"/>
        <v>2016USDAnker Verzekeringen n.v.-Permanent Disability illnessFormula 3</v>
      </c>
      <c r="J251" s="1240" t="str">
        <f t="shared" si="198"/>
        <v>2016USDAnker Verzekeringen n.v.-Temporary Disability Accident (70%/7/365)</v>
      </c>
      <c r="K251" s="1240" t="str">
        <f t="shared" si="199"/>
        <v>2016USDAnker Verzekeringen n.v.-Temporary Disability illness (70%/7/365)</v>
      </c>
      <c r="L251" s="392" t="s">
        <v>7</v>
      </c>
      <c r="M251" s="1109" t="s">
        <v>88</v>
      </c>
      <c r="N251" s="392" t="s">
        <v>87</v>
      </c>
      <c r="O251" s="376">
        <v>2016</v>
      </c>
      <c r="P251" s="376" t="s">
        <v>2234</v>
      </c>
      <c r="Q251" s="376"/>
      <c r="R251" s="377">
        <v>0.1</v>
      </c>
      <c r="S251" s="1109"/>
      <c r="T251" s="387">
        <v>0.7</v>
      </c>
      <c r="U251" s="1109">
        <v>7</v>
      </c>
      <c r="V251" s="1109">
        <v>365</v>
      </c>
      <c r="W251" s="373">
        <f t="shared" si="200"/>
        <v>2.8172413793103448E-2</v>
      </c>
      <c r="X251" s="197" t="s">
        <v>6</v>
      </c>
      <c r="Y251" s="1410">
        <v>5.8600000000000004E-4</v>
      </c>
      <c r="Z251" s="377">
        <v>0.27500000000000002</v>
      </c>
      <c r="AA251" s="1190">
        <f t="shared" si="233"/>
        <v>8.0827586206896559E-4</v>
      </c>
      <c r="AB251" s="377">
        <v>0</v>
      </c>
      <c r="AC251" s="378">
        <v>0</v>
      </c>
      <c r="AD251" s="393"/>
      <c r="AE251" s="377">
        <v>0.04</v>
      </c>
      <c r="AF251" s="377"/>
      <c r="AG251" s="1205">
        <f t="shared" si="238"/>
        <v>8.4060689655172428E-4</v>
      </c>
      <c r="AH251" s="197" t="s">
        <v>2114</v>
      </c>
      <c r="AI251" s="393">
        <v>1.444E-3</v>
      </c>
      <c r="AJ251" s="377">
        <v>0.27500000000000002</v>
      </c>
      <c r="AK251" s="1190">
        <f t="shared" si="215"/>
        <v>1.9917241379310345E-3</v>
      </c>
      <c r="AL251" s="377">
        <v>0</v>
      </c>
      <c r="AM251" s="378">
        <v>0</v>
      </c>
      <c r="AN251" s="393"/>
      <c r="AO251" s="377">
        <v>0.04</v>
      </c>
      <c r="AP251" s="377"/>
      <c r="AQ251" s="1205">
        <f t="shared" si="239"/>
        <v>2.0713931034482759E-3</v>
      </c>
      <c r="AR251" s="197" t="s">
        <v>9</v>
      </c>
      <c r="AS251" s="393">
        <v>7.0699999999999995E-4</v>
      </c>
      <c r="AT251" s="377">
        <v>0.27500000000000002</v>
      </c>
      <c r="AU251" s="1190">
        <f t="shared" si="216"/>
        <v>9.7517241379310336E-4</v>
      </c>
      <c r="AV251" s="377">
        <v>0</v>
      </c>
      <c r="AW251" s="378">
        <v>0</v>
      </c>
      <c r="AX251" s="393"/>
      <c r="AY251" s="377">
        <v>0.04</v>
      </c>
      <c r="AZ251" s="377"/>
      <c r="BA251" s="1205">
        <f t="shared" si="240"/>
        <v>1.0141793103448276E-3</v>
      </c>
      <c r="BB251" s="197" t="s">
        <v>2115</v>
      </c>
      <c r="BC251" s="393">
        <v>1.01E-3</v>
      </c>
      <c r="BD251" s="377">
        <v>0.27500000000000002</v>
      </c>
      <c r="BE251" s="1190">
        <f t="shared" si="204"/>
        <v>1.3931034482758621E-3</v>
      </c>
      <c r="BF251" s="377">
        <v>0</v>
      </c>
      <c r="BG251" s="378">
        <v>0</v>
      </c>
      <c r="BH251" s="393"/>
      <c r="BI251" s="377">
        <v>0.04</v>
      </c>
      <c r="BJ251" s="377"/>
      <c r="BK251" s="1205">
        <f t="shared" si="218"/>
        <v>1.4488275862068966E-3</v>
      </c>
      <c r="BL251" s="197" t="s">
        <v>2831</v>
      </c>
      <c r="BM251" s="393">
        <v>5.5560000000000002E-3</v>
      </c>
      <c r="BN251" s="377">
        <v>0.27500000000000002</v>
      </c>
      <c r="BO251" s="1190">
        <f t="shared" si="212"/>
        <v>7.6634482758620691E-3</v>
      </c>
      <c r="BP251" s="377">
        <v>0</v>
      </c>
      <c r="BQ251" s="378">
        <v>0</v>
      </c>
      <c r="BR251" s="393"/>
      <c r="BS251" s="377">
        <v>0.04</v>
      </c>
      <c r="BT251" s="377"/>
      <c r="BU251" s="1205">
        <f t="shared" ref="BU251:BU264" si="242">IF(BL251="N/A","",BO251*(1+BS251))</f>
        <v>7.9699862068965521E-3</v>
      </c>
      <c r="BV251" s="197" t="s">
        <v>2835</v>
      </c>
      <c r="BW251" s="393">
        <v>1.1122E-2</v>
      </c>
      <c r="BX251" s="377">
        <v>0.27500000000000002</v>
      </c>
      <c r="BY251" s="1190">
        <f t="shared" si="213"/>
        <v>1.5340689655172414E-2</v>
      </c>
      <c r="BZ251" s="377">
        <v>0</v>
      </c>
      <c r="CA251" s="378">
        <v>0</v>
      </c>
      <c r="CB251" s="393"/>
      <c r="CC251" s="377">
        <v>0.04</v>
      </c>
      <c r="CD251" s="377"/>
      <c r="CE251" s="1205">
        <f>IF(BV251="N/A","",BY251*(1+CC251))</f>
        <v>1.5954317241379311E-2</v>
      </c>
    </row>
    <row r="252" spans="1:83" s="1127" customFormat="1">
      <c r="A252" s="197" t="b">
        <v>0</v>
      </c>
      <c r="B252" s="291" t="s">
        <v>2244</v>
      </c>
      <c r="C252" s="197" t="b">
        <f t="shared" ref="C252:C264" si="243">IF(B252="N/A","",IF(B252="newRates",FALSE,TRUE))</f>
        <v>1</v>
      </c>
      <c r="D252" s="388" t="str">
        <f>IF(C252=FALSE=NAMES!$B$8,"",IF(L252="N/A","N/A",O252&amp;N252&amp;L252&amp;"-"&amp;M252&amp;" ("&amp;U252&amp;"/"&amp;V252&amp;")"))</f>
        <v/>
      </c>
      <c r="E252" s="392" t="str">
        <f t="shared" si="221"/>
        <v>N/A</v>
      </c>
      <c r="F252" s="1236" t="str">
        <f t="shared" si="207"/>
        <v>N/A</v>
      </c>
      <c r="G252" s="1240" t="str">
        <f t="shared" si="208"/>
        <v>N/A</v>
      </c>
      <c r="H252" s="1240" t="str">
        <f t="shared" si="209"/>
        <v>N/A</v>
      </c>
      <c r="I252" s="1240" t="str">
        <f t="shared" si="210"/>
        <v>N/A</v>
      </c>
      <c r="J252" s="1240" t="str">
        <f t="shared" si="198"/>
        <v>N/A</v>
      </c>
      <c r="K252" s="1240" t="str">
        <f t="shared" si="199"/>
        <v>N/A</v>
      </c>
      <c r="L252" s="392" t="s">
        <v>2224</v>
      </c>
      <c r="M252" s="1109"/>
      <c r="N252" s="392"/>
      <c r="O252" s="376"/>
      <c r="P252" s="376"/>
      <c r="Q252" s="376"/>
      <c r="R252" s="377"/>
      <c r="S252" s="1109"/>
      <c r="T252" s="1109"/>
      <c r="U252" s="1109"/>
      <c r="V252" s="1109"/>
      <c r="W252" s="373" t="str">
        <f t="shared" si="200"/>
        <v/>
      </c>
      <c r="X252" s="464" t="s">
        <v>2224</v>
      </c>
      <c r="Y252" s="1410"/>
      <c r="Z252" s="377"/>
      <c r="AA252" s="1190" t="str">
        <f t="shared" si="233"/>
        <v/>
      </c>
      <c r="AB252" s="377"/>
      <c r="AC252" s="393"/>
      <c r="AD252" s="393"/>
      <c r="AE252" s="377"/>
      <c r="AF252" s="377"/>
      <c r="AG252" s="1205" t="str">
        <f t="shared" si="238"/>
        <v/>
      </c>
      <c r="AH252" s="464" t="s">
        <v>2224</v>
      </c>
      <c r="AI252" s="393"/>
      <c r="AJ252" s="377"/>
      <c r="AK252" s="1190">
        <f t="shared" si="215"/>
        <v>0</v>
      </c>
      <c r="AL252" s="393"/>
      <c r="AM252" s="393"/>
      <c r="AN252" s="393"/>
      <c r="AO252" s="377"/>
      <c r="AP252" s="377"/>
      <c r="AQ252" s="1205" t="str">
        <f t="shared" si="239"/>
        <v/>
      </c>
      <c r="AR252" s="464" t="s">
        <v>2224</v>
      </c>
      <c r="AS252" s="393"/>
      <c r="AT252" s="377"/>
      <c r="AU252" s="1190" t="str">
        <f t="shared" si="216"/>
        <v/>
      </c>
      <c r="AV252" s="393"/>
      <c r="AW252" s="393"/>
      <c r="AX252" s="393"/>
      <c r="AY252" s="377"/>
      <c r="AZ252" s="377"/>
      <c r="BA252" s="1205" t="str">
        <f t="shared" si="240"/>
        <v/>
      </c>
      <c r="BB252" s="464" t="s">
        <v>2224</v>
      </c>
      <c r="BC252" s="393"/>
      <c r="BD252" s="377"/>
      <c r="BE252" s="1190">
        <f t="shared" si="204"/>
        <v>0</v>
      </c>
      <c r="BF252" s="393"/>
      <c r="BG252" s="393"/>
      <c r="BH252" s="393"/>
      <c r="BI252" s="377"/>
      <c r="BJ252" s="377"/>
      <c r="BK252" s="1205" t="str">
        <f t="shared" si="218"/>
        <v/>
      </c>
      <c r="BL252" s="464" t="s">
        <v>2224</v>
      </c>
      <c r="BM252" s="1109"/>
      <c r="BN252" s="1109"/>
      <c r="BO252" s="1190">
        <f t="shared" si="212"/>
        <v>0</v>
      </c>
      <c r="BP252" s="1109"/>
      <c r="BQ252" s="1109"/>
      <c r="BR252" s="393"/>
      <c r="BS252" s="1109"/>
      <c r="BT252" s="1109"/>
      <c r="BU252" s="1205" t="str">
        <f t="shared" si="242"/>
        <v/>
      </c>
      <c r="BV252" s="464" t="s">
        <v>2224</v>
      </c>
      <c r="BW252" s="1109"/>
      <c r="BX252" s="1109"/>
      <c r="BY252" s="1190">
        <f t="shared" si="213"/>
        <v>0</v>
      </c>
      <c r="BZ252" s="1109"/>
      <c r="CA252" s="1109"/>
      <c r="CB252" s="1109"/>
      <c r="CC252" s="1109"/>
      <c r="CD252" s="1109"/>
      <c r="CE252" s="1205" t="str">
        <f t="shared" ref="CE252:CE264" si="244">IF(BV252="N/A","",BY252*(1+CC252))</f>
        <v/>
      </c>
    </row>
    <row r="253" spans="1:83" s="525" customFormat="1">
      <c r="A253" s="291" t="b">
        <v>0</v>
      </c>
      <c r="B253" s="291" t="s">
        <v>2244</v>
      </c>
      <c r="C253" s="291" t="b">
        <f t="shared" ref="C253:C258" si="245">IF(B253="N/A","",IF(B253="newRates",FALSE,TRUE))</f>
        <v>1</v>
      </c>
      <c r="D253" s="388" t="str">
        <f>IF(C253=FALSE=NAMES!$B$8,"",IF(L253="N/A","N/A",O253&amp;N253&amp;L253&amp;"-"&amp;M253&amp;" ("&amp;U253&amp;"/"&amp;V253&amp;")"))</f>
        <v/>
      </c>
      <c r="E253" s="392" t="str">
        <f t="shared" ref="E253:E259" si="246">IF(L253="N/A","N/A",O253&amp;N253&amp;L253&amp;"-"&amp;M253)</f>
        <v>2015EURAIG Luxembourg-Formula 1C accident</v>
      </c>
      <c r="F253" s="1236" t="str">
        <f t="shared" si="207"/>
        <v>2015EURAIG Luxembourg-Death AccidentFormula 1C accident</v>
      </c>
      <c r="G253" s="1240" t="str">
        <f t="shared" si="208"/>
        <v>N/A</v>
      </c>
      <c r="H253" s="1240" t="str">
        <f t="shared" si="209"/>
        <v>2015EURAIG Luxembourg-Permanent Disability AccidentFormula 1C accident</v>
      </c>
      <c r="I253" s="1240" t="str">
        <f t="shared" si="210"/>
        <v>N/A</v>
      </c>
      <c r="J253" s="1240" t="str">
        <f t="shared" si="198"/>
        <v>N/A</v>
      </c>
      <c r="K253" s="1240" t="str">
        <f t="shared" si="199"/>
        <v>N/A</v>
      </c>
      <c r="L253" s="392" t="s">
        <v>4</v>
      </c>
      <c r="M253" s="1109" t="s">
        <v>2813</v>
      </c>
      <c r="N253" s="392" t="s">
        <v>32</v>
      </c>
      <c r="O253" s="376">
        <v>2015</v>
      </c>
      <c r="P253" s="376" t="s">
        <v>26</v>
      </c>
      <c r="Q253" s="376"/>
      <c r="R253" s="377">
        <v>0.05</v>
      </c>
      <c r="S253" s="1151"/>
      <c r="T253" s="1151"/>
      <c r="U253" s="1151"/>
      <c r="V253" s="382">
        <v>365</v>
      </c>
      <c r="W253" s="373">
        <f t="shared" si="200"/>
        <v>1.7596000000000001E-3</v>
      </c>
      <c r="X253" s="197" t="s">
        <v>6</v>
      </c>
      <c r="Y253" s="1410"/>
      <c r="Z253" s="377">
        <v>0.25</v>
      </c>
      <c r="AA253" s="625">
        <v>8.7980000000000003E-4</v>
      </c>
      <c r="AB253" s="377">
        <v>0</v>
      </c>
      <c r="AC253" s="378">
        <v>0</v>
      </c>
      <c r="AD253" s="393"/>
      <c r="AE253" s="377">
        <v>0.04</v>
      </c>
      <c r="AF253" s="377"/>
      <c r="AG253" s="1205">
        <f t="shared" ref="AG253:AG258" si="247">IF(X253="N/A","",AA253*(1+AE253))</f>
        <v>9.1499200000000011E-4</v>
      </c>
      <c r="AH253" s="388" t="s">
        <v>2224</v>
      </c>
      <c r="AI253" s="393"/>
      <c r="AJ253" s="377"/>
      <c r="AK253" s="1190">
        <f t="shared" si="215"/>
        <v>0</v>
      </c>
      <c r="AL253" s="377"/>
      <c r="AM253" s="378"/>
      <c r="AN253" s="393"/>
      <c r="AO253" s="377"/>
      <c r="AP253" s="377"/>
      <c r="AQ253" s="1205" t="str">
        <f t="shared" ref="AQ253:AQ258" si="248">IF(AH253="N/A","",AK253*(1+AO253))</f>
        <v/>
      </c>
      <c r="AR253" s="197" t="s">
        <v>9</v>
      </c>
      <c r="AS253" s="386"/>
      <c r="AT253" s="377">
        <v>0.25</v>
      </c>
      <c r="AU253" s="625">
        <v>8.7980000000000003E-4</v>
      </c>
      <c r="AV253" s="377">
        <v>0</v>
      </c>
      <c r="AW253" s="378">
        <v>0</v>
      </c>
      <c r="AX253" s="393"/>
      <c r="AY253" s="377">
        <v>0.04</v>
      </c>
      <c r="AZ253" s="377"/>
      <c r="BA253" s="1205">
        <f t="shared" si="240"/>
        <v>9.1499200000000011E-4</v>
      </c>
      <c r="BB253" s="388" t="s">
        <v>2224</v>
      </c>
      <c r="BC253" s="393"/>
      <c r="BD253" s="377"/>
      <c r="BE253" s="1190">
        <f t="shared" si="204"/>
        <v>0</v>
      </c>
      <c r="BF253" s="377"/>
      <c r="BG253" s="378"/>
      <c r="BH253" s="393"/>
      <c r="BI253" s="377"/>
      <c r="BJ253" s="377"/>
      <c r="BK253" s="1205" t="str">
        <f t="shared" si="218"/>
        <v/>
      </c>
      <c r="BL253" s="464" t="s">
        <v>2224</v>
      </c>
      <c r="BM253" s="1151"/>
      <c r="BN253" s="1151"/>
      <c r="BO253" s="1190">
        <f t="shared" si="212"/>
        <v>0</v>
      </c>
      <c r="BP253" s="1151"/>
      <c r="BQ253" s="1151"/>
      <c r="BR253" s="393"/>
      <c r="BS253" s="1151"/>
      <c r="BT253" s="1151"/>
      <c r="BU253" s="1205" t="str">
        <f t="shared" si="242"/>
        <v/>
      </c>
      <c r="BV253" s="464" t="s">
        <v>2224</v>
      </c>
      <c r="BW253" s="1151"/>
      <c r="BX253" s="1151"/>
      <c r="BY253" s="1190">
        <f t="shared" si="213"/>
        <v>0</v>
      </c>
      <c r="BZ253" s="1151"/>
      <c r="CA253" s="1151"/>
      <c r="CB253" s="1109"/>
      <c r="CC253" s="1151"/>
      <c r="CD253" s="1151"/>
      <c r="CE253" s="1205" t="str">
        <f t="shared" si="244"/>
        <v/>
      </c>
    </row>
    <row r="254" spans="1:83" s="525" customFormat="1">
      <c r="A254" s="291" t="b">
        <v>0</v>
      </c>
      <c r="B254" s="291" t="s">
        <v>2244</v>
      </c>
      <c r="C254" s="291" t="b">
        <f t="shared" si="245"/>
        <v>1</v>
      </c>
      <c r="D254" s="388" t="str">
        <f>IF(C254=FALSE=NAMES!$B$8,"",IF(L254="N/A","N/A",O254&amp;N254&amp;L254&amp;"-"&amp;M254&amp;" ("&amp;U254&amp;"/"&amp;V254&amp;")"))</f>
        <v/>
      </c>
      <c r="E254" s="392" t="str">
        <f t="shared" si="246"/>
        <v>2015EURAnker Verzekeringen n.v.-Formula 1B</v>
      </c>
      <c r="F254" s="1236" t="str">
        <f t="shared" si="207"/>
        <v>2015EURAnker Verzekeringen n.v.-Death AccidentFormula 1B</v>
      </c>
      <c r="G254" s="1240" t="str">
        <f t="shared" si="208"/>
        <v>2015EURAnker Verzekeringen n.v.-Death illnessFormula 1B</v>
      </c>
      <c r="H254" s="1240" t="str">
        <f t="shared" si="209"/>
        <v>2015EURAnker Verzekeringen n.v.-Permanent Disability AccidentFormula 1B</v>
      </c>
      <c r="I254" s="1240" t="str">
        <f t="shared" si="210"/>
        <v>2015EURAnker Verzekeringen n.v.-Permanent Disability illnessFormula 1B</v>
      </c>
      <c r="J254" s="1240" t="str">
        <f t="shared" si="198"/>
        <v>N/A</v>
      </c>
      <c r="K254" s="1240" t="str">
        <f t="shared" si="199"/>
        <v>N/A</v>
      </c>
      <c r="L254" s="392" t="s">
        <v>7</v>
      </c>
      <c r="M254" s="1109" t="s">
        <v>1769</v>
      </c>
      <c r="N254" s="392" t="s">
        <v>32</v>
      </c>
      <c r="O254" s="376">
        <v>2015</v>
      </c>
      <c r="P254" s="376" t="s">
        <v>2234</v>
      </c>
      <c r="Q254" s="376"/>
      <c r="R254" s="377">
        <v>0.05</v>
      </c>
      <c r="S254" s="1109"/>
      <c r="T254" s="1109"/>
      <c r="U254" s="1109"/>
      <c r="V254" s="382">
        <v>365</v>
      </c>
      <c r="W254" s="373">
        <f t="shared" si="200"/>
        <v>5.326896551724138E-3</v>
      </c>
      <c r="X254" s="197" t="s">
        <v>6</v>
      </c>
      <c r="Y254" s="1410">
        <v>5.0100000000000003E-4</v>
      </c>
      <c r="Z254" s="377">
        <v>0.27500000000000002</v>
      </c>
      <c r="AA254" s="1190">
        <f>IF(X254="N/A","",Y254/(1-Z254))</f>
        <v>6.9103448275862072E-4</v>
      </c>
      <c r="AB254" s="377">
        <v>0</v>
      </c>
      <c r="AC254" s="378">
        <v>0</v>
      </c>
      <c r="AD254" s="393"/>
      <c r="AE254" s="377">
        <v>0.04</v>
      </c>
      <c r="AF254" s="377"/>
      <c r="AG254" s="1205">
        <f t="shared" si="247"/>
        <v>7.1867586206896558E-4</v>
      </c>
      <c r="AH254" s="197" t="s">
        <v>2114</v>
      </c>
      <c r="AI254" s="393">
        <v>1.253E-3</v>
      </c>
      <c r="AJ254" s="377">
        <v>0.27500000000000002</v>
      </c>
      <c r="AK254" s="1190">
        <f t="shared" si="215"/>
        <v>1.7282758620689655E-3</v>
      </c>
      <c r="AL254" s="377">
        <v>0</v>
      </c>
      <c r="AM254" s="378">
        <v>0</v>
      </c>
      <c r="AN254" s="393"/>
      <c r="AO254" s="377">
        <v>0.04</v>
      </c>
      <c r="AP254" s="377"/>
      <c r="AQ254" s="1205">
        <f t="shared" si="248"/>
        <v>1.7974068965517242E-3</v>
      </c>
      <c r="AR254" s="197" t="s">
        <v>9</v>
      </c>
      <c r="AS254" s="393">
        <v>6.1899999999999998E-4</v>
      </c>
      <c r="AT254" s="377">
        <v>0.27500000000000002</v>
      </c>
      <c r="AU254" s="1190">
        <f>IF(AR254="N/A","",AS254/(1-AT254))</f>
        <v>8.5379310344827581E-4</v>
      </c>
      <c r="AV254" s="377">
        <v>0</v>
      </c>
      <c r="AW254" s="378">
        <v>0</v>
      </c>
      <c r="AX254" s="393"/>
      <c r="AY254" s="377">
        <v>0.04</v>
      </c>
      <c r="AZ254" s="377"/>
      <c r="BA254" s="1205">
        <f t="shared" si="240"/>
        <v>8.8794482758620692E-4</v>
      </c>
      <c r="BB254" s="197" t="s">
        <v>2115</v>
      </c>
      <c r="BC254" s="393">
        <v>1.4890000000000001E-3</v>
      </c>
      <c r="BD254" s="377">
        <v>0.27500000000000002</v>
      </c>
      <c r="BE254" s="1190">
        <f t="shared" si="204"/>
        <v>2.0537931034482759E-3</v>
      </c>
      <c r="BF254" s="377">
        <v>0</v>
      </c>
      <c r="BG254" s="378">
        <v>0</v>
      </c>
      <c r="BH254" s="393"/>
      <c r="BI254" s="377">
        <v>0.04</v>
      </c>
      <c r="BJ254" s="377"/>
      <c r="BK254" s="1205">
        <f t="shared" si="218"/>
        <v>2.1359448275862069E-3</v>
      </c>
      <c r="BL254" s="464" t="s">
        <v>2224</v>
      </c>
      <c r="BM254" s="1151"/>
      <c r="BN254" s="1151"/>
      <c r="BO254" s="1190">
        <f t="shared" si="212"/>
        <v>0</v>
      </c>
      <c r="BP254" s="1151"/>
      <c r="BQ254" s="1151"/>
      <c r="BR254" s="393"/>
      <c r="BS254" s="1151"/>
      <c r="BT254" s="1151"/>
      <c r="BU254" s="1205" t="str">
        <f t="shared" si="242"/>
        <v/>
      </c>
      <c r="BV254" s="464" t="s">
        <v>2224</v>
      </c>
      <c r="BW254" s="1151"/>
      <c r="BX254" s="1151"/>
      <c r="BY254" s="1190">
        <f t="shared" si="213"/>
        <v>0</v>
      </c>
      <c r="BZ254" s="1151"/>
      <c r="CA254" s="1151"/>
      <c r="CB254" s="1109"/>
      <c r="CC254" s="1151"/>
      <c r="CD254" s="1151"/>
      <c r="CE254" s="1205" t="str">
        <f t="shared" si="244"/>
        <v/>
      </c>
    </row>
    <row r="255" spans="1:83" s="525" customFormat="1">
      <c r="A255" s="291" t="b">
        <v>0</v>
      </c>
      <c r="B255" s="291" t="s">
        <v>2244</v>
      </c>
      <c r="C255" s="291" t="b">
        <f t="shared" si="245"/>
        <v>1</v>
      </c>
      <c r="D255" s="388" t="str">
        <f>IF(C255=FALSE=NAMES!$B$8,"",IF(L255="N/A","N/A",O255&amp;N255&amp;L255&amp;"-"&amp;M255&amp;" ("&amp;U255&amp;"/"&amp;V255&amp;")"))</f>
        <v/>
      </c>
      <c r="E255" s="392" t="str">
        <f t="shared" si="246"/>
        <v>2015EURAnker Verzekeringen n.v.-Formula 1R</v>
      </c>
      <c r="F255" s="1236" t="str">
        <f t="shared" si="207"/>
        <v>2015EURAnker Verzekeringen n.v.-Death AccidentFormula 1R</v>
      </c>
      <c r="G255" s="1240" t="str">
        <f t="shared" si="208"/>
        <v>2015EURAnker Verzekeringen n.v.-Death illnessFormula 1R</v>
      </c>
      <c r="H255" s="1240" t="str">
        <f t="shared" si="209"/>
        <v>2015EURAnker Verzekeringen n.v.-Permanent Disability AccidentFormula 1R</v>
      </c>
      <c r="I255" s="1240" t="str">
        <f t="shared" si="210"/>
        <v>2015EURAnker Verzekeringen n.v.-Permanent Disability illnessFormula 1R</v>
      </c>
      <c r="J255" s="1240" t="str">
        <f t="shared" si="198"/>
        <v>N/A</v>
      </c>
      <c r="K255" s="1240" t="str">
        <f t="shared" si="199"/>
        <v>N/A</v>
      </c>
      <c r="L255" s="392" t="s">
        <v>7</v>
      </c>
      <c r="M255" s="1194" t="s">
        <v>2826</v>
      </c>
      <c r="N255" s="392" t="s">
        <v>32</v>
      </c>
      <c r="O255" s="376">
        <v>2015</v>
      </c>
      <c r="P255" s="376" t="s">
        <v>2234</v>
      </c>
      <c r="Q255" s="376"/>
      <c r="R255" s="377">
        <v>0</v>
      </c>
      <c r="S255" s="382" t="s">
        <v>2379</v>
      </c>
      <c r="T255" s="382"/>
      <c r="U255" s="382"/>
      <c r="V255" s="382">
        <v>365</v>
      </c>
      <c r="W255" s="373">
        <f t="shared" si="200"/>
        <v>0</v>
      </c>
      <c r="X255" s="197" t="s">
        <v>6</v>
      </c>
      <c r="Y255" s="1410">
        <v>0</v>
      </c>
      <c r="Z255" s="377">
        <v>0.27500000000000002</v>
      </c>
      <c r="AA255" s="1190">
        <f>IF(X255="N/A","",Y255/(1-Z255))</f>
        <v>0</v>
      </c>
      <c r="AB255" s="377">
        <v>0</v>
      </c>
      <c r="AC255" s="378">
        <v>0</v>
      </c>
      <c r="AD255" s="393"/>
      <c r="AE255" s="377">
        <v>0.04</v>
      </c>
      <c r="AF255" s="377"/>
      <c r="AG255" s="1205">
        <f t="shared" si="247"/>
        <v>0</v>
      </c>
      <c r="AH255" s="197" t="s">
        <v>2114</v>
      </c>
      <c r="AI255" s="393">
        <v>0</v>
      </c>
      <c r="AJ255" s="377">
        <v>0.27500000000000002</v>
      </c>
      <c r="AK255" s="1190">
        <f t="shared" si="215"/>
        <v>0</v>
      </c>
      <c r="AL255" s="377">
        <v>0</v>
      </c>
      <c r="AM255" s="378">
        <v>0</v>
      </c>
      <c r="AN255" s="393"/>
      <c r="AO255" s="377">
        <v>0.04</v>
      </c>
      <c r="AP255" s="377"/>
      <c r="AQ255" s="1205">
        <f t="shared" si="248"/>
        <v>0</v>
      </c>
      <c r="AR255" s="197" t="s">
        <v>9</v>
      </c>
      <c r="AS255" s="393">
        <v>0</v>
      </c>
      <c r="AT255" s="377">
        <v>0.27500000000000002</v>
      </c>
      <c r="AU255" s="1190">
        <f>IF(AR255="N/A","",AS255/(1-AT255))</f>
        <v>0</v>
      </c>
      <c r="AV255" s="377">
        <v>0</v>
      </c>
      <c r="AW255" s="378">
        <v>0</v>
      </c>
      <c r="AX255" s="393"/>
      <c r="AY255" s="377">
        <v>0.04</v>
      </c>
      <c r="AZ255" s="377"/>
      <c r="BA255" s="1205">
        <f t="shared" si="240"/>
        <v>0</v>
      </c>
      <c r="BB255" s="197" t="s">
        <v>2115</v>
      </c>
      <c r="BC255" s="393">
        <v>0</v>
      </c>
      <c r="BD255" s="377">
        <v>0.27500000000000002</v>
      </c>
      <c r="BE255" s="1190">
        <f t="shared" si="204"/>
        <v>0</v>
      </c>
      <c r="BF255" s="377">
        <v>0</v>
      </c>
      <c r="BG255" s="378">
        <v>0</v>
      </c>
      <c r="BH255" s="393"/>
      <c r="BI255" s="377">
        <v>0.04</v>
      </c>
      <c r="BJ255" s="377"/>
      <c r="BK255" s="1205">
        <f t="shared" si="218"/>
        <v>0</v>
      </c>
      <c r="BL255" s="464" t="s">
        <v>2224</v>
      </c>
      <c r="BM255" s="1151"/>
      <c r="BN255" s="1151"/>
      <c r="BO255" s="1190">
        <f t="shared" si="212"/>
        <v>0</v>
      </c>
      <c r="BP255" s="1151"/>
      <c r="BQ255" s="1151"/>
      <c r="BR255" s="393"/>
      <c r="BS255" s="1151"/>
      <c r="BT255" s="1151"/>
      <c r="BU255" s="1205" t="str">
        <f t="shared" si="242"/>
        <v/>
      </c>
      <c r="BV255" s="464" t="s">
        <v>2224</v>
      </c>
      <c r="BW255" s="1151"/>
      <c r="BX255" s="1151"/>
      <c r="BY255" s="1190">
        <f t="shared" si="213"/>
        <v>0</v>
      </c>
      <c r="BZ255" s="1151"/>
      <c r="CA255" s="1151"/>
      <c r="CB255" s="1109"/>
      <c r="CC255" s="1151"/>
      <c r="CD255" s="1151"/>
      <c r="CE255" s="1205" t="str">
        <f t="shared" si="244"/>
        <v/>
      </c>
    </row>
    <row r="256" spans="1:83" s="525" customFormat="1">
      <c r="A256" s="291" t="b">
        <v>0</v>
      </c>
      <c r="B256" s="291" t="s">
        <v>2244</v>
      </c>
      <c r="C256" s="291" t="b">
        <f t="shared" si="245"/>
        <v>1</v>
      </c>
      <c r="D256" s="388" t="str">
        <f>IF(C256=FALSE=NAMES!$B$8,"",IF(L256="N/A","N/A",O256&amp;N256&amp;L256&amp;"-"&amp;M256&amp;" ("&amp;U256&amp;"/"&amp;V256&amp;")"))</f>
        <v/>
      </c>
      <c r="E256" s="392" t="str">
        <f t="shared" si="246"/>
        <v>2015USDAIG Luxembourg-Formula 1C accident</v>
      </c>
      <c r="F256" s="1236" t="str">
        <f t="shared" si="207"/>
        <v>2015USDAIG Luxembourg-Death AccidentFormula 1C accident</v>
      </c>
      <c r="G256" s="1240" t="str">
        <f t="shared" si="208"/>
        <v>N/A</v>
      </c>
      <c r="H256" s="1240" t="str">
        <f t="shared" si="209"/>
        <v>2015USDAIG Luxembourg-Permanent Disability AccidentFormula 1C accident</v>
      </c>
      <c r="I256" s="1240" t="str">
        <f t="shared" si="210"/>
        <v>N/A</v>
      </c>
      <c r="J256" s="1240" t="str">
        <f t="shared" si="198"/>
        <v>N/A</v>
      </c>
      <c r="K256" s="1240" t="str">
        <f t="shared" si="199"/>
        <v>N/A</v>
      </c>
      <c r="L256" s="392" t="s">
        <v>4</v>
      </c>
      <c r="M256" s="1109" t="s">
        <v>2813</v>
      </c>
      <c r="N256" s="392" t="s">
        <v>87</v>
      </c>
      <c r="O256" s="376">
        <v>2015</v>
      </c>
      <c r="P256" s="376" t="s">
        <v>26</v>
      </c>
      <c r="Q256" s="376"/>
      <c r="R256" s="377">
        <v>0.05</v>
      </c>
      <c r="S256" s="1151"/>
      <c r="T256" s="1151"/>
      <c r="U256" s="1151"/>
      <c r="V256" s="382">
        <v>365</v>
      </c>
      <c r="W256" s="373">
        <f t="shared" si="200"/>
        <v>1.7596000000000001E-3</v>
      </c>
      <c r="X256" s="197" t="s">
        <v>6</v>
      </c>
      <c r="Y256" s="1412"/>
      <c r="Z256" s="377">
        <v>0.25</v>
      </c>
      <c r="AA256" s="625">
        <v>8.7980000000000003E-4</v>
      </c>
      <c r="AB256" s="377">
        <v>0</v>
      </c>
      <c r="AC256" s="378">
        <v>0</v>
      </c>
      <c r="AD256" s="393"/>
      <c r="AE256" s="377">
        <v>0.04</v>
      </c>
      <c r="AF256" s="377"/>
      <c r="AG256" s="1205">
        <f t="shared" si="247"/>
        <v>9.1499200000000011E-4</v>
      </c>
      <c r="AH256" s="388" t="s">
        <v>2224</v>
      </c>
      <c r="AI256" s="393"/>
      <c r="AJ256" s="377"/>
      <c r="AK256" s="1190">
        <f t="shared" si="215"/>
        <v>0</v>
      </c>
      <c r="AL256" s="377"/>
      <c r="AM256" s="378"/>
      <c r="AN256" s="393"/>
      <c r="AO256" s="377"/>
      <c r="AP256" s="377"/>
      <c r="AQ256" s="1205" t="str">
        <f t="shared" si="248"/>
        <v/>
      </c>
      <c r="AR256" s="197" t="s">
        <v>9</v>
      </c>
      <c r="AS256" s="386"/>
      <c r="AT256" s="377">
        <v>0.25</v>
      </c>
      <c r="AU256" s="625">
        <v>8.7980000000000003E-4</v>
      </c>
      <c r="AV256" s="377">
        <v>0</v>
      </c>
      <c r="AW256" s="378">
        <v>0</v>
      </c>
      <c r="AX256" s="393"/>
      <c r="AY256" s="377">
        <v>0.04</v>
      </c>
      <c r="AZ256" s="377"/>
      <c r="BA256" s="1205">
        <f t="shared" si="240"/>
        <v>9.1499200000000011E-4</v>
      </c>
      <c r="BB256" s="388" t="s">
        <v>2224</v>
      </c>
      <c r="BC256" s="393"/>
      <c r="BD256" s="377"/>
      <c r="BE256" s="1190">
        <f t="shared" si="204"/>
        <v>0</v>
      </c>
      <c r="BF256" s="377"/>
      <c r="BG256" s="378"/>
      <c r="BH256" s="393"/>
      <c r="BI256" s="377"/>
      <c r="BJ256" s="377"/>
      <c r="BK256" s="1205" t="str">
        <f t="shared" si="218"/>
        <v/>
      </c>
      <c r="BL256" s="464" t="s">
        <v>2224</v>
      </c>
      <c r="BM256" s="1151"/>
      <c r="BN256" s="1151"/>
      <c r="BO256" s="1190">
        <f t="shared" si="212"/>
        <v>0</v>
      </c>
      <c r="BP256" s="1151"/>
      <c r="BQ256" s="1151"/>
      <c r="BR256" s="393"/>
      <c r="BS256" s="1151"/>
      <c r="BT256" s="1151"/>
      <c r="BU256" s="1205" t="str">
        <f t="shared" si="242"/>
        <v/>
      </c>
      <c r="BV256" s="464" t="s">
        <v>2224</v>
      </c>
      <c r="BW256" s="1151"/>
      <c r="BX256" s="1151"/>
      <c r="BY256" s="1190">
        <f t="shared" si="213"/>
        <v>0</v>
      </c>
      <c r="BZ256" s="1151"/>
      <c r="CA256" s="1151"/>
      <c r="CB256" s="1109"/>
      <c r="CC256" s="1151"/>
      <c r="CD256" s="1151"/>
      <c r="CE256" s="1205" t="str">
        <f t="shared" si="244"/>
        <v/>
      </c>
    </row>
    <row r="257" spans="1:83" s="525" customFormat="1">
      <c r="A257" s="291" t="b">
        <v>0</v>
      </c>
      <c r="B257" s="291" t="s">
        <v>2244</v>
      </c>
      <c r="C257" s="291" t="b">
        <f t="shared" si="245"/>
        <v>1</v>
      </c>
      <c r="D257" s="388" t="str">
        <f>IF(C257=FALSE=NAMES!$B$8,"",IF(L257="N/A","N/A",O257&amp;N257&amp;L257&amp;"-"&amp;M257&amp;" ("&amp;U257&amp;"/"&amp;V257&amp;")"))</f>
        <v/>
      </c>
      <c r="E257" s="392" t="str">
        <f t="shared" si="246"/>
        <v>2015USDAnker Verzekeringen n.v.-Formula 1B</v>
      </c>
      <c r="F257" s="1236" t="str">
        <f t="shared" si="207"/>
        <v>2015USDAnker Verzekeringen n.v.-Death AccidentFormula 1B</v>
      </c>
      <c r="G257" s="1240" t="str">
        <f t="shared" si="208"/>
        <v>2015USDAnker Verzekeringen n.v.-Death illnessFormula 1B</v>
      </c>
      <c r="H257" s="1240" t="str">
        <f t="shared" si="209"/>
        <v>2015USDAnker Verzekeringen n.v.-Permanent Disability AccidentFormula 1B</v>
      </c>
      <c r="I257" s="1240" t="str">
        <f t="shared" si="210"/>
        <v>2015USDAnker Verzekeringen n.v.-Permanent Disability illnessFormula 1B</v>
      </c>
      <c r="J257" s="1240" t="str">
        <f t="shared" si="198"/>
        <v>N/A</v>
      </c>
      <c r="K257" s="1240" t="str">
        <f t="shared" si="199"/>
        <v>N/A</v>
      </c>
      <c r="L257" s="392" t="s">
        <v>7</v>
      </c>
      <c r="M257" s="1109" t="s">
        <v>1769</v>
      </c>
      <c r="N257" s="392" t="s">
        <v>87</v>
      </c>
      <c r="O257" s="376">
        <v>2015</v>
      </c>
      <c r="P257" s="376" t="s">
        <v>2234</v>
      </c>
      <c r="Q257" s="376"/>
      <c r="R257" s="377">
        <v>0.05</v>
      </c>
      <c r="S257" s="1109"/>
      <c r="T257" s="1109"/>
      <c r="U257" s="1109"/>
      <c r="V257" s="382">
        <v>365</v>
      </c>
      <c r="W257" s="373">
        <f t="shared" si="200"/>
        <v>5.1682758620689656E-3</v>
      </c>
      <c r="X257" s="197" t="s">
        <v>6</v>
      </c>
      <c r="Y257" s="1410">
        <v>5.8600000000000004E-4</v>
      </c>
      <c r="Z257" s="377">
        <v>0.27500000000000002</v>
      </c>
      <c r="AA257" s="1190">
        <f>IF(X257="N/A","",Y257/(1-Z257))</f>
        <v>8.0827586206896559E-4</v>
      </c>
      <c r="AB257" s="377">
        <v>0</v>
      </c>
      <c r="AC257" s="378">
        <v>0</v>
      </c>
      <c r="AD257" s="393"/>
      <c r="AE257" s="377">
        <v>0.04</v>
      </c>
      <c r="AF257" s="377"/>
      <c r="AG257" s="1205">
        <f t="shared" si="247"/>
        <v>8.4060689655172428E-4</v>
      </c>
      <c r="AH257" s="197" t="s">
        <v>2114</v>
      </c>
      <c r="AI257" s="393">
        <v>1.444E-3</v>
      </c>
      <c r="AJ257" s="377">
        <v>0.27500000000000002</v>
      </c>
      <c r="AK257" s="1190">
        <f t="shared" si="215"/>
        <v>1.9917241379310345E-3</v>
      </c>
      <c r="AL257" s="377">
        <v>0</v>
      </c>
      <c r="AM257" s="378">
        <v>0</v>
      </c>
      <c r="AN257" s="393"/>
      <c r="AO257" s="377">
        <v>0.04</v>
      </c>
      <c r="AP257" s="377"/>
      <c r="AQ257" s="1205">
        <f t="shared" si="248"/>
        <v>2.0713931034482759E-3</v>
      </c>
      <c r="AR257" s="197" t="s">
        <v>9</v>
      </c>
      <c r="AS257" s="393">
        <v>7.0699999999999995E-4</v>
      </c>
      <c r="AT257" s="377">
        <v>0.27500000000000002</v>
      </c>
      <c r="AU257" s="1190">
        <f>IF(AR257="N/A","",AS257/(1-AT257))</f>
        <v>9.7517241379310336E-4</v>
      </c>
      <c r="AV257" s="377">
        <v>0</v>
      </c>
      <c r="AW257" s="378">
        <v>0</v>
      </c>
      <c r="AX257" s="393"/>
      <c r="AY257" s="377">
        <v>0.04</v>
      </c>
      <c r="AZ257" s="377"/>
      <c r="BA257" s="1205">
        <f>IF(AR257="N/A","",AU257*(1+AY257))</f>
        <v>1.0141793103448276E-3</v>
      </c>
      <c r="BB257" s="197" t="s">
        <v>2115</v>
      </c>
      <c r="BC257" s="393">
        <v>1.01E-3</v>
      </c>
      <c r="BD257" s="377">
        <v>0.27500000000000002</v>
      </c>
      <c r="BE257" s="1190">
        <f t="shared" si="204"/>
        <v>1.3931034482758621E-3</v>
      </c>
      <c r="BF257" s="377">
        <v>0</v>
      </c>
      <c r="BG257" s="378">
        <v>0</v>
      </c>
      <c r="BH257" s="393"/>
      <c r="BI257" s="377">
        <v>0.04</v>
      </c>
      <c r="BJ257" s="377"/>
      <c r="BK257" s="1205">
        <f t="shared" si="218"/>
        <v>1.4488275862068966E-3</v>
      </c>
      <c r="BL257" s="464" t="s">
        <v>2224</v>
      </c>
      <c r="BM257" s="1151"/>
      <c r="BN257" s="1151"/>
      <c r="BO257" s="1190">
        <f t="shared" si="212"/>
        <v>0</v>
      </c>
      <c r="BP257" s="1151"/>
      <c r="BQ257" s="1151"/>
      <c r="BR257" s="393"/>
      <c r="BS257" s="1151"/>
      <c r="BT257" s="1151"/>
      <c r="BU257" s="1205" t="str">
        <f t="shared" si="242"/>
        <v/>
      </c>
      <c r="BV257" s="464" t="s">
        <v>2224</v>
      </c>
      <c r="BW257" s="1151"/>
      <c r="BX257" s="1151"/>
      <c r="BY257" s="1190">
        <f t="shared" si="213"/>
        <v>0</v>
      </c>
      <c r="BZ257" s="1151"/>
      <c r="CA257" s="1151"/>
      <c r="CB257" s="1109"/>
      <c r="CC257" s="1151"/>
      <c r="CD257" s="1151"/>
      <c r="CE257" s="1205" t="str">
        <f t="shared" si="244"/>
        <v/>
      </c>
    </row>
    <row r="258" spans="1:83" s="525" customFormat="1">
      <c r="A258" s="291" t="b">
        <v>0</v>
      </c>
      <c r="B258" s="291" t="s">
        <v>2244</v>
      </c>
      <c r="C258" s="291" t="b">
        <f t="shared" si="245"/>
        <v>1</v>
      </c>
      <c r="D258" s="388" t="str">
        <f>IF(C258=FALSE=NAMES!$B$8,"",IF(L258="N/A","N/A",O258&amp;N258&amp;L258&amp;"-"&amp;M258&amp;" ("&amp;U258&amp;"/"&amp;V258&amp;")"))</f>
        <v/>
      </c>
      <c r="E258" s="392" t="str">
        <f t="shared" si="246"/>
        <v>2015USDAnker Verzekeringen n.v.-Formula 1R</v>
      </c>
      <c r="F258" s="1236" t="str">
        <f t="shared" si="207"/>
        <v>2015USDAnker Verzekeringen n.v.-Death AccidentFormula 1R</v>
      </c>
      <c r="G258" s="1240" t="str">
        <f t="shared" si="208"/>
        <v>2015USDAnker Verzekeringen n.v.-Death illnessFormula 1R</v>
      </c>
      <c r="H258" s="1240" t="str">
        <f t="shared" si="209"/>
        <v>2015USDAnker Verzekeringen n.v.-Permanent Disability AccidentFormula 1R</v>
      </c>
      <c r="I258" s="1240" t="str">
        <f t="shared" si="210"/>
        <v>2015USDAnker Verzekeringen n.v.-Permanent Disability illnessFormula 1R</v>
      </c>
      <c r="J258" s="1240" t="str">
        <f t="shared" si="198"/>
        <v>N/A</v>
      </c>
      <c r="K258" s="1240" t="str">
        <f t="shared" si="199"/>
        <v>N/A</v>
      </c>
      <c r="L258" s="392" t="s">
        <v>7</v>
      </c>
      <c r="M258" s="1194" t="s">
        <v>2826</v>
      </c>
      <c r="N258" s="392" t="s">
        <v>87</v>
      </c>
      <c r="O258" s="376">
        <v>2015</v>
      </c>
      <c r="P258" s="376" t="s">
        <v>2234</v>
      </c>
      <c r="Q258" s="376"/>
      <c r="R258" s="377">
        <v>0</v>
      </c>
      <c r="S258" s="1109" t="s">
        <v>2379</v>
      </c>
      <c r="T258" s="1109"/>
      <c r="U258" s="1109"/>
      <c r="V258" s="382">
        <v>365</v>
      </c>
      <c r="W258" s="373">
        <f t="shared" si="200"/>
        <v>0</v>
      </c>
      <c r="X258" s="197" t="s">
        <v>6</v>
      </c>
      <c r="Y258" s="1410">
        <v>0</v>
      </c>
      <c r="Z258" s="377">
        <v>0.27500000000000002</v>
      </c>
      <c r="AA258" s="1190">
        <f>IF(X258="N/A","",Y258/(1-Z258))</f>
        <v>0</v>
      </c>
      <c r="AB258" s="377">
        <v>0</v>
      </c>
      <c r="AC258" s="378">
        <v>0</v>
      </c>
      <c r="AD258" s="393"/>
      <c r="AE258" s="377">
        <v>0.04</v>
      </c>
      <c r="AF258" s="377"/>
      <c r="AG258" s="1205">
        <f t="shared" si="247"/>
        <v>0</v>
      </c>
      <c r="AH258" s="197" t="s">
        <v>2114</v>
      </c>
      <c r="AI258" s="393">
        <v>0</v>
      </c>
      <c r="AJ258" s="377">
        <v>0.27500000000000002</v>
      </c>
      <c r="AK258" s="1190">
        <f t="shared" si="215"/>
        <v>0</v>
      </c>
      <c r="AL258" s="377">
        <v>0</v>
      </c>
      <c r="AM258" s="378">
        <v>0</v>
      </c>
      <c r="AN258" s="393"/>
      <c r="AO258" s="377">
        <v>0.04</v>
      </c>
      <c r="AP258" s="377"/>
      <c r="AQ258" s="1205">
        <f t="shared" si="248"/>
        <v>0</v>
      </c>
      <c r="AR258" s="197" t="s">
        <v>9</v>
      </c>
      <c r="AS258" s="393">
        <v>0</v>
      </c>
      <c r="AT258" s="377">
        <v>0.27500000000000002</v>
      </c>
      <c r="AU258" s="1190">
        <f>IF(AR258="N/A","",AS258/(1-AT258))</f>
        <v>0</v>
      </c>
      <c r="AV258" s="377">
        <v>0</v>
      </c>
      <c r="AW258" s="378">
        <v>0</v>
      </c>
      <c r="AX258" s="393"/>
      <c r="AY258" s="377">
        <v>0.04</v>
      </c>
      <c r="AZ258" s="377"/>
      <c r="BA258" s="1205">
        <f>IF(AR258="N/A","",AU258*(1+AY258))</f>
        <v>0</v>
      </c>
      <c r="BB258" s="197" t="s">
        <v>2115</v>
      </c>
      <c r="BC258" s="393">
        <v>0</v>
      </c>
      <c r="BD258" s="377">
        <v>0.27500000000000002</v>
      </c>
      <c r="BE258" s="1190">
        <f t="shared" si="204"/>
        <v>0</v>
      </c>
      <c r="BF258" s="377">
        <v>0</v>
      </c>
      <c r="BG258" s="378">
        <v>0</v>
      </c>
      <c r="BH258" s="393"/>
      <c r="BI258" s="377">
        <v>0.04</v>
      </c>
      <c r="BJ258" s="377"/>
      <c r="BK258" s="1205">
        <f t="shared" si="218"/>
        <v>0</v>
      </c>
      <c r="BL258" s="464" t="s">
        <v>2224</v>
      </c>
      <c r="BM258" s="1151"/>
      <c r="BN258" s="1151"/>
      <c r="BO258" s="1190">
        <f t="shared" si="212"/>
        <v>0</v>
      </c>
      <c r="BP258" s="1151"/>
      <c r="BQ258" s="1151"/>
      <c r="BR258" s="393"/>
      <c r="BS258" s="1151"/>
      <c r="BT258" s="1151"/>
      <c r="BU258" s="1205" t="str">
        <f t="shared" si="242"/>
        <v/>
      </c>
      <c r="BV258" s="464" t="s">
        <v>2224</v>
      </c>
      <c r="BW258" s="1151"/>
      <c r="BX258" s="1151"/>
      <c r="BY258" s="1190">
        <f t="shared" si="213"/>
        <v>0</v>
      </c>
      <c r="BZ258" s="1151"/>
      <c r="CA258" s="1151"/>
      <c r="CB258" s="1109"/>
      <c r="CC258" s="1151"/>
      <c r="CD258" s="1151"/>
      <c r="CE258" s="1205" t="str">
        <f t="shared" si="244"/>
        <v/>
      </c>
    </row>
    <row r="259" spans="1:83" s="1150" customFormat="1">
      <c r="A259" s="291" t="b">
        <v>0</v>
      </c>
      <c r="B259" s="291" t="s">
        <v>2244</v>
      </c>
      <c r="C259" s="291" t="b">
        <f t="shared" ref="C259:C263" si="249">IF(B259="N/A","",IF(B259="newRates",FALSE,TRUE))</f>
        <v>1</v>
      </c>
      <c r="D259" s="388" t="str">
        <f>IF(C259=FALSE=NAMES!$B$8,"",IF(L259="N/A","N/A",O259&amp;N259&amp;L259&amp;"-"&amp;M259&amp;" ("&amp;U259&amp;"/"&amp;V259&amp;")"))</f>
        <v/>
      </c>
      <c r="E259" s="392" t="str">
        <f t="shared" si="246"/>
        <v>N/A</v>
      </c>
      <c r="F259" s="1236" t="str">
        <f t="shared" si="207"/>
        <v>N/A-</v>
      </c>
      <c r="G259" s="1240" t="str">
        <f t="shared" si="208"/>
        <v>N/A</v>
      </c>
      <c r="H259" s="1240" t="str">
        <f t="shared" si="209"/>
        <v>N/A</v>
      </c>
      <c r="I259" s="1240" t="str">
        <f t="shared" si="210"/>
        <v>N/A</v>
      </c>
      <c r="J259" s="1240" t="str">
        <f t="shared" si="198"/>
        <v>N/A</v>
      </c>
      <c r="K259" s="1240" t="str">
        <f t="shared" si="199"/>
        <v>N/A</v>
      </c>
      <c r="L259" s="389" t="s">
        <v>2224</v>
      </c>
      <c r="M259" s="1109"/>
      <c r="N259" s="392"/>
      <c r="O259" s="376"/>
      <c r="P259" s="376"/>
      <c r="Q259" s="376"/>
      <c r="R259" s="393"/>
      <c r="S259" s="1109"/>
      <c r="T259" s="1109"/>
      <c r="U259" s="1109"/>
      <c r="V259" s="1109"/>
      <c r="W259" s="373">
        <f t="shared" si="200"/>
        <v>0</v>
      </c>
      <c r="X259" s="197"/>
      <c r="Y259" s="1410"/>
      <c r="Z259" s="377"/>
      <c r="AA259" s="1190"/>
      <c r="AB259" s="377"/>
      <c r="AC259" s="378"/>
      <c r="AD259" s="393"/>
      <c r="AE259" s="377"/>
      <c r="AF259" s="377"/>
      <c r="AG259" s="1205"/>
      <c r="AH259" s="464" t="s">
        <v>2224</v>
      </c>
      <c r="AI259" s="393"/>
      <c r="AJ259" s="377"/>
      <c r="AK259" s="1190">
        <f t="shared" si="215"/>
        <v>0</v>
      </c>
      <c r="AL259" s="377"/>
      <c r="AM259" s="378"/>
      <c r="AN259" s="393"/>
      <c r="AO259" s="377"/>
      <c r="AP259" s="377"/>
      <c r="AQ259" s="1205"/>
      <c r="AR259" s="388" t="s">
        <v>2224</v>
      </c>
      <c r="AS259" s="393"/>
      <c r="AT259" s="377"/>
      <c r="AU259" s="1190"/>
      <c r="AV259" s="377"/>
      <c r="AW259" s="378"/>
      <c r="AX259" s="393"/>
      <c r="AY259" s="377"/>
      <c r="AZ259" s="377"/>
      <c r="BA259" s="1205"/>
      <c r="BB259" s="388" t="s">
        <v>2224</v>
      </c>
      <c r="BC259" s="393"/>
      <c r="BD259" s="377"/>
      <c r="BE259" s="1190">
        <f t="shared" si="204"/>
        <v>0</v>
      </c>
      <c r="BF259" s="377"/>
      <c r="BG259" s="378"/>
      <c r="BH259" s="393"/>
      <c r="BI259" s="377"/>
      <c r="BJ259" s="377"/>
      <c r="BK259" s="1205"/>
      <c r="BL259" s="464" t="s">
        <v>2224</v>
      </c>
      <c r="BM259" s="393"/>
      <c r="BN259" s="377"/>
      <c r="BO259" s="1190">
        <f t="shared" si="212"/>
        <v>0</v>
      </c>
      <c r="BP259" s="393"/>
      <c r="BQ259" s="393"/>
      <c r="BR259" s="393"/>
      <c r="BS259" s="377"/>
      <c r="BT259" s="377"/>
      <c r="BU259" s="1205" t="str">
        <f t="shared" si="242"/>
        <v/>
      </c>
      <c r="BV259" s="464" t="s">
        <v>2224</v>
      </c>
      <c r="BW259" s="393"/>
      <c r="BX259" s="393"/>
      <c r="BY259" s="1190">
        <f t="shared" si="213"/>
        <v>0</v>
      </c>
      <c r="BZ259" s="393"/>
      <c r="CA259" s="393"/>
      <c r="CB259" s="1109"/>
      <c r="CC259" s="393"/>
      <c r="CD259" s="393"/>
      <c r="CE259" s="1205" t="str">
        <f t="shared" si="244"/>
        <v/>
      </c>
    </row>
    <row r="260" spans="1:83" s="1150" customFormat="1">
      <c r="A260" s="291" t="b">
        <v>0</v>
      </c>
      <c r="B260" s="291" t="s">
        <v>2244</v>
      </c>
      <c r="C260" s="291" t="b">
        <f t="shared" si="249"/>
        <v>1</v>
      </c>
      <c r="D260" s="388" t="str">
        <f>IF(C260=FALSE=NAMES!$B$8,"",IF(L260="N/A","N/A",O260&amp;N260&amp;L260&amp;"-"&amp;M260&amp;" ("&amp;U260&amp;"/"&amp;V260&amp;")"))</f>
        <v/>
      </c>
      <c r="E260" s="392" t="str">
        <f t="shared" ref="E260:E264" si="250">IF(L260="N/A","N/A",O260&amp;N260&amp;L260&amp;"-"&amp;M260&amp;" ("&amp;U260&amp;"/"&amp;V260&amp;")")</f>
        <v>2015EURAnker Verzekeringen n.v.-Formula 2 (7/120)</v>
      </c>
      <c r="F260" s="1236" t="str">
        <f t="shared" si="207"/>
        <v>2015EURAnker Verzekeringen n.v.-Death AccidentFormula 2</v>
      </c>
      <c r="G260" s="1240" t="str">
        <f t="shared" si="208"/>
        <v>N/A</v>
      </c>
      <c r="H260" s="1240" t="str">
        <f t="shared" si="209"/>
        <v>2015EURAnker Verzekeringen n.v.-Permanent Disability AccidentFormula 2</v>
      </c>
      <c r="I260" s="1240" t="str">
        <f t="shared" si="210"/>
        <v>N/A</v>
      </c>
      <c r="J260" s="1240" t="str">
        <f t="shared" si="198"/>
        <v>2015EURAnker Verzekeringen n.v.-Temporary Disability Accident (100%/7/120)</v>
      </c>
      <c r="K260" s="1240" t="str">
        <f t="shared" si="199"/>
        <v>2015EURAnker Verzekeringen n.v.-Temporary Disability illness (100%/7/120)</v>
      </c>
      <c r="L260" s="392" t="s">
        <v>7</v>
      </c>
      <c r="M260" s="1109" t="s">
        <v>1779</v>
      </c>
      <c r="N260" s="392" t="s">
        <v>32</v>
      </c>
      <c r="O260" s="376">
        <v>2015</v>
      </c>
      <c r="P260" s="376" t="s">
        <v>2234</v>
      </c>
      <c r="Q260" s="376"/>
      <c r="R260" s="377">
        <v>0.1</v>
      </c>
      <c r="S260" s="1109"/>
      <c r="T260" s="387">
        <v>1</v>
      </c>
      <c r="U260" s="1109">
        <v>7</v>
      </c>
      <c r="V260" s="1109">
        <v>120</v>
      </c>
      <c r="W260" s="373">
        <f t="shared" si="200"/>
        <v>1.608137931034483E-2</v>
      </c>
      <c r="X260" s="197" t="s">
        <v>6</v>
      </c>
      <c r="Y260" s="1410">
        <v>5.0100000000000003E-4</v>
      </c>
      <c r="Z260" s="377">
        <v>0.27500000000000002</v>
      </c>
      <c r="AA260" s="1190">
        <f t="shared" ref="AA260:AA263" si="251">IF(X260="N/A","",Y260/(1-Z260))</f>
        <v>6.9103448275862072E-4</v>
      </c>
      <c r="AB260" s="377">
        <v>0</v>
      </c>
      <c r="AC260" s="378">
        <v>0</v>
      </c>
      <c r="AD260" s="393"/>
      <c r="AE260" s="377">
        <v>0.04</v>
      </c>
      <c r="AF260" s="377"/>
      <c r="AG260" s="1205">
        <f t="shared" ref="AG260:AG263" si="252">IF(X260="N/A","",AA260*(1+AE260))</f>
        <v>7.1867586206896558E-4</v>
      </c>
      <c r="AH260" s="464" t="s">
        <v>2224</v>
      </c>
      <c r="AI260" s="393"/>
      <c r="AJ260" s="377"/>
      <c r="AK260" s="1190">
        <f t="shared" si="215"/>
        <v>0</v>
      </c>
      <c r="AL260" s="377">
        <v>0</v>
      </c>
      <c r="AM260" s="378">
        <v>0</v>
      </c>
      <c r="AN260" s="393"/>
      <c r="AO260" s="377">
        <v>0.04</v>
      </c>
      <c r="AP260" s="377"/>
      <c r="AQ260" s="1205" t="str">
        <f t="shared" ref="AQ260:AQ263" si="253">IF(AH260="N/A","",AK260*(1+AO260))</f>
        <v/>
      </c>
      <c r="AR260" s="197" t="s">
        <v>9</v>
      </c>
      <c r="AS260" s="393">
        <v>6.1899999999999998E-4</v>
      </c>
      <c r="AT260" s="377">
        <v>0.27500000000000002</v>
      </c>
      <c r="AU260" s="1190">
        <f t="shared" ref="AU260:AU263" si="254">IF(AR260="N/A","",AS260/(1-AT260))</f>
        <v>8.5379310344827581E-4</v>
      </c>
      <c r="AV260" s="377">
        <v>0</v>
      </c>
      <c r="AW260" s="378">
        <v>0</v>
      </c>
      <c r="AX260" s="393"/>
      <c r="AY260" s="377">
        <v>0.04</v>
      </c>
      <c r="AZ260" s="377"/>
      <c r="BA260" s="1205">
        <f t="shared" ref="BA260:BA263" si="255">IF(AR260="N/A","",AU260*(1+AY260))</f>
        <v>8.8794482758620692E-4</v>
      </c>
      <c r="BB260" s="388" t="s">
        <v>2224</v>
      </c>
      <c r="BC260" s="393"/>
      <c r="BD260" s="377"/>
      <c r="BE260" s="1190">
        <f t="shared" si="204"/>
        <v>0</v>
      </c>
      <c r="BF260" s="377">
        <v>0</v>
      </c>
      <c r="BG260" s="378">
        <v>0</v>
      </c>
      <c r="BH260" s="393"/>
      <c r="BI260" s="377">
        <v>0.04</v>
      </c>
      <c r="BJ260" s="377"/>
      <c r="BK260" s="1205" t="str">
        <f t="shared" ref="BK260:BK263" si="256">IF(BB260="N/A","",BE260*(1+BI260))</f>
        <v/>
      </c>
      <c r="BL260" s="197" t="s">
        <v>2827</v>
      </c>
      <c r="BM260" s="393">
        <v>4.5180000000000003E-3</v>
      </c>
      <c r="BN260" s="377">
        <v>0.27500000000000002</v>
      </c>
      <c r="BO260" s="1190">
        <f t="shared" si="212"/>
        <v>6.2317241379310348E-3</v>
      </c>
      <c r="BP260" s="377">
        <v>0</v>
      </c>
      <c r="BQ260" s="378">
        <v>0</v>
      </c>
      <c r="BR260" s="393"/>
      <c r="BS260" s="377">
        <v>0.04</v>
      </c>
      <c r="BT260" s="377"/>
      <c r="BU260" s="1205">
        <f t="shared" si="242"/>
        <v>6.480993103448276E-3</v>
      </c>
      <c r="BV260" s="197" t="s">
        <v>2836</v>
      </c>
      <c r="BW260" s="393">
        <v>6.0210000000000003E-3</v>
      </c>
      <c r="BX260" s="377">
        <v>0.27500000000000002</v>
      </c>
      <c r="BY260" s="1190">
        <f t="shared" si="213"/>
        <v>8.304827586206898E-3</v>
      </c>
      <c r="BZ260" s="377">
        <v>0</v>
      </c>
      <c r="CA260" s="378">
        <v>0</v>
      </c>
      <c r="CB260" s="1109"/>
      <c r="CC260" s="377">
        <v>0.04</v>
      </c>
      <c r="CD260" s="377"/>
      <c r="CE260" s="1205">
        <f t="shared" si="244"/>
        <v>8.6370206896551737E-3</v>
      </c>
    </row>
    <row r="261" spans="1:83" s="1150" customFormat="1">
      <c r="A261" s="291" t="b">
        <v>0</v>
      </c>
      <c r="B261" s="291" t="s">
        <v>2244</v>
      </c>
      <c r="C261" s="291" t="b">
        <f t="shared" si="249"/>
        <v>1</v>
      </c>
      <c r="D261" s="388" t="str">
        <f>IF(C261=FALSE=NAMES!$B$8,"",IF(L261="N/A","N/A",O261&amp;N261&amp;L261&amp;"-"&amp;M261&amp;" ("&amp;U261&amp;"/"&amp;V261&amp;")"))</f>
        <v/>
      </c>
      <c r="E261" s="392" t="str">
        <f t="shared" si="250"/>
        <v>2015EURAnker Verzekeringen n.v.-Formula 2 (7/365)</v>
      </c>
      <c r="F261" s="1236" t="str">
        <f t="shared" si="207"/>
        <v>2015EURAnker Verzekeringen n.v.-Death AccidentFormula 2</v>
      </c>
      <c r="G261" s="1240" t="str">
        <f t="shared" si="208"/>
        <v>N/A</v>
      </c>
      <c r="H261" s="1240" t="str">
        <f t="shared" si="209"/>
        <v>2015EURAnker Verzekeringen n.v.-Permanent Disability AccidentFormula 2</v>
      </c>
      <c r="I261" s="1240" t="str">
        <f t="shared" si="210"/>
        <v>N/A</v>
      </c>
      <c r="J261" s="1240" t="str">
        <f t="shared" si="198"/>
        <v>2015EURAnker Verzekeringen n.v.-Temporary Disability Accident (100%/7/365)</v>
      </c>
      <c r="K261" s="1240" t="str">
        <f t="shared" si="199"/>
        <v>2015EURAnker Verzekeringen n.v.-Temporary Disability illness (100%/7/365)</v>
      </c>
      <c r="L261" s="392" t="s">
        <v>7</v>
      </c>
      <c r="M261" s="1109" t="s">
        <v>1779</v>
      </c>
      <c r="N261" s="392" t="s">
        <v>32</v>
      </c>
      <c r="O261" s="376">
        <v>2015</v>
      </c>
      <c r="P261" s="376" t="s">
        <v>2234</v>
      </c>
      <c r="Q261" s="376"/>
      <c r="R261" s="377">
        <v>0.1</v>
      </c>
      <c r="S261" s="1109"/>
      <c r="T261" s="387">
        <v>1</v>
      </c>
      <c r="U261" s="1109">
        <v>7</v>
      </c>
      <c r="V261" s="1109">
        <v>365</v>
      </c>
      <c r="W261" s="373">
        <f t="shared" si="200"/>
        <v>2.0260689655172415E-2</v>
      </c>
      <c r="X261" s="197" t="s">
        <v>6</v>
      </c>
      <c r="Y261" s="1410">
        <v>5.0100000000000003E-4</v>
      </c>
      <c r="Z261" s="377">
        <v>0.27500000000000002</v>
      </c>
      <c r="AA261" s="1190">
        <f t="shared" si="251"/>
        <v>6.9103448275862072E-4</v>
      </c>
      <c r="AB261" s="377">
        <v>0</v>
      </c>
      <c r="AC261" s="378">
        <v>0</v>
      </c>
      <c r="AD261" s="393"/>
      <c r="AE261" s="377">
        <v>0.04</v>
      </c>
      <c r="AF261" s="377"/>
      <c r="AG261" s="1205">
        <f t="shared" si="252"/>
        <v>7.1867586206896558E-4</v>
      </c>
      <c r="AH261" s="464" t="s">
        <v>2224</v>
      </c>
      <c r="AI261" s="393"/>
      <c r="AJ261" s="377"/>
      <c r="AK261" s="1190">
        <f t="shared" si="215"/>
        <v>0</v>
      </c>
      <c r="AL261" s="377">
        <v>0</v>
      </c>
      <c r="AM261" s="378">
        <v>0</v>
      </c>
      <c r="AN261" s="393"/>
      <c r="AO261" s="377">
        <v>0.04</v>
      </c>
      <c r="AP261" s="377"/>
      <c r="AQ261" s="1205" t="str">
        <f t="shared" si="253"/>
        <v/>
      </c>
      <c r="AR261" s="197" t="s">
        <v>9</v>
      </c>
      <c r="AS261" s="393">
        <v>6.1899999999999998E-4</v>
      </c>
      <c r="AT261" s="377">
        <v>0.27500000000000002</v>
      </c>
      <c r="AU261" s="1190">
        <f t="shared" si="254"/>
        <v>8.5379310344827581E-4</v>
      </c>
      <c r="AV261" s="377">
        <v>0</v>
      </c>
      <c r="AW261" s="378">
        <v>0</v>
      </c>
      <c r="AX261" s="393"/>
      <c r="AY261" s="377">
        <v>0.04</v>
      </c>
      <c r="AZ261" s="377"/>
      <c r="BA261" s="1205">
        <f t="shared" si="255"/>
        <v>8.8794482758620692E-4</v>
      </c>
      <c r="BB261" s="388" t="s">
        <v>2224</v>
      </c>
      <c r="BC261" s="393"/>
      <c r="BD261" s="377"/>
      <c r="BE261" s="1190">
        <f t="shared" si="204"/>
        <v>0</v>
      </c>
      <c r="BF261" s="377">
        <v>0</v>
      </c>
      <c r="BG261" s="378">
        <v>0</v>
      </c>
      <c r="BH261" s="393"/>
      <c r="BI261" s="377">
        <v>0.04</v>
      </c>
      <c r="BJ261" s="377"/>
      <c r="BK261" s="1205" t="str">
        <f t="shared" si="256"/>
        <v/>
      </c>
      <c r="BL261" s="197" t="s">
        <v>2828</v>
      </c>
      <c r="BM261" s="393">
        <v>4.5250000000000004E-3</v>
      </c>
      <c r="BN261" s="377">
        <v>0.27500000000000002</v>
      </c>
      <c r="BO261" s="1190">
        <f t="shared" si="212"/>
        <v>6.241379310344828E-3</v>
      </c>
      <c r="BP261" s="377">
        <v>0</v>
      </c>
      <c r="BQ261" s="378">
        <v>0</v>
      </c>
      <c r="BR261" s="393"/>
      <c r="BS261" s="377">
        <v>0.04</v>
      </c>
      <c r="BT261" s="377"/>
      <c r="BU261" s="1205">
        <f t="shared" si="242"/>
        <v>6.491034482758621E-3</v>
      </c>
      <c r="BV261" s="197" t="s">
        <v>2832</v>
      </c>
      <c r="BW261" s="393">
        <v>9.044E-3</v>
      </c>
      <c r="BX261" s="377">
        <v>0.27500000000000002</v>
      </c>
      <c r="BY261" s="1190">
        <f t="shared" si="213"/>
        <v>1.2474482758620689E-2</v>
      </c>
      <c r="BZ261" s="377">
        <v>0</v>
      </c>
      <c r="CA261" s="378">
        <v>0</v>
      </c>
      <c r="CB261" s="1109"/>
      <c r="CC261" s="377">
        <v>0.04</v>
      </c>
      <c r="CD261" s="377"/>
      <c r="CE261" s="1205">
        <f t="shared" si="244"/>
        <v>1.2973462068965517E-2</v>
      </c>
    </row>
    <row r="262" spans="1:83" s="1150" customFormat="1">
      <c r="A262" s="291" t="b">
        <v>0</v>
      </c>
      <c r="B262" s="291" t="s">
        <v>2244</v>
      </c>
      <c r="C262" s="291" t="b">
        <f t="shared" si="249"/>
        <v>1</v>
      </c>
      <c r="D262" s="388" t="str">
        <f>IF(C262=FALSE=NAMES!$B$8,"",IF(L262="N/A","N/A",O262&amp;N262&amp;L262&amp;"-"&amp;M262&amp;" ("&amp;U262&amp;"/"&amp;V262&amp;")"))</f>
        <v/>
      </c>
      <c r="E262" s="392" t="str">
        <f t="shared" si="250"/>
        <v>2015USDAnker Verzekeringen n.v.-Formula 2 (7/120)</v>
      </c>
      <c r="F262" s="1236" t="str">
        <f t="shared" si="207"/>
        <v>2015USDAnker Verzekeringen n.v.-Death AccidentFormula 2</v>
      </c>
      <c r="G262" s="1240" t="str">
        <f t="shared" si="208"/>
        <v>N/A</v>
      </c>
      <c r="H262" s="1240" t="str">
        <f t="shared" si="209"/>
        <v>2015USDAnker Verzekeringen n.v.-Permanent Disability AccidentFormula 2</v>
      </c>
      <c r="I262" s="1240" t="str">
        <f t="shared" si="210"/>
        <v>N/A</v>
      </c>
      <c r="J262" s="1240" t="str">
        <f t="shared" si="198"/>
        <v>2015USDAnker Verzekeringen n.v.-Temporary Disability Accident (100%/7/120)</v>
      </c>
      <c r="K262" s="1240" t="str">
        <f t="shared" si="199"/>
        <v>2015USDAnker Verzekeringen n.v.-Temporary Disability illness (100%/7/120)</v>
      </c>
      <c r="L262" s="392" t="s">
        <v>7</v>
      </c>
      <c r="M262" s="1109" t="s">
        <v>1779</v>
      </c>
      <c r="N262" s="392" t="s">
        <v>87</v>
      </c>
      <c r="O262" s="376">
        <v>2015</v>
      </c>
      <c r="P262" s="376" t="s">
        <v>2234</v>
      </c>
      <c r="Q262" s="376"/>
      <c r="R262" s="377">
        <v>0.1</v>
      </c>
      <c r="S262" s="1109"/>
      <c r="T262" s="387">
        <v>1</v>
      </c>
      <c r="U262" s="1109">
        <v>7</v>
      </c>
      <c r="V262" s="1109">
        <v>120</v>
      </c>
      <c r="W262" s="373">
        <f t="shared" si="200"/>
        <v>1.8543448275862066E-2</v>
      </c>
      <c r="X262" s="197" t="s">
        <v>6</v>
      </c>
      <c r="Y262" s="1410">
        <v>5.8600000000000004E-4</v>
      </c>
      <c r="Z262" s="377">
        <v>0.27500000000000002</v>
      </c>
      <c r="AA262" s="1190">
        <f t="shared" si="251"/>
        <v>8.0827586206896559E-4</v>
      </c>
      <c r="AB262" s="377">
        <v>0</v>
      </c>
      <c r="AC262" s="378">
        <v>0</v>
      </c>
      <c r="AD262" s="393"/>
      <c r="AE262" s="377">
        <v>0.04</v>
      </c>
      <c r="AF262" s="377"/>
      <c r="AG262" s="1205">
        <f t="shared" si="252"/>
        <v>8.4060689655172428E-4</v>
      </c>
      <c r="AH262" s="464" t="s">
        <v>2224</v>
      </c>
      <c r="AI262" s="393"/>
      <c r="AJ262" s="377"/>
      <c r="AK262" s="1190">
        <f t="shared" si="215"/>
        <v>0</v>
      </c>
      <c r="AL262" s="377">
        <v>0</v>
      </c>
      <c r="AM262" s="378">
        <v>0</v>
      </c>
      <c r="AN262" s="393"/>
      <c r="AO262" s="377">
        <v>0.04</v>
      </c>
      <c r="AP262" s="377"/>
      <c r="AQ262" s="1205" t="str">
        <f t="shared" si="253"/>
        <v/>
      </c>
      <c r="AR262" s="197" t="s">
        <v>9</v>
      </c>
      <c r="AS262" s="393">
        <v>7.0699999999999995E-4</v>
      </c>
      <c r="AT262" s="377">
        <v>0.27500000000000002</v>
      </c>
      <c r="AU262" s="1190">
        <f t="shared" si="254"/>
        <v>9.7517241379310336E-4</v>
      </c>
      <c r="AV262" s="377">
        <v>0</v>
      </c>
      <c r="AW262" s="378">
        <v>0</v>
      </c>
      <c r="AX262" s="393"/>
      <c r="AY262" s="377">
        <v>0.04</v>
      </c>
      <c r="AZ262" s="377"/>
      <c r="BA262" s="1205">
        <f t="shared" si="255"/>
        <v>1.0141793103448276E-3</v>
      </c>
      <c r="BB262" s="388" t="s">
        <v>2224</v>
      </c>
      <c r="BC262" s="393"/>
      <c r="BD262" s="377"/>
      <c r="BE262" s="1190">
        <f t="shared" si="204"/>
        <v>0</v>
      </c>
      <c r="BF262" s="377">
        <v>0</v>
      </c>
      <c r="BG262" s="378">
        <v>0</v>
      </c>
      <c r="BH262" s="393"/>
      <c r="BI262" s="377">
        <v>0.04</v>
      </c>
      <c r="BJ262" s="377"/>
      <c r="BK262" s="1205" t="str">
        <f t="shared" si="256"/>
        <v/>
      </c>
      <c r="BL262" s="197" t="s">
        <v>2827</v>
      </c>
      <c r="BM262" s="393">
        <v>5.2119999999999996E-3</v>
      </c>
      <c r="BN262" s="377">
        <v>0.27500000000000002</v>
      </c>
      <c r="BO262" s="1190">
        <f t="shared" si="212"/>
        <v>7.1889655172413794E-3</v>
      </c>
      <c r="BP262" s="377">
        <v>0</v>
      </c>
      <c r="BQ262" s="378">
        <v>0</v>
      </c>
      <c r="BR262" s="393"/>
      <c r="BS262" s="377">
        <v>0.04</v>
      </c>
      <c r="BT262" s="377"/>
      <c r="BU262" s="1205">
        <f t="shared" si="242"/>
        <v>7.4765241379310347E-3</v>
      </c>
      <c r="BV262" s="197" t="s">
        <v>2836</v>
      </c>
      <c r="BW262" s="393">
        <v>6.9389999999999999E-3</v>
      </c>
      <c r="BX262" s="377">
        <v>0.27500000000000002</v>
      </c>
      <c r="BY262" s="1190">
        <f t="shared" si="213"/>
        <v>9.5710344827586204E-3</v>
      </c>
      <c r="BZ262" s="377">
        <v>0</v>
      </c>
      <c r="CA262" s="378">
        <v>0</v>
      </c>
      <c r="CB262" s="1109"/>
      <c r="CC262" s="377">
        <v>0.04</v>
      </c>
      <c r="CD262" s="377"/>
      <c r="CE262" s="1205">
        <f t="shared" si="244"/>
        <v>9.9538758620689657E-3</v>
      </c>
    </row>
    <row r="263" spans="1:83" s="1150" customFormat="1">
      <c r="A263" s="291" t="b">
        <v>0</v>
      </c>
      <c r="B263" s="291" t="s">
        <v>2244</v>
      </c>
      <c r="C263" s="291" t="b">
        <f t="shared" si="249"/>
        <v>1</v>
      </c>
      <c r="D263" s="388" t="str">
        <f>IF(C263=FALSE=NAMES!$B$8,"",IF(L263="N/A","N/A",O263&amp;N263&amp;L263&amp;"-"&amp;M263&amp;" ("&amp;U263&amp;"/"&amp;V263&amp;")"))</f>
        <v/>
      </c>
      <c r="E263" s="392" t="str">
        <f t="shared" si="250"/>
        <v>2015USDAnker Verzekeringen n.v.-Formula 2 (7/365)</v>
      </c>
      <c r="F263" s="1236" t="str">
        <f t="shared" si="207"/>
        <v>2015USDAnker Verzekeringen n.v.-Death AccidentFormula 2</v>
      </c>
      <c r="G263" s="1240" t="str">
        <f t="shared" si="208"/>
        <v>N/A</v>
      </c>
      <c r="H263" s="1240" t="str">
        <f t="shared" si="209"/>
        <v>2015USDAnker Verzekeringen n.v.-Permanent Disability AccidentFormula 2</v>
      </c>
      <c r="I263" s="1240" t="str">
        <f t="shared" si="210"/>
        <v>N/A</v>
      </c>
      <c r="J263" s="1240" t="str">
        <f t="shared" si="198"/>
        <v>2015USDAnker Verzekeringen n.v.-Temporary Disability Accident (100%/7/365)</v>
      </c>
      <c r="K263" s="1240" t="str">
        <f t="shared" si="199"/>
        <v>2015USDAnker Verzekeringen n.v.-Temporary Disability illness (100%/7/365)</v>
      </c>
      <c r="L263" s="392" t="s">
        <v>7</v>
      </c>
      <c r="M263" s="1109" t="s">
        <v>1779</v>
      </c>
      <c r="N263" s="392" t="s">
        <v>87</v>
      </c>
      <c r="O263" s="376">
        <v>2015</v>
      </c>
      <c r="P263" s="376" t="s">
        <v>2234</v>
      </c>
      <c r="Q263" s="376"/>
      <c r="R263" s="377">
        <v>0.1</v>
      </c>
      <c r="S263" s="1109"/>
      <c r="T263" s="387">
        <v>1</v>
      </c>
      <c r="U263" s="1109">
        <v>7</v>
      </c>
      <c r="V263" s="1109">
        <v>365</v>
      </c>
      <c r="W263" s="373">
        <f t="shared" si="200"/>
        <v>2.3362758620689657E-2</v>
      </c>
      <c r="X263" s="197" t="s">
        <v>6</v>
      </c>
      <c r="Y263" s="1410">
        <v>5.8600000000000004E-4</v>
      </c>
      <c r="Z263" s="377">
        <v>0.27500000000000002</v>
      </c>
      <c r="AA263" s="1190">
        <f t="shared" si="251"/>
        <v>8.0827586206896559E-4</v>
      </c>
      <c r="AB263" s="377">
        <v>0</v>
      </c>
      <c r="AC263" s="378">
        <v>0</v>
      </c>
      <c r="AD263" s="393"/>
      <c r="AE263" s="377">
        <v>0.04</v>
      </c>
      <c r="AF263" s="377"/>
      <c r="AG263" s="1205">
        <f t="shared" si="252"/>
        <v>8.4060689655172428E-4</v>
      </c>
      <c r="AH263" s="464" t="s">
        <v>2224</v>
      </c>
      <c r="AI263" s="393"/>
      <c r="AJ263" s="377"/>
      <c r="AK263" s="1190">
        <f t="shared" si="215"/>
        <v>0</v>
      </c>
      <c r="AL263" s="377">
        <v>0</v>
      </c>
      <c r="AM263" s="378">
        <v>0</v>
      </c>
      <c r="AN263" s="393"/>
      <c r="AO263" s="377">
        <v>0.04</v>
      </c>
      <c r="AP263" s="377"/>
      <c r="AQ263" s="1205" t="str">
        <f t="shared" si="253"/>
        <v/>
      </c>
      <c r="AR263" s="197" t="s">
        <v>9</v>
      </c>
      <c r="AS263" s="393">
        <v>7.0699999999999995E-4</v>
      </c>
      <c r="AT263" s="377">
        <v>0.27500000000000002</v>
      </c>
      <c r="AU263" s="1190">
        <f t="shared" si="254"/>
        <v>9.7517241379310336E-4</v>
      </c>
      <c r="AV263" s="377">
        <v>0</v>
      </c>
      <c r="AW263" s="378">
        <v>0</v>
      </c>
      <c r="AX263" s="393"/>
      <c r="AY263" s="377">
        <v>0.04</v>
      </c>
      <c r="AZ263" s="377"/>
      <c r="BA263" s="1205">
        <f t="shared" si="255"/>
        <v>1.0141793103448276E-3</v>
      </c>
      <c r="BB263" s="388" t="s">
        <v>2224</v>
      </c>
      <c r="BC263" s="393"/>
      <c r="BD263" s="377"/>
      <c r="BE263" s="1190">
        <f t="shared" si="204"/>
        <v>0</v>
      </c>
      <c r="BF263" s="377">
        <v>0</v>
      </c>
      <c r="BG263" s="378">
        <v>0</v>
      </c>
      <c r="BH263" s="393"/>
      <c r="BI263" s="377">
        <v>0.04</v>
      </c>
      <c r="BJ263" s="377"/>
      <c r="BK263" s="1205" t="str">
        <f t="shared" si="256"/>
        <v/>
      </c>
      <c r="BL263" s="197" t="s">
        <v>2828</v>
      </c>
      <c r="BM263" s="393">
        <v>5.2119999999999996E-3</v>
      </c>
      <c r="BN263" s="377">
        <v>0.27500000000000002</v>
      </c>
      <c r="BO263" s="1190">
        <f t="shared" si="212"/>
        <v>7.1889655172413794E-3</v>
      </c>
      <c r="BP263" s="377">
        <v>0</v>
      </c>
      <c r="BQ263" s="378">
        <v>0</v>
      </c>
      <c r="BR263" s="393"/>
      <c r="BS263" s="377">
        <v>0.04</v>
      </c>
      <c r="BT263" s="377"/>
      <c r="BU263" s="1205">
        <f t="shared" si="242"/>
        <v>7.4765241379310347E-3</v>
      </c>
      <c r="BV263" s="197" t="s">
        <v>2832</v>
      </c>
      <c r="BW263" s="393">
        <v>1.0433E-2</v>
      </c>
      <c r="BX263" s="377">
        <v>0.27500000000000002</v>
      </c>
      <c r="BY263" s="1190">
        <f t="shared" si="213"/>
        <v>1.4390344827586207E-2</v>
      </c>
      <c r="BZ263" s="377">
        <v>0</v>
      </c>
      <c r="CA263" s="378">
        <v>0</v>
      </c>
      <c r="CB263" s="1109"/>
      <c r="CC263" s="377">
        <v>0.04</v>
      </c>
      <c r="CD263" s="377"/>
      <c r="CE263" s="1205">
        <f t="shared" si="244"/>
        <v>1.4965958620689656E-2</v>
      </c>
    </row>
    <row r="264" spans="1:83" s="525" customFormat="1" ht="15.75" thickBot="1">
      <c r="A264" s="291" t="b">
        <v>0</v>
      </c>
      <c r="B264" s="291" t="s">
        <v>2244</v>
      </c>
      <c r="C264" s="291" t="b">
        <f t="shared" si="243"/>
        <v>1</v>
      </c>
      <c r="D264" s="388" t="str">
        <f>IF(C264=FALSE=NAMES!$B$8,"",IF(L264="N/A","N/A",O264&amp;N264&amp;L264&amp;"-"&amp;M264&amp;" ("&amp;U264&amp;"/"&amp;V264&amp;")"))</f>
        <v/>
      </c>
      <c r="E264" s="392" t="str">
        <f t="shared" si="250"/>
        <v>N/A</v>
      </c>
      <c r="F264" s="1236" t="str">
        <f t="shared" si="207"/>
        <v>N/A</v>
      </c>
      <c r="G264" s="1240" t="str">
        <f t="shared" si="208"/>
        <v>N/A</v>
      </c>
      <c r="H264" s="1240" t="str">
        <f t="shared" si="209"/>
        <v>N/A</v>
      </c>
      <c r="I264" s="1240" t="str">
        <f t="shared" si="210"/>
        <v>N/A</v>
      </c>
      <c r="J264" s="1240" t="str">
        <f t="shared" si="198"/>
        <v>N/A</v>
      </c>
      <c r="K264" s="1240" t="str">
        <f t="shared" si="199"/>
        <v>N/A-</v>
      </c>
      <c r="L264" s="389" t="s">
        <v>2224</v>
      </c>
      <c r="M264" s="1109"/>
      <c r="N264" s="392"/>
      <c r="O264" s="376"/>
      <c r="P264" s="376"/>
      <c r="Q264" s="376"/>
      <c r="R264" s="377"/>
      <c r="S264" s="448"/>
      <c r="T264" s="448"/>
      <c r="U264" s="448"/>
      <c r="V264" s="382"/>
      <c r="W264" s="373" t="str">
        <f t="shared" si="200"/>
        <v/>
      </c>
      <c r="X264" s="1207" t="s">
        <v>2224</v>
      </c>
      <c r="Y264" s="1414"/>
      <c r="Z264" s="1209"/>
      <c r="AA264" s="1210" t="str">
        <f t="shared" ref="AA264" si="257">IF(X264="N/A","",Y264/(1-Z264))</f>
        <v/>
      </c>
      <c r="AB264" s="1099"/>
      <c r="AC264" s="1224">
        <v>0</v>
      </c>
      <c r="AD264" s="1099"/>
      <c r="AE264" s="1209"/>
      <c r="AF264" s="1209"/>
      <c r="AG264" s="1211" t="str">
        <f t="shared" si="238"/>
        <v/>
      </c>
      <c r="AH264" s="1207" t="s">
        <v>2224</v>
      </c>
      <c r="AI264" s="1099"/>
      <c r="AJ264" s="1209"/>
      <c r="AK264" s="1190">
        <f t="shared" si="215"/>
        <v>0</v>
      </c>
      <c r="AL264" s="1209">
        <v>0</v>
      </c>
      <c r="AM264" s="1099"/>
      <c r="AN264" s="1099"/>
      <c r="AO264" s="1209"/>
      <c r="AP264" s="1209"/>
      <c r="AQ264" s="1211" t="str">
        <f t="shared" ref="AQ264" si="258">IF(AH264="N/A","",AK264*(1+AO264))</f>
        <v/>
      </c>
      <c r="AR264" s="1207" t="s">
        <v>2224</v>
      </c>
      <c r="AS264" s="1208"/>
      <c r="AT264" s="1209"/>
      <c r="AU264" s="1210" t="str">
        <f>IF(AR264="N/A","",AS264/(1-AT264))</f>
        <v/>
      </c>
      <c r="AV264" s="1099"/>
      <c r="AW264" s="1099"/>
      <c r="AX264" s="1099"/>
      <c r="AY264" s="1209"/>
      <c r="AZ264" s="1209"/>
      <c r="BA264" s="1211" t="str">
        <f t="shared" ref="BA264" si="259">IF(AR264="N/A","",AU264*(1+AY264))</f>
        <v/>
      </c>
      <c r="BB264" s="1207" t="s">
        <v>2224</v>
      </c>
      <c r="BC264" s="1099"/>
      <c r="BD264" s="1209"/>
      <c r="BE264" s="1190">
        <f t="shared" si="204"/>
        <v>0</v>
      </c>
      <c r="BF264" s="1209">
        <v>0</v>
      </c>
      <c r="BG264" s="1099"/>
      <c r="BH264" s="1099"/>
      <c r="BI264" s="1209"/>
      <c r="BJ264" s="1209"/>
      <c r="BK264" s="1211" t="str">
        <f>IF(BB264="N/A","",BE264*(1+BI264))</f>
        <v/>
      </c>
      <c r="BL264" s="388" t="s">
        <v>2224</v>
      </c>
      <c r="BM264" s="1213"/>
      <c r="BN264" s="1213"/>
      <c r="BO264" s="1190">
        <f t="shared" si="212"/>
        <v>0</v>
      </c>
      <c r="BP264" s="1213"/>
      <c r="BQ264" s="1213"/>
      <c r="BR264" s="1099"/>
      <c r="BS264" s="1213"/>
      <c r="BT264" s="1213"/>
      <c r="BU264" s="1211" t="str">
        <f t="shared" si="242"/>
        <v/>
      </c>
      <c r="BV264" s="198"/>
      <c r="BW264" s="1213"/>
      <c r="BX264" s="1213"/>
      <c r="BY264" s="1190">
        <f t="shared" si="213"/>
        <v>0</v>
      </c>
      <c r="BZ264" s="1213"/>
      <c r="CA264" s="1213"/>
      <c r="CB264" s="1214"/>
      <c r="CC264" s="1213"/>
      <c r="CD264" s="1213"/>
      <c r="CE264" s="1211">
        <f t="shared" si="244"/>
        <v>0</v>
      </c>
    </row>
    <row r="265" spans="1:83">
      <c r="F265" s="1198"/>
      <c r="W265" s="1198"/>
      <c r="Y265" s="1415"/>
      <c r="BR265" s="393"/>
      <c r="BY265" s="1190">
        <f t="shared" ref="BY265" si="260">IF(BV265="N/A","",BW265/(1-BX265))</f>
        <v>0</v>
      </c>
      <c r="CB265" s="1127"/>
    </row>
    <row r="266" spans="1:83" s="1150" customFormat="1">
      <c r="A266" s="291" t="b">
        <v>0</v>
      </c>
      <c r="B266" s="291" t="s">
        <v>2244</v>
      </c>
      <c r="C266" s="291" t="b">
        <f t="shared" ref="C266:C270" si="261">IF(B266="N/A","",IF(B266="newRates",FALSE,TRUE))</f>
        <v>1</v>
      </c>
      <c r="D266" s="388" t="str">
        <f>IF(C266=FALSE=NAMES!$B$8,"",IF(L266="N/A","N/A",O266&amp;N266&amp;L266&amp;"-"&amp;M266&amp;" ("&amp;U266&amp;"/"&amp;V266&amp;")"))</f>
        <v/>
      </c>
      <c r="E266" s="392" t="str">
        <f t="shared" ref="E266:E270" si="262">IF(L266="N/A","N/A",O266&amp;N266&amp;L266&amp;"-"&amp;M266&amp;" ("&amp;U266&amp;"/"&amp;V266&amp;")")</f>
        <v>2015EURAnker Verzekeringen n.v.-Formula 3 (7/120)</v>
      </c>
      <c r="F266" s="1236" t="str">
        <f t="shared" ref="F266:F270" si="263">IF(X266="N/A","N/A",O266&amp;N266&amp;L266&amp;"-"&amp;X266&amp;M266)</f>
        <v>2015EURAnker Verzekeringen n.v.-Death AccidentFormula 3</v>
      </c>
      <c r="G266" s="1240" t="str">
        <f t="shared" ref="G266:G270" si="264">IF(AH266="N/A","N/A",O266&amp;N266&amp;L266&amp;"-"&amp;AH266&amp;M266)</f>
        <v>2015EURAnker Verzekeringen n.v.-Death illnessFormula 3</v>
      </c>
      <c r="H266" s="1240" t="str">
        <f t="shared" ref="H266:H270" si="265">IF(AR266="N/A","N/A",O266&amp;N266&amp;L266&amp;"-"&amp;AR266&amp;M266)</f>
        <v>2015EURAnker Verzekeringen n.v.-Permanent Disability AccidentFormula 3</v>
      </c>
      <c r="I266" s="1240" t="str">
        <f t="shared" ref="I266:I270" si="266">IF(BB266="N/A","N/A",O266&amp;N266&amp;L266&amp;"-"&amp;BB266&amp;M266)</f>
        <v>2015EURAnker Verzekeringen n.v.-Permanent Disability illnessFormula 3</v>
      </c>
      <c r="J266" s="1240" t="str">
        <f t="shared" ref="J266:J270" si="267">IF(BL266="N/A","N/A",O266&amp;N266&amp;L266&amp;"-"&amp;BL266)</f>
        <v>2015EURAnker Verzekeringen n.v.-Temporary Disability Accident (100%/7/120)</v>
      </c>
      <c r="K266" s="1240" t="str">
        <f t="shared" ref="K266:K270" si="268">IF(BV266="N/A","N/A",O266&amp;N266&amp;L266&amp;"-"&amp;BV266)</f>
        <v>2015EURAnker Verzekeringen n.v.-Temporary Disability illness (100%/7/120)</v>
      </c>
      <c r="L266" s="392" t="s">
        <v>7</v>
      </c>
      <c r="M266" s="1109" t="s">
        <v>88</v>
      </c>
      <c r="N266" s="392" t="s">
        <v>32</v>
      </c>
      <c r="O266" s="376">
        <v>2015</v>
      </c>
      <c r="P266" s="376" t="s">
        <v>2234</v>
      </c>
      <c r="Q266" s="376"/>
      <c r="R266" s="377">
        <v>0.1</v>
      </c>
      <c r="S266" s="1109"/>
      <c r="T266" s="387">
        <v>1</v>
      </c>
      <c r="U266" s="1109">
        <v>7</v>
      </c>
      <c r="V266" s="1109">
        <v>120</v>
      </c>
      <c r="W266" s="373">
        <f t="shared" ref="W266:W270" si="269">IF(X266="N/A","",AA266+AK266+AU266+BE266+BO266+BY266)</f>
        <v>1.9863448275862068E-2</v>
      </c>
      <c r="X266" s="197" t="s">
        <v>6</v>
      </c>
      <c r="Y266" s="1410">
        <v>5.0100000000000003E-4</v>
      </c>
      <c r="Z266" s="377">
        <v>0.27500000000000002</v>
      </c>
      <c r="AA266" s="1190">
        <f t="shared" ref="AA266:AA270" si="270">IF(X266="N/A","",Y266/(1-Z266))</f>
        <v>6.9103448275862072E-4</v>
      </c>
      <c r="AB266" s="377">
        <v>0</v>
      </c>
      <c r="AC266" s="378">
        <v>0</v>
      </c>
      <c r="AD266" s="393"/>
      <c r="AE266" s="377">
        <v>0.04</v>
      </c>
      <c r="AF266" s="377"/>
      <c r="AG266" s="1205">
        <f t="shared" ref="AG266:AG270" si="271">IF(X266="N/A","",AA266*(1+AE266))</f>
        <v>7.1867586206896558E-4</v>
      </c>
      <c r="AH266" s="197" t="s">
        <v>2114</v>
      </c>
      <c r="AI266" s="393">
        <v>1.253E-3</v>
      </c>
      <c r="AJ266" s="377">
        <v>0.27500000000000002</v>
      </c>
      <c r="AK266" s="1190">
        <f t="shared" ref="AK266:AK270" si="272">IF(AH266="N/A",0,AI266/(1-AJ266))</f>
        <v>1.7282758620689655E-3</v>
      </c>
      <c r="AL266" s="377">
        <v>0</v>
      </c>
      <c r="AM266" s="378">
        <v>0</v>
      </c>
      <c r="AN266" s="393"/>
      <c r="AO266" s="377">
        <v>0.04</v>
      </c>
      <c r="AP266" s="377"/>
      <c r="AQ266" s="1205">
        <f t="shared" ref="AQ266:AQ270" si="273">IF(AH266="N/A","",AK266*(1+AO266))</f>
        <v>1.7974068965517242E-3</v>
      </c>
      <c r="AR266" s="197" t="s">
        <v>9</v>
      </c>
      <c r="AS266" s="393">
        <v>6.1899999999999998E-4</v>
      </c>
      <c r="AT266" s="377">
        <v>0.27500000000000002</v>
      </c>
      <c r="AU266" s="1190">
        <f t="shared" ref="AU266:AU269" si="274">IF(AR266="N/A","",AS266/(1-AT266))</f>
        <v>8.5379310344827581E-4</v>
      </c>
      <c r="AV266" s="377">
        <v>0</v>
      </c>
      <c r="AW266" s="378">
        <v>0</v>
      </c>
      <c r="AX266" s="393"/>
      <c r="AY266" s="377">
        <v>0.04</v>
      </c>
      <c r="AZ266" s="377"/>
      <c r="BA266" s="1205">
        <f t="shared" ref="BA266:BA270" si="275">IF(AR266="N/A","",AU266*(1+AY266))</f>
        <v>8.8794482758620692E-4</v>
      </c>
      <c r="BB266" s="197" t="s">
        <v>2115</v>
      </c>
      <c r="BC266" s="393">
        <v>1.4890000000000001E-3</v>
      </c>
      <c r="BD266" s="377">
        <v>0.27500000000000002</v>
      </c>
      <c r="BE266" s="1190">
        <f>IF(BB266="N/A",0,BC266/(1-BD266))</f>
        <v>2.0537931034482759E-3</v>
      </c>
      <c r="BF266" s="377">
        <v>0</v>
      </c>
      <c r="BG266" s="378">
        <v>0</v>
      </c>
      <c r="BH266" s="393"/>
      <c r="BI266" s="377">
        <v>0.04</v>
      </c>
      <c r="BJ266" s="377"/>
      <c r="BK266" s="1205">
        <f t="shared" ref="BK266:BK269" si="276">IF(BB266="N/A","",BE266*(1+BI266))</f>
        <v>2.1359448275862069E-3</v>
      </c>
      <c r="BL266" s="197" t="s">
        <v>2827</v>
      </c>
      <c r="BM266" s="393">
        <v>4.5180000000000003E-3</v>
      </c>
      <c r="BN266" s="377">
        <v>0.27500000000000002</v>
      </c>
      <c r="BO266" s="1190">
        <f t="shared" ref="BO266:BO270" si="277">IF(BL266="N/A",0,BM266/(1-BN266))</f>
        <v>6.2317241379310348E-3</v>
      </c>
      <c r="BP266" s="377">
        <v>0</v>
      </c>
      <c r="BQ266" s="378">
        <v>0</v>
      </c>
      <c r="BR266" s="393"/>
      <c r="BS266" s="377">
        <v>0.04</v>
      </c>
      <c r="BT266" s="377"/>
      <c r="BU266" s="1205">
        <f t="shared" ref="BU266:BU270" si="278">IF(BL266="N/A","",BO266*(1+BS266))</f>
        <v>6.480993103448276E-3</v>
      </c>
      <c r="BV266" s="197" t="s">
        <v>2836</v>
      </c>
      <c r="BW266" s="393">
        <v>6.0210000000000003E-3</v>
      </c>
      <c r="BX266" s="377">
        <v>0.27500000000000002</v>
      </c>
      <c r="BY266" s="1190">
        <f t="shared" ref="BY266:BY270" si="279">IF(BV266="N/A",0,BW266/(1-BX266))</f>
        <v>8.304827586206898E-3</v>
      </c>
      <c r="BZ266" s="377">
        <v>0</v>
      </c>
      <c r="CA266" s="378">
        <v>0</v>
      </c>
      <c r="CB266" s="1109"/>
      <c r="CC266" s="377">
        <v>0.04</v>
      </c>
      <c r="CD266" s="377"/>
      <c r="CE266" s="1205">
        <f t="shared" ref="CE266:CE270" si="280">IF(BV266="N/A","",BY266*(1+CC266))</f>
        <v>8.6370206896551737E-3</v>
      </c>
    </row>
    <row r="267" spans="1:83" s="1150" customFormat="1">
      <c r="A267" s="291" t="b">
        <v>0</v>
      </c>
      <c r="B267" s="291" t="s">
        <v>2244</v>
      </c>
      <c r="C267" s="291" t="b">
        <f t="shared" si="261"/>
        <v>1</v>
      </c>
      <c r="D267" s="388" t="str">
        <f>IF(C267=FALSE=NAMES!$B$8,"",IF(L267="N/A","N/A",O267&amp;N267&amp;L267&amp;"-"&amp;M267&amp;" ("&amp;U267&amp;"/"&amp;V267&amp;")"))</f>
        <v/>
      </c>
      <c r="E267" s="392" t="str">
        <f t="shared" si="262"/>
        <v>2015EURAnker Verzekeringen n.v.-Formula 3 (7/365)</v>
      </c>
      <c r="F267" s="1236" t="str">
        <f t="shared" si="263"/>
        <v>2015EURAnker Verzekeringen n.v.-Death AccidentFormula 3</v>
      </c>
      <c r="G267" s="1240" t="str">
        <f t="shared" si="264"/>
        <v>2015EURAnker Verzekeringen n.v.-Death illnessFormula 3</v>
      </c>
      <c r="H267" s="1240" t="str">
        <f t="shared" si="265"/>
        <v>2015EURAnker Verzekeringen n.v.-Permanent Disability AccidentFormula 3</v>
      </c>
      <c r="I267" s="1240" t="str">
        <f t="shared" si="266"/>
        <v>2015EURAnker Verzekeringen n.v.-Permanent Disability illnessFormula 3</v>
      </c>
      <c r="J267" s="1240" t="str">
        <f t="shared" si="267"/>
        <v>2015EURAnker Verzekeringen n.v.-Temporary Disability Accident (100%/7/365)</v>
      </c>
      <c r="K267" s="1240" t="str">
        <f t="shared" si="268"/>
        <v>2015EURAnker Verzekeringen n.v.-Temporary Disability illness (100%/7/365)</v>
      </c>
      <c r="L267" s="392" t="s">
        <v>7</v>
      </c>
      <c r="M267" s="1109" t="s">
        <v>88</v>
      </c>
      <c r="N267" s="392" t="s">
        <v>32</v>
      </c>
      <c r="O267" s="376">
        <v>2015</v>
      </c>
      <c r="P267" s="376" t="s">
        <v>2234</v>
      </c>
      <c r="Q267" s="376"/>
      <c r="R267" s="377">
        <v>0.1</v>
      </c>
      <c r="S267" s="1109"/>
      <c r="T267" s="387">
        <v>1</v>
      </c>
      <c r="U267" s="1109">
        <v>7</v>
      </c>
      <c r="V267" s="1109">
        <v>365</v>
      </c>
      <c r="W267" s="373">
        <f t="shared" si="269"/>
        <v>2.4042758620689657E-2</v>
      </c>
      <c r="X267" s="197" t="s">
        <v>6</v>
      </c>
      <c r="Y267" s="1410">
        <v>5.0100000000000003E-4</v>
      </c>
      <c r="Z267" s="377">
        <v>0.27500000000000002</v>
      </c>
      <c r="AA267" s="1190">
        <f t="shared" si="270"/>
        <v>6.9103448275862072E-4</v>
      </c>
      <c r="AB267" s="377">
        <v>0</v>
      </c>
      <c r="AC267" s="378">
        <v>0</v>
      </c>
      <c r="AD267" s="393"/>
      <c r="AE267" s="377">
        <v>0.04</v>
      </c>
      <c r="AF267" s="377"/>
      <c r="AG267" s="1205">
        <f t="shared" si="271"/>
        <v>7.1867586206896558E-4</v>
      </c>
      <c r="AH267" s="197" t="s">
        <v>2114</v>
      </c>
      <c r="AI267" s="393">
        <v>1.253E-3</v>
      </c>
      <c r="AJ267" s="377">
        <v>0.27500000000000002</v>
      </c>
      <c r="AK267" s="1190">
        <f t="shared" si="272"/>
        <v>1.7282758620689655E-3</v>
      </c>
      <c r="AL267" s="377">
        <v>0</v>
      </c>
      <c r="AM267" s="378">
        <v>0</v>
      </c>
      <c r="AN267" s="393"/>
      <c r="AO267" s="377">
        <v>0.04</v>
      </c>
      <c r="AP267" s="377"/>
      <c r="AQ267" s="1205">
        <f t="shared" si="273"/>
        <v>1.7974068965517242E-3</v>
      </c>
      <c r="AR267" s="197" t="s">
        <v>9</v>
      </c>
      <c r="AS267" s="393">
        <v>6.1899999999999998E-4</v>
      </c>
      <c r="AT267" s="377">
        <v>0.27500000000000002</v>
      </c>
      <c r="AU267" s="1190">
        <f t="shared" si="274"/>
        <v>8.5379310344827581E-4</v>
      </c>
      <c r="AV267" s="377">
        <v>0</v>
      </c>
      <c r="AW267" s="378">
        <v>0</v>
      </c>
      <c r="AX267" s="393"/>
      <c r="AY267" s="377">
        <v>0.04</v>
      </c>
      <c r="AZ267" s="377"/>
      <c r="BA267" s="1205">
        <f t="shared" si="275"/>
        <v>8.8794482758620692E-4</v>
      </c>
      <c r="BB267" s="197" t="s">
        <v>2115</v>
      </c>
      <c r="BC267" s="393">
        <v>1.4890000000000001E-3</v>
      </c>
      <c r="BD267" s="377">
        <v>0.27500000000000002</v>
      </c>
      <c r="BE267" s="1190">
        <f t="shared" ref="BE267:BE270" si="281">IF(BB267="N/A",0,BC267/(1-BD267))</f>
        <v>2.0537931034482759E-3</v>
      </c>
      <c r="BF267" s="377">
        <v>0</v>
      </c>
      <c r="BG267" s="378">
        <v>0</v>
      </c>
      <c r="BH267" s="393"/>
      <c r="BI267" s="377">
        <v>0.04</v>
      </c>
      <c r="BJ267" s="377"/>
      <c r="BK267" s="1205">
        <f t="shared" si="276"/>
        <v>2.1359448275862069E-3</v>
      </c>
      <c r="BL267" s="197" t="s">
        <v>2828</v>
      </c>
      <c r="BM267" s="393">
        <v>4.5250000000000004E-3</v>
      </c>
      <c r="BN267" s="377">
        <v>0.27500000000000002</v>
      </c>
      <c r="BO267" s="1190">
        <f t="shared" si="277"/>
        <v>6.241379310344828E-3</v>
      </c>
      <c r="BP267" s="377">
        <v>0</v>
      </c>
      <c r="BQ267" s="378">
        <v>0</v>
      </c>
      <c r="BR267" s="393"/>
      <c r="BS267" s="377">
        <v>0.04</v>
      </c>
      <c r="BT267" s="377"/>
      <c r="BU267" s="1205">
        <f t="shared" si="278"/>
        <v>6.491034482758621E-3</v>
      </c>
      <c r="BV267" s="197" t="s">
        <v>2832</v>
      </c>
      <c r="BW267" s="393">
        <v>9.044E-3</v>
      </c>
      <c r="BX267" s="377">
        <v>0.27500000000000002</v>
      </c>
      <c r="BY267" s="1190">
        <f t="shared" si="279"/>
        <v>1.2474482758620689E-2</v>
      </c>
      <c r="BZ267" s="377">
        <v>0</v>
      </c>
      <c r="CA267" s="378">
        <v>0</v>
      </c>
      <c r="CB267" s="1109"/>
      <c r="CC267" s="377">
        <v>0.04</v>
      </c>
      <c r="CD267" s="377"/>
      <c r="CE267" s="1205">
        <f t="shared" si="280"/>
        <v>1.2973462068965517E-2</v>
      </c>
    </row>
    <row r="268" spans="1:83" s="1150" customFormat="1">
      <c r="A268" s="291" t="b">
        <v>0</v>
      </c>
      <c r="B268" s="291" t="s">
        <v>2244</v>
      </c>
      <c r="C268" s="291" t="b">
        <f t="shared" si="261"/>
        <v>1</v>
      </c>
      <c r="D268" s="388" t="str">
        <f>IF(C268=FALSE=NAMES!$B$8,"",IF(L268="N/A","N/A",O268&amp;N268&amp;L268&amp;"-"&amp;M268&amp;" ("&amp;U268&amp;"/"&amp;V268&amp;")"))</f>
        <v/>
      </c>
      <c r="E268" s="392" t="str">
        <f t="shared" si="262"/>
        <v>2015USDAnker Verzekeringen n.v.-Formula 3 (7/120)</v>
      </c>
      <c r="F268" s="1236" t="str">
        <f t="shared" si="263"/>
        <v>2015USDAnker Verzekeringen n.v.-Death AccidentFormula 3</v>
      </c>
      <c r="G268" s="1240" t="str">
        <f t="shared" si="264"/>
        <v>2015USDAnker Verzekeringen n.v.-Death illnessFormula 3</v>
      </c>
      <c r="H268" s="1240" t="str">
        <f t="shared" si="265"/>
        <v>2015USDAnker Verzekeringen n.v.-Permanent Disability AccidentFormula 3</v>
      </c>
      <c r="I268" s="1240" t="str">
        <f t="shared" si="266"/>
        <v>2015USDAnker Verzekeringen n.v.-Permanent Disability illnessFormula 3</v>
      </c>
      <c r="J268" s="1240" t="str">
        <f t="shared" si="267"/>
        <v>2015USDAnker Verzekeringen n.v.-Temporary Disability Accident (100%/7/120)</v>
      </c>
      <c r="K268" s="1240" t="str">
        <f t="shared" si="268"/>
        <v>2015USDAnker Verzekeringen n.v.-Temporary Disability illness (100%/7/120)</v>
      </c>
      <c r="L268" s="392" t="s">
        <v>7</v>
      </c>
      <c r="M268" s="1109" t="s">
        <v>88</v>
      </c>
      <c r="N268" s="392" t="s">
        <v>87</v>
      </c>
      <c r="O268" s="376">
        <v>2015</v>
      </c>
      <c r="P268" s="376" t="s">
        <v>2234</v>
      </c>
      <c r="Q268" s="376"/>
      <c r="R268" s="377">
        <v>0.1</v>
      </c>
      <c r="S268" s="1109"/>
      <c r="T268" s="387">
        <v>1</v>
      </c>
      <c r="U268" s="1109">
        <v>7</v>
      </c>
      <c r="V268" s="1109">
        <v>120</v>
      </c>
      <c r="W268" s="373">
        <f t="shared" si="269"/>
        <v>2.1928275862068965E-2</v>
      </c>
      <c r="X268" s="197" t="s">
        <v>6</v>
      </c>
      <c r="Y268" s="1410">
        <v>5.8600000000000004E-4</v>
      </c>
      <c r="Z268" s="377">
        <v>0.27500000000000002</v>
      </c>
      <c r="AA268" s="1190">
        <f t="shared" si="270"/>
        <v>8.0827586206896559E-4</v>
      </c>
      <c r="AB268" s="377">
        <v>0</v>
      </c>
      <c r="AC268" s="378">
        <v>0</v>
      </c>
      <c r="AD268" s="393"/>
      <c r="AE268" s="377">
        <v>0.04</v>
      </c>
      <c r="AF268" s="377"/>
      <c r="AG268" s="1205">
        <f t="shared" si="271"/>
        <v>8.4060689655172428E-4</v>
      </c>
      <c r="AH268" s="197" t="s">
        <v>2114</v>
      </c>
      <c r="AI268" s="393">
        <v>1.444E-3</v>
      </c>
      <c r="AJ268" s="377">
        <v>0.27500000000000002</v>
      </c>
      <c r="AK268" s="1190">
        <f t="shared" si="272"/>
        <v>1.9917241379310345E-3</v>
      </c>
      <c r="AL268" s="377">
        <v>0</v>
      </c>
      <c r="AM268" s="378">
        <v>0</v>
      </c>
      <c r="AN268" s="393"/>
      <c r="AO268" s="377">
        <v>0.04</v>
      </c>
      <c r="AP268" s="377"/>
      <c r="AQ268" s="1205">
        <f t="shared" si="273"/>
        <v>2.0713931034482759E-3</v>
      </c>
      <c r="AR268" s="197" t="s">
        <v>9</v>
      </c>
      <c r="AS268" s="393">
        <v>7.0699999999999995E-4</v>
      </c>
      <c r="AT268" s="377">
        <v>0.27500000000000002</v>
      </c>
      <c r="AU268" s="1190">
        <f t="shared" si="274"/>
        <v>9.7517241379310336E-4</v>
      </c>
      <c r="AV268" s="377">
        <v>0</v>
      </c>
      <c r="AW268" s="378">
        <v>0</v>
      </c>
      <c r="AX268" s="393"/>
      <c r="AY268" s="377">
        <v>0.04</v>
      </c>
      <c r="AZ268" s="377"/>
      <c r="BA268" s="1205">
        <f t="shared" si="275"/>
        <v>1.0141793103448276E-3</v>
      </c>
      <c r="BB268" s="197" t="s">
        <v>2115</v>
      </c>
      <c r="BC268" s="393">
        <v>1.01E-3</v>
      </c>
      <c r="BD268" s="377">
        <v>0.27500000000000002</v>
      </c>
      <c r="BE268" s="1190">
        <f t="shared" si="281"/>
        <v>1.3931034482758621E-3</v>
      </c>
      <c r="BF268" s="377">
        <v>0</v>
      </c>
      <c r="BG268" s="378">
        <v>0</v>
      </c>
      <c r="BH268" s="393"/>
      <c r="BI268" s="377">
        <v>0.04</v>
      </c>
      <c r="BJ268" s="377"/>
      <c r="BK268" s="1205">
        <f t="shared" si="276"/>
        <v>1.4488275862068966E-3</v>
      </c>
      <c r="BL268" s="197" t="s">
        <v>2827</v>
      </c>
      <c r="BM268" s="393">
        <v>5.2119999999999996E-3</v>
      </c>
      <c r="BN268" s="377">
        <v>0.27500000000000002</v>
      </c>
      <c r="BO268" s="1190">
        <f t="shared" si="277"/>
        <v>7.1889655172413794E-3</v>
      </c>
      <c r="BP268" s="377">
        <v>0</v>
      </c>
      <c r="BQ268" s="378">
        <v>0</v>
      </c>
      <c r="BR268" s="393"/>
      <c r="BS268" s="377">
        <v>0.04</v>
      </c>
      <c r="BT268" s="377"/>
      <c r="BU268" s="1205">
        <f t="shared" si="278"/>
        <v>7.4765241379310347E-3</v>
      </c>
      <c r="BV268" s="197" t="s">
        <v>2836</v>
      </c>
      <c r="BW268" s="393">
        <v>6.9389999999999999E-3</v>
      </c>
      <c r="BX268" s="377">
        <v>0.27500000000000002</v>
      </c>
      <c r="BY268" s="1190">
        <f t="shared" si="279"/>
        <v>9.5710344827586204E-3</v>
      </c>
      <c r="BZ268" s="377">
        <v>0</v>
      </c>
      <c r="CA268" s="378">
        <v>0</v>
      </c>
      <c r="CB268" s="1109"/>
      <c r="CC268" s="377">
        <v>0.04</v>
      </c>
      <c r="CD268" s="377"/>
      <c r="CE268" s="1205">
        <f t="shared" si="280"/>
        <v>9.9538758620689657E-3</v>
      </c>
    </row>
    <row r="269" spans="1:83" s="1150" customFormat="1">
      <c r="A269" s="291" t="b">
        <v>0</v>
      </c>
      <c r="B269" s="291" t="s">
        <v>2244</v>
      </c>
      <c r="C269" s="291" t="b">
        <f t="shared" si="261"/>
        <v>1</v>
      </c>
      <c r="D269" s="388" t="str">
        <f>IF(C269=FALSE=NAMES!$B$8,"",IF(L269="N/A","N/A",O269&amp;N269&amp;L269&amp;"-"&amp;M269&amp;" ("&amp;U269&amp;"/"&amp;V269&amp;")"))</f>
        <v/>
      </c>
      <c r="E269" s="392" t="str">
        <f t="shared" si="262"/>
        <v>2015USDAnker Verzekeringen n.v.-Formula 3 (7/365)</v>
      </c>
      <c r="F269" s="1236" t="str">
        <f t="shared" si="263"/>
        <v>2015USDAnker Verzekeringen n.v.-Death AccidentFormula 3</v>
      </c>
      <c r="G269" s="1240" t="str">
        <f t="shared" si="264"/>
        <v>2015USDAnker Verzekeringen n.v.-Death illnessFormula 3</v>
      </c>
      <c r="H269" s="1240" t="str">
        <f t="shared" si="265"/>
        <v>2015USDAnker Verzekeringen n.v.-Permanent Disability AccidentFormula 3</v>
      </c>
      <c r="I269" s="1240" t="str">
        <f t="shared" si="266"/>
        <v>2015USDAnker Verzekeringen n.v.-Permanent Disability illnessFormula 3</v>
      </c>
      <c r="J269" s="1240" t="str">
        <f t="shared" si="267"/>
        <v>2015USDAnker Verzekeringen n.v.-Temporary Disability Accident (100%/7/365)</v>
      </c>
      <c r="K269" s="1240" t="str">
        <f t="shared" si="268"/>
        <v>2015USDAnker Verzekeringen n.v.-Temporary Disability illness (100%/7/365)</v>
      </c>
      <c r="L269" s="392" t="s">
        <v>7</v>
      </c>
      <c r="M269" s="1109" t="s">
        <v>88</v>
      </c>
      <c r="N269" s="392" t="s">
        <v>87</v>
      </c>
      <c r="O269" s="376">
        <v>2015</v>
      </c>
      <c r="P269" s="376" t="s">
        <v>2234</v>
      </c>
      <c r="Q269" s="376"/>
      <c r="R269" s="377">
        <v>0.1</v>
      </c>
      <c r="S269" s="1109"/>
      <c r="T269" s="387">
        <v>1</v>
      </c>
      <c r="U269" s="1109">
        <v>7</v>
      </c>
      <c r="V269" s="1109">
        <v>365</v>
      </c>
      <c r="W269" s="373">
        <f t="shared" si="269"/>
        <v>2.6747586206896552E-2</v>
      </c>
      <c r="X269" s="197" t="s">
        <v>6</v>
      </c>
      <c r="Y269" s="1410">
        <v>5.8600000000000004E-4</v>
      </c>
      <c r="Z269" s="377">
        <v>0.27500000000000002</v>
      </c>
      <c r="AA269" s="1190">
        <f t="shared" si="270"/>
        <v>8.0827586206896559E-4</v>
      </c>
      <c r="AB269" s="377">
        <v>0</v>
      </c>
      <c r="AC269" s="378">
        <v>0</v>
      </c>
      <c r="AD269" s="393"/>
      <c r="AE269" s="377">
        <v>0.04</v>
      </c>
      <c r="AF269" s="377"/>
      <c r="AG269" s="1205">
        <f t="shared" si="271"/>
        <v>8.4060689655172428E-4</v>
      </c>
      <c r="AH269" s="197" t="s">
        <v>2114</v>
      </c>
      <c r="AI269" s="393">
        <v>1.444E-3</v>
      </c>
      <c r="AJ269" s="377">
        <v>0.27500000000000002</v>
      </c>
      <c r="AK269" s="1190">
        <f t="shared" si="272"/>
        <v>1.9917241379310345E-3</v>
      </c>
      <c r="AL269" s="377">
        <v>0</v>
      </c>
      <c r="AM269" s="378">
        <v>0</v>
      </c>
      <c r="AN269" s="393"/>
      <c r="AO269" s="377">
        <v>0.04</v>
      </c>
      <c r="AP269" s="377"/>
      <c r="AQ269" s="1205">
        <f t="shared" si="273"/>
        <v>2.0713931034482759E-3</v>
      </c>
      <c r="AR269" s="197" t="s">
        <v>9</v>
      </c>
      <c r="AS269" s="393">
        <v>7.0699999999999995E-4</v>
      </c>
      <c r="AT269" s="377">
        <v>0.27500000000000002</v>
      </c>
      <c r="AU269" s="1190">
        <f t="shared" si="274"/>
        <v>9.7517241379310336E-4</v>
      </c>
      <c r="AV269" s="377">
        <v>0</v>
      </c>
      <c r="AW269" s="378">
        <v>0</v>
      </c>
      <c r="AX269" s="393"/>
      <c r="AY269" s="377">
        <v>0.04</v>
      </c>
      <c r="AZ269" s="377"/>
      <c r="BA269" s="1205">
        <f t="shared" si="275"/>
        <v>1.0141793103448276E-3</v>
      </c>
      <c r="BB269" s="197" t="s">
        <v>2115</v>
      </c>
      <c r="BC269" s="393">
        <v>1.01E-3</v>
      </c>
      <c r="BD269" s="377">
        <v>0.27500000000000002</v>
      </c>
      <c r="BE269" s="1190">
        <f t="shared" si="281"/>
        <v>1.3931034482758621E-3</v>
      </c>
      <c r="BF269" s="377">
        <v>0</v>
      </c>
      <c r="BG269" s="378">
        <v>0</v>
      </c>
      <c r="BH269" s="393"/>
      <c r="BI269" s="377">
        <v>0.04</v>
      </c>
      <c r="BJ269" s="377"/>
      <c r="BK269" s="1205">
        <f t="shared" si="276"/>
        <v>1.4488275862068966E-3</v>
      </c>
      <c r="BL269" s="197" t="s">
        <v>2828</v>
      </c>
      <c r="BM269" s="393">
        <v>5.2119999999999996E-3</v>
      </c>
      <c r="BN269" s="377">
        <v>0.27500000000000002</v>
      </c>
      <c r="BO269" s="1190">
        <f t="shared" si="277"/>
        <v>7.1889655172413794E-3</v>
      </c>
      <c r="BP269" s="377">
        <v>0</v>
      </c>
      <c r="BQ269" s="378">
        <v>0</v>
      </c>
      <c r="BR269" s="393"/>
      <c r="BS269" s="377">
        <v>0.04</v>
      </c>
      <c r="BT269" s="377"/>
      <c r="BU269" s="1205">
        <f t="shared" si="278"/>
        <v>7.4765241379310347E-3</v>
      </c>
      <c r="BV269" s="197" t="s">
        <v>2832</v>
      </c>
      <c r="BW269" s="393">
        <v>1.0433E-2</v>
      </c>
      <c r="BX269" s="377">
        <v>0.27500000000000002</v>
      </c>
      <c r="BY269" s="1190">
        <f t="shared" si="279"/>
        <v>1.4390344827586207E-2</v>
      </c>
      <c r="BZ269" s="377">
        <v>0</v>
      </c>
      <c r="CA269" s="378">
        <v>0</v>
      </c>
      <c r="CB269" s="1109"/>
      <c r="CC269" s="377">
        <v>0.04</v>
      </c>
      <c r="CD269" s="377"/>
      <c r="CE269" s="1205">
        <f t="shared" si="280"/>
        <v>1.4965958620689656E-2</v>
      </c>
    </row>
    <row r="270" spans="1:83" s="1150" customFormat="1" ht="15.75" thickBot="1">
      <c r="A270" s="291" t="b">
        <v>0</v>
      </c>
      <c r="B270" s="291" t="s">
        <v>2244</v>
      </c>
      <c r="C270" s="291" t="b">
        <f t="shared" si="261"/>
        <v>1</v>
      </c>
      <c r="D270" s="388" t="str">
        <f>IF(C270=FALSE=NAMES!$B$8,"",IF(L270="N/A","N/A",O270&amp;N270&amp;L270&amp;"-"&amp;M270&amp;" ("&amp;U270&amp;"/"&amp;V270&amp;")"))</f>
        <v/>
      </c>
      <c r="E270" s="392" t="str">
        <f t="shared" si="262"/>
        <v>N/A</v>
      </c>
      <c r="F270" s="1236" t="str">
        <f t="shared" si="263"/>
        <v>N/A</v>
      </c>
      <c r="G270" s="1240" t="str">
        <f t="shared" si="264"/>
        <v>N/A</v>
      </c>
      <c r="H270" s="1240" t="str">
        <f t="shared" si="265"/>
        <v>N/A</v>
      </c>
      <c r="I270" s="1240" t="str">
        <f t="shared" si="266"/>
        <v>N/A</v>
      </c>
      <c r="J270" s="1240" t="str">
        <f t="shared" si="267"/>
        <v>N/A</v>
      </c>
      <c r="K270" s="1240" t="str">
        <f t="shared" si="268"/>
        <v>N/A-</v>
      </c>
      <c r="L270" s="389" t="s">
        <v>2224</v>
      </c>
      <c r="M270" s="1109"/>
      <c r="N270" s="392"/>
      <c r="O270" s="376"/>
      <c r="P270" s="376"/>
      <c r="Q270" s="376"/>
      <c r="R270" s="377"/>
      <c r="S270" s="1151"/>
      <c r="T270" s="1151"/>
      <c r="U270" s="1151"/>
      <c r="V270" s="1109"/>
      <c r="W270" s="373" t="str">
        <f t="shared" si="269"/>
        <v/>
      </c>
      <c r="X270" s="1207" t="s">
        <v>2224</v>
      </c>
      <c r="Y270" s="1414"/>
      <c r="Z270" s="1209"/>
      <c r="AA270" s="1210" t="str">
        <f t="shared" si="270"/>
        <v/>
      </c>
      <c r="AB270" s="1099"/>
      <c r="AC270" s="1224">
        <v>0</v>
      </c>
      <c r="AD270" s="1099"/>
      <c r="AE270" s="1209"/>
      <c r="AF270" s="1209"/>
      <c r="AG270" s="1211" t="str">
        <f t="shared" si="271"/>
        <v/>
      </c>
      <c r="AH270" s="1207" t="s">
        <v>2224</v>
      </c>
      <c r="AI270" s="1099"/>
      <c r="AJ270" s="1209"/>
      <c r="AK270" s="1190">
        <f t="shared" si="272"/>
        <v>0</v>
      </c>
      <c r="AL270" s="1209">
        <v>0</v>
      </c>
      <c r="AM270" s="1099"/>
      <c r="AN270" s="1099"/>
      <c r="AO270" s="1209"/>
      <c r="AP270" s="1209"/>
      <c r="AQ270" s="1211" t="str">
        <f t="shared" si="273"/>
        <v/>
      </c>
      <c r="AR270" s="1207" t="s">
        <v>2224</v>
      </c>
      <c r="AS270" s="1208"/>
      <c r="AT270" s="1209"/>
      <c r="AU270" s="1210" t="str">
        <f>IF(AR270="N/A","",AS270/(1-AT270))</f>
        <v/>
      </c>
      <c r="AV270" s="1099"/>
      <c r="AW270" s="1099"/>
      <c r="AX270" s="1099"/>
      <c r="AY270" s="1209"/>
      <c r="AZ270" s="1209"/>
      <c r="BA270" s="1211" t="str">
        <f t="shared" si="275"/>
        <v/>
      </c>
      <c r="BB270" s="1207" t="s">
        <v>2224</v>
      </c>
      <c r="BC270" s="1099"/>
      <c r="BD270" s="1209"/>
      <c r="BE270" s="1190">
        <f t="shared" si="281"/>
        <v>0</v>
      </c>
      <c r="BF270" s="1209">
        <v>0</v>
      </c>
      <c r="BG270" s="1099"/>
      <c r="BH270" s="1099"/>
      <c r="BI270" s="1209"/>
      <c r="BJ270" s="1209"/>
      <c r="BK270" s="1211" t="str">
        <f>IF(BB270="N/A","",BE270*(1+BI270))</f>
        <v/>
      </c>
      <c r="BL270" s="388" t="s">
        <v>2224</v>
      </c>
      <c r="BM270" s="1213"/>
      <c r="BN270" s="1213"/>
      <c r="BO270" s="1190">
        <f t="shared" si="277"/>
        <v>0</v>
      </c>
      <c r="BP270" s="1213"/>
      <c r="BQ270" s="1213"/>
      <c r="BR270" s="1099"/>
      <c r="BS270" s="1213"/>
      <c r="BT270" s="1213"/>
      <c r="BU270" s="1211" t="str">
        <f t="shared" si="278"/>
        <v/>
      </c>
      <c r="BV270" s="198"/>
      <c r="BW270" s="1213"/>
      <c r="BX270" s="1213"/>
      <c r="BY270" s="1190">
        <f t="shared" si="279"/>
        <v>0</v>
      </c>
      <c r="BZ270" s="1213"/>
      <c r="CA270" s="1213"/>
      <c r="CB270" s="1214"/>
      <c r="CC270" s="1213"/>
      <c r="CD270" s="1213"/>
      <c r="CE270" s="1211">
        <f t="shared" si="280"/>
        <v>0</v>
      </c>
    </row>
    <row r="271" spans="1:83">
      <c r="F271" s="1198"/>
      <c r="W271" s="1198"/>
    </row>
    <row r="272" spans="1:83">
      <c r="F272" s="1198"/>
      <c r="W272" s="1198"/>
    </row>
    <row r="273" spans="6:23">
      <c r="F273" s="1198"/>
      <c r="W273" s="1198"/>
    </row>
    <row r="274" spans="6:23">
      <c r="F274" s="1198"/>
      <c r="W274" s="1198"/>
    </row>
    <row r="275" spans="6:23">
      <c r="F275" s="1198"/>
      <c r="W275" s="1198"/>
    </row>
  </sheetData>
  <autoFilter ref="A4:BK264"/>
  <sortState ref="A6:CE32">
    <sortCondition ref="AT6:AT32"/>
  </sortState>
  <mergeCells count="32">
    <mergeCell ref="AH68:AQ68"/>
    <mergeCell ref="AR68:BA68"/>
    <mergeCell ref="BB68:BK68"/>
    <mergeCell ref="L68:V68"/>
    <mergeCell ref="X3:AG3"/>
    <mergeCell ref="AR3:BA3"/>
    <mergeCell ref="BB3:BK3"/>
    <mergeCell ref="L3:V3"/>
    <mergeCell ref="AH3:AQ3"/>
    <mergeCell ref="L183:V183"/>
    <mergeCell ref="B3:E3"/>
    <mergeCell ref="B68:E68"/>
    <mergeCell ref="B183:E183"/>
    <mergeCell ref="X183:AG183"/>
    <mergeCell ref="X68:AG68"/>
    <mergeCell ref="AH183:AQ183"/>
    <mergeCell ref="AR183:BA183"/>
    <mergeCell ref="BB183:BK183"/>
    <mergeCell ref="BL183:BU183"/>
    <mergeCell ref="BV183:CE183"/>
    <mergeCell ref="B219:E219"/>
    <mergeCell ref="L219:V219"/>
    <mergeCell ref="X219:AG219"/>
    <mergeCell ref="AH219:AQ219"/>
    <mergeCell ref="AR219:BA219"/>
    <mergeCell ref="BB219:BK219"/>
    <mergeCell ref="BL219:BU219"/>
    <mergeCell ref="BV219:CE219"/>
    <mergeCell ref="BL3:BU3"/>
    <mergeCell ref="BV3:CE3"/>
    <mergeCell ref="BL68:BU68"/>
    <mergeCell ref="BV68:CE68"/>
  </mergeCells>
  <pageMargins left="0.70866141732283472" right="0.70866141732283472" top="0.74803149606299213" bottom="0.74803149606299213" header="0.31496062992125984" footer="0.31496062992125984"/>
  <pageSetup paperSize="9" scale="23" orientation="landscape" r:id="rId1"/>
  <headerFooter>
    <oddHeader>&amp;Z&amp;F</oddHeader>
    <oddFooter>&amp;Ljason&amp;CPage &amp;P&amp;R&amp;D</oddFooter>
  </headerFooter>
  <rowBreaks count="2" manualBreakCount="2">
    <brk id="136" max="82" man="1"/>
    <brk id="182" max="82" man="1"/>
  </rowBreaks>
  <colBreaks count="2" manualBreakCount="2">
    <brk id="33" max="261" man="1"/>
    <brk id="43" max="26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AH67"/>
  <sheetViews>
    <sheetView view="pageBreakPreview" zoomScaleSheetLayoutView="100" workbookViewId="0">
      <selection activeCell="T23" sqref="T23"/>
    </sheetView>
  </sheetViews>
  <sheetFormatPr baseColWidth="10" defaultColWidth="9.140625" defaultRowHeight="15"/>
  <cols>
    <col min="1" max="1" width="7.140625" style="287" customWidth="1"/>
    <col min="2" max="2" width="34.140625" style="287" customWidth="1"/>
    <col min="3" max="3" width="12" style="749" customWidth="1"/>
    <col min="4" max="4" width="12.7109375" style="749" customWidth="1"/>
    <col min="5" max="5" width="13.140625" style="749" customWidth="1"/>
    <col min="6" max="6" width="10.5703125" style="749" customWidth="1"/>
    <col min="7" max="7" width="12.140625" style="287" customWidth="1"/>
    <col min="8" max="8" width="12.140625" style="659" customWidth="1"/>
    <col min="9" max="9" width="10.140625" style="287" customWidth="1"/>
    <col min="10" max="10" width="11.85546875" style="287" customWidth="1"/>
    <col min="11" max="11" width="10.42578125" style="659" customWidth="1"/>
    <col min="12" max="12" width="11.5703125" style="659" customWidth="1"/>
    <col min="13" max="13" width="8.5703125" style="287" customWidth="1"/>
    <col min="14" max="14" width="10.140625" style="287" customWidth="1"/>
    <col min="15" max="15" width="9.7109375" style="287" customWidth="1"/>
    <col min="16" max="16" width="11" style="287" customWidth="1"/>
    <col min="17" max="17" width="15" style="749" hidden="1" customWidth="1"/>
    <col min="18" max="18" width="12.5703125" style="749" customWidth="1"/>
    <col min="19" max="19" width="10.140625" style="749" customWidth="1"/>
    <col min="20" max="20" width="11" style="749" customWidth="1"/>
    <col min="21" max="16384" width="9.140625" style="287"/>
  </cols>
  <sheetData>
    <row r="1" spans="1:34" s="831" customFormat="1"/>
    <row r="2" spans="1:34" s="831" customFormat="1" ht="15.75" thickBot="1"/>
    <row r="3" spans="1:34" ht="15.75" thickBot="1">
      <c r="A3" s="681"/>
      <c r="B3" s="714">
        <f ca="1">NOW()</f>
        <v>42783.674673958332</v>
      </c>
      <c r="C3" s="1830" t="str">
        <f>YACHTNAME</f>
        <v xml:space="preserve">IDOL            </v>
      </c>
      <c r="D3" s="1831"/>
      <c r="E3" s="1831"/>
      <c r="F3" s="733"/>
      <c r="G3" s="754"/>
      <c r="H3" s="754"/>
      <c r="I3" s="754"/>
      <c r="J3" s="748"/>
      <c r="K3" s="748"/>
      <c r="L3" s="748"/>
      <c r="M3" s="748"/>
      <c r="N3" s="748"/>
      <c r="O3" s="748"/>
      <c r="P3" s="748"/>
      <c r="Q3" s="748"/>
      <c r="R3" s="748"/>
      <c r="S3" s="748"/>
      <c r="T3" s="748"/>
      <c r="Z3" s="749"/>
      <c r="AB3" s="659"/>
      <c r="AE3" s="659"/>
      <c r="AF3" s="659"/>
    </row>
    <row r="4" spans="1:34" s="749" customFormat="1" ht="15.75" thickBot="1">
      <c r="A4" s="681"/>
      <c r="B4" s="708"/>
      <c r="C4" s="708"/>
      <c r="D4" s="708"/>
      <c r="E4" s="708"/>
      <c r="F4" s="719"/>
      <c r="G4" s="731">
        <v>1</v>
      </c>
      <c r="H4" s="731">
        <v>2</v>
      </c>
      <c r="I4" s="731">
        <v>3</v>
      </c>
      <c r="J4" s="730">
        <v>4</v>
      </c>
      <c r="K4" s="730">
        <v>5</v>
      </c>
      <c r="L4" s="730">
        <v>6</v>
      </c>
      <c r="M4" s="730">
        <v>7</v>
      </c>
      <c r="N4" s="730">
        <v>8</v>
      </c>
      <c r="O4" s="730">
        <v>9</v>
      </c>
      <c r="P4" s="707">
        <v>10</v>
      </c>
      <c r="Q4" s="673"/>
      <c r="R4" s="1827" t="s">
        <v>2596</v>
      </c>
      <c r="S4" s="1827" t="s">
        <v>2594</v>
      </c>
      <c r="T4" s="1843" t="s">
        <v>2595</v>
      </c>
    </row>
    <row r="5" spans="1:34" ht="26.25" thickBot="1">
      <c r="A5" s="681"/>
      <c r="B5" s="681"/>
      <c r="C5" s="681"/>
      <c r="D5" s="681"/>
      <c r="E5" s="681"/>
      <c r="F5" s="746"/>
      <c r="G5" s="1851" t="s">
        <v>4</v>
      </c>
      <c r="H5" s="1852"/>
      <c r="I5" s="1853"/>
      <c r="J5" s="1850" t="s">
        <v>2549</v>
      </c>
      <c r="K5" s="1850"/>
      <c r="L5" s="1850"/>
      <c r="M5" s="743" t="s">
        <v>1</v>
      </c>
      <c r="N5" s="743" t="s">
        <v>2134</v>
      </c>
      <c r="O5" s="743" t="s">
        <v>2161</v>
      </c>
      <c r="P5" s="709" t="s">
        <v>2136</v>
      </c>
      <c r="Q5" s="693"/>
      <c r="R5" s="1828"/>
      <c r="S5" s="1828"/>
      <c r="T5" s="1844"/>
      <c r="W5" s="309" t="s">
        <v>2202</v>
      </c>
      <c r="X5" s="310" t="s">
        <v>2203</v>
      </c>
      <c r="Y5" s="310" t="s">
        <v>2204</v>
      </c>
      <c r="Z5" s="760"/>
      <c r="AA5" s="604"/>
      <c r="AB5" s="309" t="s">
        <v>2202</v>
      </c>
      <c r="AC5" s="310" t="s">
        <v>2203</v>
      </c>
      <c r="AD5" s="310" t="s">
        <v>2204</v>
      </c>
      <c r="AE5" s="259"/>
      <c r="AF5" s="581"/>
      <c r="AG5" s="1837" t="s">
        <v>2198</v>
      </c>
      <c r="AH5" s="1837"/>
    </row>
    <row r="6" spans="1:34" ht="15.75" thickBot="1">
      <c r="A6" s="681" t="b">
        <v>1</v>
      </c>
      <c r="B6" s="681"/>
      <c r="C6" s="681"/>
      <c r="D6" s="681"/>
      <c r="E6" s="681"/>
      <c r="F6" s="744" t="s">
        <v>27</v>
      </c>
      <c r="G6" s="694" t="str">
        <f>IF($G$5=Source!B17,Source!D17,"")</f>
        <v>Perfect S</v>
      </c>
      <c r="H6" s="694" t="str">
        <f>IF($G$5=Source!B18,Source!D18,"")</f>
        <v>StandardMLC S</v>
      </c>
      <c r="I6" s="694" t="s">
        <v>2137</v>
      </c>
      <c r="J6" s="723" t="s">
        <v>2589</v>
      </c>
      <c r="K6" s="723" t="s">
        <v>2590</v>
      </c>
      <c r="L6" s="723" t="s">
        <v>2591</v>
      </c>
      <c r="M6" s="694"/>
      <c r="N6" s="694"/>
      <c r="O6" s="694"/>
      <c r="P6" s="736"/>
      <c r="Q6" s="741"/>
      <c r="R6" s="1829"/>
      <c r="S6" s="1829"/>
      <c r="T6" s="1845"/>
      <c r="W6" s="311">
        <v>30000</v>
      </c>
      <c r="X6" s="581"/>
      <c r="Y6" s="581"/>
      <c r="Z6" s="279" t="str">
        <f>E12</f>
        <v>2016-2017</v>
      </c>
      <c r="AA6" s="605"/>
      <c r="AB6" s="311">
        <v>40000</v>
      </c>
      <c r="AC6" s="581"/>
      <c r="AD6" s="315"/>
      <c r="AE6" s="316" t="str">
        <f>E13</f>
        <v>2017-2017</v>
      </c>
      <c r="AF6" s="581"/>
      <c r="AG6" s="1838">
        <v>983.07690000000002</v>
      </c>
      <c r="AH6" s="1838"/>
    </row>
    <row r="7" spans="1:34" ht="15.75" thickBot="1">
      <c r="A7" s="681"/>
      <c r="B7" s="681"/>
      <c r="C7" s="681"/>
      <c r="D7" s="681"/>
      <c r="E7" s="681"/>
      <c r="F7" s="681"/>
      <c r="G7" s="681"/>
      <c r="H7" s="681"/>
      <c r="I7" s="681"/>
      <c r="J7" s="681"/>
      <c r="K7" s="681"/>
      <c r="L7" s="681"/>
      <c r="M7" s="710">
        <f>IF($A$6=TRUE,M19-M9,M20-M9)</f>
        <v>0</v>
      </c>
      <c r="N7" s="681"/>
      <c r="O7" s="748"/>
      <c r="P7" s="681"/>
      <c r="Q7" s="681"/>
      <c r="R7" s="681"/>
      <c r="S7" s="681"/>
      <c r="T7" s="681"/>
      <c r="W7" s="312">
        <v>0.25</v>
      </c>
      <c r="X7" s="313">
        <v>20000</v>
      </c>
      <c r="Y7" s="313">
        <f>$W$6-X7</f>
        <v>10000</v>
      </c>
      <c r="Z7" s="761"/>
      <c r="AA7" s="605"/>
      <c r="AB7" s="312">
        <v>0.25</v>
      </c>
      <c r="AC7" s="313">
        <v>20000</v>
      </c>
      <c r="AD7" s="313">
        <f>$AB$6-AC7</f>
        <v>20000</v>
      </c>
      <c r="AE7" s="183"/>
      <c r="AF7" s="304"/>
      <c r="AG7" s="1838" t="s">
        <v>2199</v>
      </c>
      <c r="AH7" s="1838"/>
    </row>
    <row r="8" spans="1:34" ht="15.75" thickBot="1">
      <c r="A8" s="681"/>
      <c r="B8" s="1834" t="s">
        <v>2599</v>
      </c>
      <c r="C8" s="1832" t="s">
        <v>2200</v>
      </c>
      <c r="D8" s="1833"/>
      <c r="E8" s="681"/>
      <c r="F8" s="680">
        <f t="shared" ref="F8:L8" si="0">IF($A$6=TRUE,F19-F9,F20-F9)</f>
        <v>17443.669999999998</v>
      </c>
      <c r="G8" s="684">
        <f t="shared" si="0"/>
        <v>0</v>
      </c>
      <c r="H8" s="684">
        <f t="shared" si="0"/>
        <v>-4.5474735088646412E-13</v>
      </c>
      <c r="I8" s="684">
        <f t="shared" si="0"/>
        <v>0</v>
      </c>
      <c r="J8" s="684">
        <f t="shared" si="0"/>
        <v>-1.8189894035458565E-12</v>
      </c>
      <c r="K8" s="684">
        <f t="shared" si="0"/>
        <v>0</v>
      </c>
      <c r="L8" s="684">
        <f t="shared" si="0"/>
        <v>0</v>
      </c>
      <c r="M8" s="705">
        <v>0</v>
      </c>
      <c r="N8" s="684">
        <f>IF($A$6=TRUE,N19-N9,N20-N9)</f>
        <v>0</v>
      </c>
      <c r="O8" s="684">
        <f t="shared" ref="O8:P8" si="1">IF($A$6=TRUE,O19-O9,O20-O9)</f>
        <v>0</v>
      </c>
      <c r="P8" s="684">
        <f t="shared" si="1"/>
        <v>1.0000000002037268E-2</v>
      </c>
      <c r="Q8" s="681"/>
      <c r="R8" s="684">
        <f>IF($A$6=TRUE,R19-R9,R20-R9)</f>
        <v>697.74680000000001</v>
      </c>
      <c r="S8" s="684">
        <f>IF($A$6=TRUE,S19-S9,S20-S9)</f>
        <v>184.00319999999991</v>
      </c>
      <c r="T8" s="758"/>
      <c r="W8" s="314">
        <v>0.2</v>
      </c>
      <c r="X8" s="606">
        <v>15000</v>
      </c>
      <c r="Y8" s="606">
        <f>$W$6-X8</f>
        <v>15000</v>
      </c>
      <c r="Z8" s="766"/>
      <c r="AA8" s="608"/>
      <c r="AB8" s="314">
        <v>0.2</v>
      </c>
      <c r="AC8" s="606">
        <v>15000</v>
      </c>
      <c r="AD8" s="606">
        <f>$AB$6-AC8</f>
        <v>25000</v>
      </c>
      <c r="AE8" s="607"/>
      <c r="AF8" s="307"/>
      <c r="AG8" s="305">
        <v>276</v>
      </c>
      <c r="AH8" s="306">
        <f>AG6/12*AG8</f>
        <v>22610.768700000001</v>
      </c>
    </row>
    <row r="9" spans="1:34" ht="15.75" thickBot="1">
      <c r="A9" s="681"/>
      <c r="B9" s="1834"/>
      <c r="C9" s="1832" t="s">
        <v>2201</v>
      </c>
      <c r="D9" s="1833"/>
      <c r="E9" s="748"/>
      <c r="F9" s="679">
        <f>IF($A$6=TRUE,F12,F13)</f>
        <v>0</v>
      </c>
      <c r="G9" s="713">
        <f>IF($A$6=TRUE,G12,G13)</f>
        <v>2635.88</v>
      </c>
      <c r="H9" s="713">
        <f t="shared" ref="H9:N9" si="2">IF($A$6=TRUE,H12,H13)</f>
        <v>3445.01</v>
      </c>
      <c r="I9" s="713">
        <f t="shared" si="2"/>
        <v>0</v>
      </c>
      <c r="J9" s="713">
        <f t="shared" si="2"/>
        <v>11362.78</v>
      </c>
      <c r="K9" s="713">
        <f t="shared" si="2"/>
        <v>0</v>
      </c>
      <c r="L9" s="713">
        <f t="shared" si="2"/>
        <v>0</v>
      </c>
      <c r="M9" s="713">
        <f t="shared" si="2"/>
        <v>92</v>
      </c>
      <c r="N9" s="713">
        <f t="shared" si="2"/>
        <v>881.75</v>
      </c>
      <c r="O9" s="713">
        <f t="shared" ref="O9:P9" si="3">IF($A$6=TRUE,O12,O13)</f>
        <v>0</v>
      </c>
      <c r="P9" s="713">
        <f t="shared" si="3"/>
        <v>18417.41</v>
      </c>
      <c r="Q9" s="703"/>
      <c r="R9" s="713">
        <f t="shared" ref="R9:S9" si="4">IF($A$6=TRUE,R12,R13)</f>
        <v>0</v>
      </c>
      <c r="S9" s="713">
        <f t="shared" si="4"/>
        <v>0</v>
      </c>
      <c r="T9" s="706"/>
    </row>
    <row r="10" spans="1:34">
      <c r="A10" s="681"/>
      <c r="B10" s="681"/>
      <c r="C10" s="681"/>
      <c r="D10" s="681"/>
      <c r="E10" s="681"/>
      <c r="F10" s="732"/>
      <c r="G10" s="687"/>
      <c r="H10" s="687"/>
      <c r="I10" s="687"/>
      <c r="J10" s="687"/>
      <c r="K10" s="687"/>
      <c r="L10" s="687"/>
      <c r="M10" s="687"/>
      <c r="N10" s="740"/>
      <c r="O10" s="748"/>
      <c r="P10" s="681"/>
      <c r="Q10" s="681"/>
      <c r="R10" s="681"/>
      <c r="S10" s="681"/>
      <c r="T10" s="681"/>
    </row>
    <row r="11" spans="1:34" ht="15.75" thickBot="1">
      <c r="A11" s="681"/>
      <c r="B11" s="689"/>
      <c r="C11" s="689"/>
      <c r="D11" s="689"/>
      <c r="E11" s="689"/>
      <c r="F11" s="732"/>
      <c r="G11" s="748"/>
      <c r="H11" s="748"/>
      <c r="I11" s="748"/>
      <c r="J11" s="748"/>
      <c r="K11" s="748"/>
      <c r="L11" s="748"/>
      <c r="M11" s="748"/>
      <c r="N11" s="748"/>
      <c r="O11" s="748"/>
      <c r="P11" s="681"/>
      <c r="Q11" s="681"/>
      <c r="R11" s="681"/>
      <c r="S11" s="681"/>
      <c r="T11" s="681"/>
    </row>
    <row r="12" spans="1:34" ht="15.75" thickBot="1">
      <c r="A12" s="681"/>
      <c r="B12" s="1826" t="s">
        <v>2598</v>
      </c>
      <c r="C12" s="1846" t="s">
        <v>2597</v>
      </c>
      <c r="D12" s="1847"/>
      <c r="E12" s="691" t="str">
        <f>E19</f>
        <v>2016-2017</v>
      </c>
      <c r="F12" s="696">
        <v>0</v>
      </c>
      <c r="G12" s="683">
        <v>2635.88</v>
      </c>
      <c r="H12" s="683">
        <v>3445.01</v>
      </c>
      <c r="I12" s="683">
        <v>0</v>
      </c>
      <c r="J12" s="683">
        <v>11362.78</v>
      </c>
      <c r="K12" s="683">
        <v>0</v>
      </c>
      <c r="L12" s="683">
        <v>0</v>
      </c>
      <c r="M12" s="683">
        <v>92</v>
      </c>
      <c r="N12" s="683">
        <v>881.75</v>
      </c>
      <c r="O12" s="683">
        <v>0</v>
      </c>
      <c r="P12" s="678">
        <v>18417.41</v>
      </c>
      <c r="Q12" s="697"/>
      <c r="R12" s="697"/>
      <c r="S12" s="697"/>
      <c r="T12" s="697"/>
    </row>
    <row r="13" spans="1:34" ht="15.75" thickBot="1">
      <c r="A13" s="681"/>
      <c r="B13" s="1826"/>
      <c r="C13" s="1848"/>
      <c r="D13" s="1849"/>
      <c r="E13" s="735" t="str">
        <f>E20</f>
        <v>2017-2017</v>
      </c>
      <c r="F13" s="699">
        <v>0</v>
      </c>
      <c r="G13" s="683">
        <v>0</v>
      </c>
      <c r="H13" s="683">
        <v>0</v>
      </c>
      <c r="I13" s="683">
        <v>0</v>
      </c>
      <c r="J13" s="683">
        <v>0</v>
      </c>
      <c r="K13" s="683">
        <v>0</v>
      </c>
      <c r="L13" s="683">
        <v>0</v>
      </c>
      <c r="M13" s="685">
        <v>0</v>
      </c>
      <c r="N13" s="685">
        <v>0</v>
      </c>
      <c r="O13" s="685">
        <v>0</v>
      </c>
      <c r="P13" s="700">
        <v>0</v>
      </c>
      <c r="Q13" s="697"/>
      <c r="R13" s="697"/>
      <c r="S13" s="697"/>
      <c r="T13" s="697"/>
    </row>
    <row r="14" spans="1:34" ht="15.75" thickBot="1">
      <c r="A14" s="681"/>
      <c r="B14" s="689"/>
      <c r="C14" s="689"/>
      <c r="D14" s="689"/>
      <c r="E14" s="689"/>
      <c r="F14" s="732"/>
      <c r="G14" s="748"/>
      <c r="H14" s="748"/>
      <c r="I14" s="748"/>
      <c r="J14" s="748"/>
      <c r="K14" s="748"/>
      <c r="L14" s="748"/>
      <c r="M14" s="748"/>
      <c r="N14" s="748"/>
      <c r="O14" s="748"/>
      <c r="P14" s="681"/>
      <c r="Q14" s="681"/>
      <c r="R14" s="681"/>
      <c r="S14" s="681"/>
      <c r="T14" s="681"/>
    </row>
    <row r="15" spans="1:34">
      <c r="A15" s="681"/>
      <c r="B15" s="1824"/>
      <c r="C15" s="1835" t="s">
        <v>2592</v>
      </c>
      <c r="D15" s="1836"/>
      <c r="E15" s="733"/>
      <c r="F15" s="702"/>
      <c r="G15" s="729">
        <f>Calcul!BD10</f>
        <v>4211.6971153846162</v>
      </c>
      <c r="H15" s="729"/>
      <c r="I15" s="729"/>
      <c r="J15" s="729">
        <f>Calcul!BP10</f>
        <v>13975.502148323099</v>
      </c>
      <c r="K15" s="729"/>
      <c r="L15" s="729"/>
      <c r="M15" s="729">
        <f>Cotations!AA11</f>
        <v>75</v>
      </c>
      <c r="N15" s="729">
        <f>Cotations!Y11</f>
        <v>821.74537054830921</v>
      </c>
      <c r="O15" s="729"/>
      <c r="P15" s="729">
        <f>Cotations!U11</f>
        <v>19083.94463425603</v>
      </c>
      <c r="Q15" s="697"/>
      <c r="R15" s="697"/>
      <c r="S15" s="697"/>
      <c r="T15" s="697"/>
    </row>
    <row r="16" spans="1:34" s="675" customFormat="1">
      <c r="A16" s="738"/>
      <c r="B16" s="1824"/>
      <c r="C16" s="1854" t="s">
        <v>2523</v>
      </c>
      <c r="D16" s="1855"/>
      <c r="E16" s="715"/>
      <c r="F16" s="698"/>
      <c r="G16" s="698">
        <f>IF(Source!$B$17=RECAPITULATIF!$G$5,INDEX(Source!$B$17:$I$24,MATCH(G6,Source!$D$17:$D$24,0),8),0)</f>
        <v>610.09617600000001</v>
      </c>
      <c r="H16" s="698">
        <f>IF(Source!$B$17=RECAPITULATIF!$G$5,INDEX(Source!$B$17:$I$24,MATCH(H6,Source!$D$17:$D$24,0),8),0)</f>
        <v>2818.6450199999999</v>
      </c>
      <c r="I16" s="698" t="e">
        <f>IF(Source!$B17=RECAPITULATIF!$G$5,INDEX(Source!$B$17:$I$24,MATCH(I6,Source!$D$17:$D$24,0),8),0)</f>
        <v>#N/A</v>
      </c>
      <c r="J16" s="698">
        <f>Source!I18</f>
        <v>2818.6450199999999</v>
      </c>
      <c r="K16" s="698">
        <f>Source!I19</f>
        <v>9650.4350533773995</v>
      </c>
      <c r="L16" s="698">
        <f>Source!I20</f>
        <v>1737.4358431743001</v>
      </c>
      <c r="M16" s="698">
        <f>Source!C26</f>
        <v>60</v>
      </c>
      <c r="N16" s="698">
        <f>Source!B31+Source!B32</f>
        <v>547.21069649374999</v>
      </c>
      <c r="O16" s="698"/>
      <c r="P16" s="698">
        <f>Source!B34</f>
        <v>12402.478108838</v>
      </c>
      <c r="Q16" s="686"/>
      <c r="R16" s="686"/>
      <c r="S16" s="686"/>
      <c r="T16" s="686"/>
    </row>
    <row r="17" spans="1:21" ht="15.75" customHeight="1" thickBot="1">
      <c r="A17" s="681"/>
      <c r="B17" s="1825"/>
      <c r="C17" s="1856" t="s">
        <v>2593</v>
      </c>
      <c r="D17" s="1857"/>
      <c r="E17" s="733"/>
      <c r="F17" s="753"/>
      <c r="G17" s="729"/>
      <c r="H17" s="729"/>
      <c r="I17" s="729"/>
      <c r="J17" s="729">
        <f ca="1">Cotations!AD13</f>
        <v>8366.526216343882</v>
      </c>
      <c r="K17" s="729"/>
      <c r="L17" s="729"/>
      <c r="M17" s="729">
        <f>Cotations!AA13</f>
        <v>75</v>
      </c>
      <c r="N17" s="729">
        <f ca="1">Cotations!Y13</f>
        <v>597.38633326913987</v>
      </c>
      <c r="O17" s="729"/>
      <c r="P17" s="729">
        <f ca="1">Cotations!U13</f>
        <v>13250.609664997637</v>
      </c>
      <c r="Q17" s="697"/>
      <c r="R17" s="697"/>
      <c r="S17" s="697"/>
      <c r="T17" s="697"/>
    </row>
    <row r="18" spans="1:21" ht="15.75" customHeight="1" thickBot="1">
      <c r="A18" s="681"/>
      <c r="B18" s="712" t="s">
        <v>2162</v>
      </c>
      <c r="C18" s="1839" t="s">
        <v>2163</v>
      </c>
      <c r="D18" s="1841" t="s">
        <v>2164</v>
      </c>
      <c r="E18" s="747" t="s">
        <v>2165</v>
      </c>
      <c r="F18" s="737">
        <f>SUM(F21:F48)</f>
        <v>17443.669999999998</v>
      </c>
      <c r="G18" s="737">
        <f t="shared" ref="G18:P18" si="5">SUM(G21:G48)</f>
        <v>2635.88</v>
      </c>
      <c r="H18" s="737">
        <f t="shared" si="5"/>
        <v>3445.0099999999998</v>
      </c>
      <c r="I18" s="737">
        <f t="shared" si="5"/>
        <v>0</v>
      </c>
      <c r="J18" s="737">
        <f t="shared" si="5"/>
        <v>11362.779999999999</v>
      </c>
      <c r="K18" s="737">
        <f t="shared" si="5"/>
        <v>0</v>
      </c>
      <c r="L18" s="737">
        <f t="shared" si="5"/>
        <v>0</v>
      </c>
      <c r="M18" s="737">
        <f t="shared" si="5"/>
        <v>92</v>
      </c>
      <c r="N18" s="737">
        <f t="shared" si="5"/>
        <v>881.75</v>
      </c>
      <c r="O18" s="737">
        <f t="shared" si="5"/>
        <v>0</v>
      </c>
      <c r="P18" s="737">
        <f t="shared" si="5"/>
        <v>18417.420000000002</v>
      </c>
      <c r="Q18" s="745" t="e">
        <f>SUM(Q21:Q48)</f>
        <v>#REF!</v>
      </c>
      <c r="R18" s="728">
        <f t="shared" ref="R18:T18" si="6">SUM(R21:R48)</f>
        <v>697.74680000000001</v>
      </c>
      <c r="S18" s="728">
        <f t="shared" si="6"/>
        <v>184.00319999999991</v>
      </c>
      <c r="T18" s="728">
        <f t="shared" si="6"/>
        <v>184</v>
      </c>
    </row>
    <row r="19" spans="1:21" ht="20.100000000000001" customHeight="1" thickBot="1">
      <c r="A19" s="681"/>
      <c r="B19" s="726" t="str">
        <f>"TOTAL facturé "&amp;E12</f>
        <v>TOTAL facturé 2016-2017</v>
      </c>
      <c r="C19" s="1839"/>
      <c r="D19" s="1841"/>
      <c r="E19" s="691" t="s">
        <v>2893</v>
      </c>
      <c r="F19" s="737">
        <f t="shared" ref="F19:T19" si="7">SUMIF($E$21:$E$44,$E$12,F21:F44)</f>
        <v>17443.669999999998</v>
      </c>
      <c r="G19" s="737">
        <f t="shared" si="7"/>
        <v>2635.88</v>
      </c>
      <c r="H19" s="737">
        <f t="shared" si="7"/>
        <v>3445.0099999999998</v>
      </c>
      <c r="I19" s="737">
        <f t="shared" si="7"/>
        <v>0</v>
      </c>
      <c r="J19" s="737">
        <f t="shared" si="7"/>
        <v>11362.779999999999</v>
      </c>
      <c r="K19" s="737">
        <f t="shared" si="7"/>
        <v>0</v>
      </c>
      <c r="L19" s="737">
        <f t="shared" si="7"/>
        <v>0</v>
      </c>
      <c r="M19" s="737">
        <f t="shared" si="7"/>
        <v>92</v>
      </c>
      <c r="N19" s="737">
        <f t="shared" si="7"/>
        <v>881.75</v>
      </c>
      <c r="O19" s="737">
        <f t="shared" si="7"/>
        <v>0</v>
      </c>
      <c r="P19" s="737">
        <f t="shared" si="7"/>
        <v>18417.420000000002</v>
      </c>
      <c r="Q19" s="745" t="e">
        <f t="shared" si="7"/>
        <v>#REF!</v>
      </c>
      <c r="R19" s="728">
        <f t="shared" si="7"/>
        <v>697.74680000000001</v>
      </c>
      <c r="S19" s="728">
        <f t="shared" si="7"/>
        <v>184.00319999999991</v>
      </c>
      <c r="T19" s="728">
        <f t="shared" si="7"/>
        <v>184</v>
      </c>
    </row>
    <row r="20" spans="1:21" ht="20.100000000000001" customHeight="1" thickBot="1">
      <c r="A20" s="681"/>
      <c r="B20" s="726" t="str">
        <f>"TOTAL facturé "&amp;E13</f>
        <v>TOTAL facturé 2017-2017</v>
      </c>
      <c r="C20" s="1840"/>
      <c r="D20" s="1842"/>
      <c r="E20" s="735" t="s">
        <v>3078</v>
      </c>
      <c r="F20" s="737">
        <f t="shared" ref="F20:T20" si="8">SUMIF($E$21:$E$44,$E$13,F21:F44)</f>
        <v>0</v>
      </c>
      <c r="G20" s="737">
        <f t="shared" si="8"/>
        <v>0</v>
      </c>
      <c r="H20" s="737">
        <f t="shared" si="8"/>
        <v>0</v>
      </c>
      <c r="I20" s="737">
        <f t="shared" si="8"/>
        <v>0</v>
      </c>
      <c r="J20" s="737">
        <f t="shared" si="8"/>
        <v>0</v>
      </c>
      <c r="K20" s="737">
        <f t="shared" si="8"/>
        <v>0</v>
      </c>
      <c r="L20" s="737">
        <f t="shared" si="8"/>
        <v>0</v>
      </c>
      <c r="M20" s="737">
        <f t="shared" si="8"/>
        <v>0</v>
      </c>
      <c r="N20" s="737">
        <f t="shared" si="8"/>
        <v>0</v>
      </c>
      <c r="O20" s="737">
        <f t="shared" si="8"/>
        <v>0</v>
      </c>
      <c r="P20" s="737">
        <f t="shared" si="8"/>
        <v>0</v>
      </c>
      <c r="Q20" s="684" t="e">
        <f t="shared" si="8"/>
        <v>#REF!</v>
      </c>
      <c r="R20" s="680">
        <f t="shared" si="8"/>
        <v>0</v>
      </c>
      <c r="S20" s="680">
        <f t="shared" si="8"/>
        <v>0</v>
      </c>
      <c r="T20" s="680">
        <f t="shared" si="8"/>
        <v>0</v>
      </c>
    </row>
    <row r="21" spans="1:21" ht="20.100000000000001" customHeight="1">
      <c r="A21" s="815" t="b">
        <v>1</v>
      </c>
      <c r="B21" s="765" t="str">
        <f>HISTORY!C16</f>
        <v>Renouvellement 2016-2017</v>
      </c>
      <c r="C21" s="724">
        <f>HISTORY!P18</f>
        <v>42566</v>
      </c>
      <c r="D21" s="724">
        <f>HISTORY!P22</f>
        <v>0</v>
      </c>
      <c r="E21" s="691" t="s">
        <v>2893</v>
      </c>
      <c r="F21" s="677">
        <f>SUM(G21:L21)</f>
        <v>18051.66</v>
      </c>
      <c r="G21" s="739">
        <f>INDEX(HISTORY!$O$18:$R$27,MATCH(RECAPITULATIF!G$4,HISTORY!$R$18:$R$28,0),1)</f>
        <v>3649.68</v>
      </c>
      <c r="H21" s="739">
        <f>INDEX(HISTORY!$O$18:$R$27,MATCH(RECAPITULATIF!H$4,HISTORY!$R$18:$R$28,0),1)</f>
        <v>3131.83</v>
      </c>
      <c r="I21" s="739">
        <f>INDEX(HISTORY!$O$18:$R$27,MATCH(RECAPITULATIF!I$4,HISTORY!$R$18:$R$28,0),1)</f>
        <v>0</v>
      </c>
      <c r="J21" s="739">
        <f>INDEX(HISTORY!$O$18:$R$27,MATCH(RECAPITULATIF!J$4,HISTORY!$R$18:$R$28,0),1)</f>
        <v>11270.15</v>
      </c>
      <c r="K21" s="739">
        <f>INDEX(HISTORY!$O$18:$R$27,MATCH(RECAPITULATIF!K$4,HISTORY!$R$18:$R$28,0),1)</f>
        <v>0</v>
      </c>
      <c r="L21" s="739">
        <f>INDEX(HISTORY!$O$18:$R$27,MATCH(RECAPITULATIF!L$4,HISTORY!$R$18:$R$28,0),1)</f>
        <v>0</v>
      </c>
      <c r="M21" s="692">
        <f>INDEX(HISTORY!$O$18:$R$27,MATCH(RECAPITULATIF!M$4,HISTORY!$R$18:$R$28,0),1)</f>
        <v>96</v>
      </c>
      <c r="N21" s="692">
        <f>INDEX(HISTORY!$O$18:$R$27,MATCH(RECAPITULATIF!N$4,HISTORY!$R$18:$R$28,0),1)</f>
        <v>914.06</v>
      </c>
      <c r="O21" s="690">
        <f>INDEX(HISTORY!$O$18:$R$27,MATCH(RECAPITULATIF!O$4,HISTORY!$R$18:$R$28,0),1)</f>
        <v>0</v>
      </c>
      <c r="P21" s="690">
        <f>INDEX(HISTORY!$O$18:$R$27,MATCH(RECAPITULATIF!P$4,HISTORY!$R$18:$R$28,0),1)</f>
        <v>19061.72</v>
      </c>
      <c r="Q21" s="695" t="e">
        <f>N21-#REF!</f>
        <v>#REF!</v>
      </c>
      <c r="R21" s="695">
        <f>F21*0.04</f>
        <v>722.06640000000004</v>
      </c>
      <c r="S21" s="695">
        <f>IF(A21=TRUE,N21-R21,0)</f>
        <v>191.9935999999999</v>
      </c>
      <c r="T21" s="1387">
        <v>191.99</v>
      </c>
      <c r="U21" s="274">
        <v>1</v>
      </c>
    </row>
    <row r="22" spans="1:21" ht="20.100000000000001" customHeight="1">
      <c r="A22" s="815" t="b">
        <v>1</v>
      </c>
      <c r="B22" s="765" t="str">
        <f>HISTORY!C29</f>
        <v>Credit note 2016</v>
      </c>
      <c r="C22" s="724">
        <f>HISTORY!P31</f>
        <v>42750</v>
      </c>
      <c r="D22" s="724">
        <f>HISTORY!P35</f>
        <v>0</v>
      </c>
      <c r="E22" s="691" t="s">
        <v>2893</v>
      </c>
      <c r="F22" s="720">
        <f t="shared" ref="F22:F32" si="9">SUM(G22:L22)</f>
        <v>-607.9899999999999</v>
      </c>
      <c r="G22" s="742">
        <f>INDEX(HISTORY!$O$31:$R$40,MATCH(RECAPITULATIF!G$4,HISTORY!$R$31:$R$40,0),1)</f>
        <v>-1013.8</v>
      </c>
      <c r="H22" s="742">
        <f>INDEX(HISTORY!$O$31:$R$40,MATCH(RECAPITULATIF!H$4,HISTORY!$R$31:$R$40,0),1)</f>
        <v>313.18</v>
      </c>
      <c r="I22" s="742">
        <f>INDEX(HISTORY!$O$31:$R$40,MATCH(RECAPITULATIF!I$4,HISTORY!$R$31:$R$40,0),1)</f>
        <v>0</v>
      </c>
      <c r="J22" s="742">
        <f>INDEX(HISTORY!$O$31:$R$40,MATCH(RECAPITULATIF!J$4,HISTORY!$R$31:$R$40,0),1)</f>
        <v>92.63</v>
      </c>
      <c r="K22" s="742">
        <f>INDEX(HISTORY!$O$31:$R$40,MATCH(RECAPITULATIF!K$4,HISTORY!$R$31:$R$40,0),1)</f>
        <v>0</v>
      </c>
      <c r="L22" s="742">
        <f>INDEX(HISTORY!$O$31:$R$40,MATCH(RECAPITULATIF!L$4,HISTORY!$R$31:$R$40,0),1)</f>
        <v>0</v>
      </c>
      <c r="M22" s="764">
        <f>INDEX(HISTORY!$O$31:$R$40,MATCH(RECAPITULATIF!M$4,HISTORY!$R$31:$R$40,0),1)</f>
        <v>-4</v>
      </c>
      <c r="N22" s="764">
        <f>INDEX(HISTORY!$O$31:$R$40,MATCH(RECAPITULATIF!N$4,HISTORY!$R$31:$R$40,0),1)</f>
        <v>-32.31</v>
      </c>
      <c r="O22" s="759">
        <f>INDEX(HISTORY!$O$31:$R$40,MATCH(RECAPITULATIF!O$4,HISTORY!$R$31:$R$40,0),1)</f>
        <v>0</v>
      </c>
      <c r="P22" s="759">
        <f>INDEX(HISTORY!$O$31:$R$40,MATCH(RECAPITULATIF!P$4,HISTORY!$R$31:$R$40,0),1)</f>
        <v>-644.29999999999995</v>
      </c>
      <c r="Q22" s="695" t="e">
        <f>N22-#REF!</f>
        <v>#REF!</v>
      </c>
      <c r="R22" s="695">
        <f t="shared" ref="R22:R32" si="10">F22*0.04</f>
        <v>-24.319599999999998</v>
      </c>
      <c r="S22" s="695">
        <f t="shared" ref="S22:S35" si="11">IF(A22=TRUE,N22-R22,0)</f>
        <v>-7.9904000000000046</v>
      </c>
      <c r="T22" s="1387">
        <v>-7.99</v>
      </c>
      <c r="U22" s="274">
        <v>2</v>
      </c>
    </row>
    <row r="23" spans="1:21" ht="20.100000000000001" customHeight="1" thickBot="1">
      <c r="A23" s="815" t="b">
        <v>1</v>
      </c>
      <c r="B23" s="765">
        <f>HISTORY!C42</f>
        <v>0</v>
      </c>
      <c r="C23" s="724">
        <f>HISTORY!P44</f>
        <v>0</v>
      </c>
      <c r="D23" s="724">
        <f>HISTORY!P48</f>
        <v>0</v>
      </c>
      <c r="E23" s="735" t="s">
        <v>3078</v>
      </c>
      <c r="F23" s="720">
        <f t="shared" si="9"/>
        <v>0</v>
      </c>
      <c r="G23" s="742">
        <f>INDEX(HISTORY!$O$44:$R$53,MATCH(RECAPITULATIF!G$4,HISTORY!$R$44:$R$53,0),1)</f>
        <v>0</v>
      </c>
      <c r="H23" s="742">
        <f>INDEX(HISTORY!$O$44:$R$53,MATCH(RECAPITULATIF!H$4,HISTORY!$R$44:$R$53,0),1)</f>
        <v>0</v>
      </c>
      <c r="I23" s="742">
        <f>INDEX(HISTORY!$O$44:$R$53,MATCH(RECAPITULATIF!I$4,HISTORY!$R$44:$R$53,0),1)</f>
        <v>0</v>
      </c>
      <c r="J23" s="742">
        <f>INDEX(HISTORY!$O$44:$R$53,MATCH(RECAPITULATIF!J$4,HISTORY!$R$44:$R$53,0),1)</f>
        <v>0</v>
      </c>
      <c r="K23" s="742">
        <f>INDEX(HISTORY!$O$44:$R$53,MATCH(RECAPITULATIF!K$4,HISTORY!$R$44:$R$53,0),1)</f>
        <v>0</v>
      </c>
      <c r="L23" s="742">
        <f>INDEX(HISTORY!$O$44:$R$53,MATCH(RECAPITULATIF!L$4,HISTORY!$R$44:$R$53,0),1)</f>
        <v>0</v>
      </c>
      <c r="M23" s="764">
        <f>INDEX(HISTORY!$O$44:$R$53,MATCH(RECAPITULATIF!M$4,HISTORY!$R$44:$R$53,0),1)</f>
        <v>0</v>
      </c>
      <c r="N23" s="764">
        <f>INDEX(HISTORY!$O$44:$R$53,MATCH(RECAPITULATIF!N$4,HISTORY!$R$44:$R$53,0),1)</f>
        <v>0</v>
      </c>
      <c r="O23" s="759">
        <f>INDEX(HISTORY!$O$44:$R$53,MATCH(RECAPITULATIF!O$4,HISTORY!$R$44:$R$53,0),1)</f>
        <v>0</v>
      </c>
      <c r="P23" s="759">
        <f>INDEX(HISTORY!$O$44:$R$53,MATCH(RECAPITULATIF!P$4,HISTORY!$R$44:$R$53,0),1)</f>
        <v>0</v>
      </c>
      <c r="Q23" s="695" t="e">
        <f>N23-#REF!</f>
        <v>#REF!</v>
      </c>
      <c r="R23" s="695">
        <f t="shared" si="10"/>
        <v>0</v>
      </c>
      <c r="S23" s="695">
        <f t="shared" si="11"/>
        <v>0</v>
      </c>
      <c r="T23" s="1387">
        <v>0</v>
      </c>
      <c r="U23" s="274">
        <v>3</v>
      </c>
    </row>
    <row r="24" spans="1:21" ht="20.100000000000001" customHeight="1">
      <c r="A24" s="815" t="b">
        <v>1</v>
      </c>
      <c r="B24" s="730">
        <f>HISTORY!C56</f>
        <v>0</v>
      </c>
      <c r="C24" s="718">
        <f>HISTORY!P58</f>
        <v>0</v>
      </c>
      <c r="D24" s="718">
        <f>HISTORY!P62</f>
        <v>0</v>
      </c>
      <c r="E24" s="735" t="s">
        <v>3078</v>
      </c>
      <c r="F24" s="720">
        <f t="shared" si="9"/>
        <v>0</v>
      </c>
      <c r="G24" s="742">
        <f>INDEX(HISTORY!$O$58:$R$67,MATCH(RECAPITULATIF!G$4,HISTORY!$R$58:$R$67,0),1)</f>
        <v>0</v>
      </c>
      <c r="H24" s="742">
        <f>INDEX(HISTORY!$O$58:$R$67,MATCH(RECAPITULATIF!H$4,HISTORY!$R$58:$R$67,0),1)</f>
        <v>0</v>
      </c>
      <c r="I24" s="742">
        <f>INDEX(HISTORY!$O$58:$R$67,MATCH(RECAPITULATIF!I$4,HISTORY!$R$58:$R$67,0),1)</f>
        <v>0</v>
      </c>
      <c r="J24" s="742">
        <f>INDEX(HISTORY!$O$58:$R$67,MATCH(RECAPITULATIF!J$4,HISTORY!$R$58:$R$67,0),1)</f>
        <v>0</v>
      </c>
      <c r="K24" s="742">
        <f>INDEX(HISTORY!$O$58:$R$67,MATCH(RECAPITULATIF!K$4,HISTORY!$R$58:$R$67,0),1)</f>
        <v>0</v>
      </c>
      <c r="L24" s="742">
        <f>INDEX(HISTORY!$O$58:$R$67,MATCH(RECAPITULATIF!L$4,HISTORY!$R$58:$R$67,0),1)</f>
        <v>0</v>
      </c>
      <c r="M24" s="764">
        <f>INDEX(HISTORY!$O$58:$R$67,MATCH(RECAPITULATIF!M$4,HISTORY!$R$58:$R$67,0),1)</f>
        <v>0</v>
      </c>
      <c r="N24" s="764">
        <f>INDEX(HISTORY!$O$58:$R$67,MATCH(RECAPITULATIF!N$4,HISTORY!$R$58:$R$67,0),1)</f>
        <v>0</v>
      </c>
      <c r="O24" s="759">
        <f>INDEX(HISTORY!$O$58:$R$67,MATCH(RECAPITULATIF!O$4,HISTORY!$R$58:$R$67,0),1)</f>
        <v>0</v>
      </c>
      <c r="P24" s="759">
        <f>INDEX(HISTORY!$O$58:$R$67,MATCH(RECAPITULATIF!P$4,HISTORY!$R$58:$R$67,0),1)</f>
        <v>0</v>
      </c>
      <c r="Q24" s="695" t="e">
        <f>N24-#REF!</f>
        <v>#REF!</v>
      </c>
      <c r="R24" s="695">
        <f t="shared" si="10"/>
        <v>0</v>
      </c>
      <c r="S24" s="695">
        <f t="shared" si="11"/>
        <v>0</v>
      </c>
      <c r="T24" s="1387">
        <v>0</v>
      </c>
      <c r="U24" s="274">
        <v>4</v>
      </c>
    </row>
    <row r="25" spans="1:21" ht="20.100000000000001" customHeight="1">
      <c r="A25" s="815" t="b">
        <v>1</v>
      </c>
      <c r="B25" s="748">
        <f>HISTORY!C69</f>
        <v>0</v>
      </c>
      <c r="C25" s="682">
        <f>HISTORY!P71</f>
        <v>0</v>
      </c>
      <c r="D25" s="682">
        <f>HISTORY!P75</f>
        <v>0</v>
      </c>
      <c r="E25" s="735" t="s">
        <v>3078</v>
      </c>
      <c r="F25" s="720">
        <f t="shared" si="9"/>
        <v>0</v>
      </c>
      <c r="G25" s="742">
        <f>INDEX(HISTORY!$O$71:$R$80,MATCH(RECAPITULATIF!G$4,HISTORY!$R$71:$R$80,0),1)</f>
        <v>0</v>
      </c>
      <c r="H25" s="742">
        <f>INDEX(HISTORY!$O$71:$R$80,MATCH(RECAPITULATIF!H$4,HISTORY!$R$71:$R$80,0),1)</f>
        <v>0</v>
      </c>
      <c r="I25" s="742">
        <f>INDEX(HISTORY!$O$71:$R$80,MATCH(RECAPITULATIF!I$4,HISTORY!$R$71:$R$80,0),1)</f>
        <v>0</v>
      </c>
      <c r="J25" s="742">
        <f>INDEX(HISTORY!$O$71:$R$80,MATCH(RECAPITULATIF!J$4,HISTORY!$R$71:$R$80,0),1)</f>
        <v>0</v>
      </c>
      <c r="K25" s="742">
        <f>INDEX(HISTORY!$O$71:$R$80,MATCH(RECAPITULATIF!K$4,HISTORY!$R$71:$R$80,0),1)</f>
        <v>0</v>
      </c>
      <c r="L25" s="742">
        <f>INDEX(HISTORY!$O$71:$R$80,MATCH(RECAPITULATIF!L$4,HISTORY!$R$71:$R$80,0),1)</f>
        <v>0</v>
      </c>
      <c r="M25" s="764">
        <f>INDEX(HISTORY!$O$71:$R$80,MATCH(RECAPITULATIF!M$4,HISTORY!$R$71:$R$80,0),1)</f>
        <v>0</v>
      </c>
      <c r="N25" s="764">
        <f>INDEX(HISTORY!$O$71:$R$80,MATCH(RECAPITULATIF!N$4,HISTORY!$R$71:$R$80,0),1)</f>
        <v>0</v>
      </c>
      <c r="O25" s="759">
        <f>INDEX(HISTORY!$O$71:$R$80,MATCH(RECAPITULATIF!O$4,HISTORY!$R$71:$R$80,0),1)</f>
        <v>0</v>
      </c>
      <c r="P25" s="759">
        <f>INDEX(HISTORY!$O$71:$R$80,MATCH(RECAPITULATIF!P$4,HISTORY!$R$71:$R$80,0),1)</f>
        <v>0</v>
      </c>
      <c r="Q25" s="695" t="e">
        <f>N25-#REF!</f>
        <v>#REF!</v>
      </c>
      <c r="R25" s="695">
        <f t="shared" si="10"/>
        <v>0</v>
      </c>
      <c r="S25" s="695">
        <f t="shared" si="11"/>
        <v>0</v>
      </c>
      <c r="T25" s="1387">
        <v>0</v>
      </c>
      <c r="U25" s="274">
        <v>5</v>
      </c>
    </row>
    <row r="26" spans="1:21" ht="20.100000000000001" customHeight="1" thickBot="1">
      <c r="A26" s="815" t="b">
        <v>1</v>
      </c>
      <c r="B26" s="721">
        <f>HISTORY!C82</f>
        <v>0</v>
      </c>
      <c r="C26" s="734">
        <f>HISTORY!P84</f>
        <v>0</v>
      </c>
      <c r="D26" s="734">
        <f>HISTORY!P88</f>
        <v>0</v>
      </c>
      <c r="E26" s="735" t="s">
        <v>3078</v>
      </c>
      <c r="F26" s="720">
        <f t="shared" si="9"/>
        <v>0</v>
      </c>
      <c r="G26" s="742">
        <f>INDEX(HISTORY!$O$84:$R$93,MATCH(RECAPITULATIF!G$4,HISTORY!$R$84:$R$93,0),1)</f>
        <v>0</v>
      </c>
      <c r="H26" s="742">
        <f>INDEX(HISTORY!$O$84:$R$93,MATCH(RECAPITULATIF!H$4,HISTORY!$R$84:$R$93,0),1)</f>
        <v>0</v>
      </c>
      <c r="I26" s="742">
        <f>INDEX(HISTORY!$O$84:$R$93,MATCH(RECAPITULATIF!I$4,HISTORY!$R$84:$R$93,0),1)</f>
        <v>0</v>
      </c>
      <c r="J26" s="742">
        <f>INDEX(HISTORY!$O$84:$R$93,MATCH(RECAPITULATIF!J$4,HISTORY!$R$84:$R$93,0),1)</f>
        <v>0</v>
      </c>
      <c r="K26" s="742">
        <f>INDEX(HISTORY!$O$84:$R$93,MATCH(RECAPITULATIF!K$4,HISTORY!$R$84:$R$93,0),1)</f>
        <v>0</v>
      </c>
      <c r="L26" s="742">
        <f>INDEX(HISTORY!$O$84:$R$93,MATCH(RECAPITULATIF!L$4,HISTORY!$R$84:$R$93,0),1)</f>
        <v>0</v>
      </c>
      <c r="M26" s="764">
        <f>INDEX(HISTORY!$O$84:$R$93,MATCH(RECAPITULATIF!M$4,HISTORY!$R$84:$R$93,0),1)</f>
        <v>0</v>
      </c>
      <c r="N26" s="764">
        <f>INDEX(HISTORY!$O$84:$R$93,MATCH(RECAPITULATIF!N$4,HISTORY!$R$84:$R$93,0),1)</f>
        <v>0</v>
      </c>
      <c r="O26" s="759">
        <f>INDEX(HISTORY!$O$84:$R$93,MATCH(RECAPITULATIF!O$4,HISTORY!$R$84:$R$93,0),1)</f>
        <v>0</v>
      </c>
      <c r="P26" s="759">
        <f>INDEX(HISTORY!$O$84:$R$93,MATCH(RECAPITULATIF!P$4,HISTORY!$R$84:$R$93,0),1)</f>
        <v>0</v>
      </c>
      <c r="Q26" s="695" t="e">
        <f>N26-#REF!</f>
        <v>#REF!</v>
      </c>
      <c r="R26" s="695">
        <f t="shared" si="10"/>
        <v>0</v>
      </c>
      <c r="S26" s="695">
        <f t="shared" si="11"/>
        <v>0</v>
      </c>
      <c r="T26" s="1387">
        <v>0</v>
      </c>
      <c r="U26" s="274">
        <v>6</v>
      </c>
    </row>
    <row r="27" spans="1:21" ht="20.100000000000001" customHeight="1">
      <c r="A27" s="748" t="b">
        <v>0</v>
      </c>
      <c r="B27" s="731">
        <f>HISTORY!C96</f>
        <v>0</v>
      </c>
      <c r="C27" s="718">
        <f>HISTORY!P98</f>
        <v>0</v>
      </c>
      <c r="D27" s="718">
        <f>HISTORY!P102</f>
        <v>0</v>
      </c>
      <c r="E27" s="717"/>
      <c r="F27" s="720">
        <f t="shared" si="9"/>
        <v>0</v>
      </c>
      <c r="G27" s="742">
        <f>INDEX(HISTORY!$O$98:$R$107,MATCH(RECAPITULATIF!G$4,HISTORY!$R$98:$R$107,0),1)</f>
        <v>0</v>
      </c>
      <c r="H27" s="742">
        <f>INDEX(HISTORY!$O$98:$R$107,MATCH(RECAPITULATIF!H$4,HISTORY!$R$98:$R$107,0),1)</f>
        <v>0</v>
      </c>
      <c r="I27" s="742">
        <f>INDEX(HISTORY!$O$98:$R$107,MATCH(RECAPITULATIF!I$4,HISTORY!$R$98:$R$107,0),1)</f>
        <v>0</v>
      </c>
      <c r="J27" s="742">
        <f>INDEX(HISTORY!$O$98:$R$107,MATCH(RECAPITULATIF!J$4,HISTORY!$R$98:$R$107,0),1)</f>
        <v>0</v>
      </c>
      <c r="K27" s="742">
        <f>INDEX(HISTORY!$O$98:$R$107,MATCH(RECAPITULATIF!K$4,HISTORY!$R$98:$R$107,0),1)</f>
        <v>0</v>
      </c>
      <c r="L27" s="742">
        <f>INDEX(HISTORY!$O$98:$R$107,MATCH(RECAPITULATIF!L$4,HISTORY!$R$98:$R$107,0),1)</f>
        <v>0</v>
      </c>
      <c r="M27" s="764">
        <f>INDEX(HISTORY!$O$98:$R$107,MATCH(RECAPITULATIF!M$4,HISTORY!$R$98:$R$107,0),1)</f>
        <v>0</v>
      </c>
      <c r="N27" s="764">
        <f>INDEX(HISTORY!$O$98:$R$107,MATCH(RECAPITULATIF!N$4,HISTORY!$R$98:$R$107,0),1)</f>
        <v>0</v>
      </c>
      <c r="O27" s="759">
        <f>INDEX(HISTORY!$O$98:$R$107,MATCH(RECAPITULATIF!O$4,HISTORY!$R$98:$R$107,0),1)</f>
        <v>0</v>
      </c>
      <c r="P27" s="759">
        <f>INDEX(HISTORY!$O$98:$R$107,MATCH(RECAPITULATIF!P$4,HISTORY!$R$98:$R$107,0),1)</f>
        <v>0</v>
      </c>
      <c r="Q27" s="695" t="e">
        <f>N27-#REF!</f>
        <v>#REF!</v>
      </c>
      <c r="R27" s="695">
        <f t="shared" si="10"/>
        <v>0</v>
      </c>
      <c r="S27" s="695">
        <f t="shared" si="11"/>
        <v>0</v>
      </c>
      <c r="T27" s="1387">
        <v>0</v>
      </c>
      <c r="U27" s="274">
        <v>7</v>
      </c>
    </row>
    <row r="28" spans="1:21" ht="20.100000000000001" customHeight="1">
      <c r="A28" s="748" t="b">
        <v>0</v>
      </c>
      <c r="B28" s="748">
        <f>HISTORY!C109</f>
        <v>0</v>
      </c>
      <c r="C28" s="682">
        <f>HISTORY!P111</f>
        <v>0</v>
      </c>
      <c r="D28" s="682">
        <f>HISTORY!P115</f>
        <v>0</v>
      </c>
      <c r="E28" s="716"/>
      <c r="F28" s="720">
        <f t="shared" si="9"/>
        <v>0</v>
      </c>
      <c r="G28" s="742">
        <f>INDEX(HISTORY!$O$111:$R$120,MATCH(RECAPITULATIF!G$4,HISTORY!$R$111:$R$120,0),1)</f>
        <v>0</v>
      </c>
      <c r="H28" s="742">
        <f>INDEX(HISTORY!$O$111:$R$120,MATCH(RECAPITULATIF!H$4,HISTORY!$R$111:$R$120,0),1)</f>
        <v>0</v>
      </c>
      <c r="I28" s="742">
        <f>INDEX(HISTORY!$O$111:$R$120,MATCH(RECAPITULATIF!I$4,HISTORY!$R$111:$R$120,0),1)</f>
        <v>0</v>
      </c>
      <c r="J28" s="742">
        <f>INDEX(HISTORY!$O$111:$R$120,MATCH(RECAPITULATIF!J$4,HISTORY!$R$111:$R$120,0),1)</f>
        <v>0</v>
      </c>
      <c r="K28" s="742">
        <f>INDEX(HISTORY!$O$111:$R$120,MATCH(RECAPITULATIF!K$4,HISTORY!$R$111:$R$120,0),1)</f>
        <v>0</v>
      </c>
      <c r="L28" s="742">
        <f>INDEX(HISTORY!$O$111:$R$120,MATCH(RECAPITULATIF!L$4,HISTORY!$R$111:$R$120,0),1)</f>
        <v>0</v>
      </c>
      <c r="M28" s="764">
        <f>INDEX(HISTORY!$O$111:$R$120,MATCH(RECAPITULATIF!M$4,HISTORY!$R$111:$R$120,0),1)</f>
        <v>0</v>
      </c>
      <c r="N28" s="764">
        <f>INDEX(HISTORY!$O$111:$R$120,MATCH(RECAPITULATIF!N$4,HISTORY!$R$111:$R$120,0),1)</f>
        <v>0</v>
      </c>
      <c r="O28" s="759">
        <f>INDEX(HISTORY!$O$111:$R$120,MATCH(RECAPITULATIF!O$4,HISTORY!$R$111:$R$120,0),1)</f>
        <v>0</v>
      </c>
      <c r="P28" s="759">
        <f>INDEX(HISTORY!$O$111:$R$120,MATCH(RECAPITULATIF!P$4,HISTORY!$R$111:$R$120,0),1)</f>
        <v>0</v>
      </c>
      <c r="Q28" s="695" t="e">
        <f>N28-#REF!</f>
        <v>#REF!</v>
      </c>
      <c r="R28" s="695">
        <f t="shared" si="10"/>
        <v>0</v>
      </c>
      <c r="S28" s="695">
        <f t="shared" si="11"/>
        <v>0</v>
      </c>
      <c r="T28" s="727">
        <v>0</v>
      </c>
      <c r="U28" s="274">
        <v>8</v>
      </c>
    </row>
    <row r="29" spans="1:21" ht="20.100000000000001" customHeight="1" thickBot="1">
      <c r="A29" s="748" t="b">
        <v>0</v>
      </c>
      <c r="B29" s="676">
        <f>HISTORY!C122</f>
        <v>0</v>
      </c>
      <c r="C29" s="734">
        <f>HISTORY!P124</f>
        <v>0</v>
      </c>
      <c r="D29" s="734">
        <f>HISTORY!P128</f>
        <v>0</v>
      </c>
      <c r="E29" s="711"/>
      <c r="F29" s="720">
        <f t="shared" si="9"/>
        <v>0</v>
      </c>
      <c r="G29" s="742">
        <f>INDEX(HISTORY!$O$124:$R$133,MATCH(RECAPITULATIF!G$4,HISTORY!$R$124:$R$133,0),1)</f>
        <v>0</v>
      </c>
      <c r="H29" s="742">
        <f>INDEX(HISTORY!$O$124:$R$133,MATCH(RECAPITULATIF!H$4,HISTORY!$R$124:$R$133,0),1)</f>
        <v>0</v>
      </c>
      <c r="I29" s="742">
        <f>INDEX(HISTORY!$O$124:$R$133,MATCH(RECAPITULATIF!I$4,HISTORY!$R$124:$R$133,0),1)</f>
        <v>0</v>
      </c>
      <c r="J29" s="742">
        <f>INDEX(HISTORY!$O$124:$R$133,MATCH(RECAPITULATIF!J$4,HISTORY!$R$124:$R$133,0),1)</f>
        <v>0</v>
      </c>
      <c r="K29" s="742">
        <f>INDEX(HISTORY!$O$124:$R$133,MATCH(RECAPITULATIF!K$4,HISTORY!$R$124:$R$133,0),1)</f>
        <v>0</v>
      </c>
      <c r="L29" s="742">
        <f>INDEX(HISTORY!$O$124:$R$133,MATCH(RECAPITULATIF!L$4,HISTORY!$R$124:$R$133,0),1)</f>
        <v>0</v>
      </c>
      <c r="M29" s="764">
        <f>INDEX(HISTORY!$O$124:$R$133,MATCH(RECAPITULATIF!M$4,HISTORY!$R$124:$R$133,0),1)</f>
        <v>0</v>
      </c>
      <c r="N29" s="764">
        <f>INDEX(HISTORY!$O$124:$R$133,MATCH(RECAPITULATIF!N$4,HISTORY!$R$124:$R$133,0),1)</f>
        <v>0</v>
      </c>
      <c r="O29" s="759">
        <f>INDEX(HISTORY!$O$124:$R$133,MATCH(RECAPITULATIF!O$4,HISTORY!$R$124:$R$133,0),1)</f>
        <v>0</v>
      </c>
      <c r="P29" s="759">
        <f>INDEX(HISTORY!$O$124:$R$133,MATCH(RECAPITULATIF!P$4,HISTORY!$R$124:$R$133,0),1)</f>
        <v>0</v>
      </c>
      <c r="Q29" s="695" t="e">
        <f>N29-#REF!</f>
        <v>#REF!</v>
      </c>
      <c r="R29" s="695">
        <f t="shared" si="10"/>
        <v>0</v>
      </c>
      <c r="S29" s="695">
        <f t="shared" si="11"/>
        <v>0</v>
      </c>
      <c r="T29" s="688">
        <v>0</v>
      </c>
      <c r="U29" s="274">
        <v>9</v>
      </c>
    </row>
    <row r="30" spans="1:21" ht="20.100000000000001" customHeight="1">
      <c r="A30" s="748" t="b">
        <v>0</v>
      </c>
      <c r="B30" s="748">
        <f>HISTORY!C136</f>
        <v>0</v>
      </c>
      <c r="C30" s="725">
        <f>HISTORY!P138</f>
        <v>0</v>
      </c>
      <c r="D30" s="725">
        <f>HISTORY!P142</f>
        <v>0</v>
      </c>
      <c r="E30" s="717"/>
      <c r="F30" s="720">
        <f t="shared" si="9"/>
        <v>0</v>
      </c>
      <c r="G30" s="742">
        <f>INDEX(HISTORY!$O$138:$R$147,MATCH(RECAPITULATIF!G$4,HISTORY!$R$138:$R$147,0),1)</f>
        <v>0</v>
      </c>
      <c r="H30" s="742">
        <f>INDEX(HISTORY!$O$138:$R$147,MATCH(RECAPITULATIF!H$4,HISTORY!$R$138:$R$147,0),1)</f>
        <v>0</v>
      </c>
      <c r="I30" s="742">
        <f>INDEX(HISTORY!$O$138:$R$147,MATCH(RECAPITULATIF!I$4,HISTORY!$R$138:$R$147,0),1)</f>
        <v>0</v>
      </c>
      <c r="J30" s="742">
        <f>INDEX(HISTORY!$O$138:$R$147,MATCH(RECAPITULATIF!J$4,HISTORY!$R$138:$R$147,0),1)</f>
        <v>0</v>
      </c>
      <c r="K30" s="742">
        <f>INDEX(HISTORY!$O$138:$R$147,MATCH(RECAPITULATIF!K$4,HISTORY!$R$138:$R$147,0),1)</f>
        <v>0</v>
      </c>
      <c r="L30" s="742">
        <f>INDEX(HISTORY!$O$138:$R$147,MATCH(RECAPITULATIF!L$4,HISTORY!$R$138:$R$147,0),1)</f>
        <v>0</v>
      </c>
      <c r="M30" s="764">
        <f>INDEX(HISTORY!$O$138:$R$147,MATCH(RECAPITULATIF!M$4,HISTORY!$R$138:$R$147,0),1)</f>
        <v>0</v>
      </c>
      <c r="N30" s="764">
        <f>INDEX(HISTORY!$O$138:$R$147,MATCH(RECAPITULATIF!N$4,HISTORY!$R$138:$R$147,0),1)</f>
        <v>0</v>
      </c>
      <c r="O30" s="759">
        <f>INDEX(HISTORY!$O$138:$R$147,MATCH(RECAPITULATIF!O$4,HISTORY!$R$138:$R$147,0),1)</f>
        <v>0</v>
      </c>
      <c r="P30" s="759">
        <f>INDEX(HISTORY!$O$138:$R$147,MATCH(RECAPITULATIF!P$4,HISTORY!$R$138:$R$147,0),1)</f>
        <v>0</v>
      </c>
      <c r="Q30" s="695" t="e">
        <f>N30-#REF!</f>
        <v>#REF!</v>
      </c>
      <c r="R30" s="695">
        <f t="shared" si="10"/>
        <v>0</v>
      </c>
      <c r="S30" s="695">
        <f t="shared" si="11"/>
        <v>0</v>
      </c>
      <c r="T30" s="688">
        <v>0</v>
      </c>
      <c r="U30" s="274">
        <v>10</v>
      </c>
    </row>
    <row r="31" spans="1:21" ht="20.100000000000001" customHeight="1">
      <c r="A31" s="748" t="b">
        <v>0</v>
      </c>
      <c r="B31" s="748">
        <f>HISTORY!C149</f>
        <v>0</v>
      </c>
      <c r="C31" s="725">
        <f>HISTORY!P151</f>
        <v>0</v>
      </c>
      <c r="D31" s="725">
        <f>HISTORY!P155</f>
        <v>0</v>
      </c>
      <c r="E31" s="716"/>
      <c r="F31" s="720">
        <f t="shared" si="9"/>
        <v>0</v>
      </c>
      <c r="G31" s="742">
        <f>INDEX(HISTORY!$O$151:$R$160,MATCH(RECAPITULATIF!G$4,HISTORY!$R$151:$R$160,0),1)</f>
        <v>0</v>
      </c>
      <c r="H31" s="742">
        <f>INDEX(HISTORY!$O$151:$R$160,MATCH(RECAPITULATIF!H$4,HISTORY!$R$151:$R$160,0),1)</f>
        <v>0</v>
      </c>
      <c r="I31" s="742">
        <f>INDEX(HISTORY!$O$151:$R$160,MATCH(RECAPITULATIF!I$4,HISTORY!$R$151:$R$160,0),1)</f>
        <v>0</v>
      </c>
      <c r="J31" s="742">
        <f>INDEX(HISTORY!$O$151:$R$160,MATCH(RECAPITULATIF!J$4,HISTORY!$R$151:$R$160,0),1)</f>
        <v>0</v>
      </c>
      <c r="K31" s="742">
        <f>INDEX(HISTORY!$O$151:$R$160,MATCH(RECAPITULATIF!K$4,HISTORY!$R$151:$R$160,0),1)</f>
        <v>0</v>
      </c>
      <c r="L31" s="742">
        <f>INDEX(HISTORY!$O$151:$R$160,MATCH(RECAPITULATIF!L$4,HISTORY!$R$151:$R$160,0),1)</f>
        <v>0</v>
      </c>
      <c r="M31" s="764">
        <f>INDEX(HISTORY!$O$151:$R$160,MATCH(RECAPITULATIF!M$4,HISTORY!$R$151:$R$160,0),1)</f>
        <v>0</v>
      </c>
      <c r="N31" s="764">
        <f>INDEX(HISTORY!$O$151:$R$160,MATCH(RECAPITULATIF!N$4,HISTORY!$R$151:$R$160,0),1)</f>
        <v>0</v>
      </c>
      <c r="O31" s="759">
        <f>INDEX(HISTORY!$O$151:$R$160,MATCH(RECAPITULATIF!O$4,HISTORY!$R$151:$R$160,0),1)</f>
        <v>0</v>
      </c>
      <c r="P31" s="759">
        <f>INDEX(HISTORY!$O$151:$R$160,MATCH(RECAPITULATIF!P$4,HISTORY!$R$151:$R$160,0),1)</f>
        <v>0</v>
      </c>
      <c r="Q31" s="695" t="e">
        <f>N31-#REF!</f>
        <v>#REF!</v>
      </c>
      <c r="R31" s="695">
        <f t="shared" si="10"/>
        <v>0</v>
      </c>
      <c r="S31" s="695">
        <f t="shared" si="11"/>
        <v>0</v>
      </c>
      <c r="T31" s="688">
        <v>0</v>
      </c>
      <c r="U31" s="274">
        <v>11</v>
      </c>
    </row>
    <row r="32" spans="1:21" ht="20.100000000000001" customHeight="1" thickBot="1">
      <c r="A32" s="748" t="b">
        <v>0</v>
      </c>
      <c r="B32" s="676">
        <f>HISTORY!C162</f>
        <v>0</v>
      </c>
      <c r="C32" s="722">
        <f>HISTORY!P164</f>
        <v>0</v>
      </c>
      <c r="D32" s="722">
        <f>HISTORY!P168</f>
        <v>0</v>
      </c>
      <c r="E32" s="711"/>
      <c r="F32" s="720">
        <f t="shared" si="9"/>
        <v>0</v>
      </c>
      <c r="G32" s="742">
        <f>INDEX(HISTORY!$O$164:$R$173,MATCH(RECAPITULATIF!G$4,HISTORY!$R$164:$R$173,0),1)</f>
        <v>0</v>
      </c>
      <c r="H32" s="742">
        <f>INDEX(HISTORY!$O$164:$R$173,MATCH(RECAPITULATIF!H$4,HISTORY!$R$164:$R$173,0),1)</f>
        <v>0</v>
      </c>
      <c r="I32" s="742">
        <f>INDEX(HISTORY!$O$164:$R$173,MATCH(RECAPITULATIF!I$4,HISTORY!$R$164:$R$173,0),1)</f>
        <v>0</v>
      </c>
      <c r="J32" s="742">
        <f>INDEX(HISTORY!$O$164:$R$173,MATCH(RECAPITULATIF!J$4,HISTORY!$R$164:$R$173,0),1)</f>
        <v>0</v>
      </c>
      <c r="K32" s="742">
        <f>INDEX(HISTORY!$O$164:$R$173,MATCH(RECAPITULATIF!K$4,HISTORY!$R$164:$R$173,0),1)</f>
        <v>0</v>
      </c>
      <c r="L32" s="742">
        <f>INDEX(HISTORY!$O$164:$R$173,MATCH(RECAPITULATIF!L$4,HISTORY!$R$164:$R$173,0),1)</f>
        <v>0</v>
      </c>
      <c r="M32" s="764">
        <f>INDEX(HISTORY!$O$164:$R$173,MATCH(RECAPITULATIF!M$4,HISTORY!$R$164:$R$173,0),1)</f>
        <v>0</v>
      </c>
      <c r="N32" s="764">
        <f>INDEX(HISTORY!$O$164:$R$173,MATCH(RECAPITULATIF!N$4,HISTORY!$R$164:$R$173,0),1)</f>
        <v>0</v>
      </c>
      <c r="O32" s="759">
        <f>INDEX(HISTORY!$O$164:$R$173,MATCH(RECAPITULATIF!O$4,HISTORY!$R$164:$R$173,0),1)</f>
        <v>0</v>
      </c>
      <c r="P32" s="759">
        <f>INDEX(HISTORY!$O$164:$R$173,MATCH(RECAPITULATIF!P$4,HISTORY!$R$164:$R$173,0),1)</f>
        <v>0</v>
      </c>
      <c r="Q32" s="695" t="e">
        <f>N32-#REF!</f>
        <v>#REF!</v>
      </c>
      <c r="R32" s="695">
        <f t="shared" si="10"/>
        <v>0</v>
      </c>
      <c r="S32" s="695">
        <f t="shared" si="11"/>
        <v>0</v>
      </c>
      <c r="T32" s="688">
        <v>0</v>
      </c>
      <c r="U32" s="274">
        <v>12</v>
      </c>
    </row>
    <row r="33" spans="1:21" s="749" customFormat="1" ht="20.100000000000001" customHeight="1">
      <c r="A33" s="748" t="b">
        <v>0</v>
      </c>
      <c r="B33" s="748">
        <f>HISTORY!C139</f>
        <v>0</v>
      </c>
      <c r="C33" s="725">
        <f>HISTORY!P141</f>
        <v>0</v>
      </c>
      <c r="D33" s="725">
        <f>HISTORY!P145</f>
        <v>0</v>
      </c>
      <c r="E33" s="717"/>
      <c r="F33" s="720">
        <f t="shared" ref="F33:F35" si="12">SUM(G33:L33)</f>
        <v>0</v>
      </c>
      <c r="G33" s="742">
        <f>INDEX(HISTORY!$O$178:$R$187,MATCH(RECAPITULATIF!G$4,HISTORY!$R$178:$R$187,0),1)</f>
        <v>0</v>
      </c>
      <c r="H33" s="742">
        <f>INDEX(HISTORY!$O$178:$R$187,MATCH(RECAPITULATIF!H$4,HISTORY!$R$178:$R$187,0),1)</f>
        <v>0</v>
      </c>
      <c r="I33" s="742">
        <f>INDEX(HISTORY!$O$178:$R$187,MATCH(RECAPITULATIF!I$4,HISTORY!$R$178:$R$187,0),1)</f>
        <v>0</v>
      </c>
      <c r="J33" s="742">
        <f>INDEX(HISTORY!$O$178:$R$187,MATCH(RECAPITULATIF!J$4,HISTORY!$R$178:$R$187,0),1)</f>
        <v>0</v>
      </c>
      <c r="K33" s="742">
        <f>INDEX(HISTORY!$O$178:$R$187,MATCH(RECAPITULATIF!K$4,HISTORY!$R$178:$R$187,0),1)</f>
        <v>0</v>
      </c>
      <c r="L33" s="742">
        <f>INDEX(HISTORY!$O$178:$R$187,MATCH(RECAPITULATIF!L$4,HISTORY!$R$178:$R$187,0),1)</f>
        <v>0</v>
      </c>
      <c r="M33" s="764">
        <f>INDEX(HISTORY!$O$178:$R$187,MATCH(RECAPITULATIF!M$4,HISTORY!$R$178:$R$187,0),1)</f>
        <v>0</v>
      </c>
      <c r="N33" s="764">
        <f>INDEX(HISTORY!$O$178:$R$187,MATCH(RECAPITULATIF!N$4,HISTORY!$R$178:$R$187,0),1)</f>
        <v>0</v>
      </c>
      <c r="O33" s="759">
        <f>INDEX(HISTORY!$O$178:$R$187,MATCH(RECAPITULATIF!O$4,HISTORY!$R$178:$R$187,0),1)</f>
        <v>0</v>
      </c>
      <c r="P33" s="759">
        <f>INDEX(HISTORY!$O$178:$R$187,MATCH(RECAPITULATIF!P$4,HISTORY!$R$178:$R$187,0),1)</f>
        <v>0</v>
      </c>
      <c r="Q33" s="695" t="e">
        <f>N33-#REF!</f>
        <v>#REF!</v>
      </c>
      <c r="R33" s="695">
        <f t="shared" ref="R33:R35" si="13">F33*0.04</f>
        <v>0</v>
      </c>
      <c r="S33" s="695">
        <f t="shared" si="11"/>
        <v>0</v>
      </c>
      <c r="T33" s="688">
        <v>0</v>
      </c>
      <c r="U33" s="755">
        <v>13</v>
      </c>
    </row>
    <row r="34" spans="1:21" s="749" customFormat="1" ht="20.100000000000001" customHeight="1">
      <c r="A34" s="748" t="b">
        <v>0</v>
      </c>
      <c r="B34" s="748">
        <f>HISTORY!C152</f>
        <v>0</v>
      </c>
      <c r="C34" s="725">
        <f>HISTORY!P154</f>
        <v>0</v>
      </c>
      <c r="D34" s="725">
        <f>HISTORY!P158</f>
        <v>0</v>
      </c>
      <c r="E34" s="716"/>
      <c r="F34" s="720">
        <f t="shared" si="12"/>
        <v>0</v>
      </c>
      <c r="G34" s="742">
        <f>INDEX(HISTORY!$O$191:$R$200,MATCH(RECAPITULATIF!G$4,HISTORY!$R$191:$R$200,0),1)</f>
        <v>0</v>
      </c>
      <c r="H34" s="742">
        <f>INDEX(HISTORY!$O$191:$R$200,MATCH(RECAPITULATIF!H$4,HISTORY!$R$191:$R$200,0),1)</f>
        <v>0</v>
      </c>
      <c r="I34" s="742">
        <f>INDEX(HISTORY!$O$191:$R$200,MATCH(RECAPITULATIF!I$4,HISTORY!$R$191:$R$200,0),1)</f>
        <v>0</v>
      </c>
      <c r="J34" s="742">
        <f>INDEX(HISTORY!$O$191:$R$200,MATCH(RECAPITULATIF!J$4,HISTORY!$R$191:$R$200,0),1)</f>
        <v>0</v>
      </c>
      <c r="K34" s="742">
        <f>INDEX(HISTORY!$O$191:$R$200,MATCH(RECAPITULATIF!K$4,HISTORY!$R$191:$R$200,0),1)</f>
        <v>0</v>
      </c>
      <c r="L34" s="742">
        <f>INDEX(HISTORY!$O$191:$R$200,MATCH(RECAPITULATIF!L$4,HISTORY!$R$191:$R$200,0),1)</f>
        <v>0</v>
      </c>
      <c r="M34" s="764">
        <f>INDEX(HISTORY!$O$191:$R$200,MATCH(RECAPITULATIF!M$4,HISTORY!$R$191:$R$200,0),1)</f>
        <v>0</v>
      </c>
      <c r="N34" s="764">
        <f>INDEX(HISTORY!$O$191:$R$200,MATCH(RECAPITULATIF!N$4,HISTORY!$R$191:$R$200,0),1)</f>
        <v>0</v>
      </c>
      <c r="O34" s="759">
        <f>INDEX(HISTORY!$O$191:$R$200,MATCH(RECAPITULATIF!O$4,HISTORY!$R$191:$R$200,0),1)</f>
        <v>0</v>
      </c>
      <c r="P34" s="759">
        <f>INDEX(HISTORY!$O$191:$R$200,MATCH(RECAPITULATIF!P$4,HISTORY!$R$191:$R$200,0),1)</f>
        <v>0</v>
      </c>
      <c r="Q34" s="695" t="e">
        <f>N34-#REF!</f>
        <v>#REF!</v>
      </c>
      <c r="R34" s="695">
        <f t="shared" si="13"/>
        <v>0</v>
      </c>
      <c r="S34" s="695">
        <f t="shared" si="11"/>
        <v>0</v>
      </c>
      <c r="T34" s="688">
        <v>0</v>
      </c>
      <c r="U34" s="755">
        <v>14</v>
      </c>
    </row>
    <row r="35" spans="1:21" s="749" customFormat="1" ht="20.100000000000001" customHeight="1" thickBot="1">
      <c r="A35" s="748" t="b">
        <v>0</v>
      </c>
      <c r="B35" s="676">
        <f>HISTORY!C165</f>
        <v>0</v>
      </c>
      <c r="C35" s="722">
        <f>HISTORY!P167</f>
        <v>0</v>
      </c>
      <c r="D35" s="722">
        <f>HISTORY!P171</f>
        <v>0</v>
      </c>
      <c r="E35" s="711"/>
      <c r="F35" s="720">
        <f t="shared" si="12"/>
        <v>0</v>
      </c>
      <c r="G35" s="742">
        <f>INDEX(HISTORY!$O$204:$R$213,MATCH(RECAPITULATIF!G$4,HISTORY!$R$204:$R$213,0),1)</f>
        <v>0</v>
      </c>
      <c r="H35" s="742">
        <f>INDEX(HISTORY!$O$204:$R$213,MATCH(RECAPITULATIF!H$4,HISTORY!$R$204:$R$213,0),1)</f>
        <v>0</v>
      </c>
      <c r="I35" s="742">
        <f>INDEX(HISTORY!$O$204:$R$213,MATCH(RECAPITULATIF!I$4,HISTORY!$R$204:$R$213,0),1)</f>
        <v>0</v>
      </c>
      <c r="J35" s="742">
        <f>INDEX(HISTORY!$O$204:$R$213,MATCH(RECAPITULATIF!J$4,HISTORY!$R$204:$R$213,0),1)</f>
        <v>0</v>
      </c>
      <c r="K35" s="742">
        <f>INDEX(HISTORY!$O$204:$R$213,MATCH(RECAPITULATIF!K$4,HISTORY!$R$204:$R$213,0),1)</f>
        <v>0</v>
      </c>
      <c r="L35" s="742">
        <f>INDEX(HISTORY!$O$204:$R$213,MATCH(RECAPITULATIF!L$4,HISTORY!$R$204:$R$213,0),1)</f>
        <v>0</v>
      </c>
      <c r="M35" s="764">
        <f>INDEX(HISTORY!$O$204:$R$213,MATCH(RECAPITULATIF!M$4,HISTORY!$R$204:$R$213,0),1)</f>
        <v>0</v>
      </c>
      <c r="N35" s="764">
        <f>INDEX(HISTORY!$O$204:$R$213,MATCH(RECAPITULATIF!N$4,HISTORY!$R$204:$R$213,0),1)</f>
        <v>0</v>
      </c>
      <c r="O35" s="759">
        <f>INDEX(HISTORY!$O$204:$R$213,MATCH(RECAPITULATIF!O$4,HISTORY!$R$204:$R$213,0),1)</f>
        <v>0</v>
      </c>
      <c r="P35" s="759">
        <f>INDEX(HISTORY!$O$204:$R$213,MATCH(RECAPITULATIF!P$4,HISTORY!$R$204:$R$213,0),1)</f>
        <v>0</v>
      </c>
      <c r="Q35" s="695" t="e">
        <f>N35-#REF!</f>
        <v>#REF!</v>
      </c>
      <c r="R35" s="695">
        <f t="shared" si="13"/>
        <v>0</v>
      </c>
      <c r="S35" s="695">
        <f t="shared" si="11"/>
        <v>0</v>
      </c>
      <c r="T35" s="688">
        <v>0</v>
      </c>
      <c r="U35" s="755">
        <v>15</v>
      </c>
    </row>
    <row r="36" spans="1:21">
      <c r="F36" s="763"/>
      <c r="M36" s="763"/>
      <c r="N36" s="763"/>
    </row>
    <row r="37" spans="1:21">
      <c r="F37" s="763"/>
      <c r="M37" s="763"/>
      <c r="N37" s="763"/>
    </row>
    <row r="38" spans="1:21">
      <c r="F38" s="763"/>
      <c r="M38" s="763"/>
      <c r="N38" s="763"/>
    </row>
    <row r="39" spans="1:21">
      <c r="F39" s="763"/>
    </row>
    <row r="40" spans="1:21">
      <c r="F40" s="763"/>
    </row>
    <row r="41" spans="1:21">
      <c r="F41" s="763"/>
    </row>
    <row r="42" spans="1:21">
      <c r="F42" s="763"/>
    </row>
    <row r="43" spans="1:21">
      <c r="F43" s="763"/>
    </row>
    <row r="44" spans="1:21">
      <c r="F44" s="763"/>
    </row>
    <row r="45" spans="1:21">
      <c r="F45" s="763"/>
    </row>
    <row r="46" spans="1:21">
      <c r="F46" s="763"/>
    </row>
    <row r="47" spans="1:21">
      <c r="F47" s="763"/>
    </row>
    <row r="48" spans="1:21">
      <c r="F48" s="763"/>
    </row>
    <row r="49" spans="6:6">
      <c r="F49" s="763"/>
    </row>
    <row r="50" spans="6:6">
      <c r="F50" s="763"/>
    </row>
    <row r="51" spans="6:6">
      <c r="F51" s="763"/>
    </row>
    <row r="52" spans="6:6">
      <c r="F52" s="763"/>
    </row>
    <row r="53" spans="6:6">
      <c r="F53" s="763"/>
    </row>
    <row r="54" spans="6:6">
      <c r="F54" s="763"/>
    </row>
    <row r="55" spans="6:6">
      <c r="F55" s="763"/>
    </row>
    <row r="56" spans="6:6">
      <c r="F56" s="763"/>
    </row>
    <row r="57" spans="6:6">
      <c r="F57" s="763"/>
    </row>
    <row r="58" spans="6:6">
      <c r="F58" s="763"/>
    </row>
    <row r="59" spans="6:6">
      <c r="F59" s="763"/>
    </row>
    <row r="60" spans="6:6">
      <c r="F60" s="763"/>
    </row>
    <row r="61" spans="6:6">
      <c r="F61" s="763"/>
    </row>
    <row r="62" spans="6:6">
      <c r="F62" s="763"/>
    </row>
    <row r="63" spans="6:6">
      <c r="F63" s="763"/>
    </row>
    <row r="64" spans="6:6">
      <c r="F64" s="763"/>
    </row>
    <row r="65" spans="6:6">
      <c r="F65" s="763"/>
    </row>
    <row r="66" spans="6:6">
      <c r="F66" s="763"/>
    </row>
    <row r="67" spans="6:6">
      <c r="F67" s="763"/>
    </row>
  </sheetData>
  <mergeCells count="20">
    <mergeCell ref="AG5:AH5"/>
    <mergeCell ref="AG6:AH6"/>
    <mergeCell ref="AG7:AH7"/>
    <mergeCell ref="C18:C20"/>
    <mergeCell ref="D18:D20"/>
    <mergeCell ref="T4:T6"/>
    <mergeCell ref="R4:R6"/>
    <mergeCell ref="C12:D13"/>
    <mergeCell ref="J5:L5"/>
    <mergeCell ref="G5:I5"/>
    <mergeCell ref="C16:D16"/>
    <mergeCell ref="C17:D17"/>
    <mergeCell ref="B15:B17"/>
    <mergeCell ref="B12:B13"/>
    <mergeCell ref="S4:S6"/>
    <mergeCell ref="C3:E3"/>
    <mergeCell ref="C9:D9"/>
    <mergeCell ref="C8:D8"/>
    <mergeCell ref="B8:B9"/>
    <mergeCell ref="C15:D15"/>
  </mergeCell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1</xdr:col>
                    <xdr:colOff>1781175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A1:JA47"/>
  <sheetViews>
    <sheetView topLeftCell="A16" zoomScaleNormal="100" workbookViewId="0">
      <selection activeCell="E11" sqref="E11"/>
    </sheetView>
  </sheetViews>
  <sheetFormatPr baseColWidth="10" defaultRowHeight="15"/>
  <cols>
    <col min="1" max="16384" width="11.42578125" style="1150"/>
  </cols>
  <sheetData>
    <row r="1" spans="1:20">
      <c r="A1" s="1150" t="s">
        <v>3018</v>
      </c>
      <c r="B1" s="1150" t="s">
        <v>3019</v>
      </c>
      <c r="C1" s="1150" t="s">
        <v>3020</v>
      </c>
      <c r="D1" s="1150" t="s">
        <v>3021</v>
      </c>
      <c r="E1" s="1150" t="s">
        <v>3022</v>
      </c>
      <c r="F1" s="1150" t="s">
        <v>14</v>
      </c>
      <c r="G1" s="1150" t="s">
        <v>3023</v>
      </c>
      <c r="H1" s="1150" t="s">
        <v>34</v>
      </c>
      <c r="I1" s="1150" t="s">
        <v>3024</v>
      </c>
      <c r="J1" s="1150" t="s">
        <v>3025</v>
      </c>
      <c r="K1" s="1150" t="s">
        <v>3026</v>
      </c>
      <c r="L1" s="1150" t="s">
        <v>3027</v>
      </c>
      <c r="M1" s="1150" t="s">
        <v>33</v>
      </c>
      <c r="O1" s="1150" t="s">
        <v>30</v>
      </c>
      <c r="P1" s="1150" t="s">
        <v>29</v>
      </c>
      <c r="Q1" s="1150" t="s">
        <v>31</v>
      </c>
    </row>
    <row r="2" spans="1:20">
      <c r="A2" s="1155">
        <v>42774.425902777781</v>
      </c>
      <c r="B2" s="1153">
        <v>42750</v>
      </c>
      <c r="C2" s="1153">
        <v>42930</v>
      </c>
      <c r="D2" s="1150">
        <v>402</v>
      </c>
      <c r="E2" s="1150">
        <v>12522</v>
      </c>
      <c r="F2" s="1150" t="s">
        <v>1528</v>
      </c>
      <c r="G2" s="1150" t="s">
        <v>3028</v>
      </c>
      <c r="H2" s="1153">
        <v>41760</v>
      </c>
      <c r="I2" s="1153">
        <v>42930</v>
      </c>
      <c r="K2" s="1150" t="s">
        <v>3029</v>
      </c>
      <c r="L2" s="1150">
        <v>2017</v>
      </c>
      <c r="M2" s="1150" t="s">
        <v>32</v>
      </c>
      <c r="O2" s="1150">
        <v>1274</v>
      </c>
      <c r="P2" s="1150">
        <v>32</v>
      </c>
    </row>
    <row r="3" spans="1:20">
      <c r="O3" s="1150" t="s">
        <v>1528</v>
      </c>
      <c r="P3" s="1150" t="s">
        <v>3030</v>
      </c>
    </row>
    <row r="4" spans="1:20">
      <c r="O4" s="1150" t="s">
        <v>1529</v>
      </c>
      <c r="P4" s="1150" t="s">
        <v>3031</v>
      </c>
    </row>
    <row r="5" spans="1:20">
      <c r="O5" s="1150" t="s">
        <v>3032</v>
      </c>
      <c r="P5" s="1150" t="s">
        <v>242</v>
      </c>
    </row>
    <row r="6" spans="1:20">
      <c r="O6" s="1150" t="s">
        <v>1531</v>
      </c>
      <c r="P6" s="1150" t="s">
        <v>52</v>
      </c>
    </row>
    <row r="7" spans="1:20">
      <c r="O7" s="1150" t="s">
        <v>51</v>
      </c>
      <c r="P7" s="1150" t="s">
        <v>53</v>
      </c>
    </row>
    <row r="8" spans="1:20">
      <c r="A8" s="1150" t="s">
        <v>3033</v>
      </c>
    </row>
    <row r="9" spans="1:20">
      <c r="A9" s="1150" t="s">
        <v>3034</v>
      </c>
      <c r="B9" s="1150" t="s">
        <v>3035</v>
      </c>
      <c r="C9" s="1150" t="s">
        <v>3036</v>
      </c>
      <c r="D9" s="1150" t="s">
        <v>3037</v>
      </c>
      <c r="E9" s="1150" t="s">
        <v>3038</v>
      </c>
      <c r="F9" s="1150" t="s">
        <v>3039</v>
      </c>
      <c r="G9" s="1150" t="s">
        <v>3027</v>
      </c>
      <c r="H9" s="1150" t="s">
        <v>3040</v>
      </c>
      <c r="I9" s="1150" t="s">
        <v>27</v>
      </c>
      <c r="J9" s="1150" t="s">
        <v>24</v>
      </c>
      <c r="K9" s="1150" t="s">
        <v>2324</v>
      </c>
      <c r="L9" s="1150" t="s">
        <v>1803</v>
      </c>
    </row>
    <row r="16" spans="1:20">
      <c r="A16" s="1150" t="s">
        <v>3041</v>
      </c>
      <c r="B16" s="1150" t="s">
        <v>3042</v>
      </c>
      <c r="C16" s="1150" t="s">
        <v>3043</v>
      </c>
      <c r="D16" s="1150" t="s">
        <v>20</v>
      </c>
      <c r="E16" s="1150" t="s">
        <v>21</v>
      </c>
      <c r="F16" s="1150" t="s">
        <v>82</v>
      </c>
      <c r="G16" s="1150" t="s">
        <v>3044</v>
      </c>
      <c r="H16" s="1150" t="s">
        <v>2324</v>
      </c>
      <c r="I16" s="1150" t="s">
        <v>27</v>
      </c>
      <c r="J16" s="1150" t="s">
        <v>57</v>
      </c>
      <c r="K16" s="1150" t="s">
        <v>3045</v>
      </c>
      <c r="L16" s="1150" t="s">
        <v>3046</v>
      </c>
      <c r="M16" s="1150" t="s">
        <v>3047</v>
      </c>
      <c r="O16" s="1150" t="s">
        <v>3048</v>
      </c>
      <c r="P16" s="1150" t="s">
        <v>3049</v>
      </c>
      <c r="R16" s="1150" t="s">
        <v>0</v>
      </c>
      <c r="S16" s="1150" t="s">
        <v>3050</v>
      </c>
      <c r="T16" s="1150" t="s">
        <v>3051</v>
      </c>
    </row>
    <row r="17" spans="1:20">
      <c r="A17" s="1150">
        <v>1000</v>
      </c>
      <c r="B17" s="1150" t="s">
        <v>4</v>
      </c>
      <c r="C17" s="1150">
        <v>48</v>
      </c>
      <c r="D17" s="1150" t="s">
        <v>2583</v>
      </c>
      <c r="E17" s="1150" t="s">
        <v>2907</v>
      </c>
      <c r="F17" s="1150">
        <v>15</v>
      </c>
      <c r="G17" s="1150">
        <v>10</v>
      </c>
      <c r="H17" s="1150">
        <v>7</v>
      </c>
      <c r="I17" s="1150">
        <v>610.09617600000001</v>
      </c>
      <c r="J17" s="1150">
        <v>634.50002303999997</v>
      </c>
      <c r="K17" s="1150">
        <v>0</v>
      </c>
      <c r="L17" s="1150">
        <v>0</v>
      </c>
      <c r="M17" s="1150">
        <v>0</v>
      </c>
      <c r="R17" s="1150">
        <v>610.09617600000001</v>
      </c>
      <c r="S17" s="1150">
        <v>634.50002303999997</v>
      </c>
      <c r="T17" s="1150">
        <v>641.50002303999997</v>
      </c>
    </row>
    <row r="18" spans="1:20">
      <c r="A18" s="1150">
        <v>1000</v>
      </c>
      <c r="B18" s="1150" t="s">
        <v>4</v>
      </c>
      <c r="C18" s="1150">
        <v>47</v>
      </c>
      <c r="D18" s="1150" t="s">
        <v>2582</v>
      </c>
      <c r="E18" s="1150" t="s">
        <v>2906</v>
      </c>
      <c r="F18" s="1150">
        <v>15</v>
      </c>
      <c r="G18" s="1150">
        <v>10</v>
      </c>
      <c r="H18" s="1150">
        <v>68.400000000000006</v>
      </c>
      <c r="I18" s="1150">
        <v>2818.6450199999999</v>
      </c>
      <c r="J18" s="1150">
        <v>2931.3908207999998</v>
      </c>
      <c r="K18" s="1150">
        <v>0</v>
      </c>
      <c r="L18" s="1150">
        <v>0</v>
      </c>
      <c r="M18" s="1150">
        <v>0</v>
      </c>
      <c r="R18" s="1150">
        <v>2818.6450199999999</v>
      </c>
      <c r="S18" s="1150">
        <v>2931.3908207999998</v>
      </c>
      <c r="T18" s="1150">
        <v>2999.7908207999999</v>
      </c>
    </row>
    <row r="19" spans="1:20">
      <c r="A19" s="1150">
        <v>1003</v>
      </c>
      <c r="B19" s="1150" t="s">
        <v>2549</v>
      </c>
      <c r="C19" s="1150">
        <v>11</v>
      </c>
      <c r="D19" s="1150" t="s">
        <v>88</v>
      </c>
      <c r="E19" s="1150">
        <v>240303</v>
      </c>
      <c r="F19" s="1150">
        <v>15</v>
      </c>
      <c r="G19" s="1150">
        <v>12.5</v>
      </c>
      <c r="H19" s="1150">
        <v>0</v>
      </c>
      <c r="I19" s="1150">
        <v>9650.4350533773995</v>
      </c>
      <c r="J19" s="1150">
        <v>10036.452455512999</v>
      </c>
      <c r="K19" s="1150">
        <v>0</v>
      </c>
      <c r="L19" s="1150">
        <v>6858.3353802551001</v>
      </c>
      <c r="M19" s="1150">
        <v>7132.6687954652998</v>
      </c>
      <c r="R19" s="1150">
        <v>6858.3353802551001</v>
      </c>
      <c r="S19" s="1150">
        <v>7132.6687954652998</v>
      </c>
      <c r="T19" s="1150">
        <v>7132.6687954652998</v>
      </c>
    </row>
    <row r="20" spans="1:20">
      <c r="A20" s="1150">
        <v>1003</v>
      </c>
      <c r="B20" s="1150" t="s">
        <v>2549</v>
      </c>
      <c r="C20" s="1150">
        <v>11</v>
      </c>
      <c r="D20" s="1150" t="s">
        <v>88</v>
      </c>
      <c r="E20" s="1150">
        <v>240450</v>
      </c>
      <c r="F20" s="1150">
        <v>15</v>
      </c>
      <c r="G20" s="1150">
        <v>12.5</v>
      </c>
      <c r="H20" s="1150">
        <v>0</v>
      </c>
      <c r="I20" s="1150">
        <v>1737.4358431743001</v>
      </c>
      <c r="J20" s="1150">
        <v>1806.9332769012999</v>
      </c>
      <c r="K20" s="1150">
        <v>0</v>
      </c>
      <c r="L20" s="1150">
        <v>1508.1908360888001</v>
      </c>
      <c r="M20" s="1150">
        <v>1568.5184695324001</v>
      </c>
      <c r="R20" s="1150">
        <v>1508.1908360888001</v>
      </c>
      <c r="S20" s="1150">
        <v>1568.5184695324001</v>
      </c>
      <c r="T20" s="1150">
        <v>1568.5184695324001</v>
      </c>
    </row>
    <row r="25" spans="1:20">
      <c r="A25" s="1150" t="s">
        <v>25</v>
      </c>
      <c r="B25" s="1150" t="s">
        <v>3052</v>
      </c>
      <c r="C25" s="1150" t="s">
        <v>3053</v>
      </c>
      <c r="E25" s="1150" t="s">
        <v>3054</v>
      </c>
      <c r="G25" s="1150" t="s">
        <v>3055</v>
      </c>
    </row>
    <row r="26" spans="1:20">
      <c r="A26" s="1150" t="s">
        <v>1</v>
      </c>
      <c r="B26" s="1150">
        <v>1</v>
      </c>
      <c r="C26" s="1150">
        <v>60</v>
      </c>
      <c r="G26" s="1150">
        <v>60</v>
      </c>
    </row>
    <row r="31" spans="1:20">
      <c r="A31" s="1150" t="s">
        <v>24</v>
      </c>
      <c r="B31" s="1150">
        <v>471.81069649375002</v>
      </c>
    </row>
    <row r="32" spans="1:20">
      <c r="A32" s="1150" t="s">
        <v>2324</v>
      </c>
      <c r="B32" s="1150">
        <v>75.400000000000006</v>
      </c>
    </row>
    <row r="33" spans="1:261">
      <c r="A33" s="1150" t="s">
        <v>0</v>
      </c>
      <c r="B33" s="1150">
        <v>11795.267412343999</v>
      </c>
    </row>
    <row r="34" spans="1:261">
      <c r="A34" s="1150" t="s">
        <v>3050</v>
      </c>
      <c r="B34" s="1150">
        <v>12402.478108838</v>
      </c>
    </row>
    <row r="35" spans="1:261">
      <c r="A35" s="1150">
        <v>10</v>
      </c>
      <c r="E35" s="1150">
        <v>36.200000000000003</v>
      </c>
      <c r="F35" s="1150">
        <v>1810</v>
      </c>
      <c r="G35" s="1150">
        <v>60</v>
      </c>
      <c r="I35" s="1150">
        <v>15544.676576254</v>
      </c>
    </row>
    <row r="36" spans="1:261">
      <c r="A36" s="1150" t="s">
        <v>3056</v>
      </c>
      <c r="J36" s="1150" t="s">
        <v>2713</v>
      </c>
      <c r="X36" s="1150" t="s">
        <v>13</v>
      </c>
      <c r="AE36" s="1150" t="s">
        <v>2713</v>
      </c>
      <c r="AS36" s="1150" t="s">
        <v>13</v>
      </c>
      <c r="AZ36" s="1150" t="s">
        <v>2713</v>
      </c>
      <c r="BN36" s="1150" t="s">
        <v>13</v>
      </c>
      <c r="BU36" s="1150" t="s">
        <v>2713</v>
      </c>
      <c r="CI36" s="1150" t="s">
        <v>13</v>
      </c>
      <c r="CP36" s="1150" t="s">
        <v>2713</v>
      </c>
      <c r="DD36" s="1150" t="s">
        <v>13</v>
      </c>
      <c r="DK36" s="1150" t="s">
        <v>2713</v>
      </c>
      <c r="DY36" s="1150" t="s">
        <v>13</v>
      </c>
      <c r="EF36" s="1150" t="s">
        <v>2713</v>
      </c>
      <c r="ET36" s="1150" t="s">
        <v>13</v>
      </c>
      <c r="FA36" s="1150" t="s">
        <v>2713</v>
      </c>
      <c r="FO36" s="1150" t="s">
        <v>13</v>
      </c>
      <c r="FV36" s="1150" t="s">
        <v>2713</v>
      </c>
      <c r="GJ36" s="1150" t="s">
        <v>13</v>
      </c>
      <c r="GQ36" s="1150" t="s">
        <v>2713</v>
      </c>
      <c r="HE36" s="1150" t="s">
        <v>13</v>
      </c>
      <c r="HL36" s="1150" t="s">
        <v>2713</v>
      </c>
      <c r="HZ36" s="1150" t="s">
        <v>13</v>
      </c>
      <c r="IG36" s="1150" t="s">
        <v>2713</v>
      </c>
      <c r="IU36" s="1150" t="s">
        <v>13</v>
      </c>
    </row>
    <row r="37" spans="1:261">
      <c r="A37" s="1150" t="s">
        <v>3057</v>
      </c>
      <c r="B37" s="1150" t="s">
        <v>16</v>
      </c>
      <c r="C37" s="1150" t="s">
        <v>17</v>
      </c>
      <c r="D37" s="1150" t="s">
        <v>3058</v>
      </c>
      <c r="E37" s="1150" t="s">
        <v>19</v>
      </c>
      <c r="F37" s="1150" t="s">
        <v>3059</v>
      </c>
      <c r="G37" s="1150" t="s">
        <v>3060</v>
      </c>
      <c r="H37" s="1150" t="s">
        <v>3061</v>
      </c>
      <c r="I37" s="1150" t="s">
        <v>1803</v>
      </c>
      <c r="J37" s="1150" t="s">
        <v>3062</v>
      </c>
      <c r="K37" s="1150" t="s">
        <v>3042</v>
      </c>
      <c r="L37" s="1150" t="s">
        <v>20</v>
      </c>
      <c r="M37" s="1150" t="s">
        <v>21</v>
      </c>
      <c r="N37" s="1150" t="s">
        <v>33</v>
      </c>
      <c r="O37" s="1150" t="s">
        <v>3063</v>
      </c>
      <c r="P37" s="1150" t="s">
        <v>3064</v>
      </c>
      <c r="Q37" s="1150" t="s">
        <v>1803</v>
      </c>
      <c r="R37" s="1150" t="s">
        <v>3065</v>
      </c>
      <c r="S37" s="1150" t="s">
        <v>3066</v>
      </c>
      <c r="T37" s="1150" t="s">
        <v>3067</v>
      </c>
      <c r="U37" s="1150" t="s">
        <v>3068</v>
      </c>
      <c r="V37" s="1150" t="s">
        <v>3069</v>
      </c>
      <c r="W37" s="1150" t="s">
        <v>3070</v>
      </c>
      <c r="X37" s="1150" t="s">
        <v>2253</v>
      </c>
      <c r="Y37" s="1150" t="s">
        <v>3071</v>
      </c>
      <c r="Z37" s="1150" t="s">
        <v>3072</v>
      </c>
      <c r="AA37" s="1150" t="s">
        <v>3073</v>
      </c>
      <c r="AB37" s="1150" t="s">
        <v>3074</v>
      </c>
      <c r="AC37" s="1150" t="s">
        <v>25</v>
      </c>
      <c r="AD37" s="1150" t="s">
        <v>3075</v>
      </c>
      <c r="AE37" s="1150" t="s">
        <v>3062</v>
      </c>
      <c r="AF37" s="1150" t="s">
        <v>3042</v>
      </c>
      <c r="AG37" s="1150" t="s">
        <v>20</v>
      </c>
      <c r="AH37" s="1150" t="s">
        <v>21</v>
      </c>
      <c r="AI37" s="1150" t="s">
        <v>33</v>
      </c>
      <c r="AJ37" s="1150" t="s">
        <v>3063</v>
      </c>
      <c r="AK37" s="1150" t="s">
        <v>3064</v>
      </c>
      <c r="AL37" s="1150" t="s">
        <v>1803</v>
      </c>
      <c r="AM37" s="1150" t="s">
        <v>3065</v>
      </c>
      <c r="AN37" s="1150" t="s">
        <v>3066</v>
      </c>
      <c r="AO37" s="1150" t="s">
        <v>3067</v>
      </c>
      <c r="AP37" s="1150" t="s">
        <v>3068</v>
      </c>
      <c r="AQ37" s="1150" t="s">
        <v>3069</v>
      </c>
      <c r="AR37" s="1150" t="s">
        <v>3070</v>
      </c>
      <c r="AS37" s="1150" t="s">
        <v>2253</v>
      </c>
      <c r="AT37" s="1150" t="s">
        <v>3071</v>
      </c>
      <c r="AU37" s="1150" t="s">
        <v>3072</v>
      </c>
      <c r="AV37" s="1150" t="s">
        <v>3073</v>
      </c>
      <c r="AW37" s="1150" t="s">
        <v>3074</v>
      </c>
      <c r="AX37" s="1150" t="s">
        <v>25</v>
      </c>
      <c r="AY37" s="1150" t="s">
        <v>3075</v>
      </c>
      <c r="AZ37" s="1150" t="s">
        <v>3062</v>
      </c>
      <c r="BA37" s="1150" t="s">
        <v>3042</v>
      </c>
      <c r="BB37" s="1150" t="s">
        <v>20</v>
      </c>
      <c r="BC37" s="1150" t="s">
        <v>21</v>
      </c>
      <c r="BD37" s="1150" t="s">
        <v>33</v>
      </c>
      <c r="BE37" s="1150" t="s">
        <v>3063</v>
      </c>
      <c r="BF37" s="1150" t="s">
        <v>3064</v>
      </c>
      <c r="BG37" s="1150" t="s">
        <v>1803</v>
      </c>
      <c r="BH37" s="1150" t="s">
        <v>3065</v>
      </c>
      <c r="BI37" s="1150" t="s">
        <v>3066</v>
      </c>
      <c r="BJ37" s="1150" t="s">
        <v>3067</v>
      </c>
      <c r="BK37" s="1150" t="s">
        <v>3068</v>
      </c>
      <c r="BL37" s="1150" t="s">
        <v>3069</v>
      </c>
      <c r="BM37" s="1150" t="s">
        <v>3070</v>
      </c>
      <c r="BN37" s="1150" t="s">
        <v>2253</v>
      </c>
      <c r="BO37" s="1150" t="s">
        <v>3071</v>
      </c>
      <c r="BP37" s="1150" t="s">
        <v>3072</v>
      </c>
      <c r="BQ37" s="1150" t="s">
        <v>3073</v>
      </c>
      <c r="BR37" s="1150" t="s">
        <v>3074</v>
      </c>
      <c r="BS37" s="1150" t="s">
        <v>25</v>
      </c>
      <c r="BT37" s="1150" t="s">
        <v>3075</v>
      </c>
      <c r="BU37" s="1150" t="s">
        <v>3062</v>
      </c>
      <c r="BV37" s="1150" t="s">
        <v>3042</v>
      </c>
      <c r="BW37" s="1150" t="s">
        <v>20</v>
      </c>
      <c r="BX37" s="1150" t="s">
        <v>21</v>
      </c>
      <c r="BY37" s="1150" t="s">
        <v>33</v>
      </c>
      <c r="BZ37" s="1150" t="s">
        <v>3063</v>
      </c>
      <c r="CA37" s="1150" t="s">
        <v>3064</v>
      </c>
      <c r="CB37" s="1150" t="s">
        <v>1803</v>
      </c>
      <c r="CC37" s="1150" t="s">
        <v>3065</v>
      </c>
      <c r="CD37" s="1150" t="s">
        <v>3066</v>
      </c>
      <c r="CE37" s="1150" t="s">
        <v>3067</v>
      </c>
      <c r="CF37" s="1150" t="s">
        <v>3068</v>
      </c>
      <c r="CG37" s="1150" t="s">
        <v>3069</v>
      </c>
      <c r="CH37" s="1150" t="s">
        <v>3070</v>
      </c>
      <c r="CI37" s="1150" t="s">
        <v>2253</v>
      </c>
      <c r="CJ37" s="1150" t="s">
        <v>3071</v>
      </c>
      <c r="CK37" s="1150" t="s">
        <v>3072</v>
      </c>
      <c r="CL37" s="1150" t="s">
        <v>3073</v>
      </c>
      <c r="CM37" s="1150" t="s">
        <v>3074</v>
      </c>
      <c r="CN37" s="1150" t="s">
        <v>25</v>
      </c>
      <c r="CO37" s="1150" t="s">
        <v>3075</v>
      </c>
      <c r="CP37" s="1150" t="s">
        <v>3062</v>
      </c>
      <c r="CQ37" s="1150" t="s">
        <v>3042</v>
      </c>
      <c r="CR37" s="1150" t="s">
        <v>20</v>
      </c>
      <c r="CS37" s="1150" t="s">
        <v>21</v>
      </c>
      <c r="CT37" s="1150" t="s">
        <v>33</v>
      </c>
      <c r="CU37" s="1150" t="s">
        <v>3063</v>
      </c>
      <c r="CV37" s="1150" t="s">
        <v>3064</v>
      </c>
      <c r="CW37" s="1150" t="s">
        <v>1803</v>
      </c>
      <c r="CX37" s="1150" t="s">
        <v>3065</v>
      </c>
      <c r="CY37" s="1150" t="s">
        <v>3066</v>
      </c>
      <c r="CZ37" s="1150" t="s">
        <v>3067</v>
      </c>
      <c r="DA37" s="1150" t="s">
        <v>3068</v>
      </c>
      <c r="DB37" s="1150" t="s">
        <v>3069</v>
      </c>
      <c r="DC37" s="1150" t="s">
        <v>3070</v>
      </c>
      <c r="DD37" s="1150" t="s">
        <v>2253</v>
      </c>
      <c r="DE37" s="1150" t="s">
        <v>3071</v>
      </c>
      <c r="DF37" s="1150" t="s">
        <v>3072</v>
      </c>
      <c r="DG37" s="1150" t="s">
        <v>3073</v>
      </c>
      <c r="DH37" s="1150" t="s">
        <v>3074</v>
      </c>
      <c r="DI37" s="1150" t="s">
        <v>25</v>
      </c>
      <c r="DJ37" s="1150" t="s">
        <v>3075</v>
      </c>
      <c r="DK37" s="1150" t="s">
        <v>3062</v>
      </c>
      <c r="DL37" s="1150" t="s">
        <v>3042</v>
      </c>
      <c r="DM37" s="1150" t="s">
        <v>20</v>
      </c>
      <c r="DN37" s="1150" t="s">
        <v>21</v>
      </c>
      <c r="DO37" s="1150" t="s">
        <v>33</v>
      </c>
      <c r="DP37" s="1150" t="s">
        <v>3063</v>
      </c>
      <c r="DQ37" s="1150" t="s">
        <v>3064</v>
      </c>
      <c r="DR37" s="1150" t="s">
        <v>1803</v>
      </c>
      <c r="DS37" s="1150" t="s">
        <v>3065</v>
      </c>
      <c r="DT37" s="1150" t="s">
        <v>3066</v>
      </c>
      <c r="DU37" s="1150" t="s">
        <v>3067</v>
      </c>
      <c r="DV37" s="1150" t="s">
        <v>3068</v>
      </c>
      <c r="DW37" s="1150" t="s">
        <v>3069</v>
      </c>
      <c r="DX37" s="1150" t="s">
        <v>3070</v>
      </c>
      <c r="DY37" s="1150" t="s">
        <v>2253</v>
      </c>
      <c r="DZ37" s="1150" t="s">
        <v>3071</v>
      </c>
      <c r="EA37" s="1150" t="s">
        <v>3072</v>
      </c>
      <c r="EB37" s="1150" t="s">
        <v>3073</v>
      </c>
      <c r="EC37" s="1150" t="s">
        <v>3074</v>
      </c>
      <c r="ED37" s="1150" t="s">
        <v>25</v>
      </c>
      <c r="EE37" s="1150" t="s">
        <v>3075</v>
      </c>
      <c r="EF37" s="1150" t="s">
        <v>3062</v>
      </c>
      <c r="EG37" s="1150" t="s">
        <v>3042</v>
      </c>
      <c r="EH37" s="1150" t="s">
        <v>20</v>
      </c>
      <c r="EI37" s="1150" t="s">
        <v>21</v>
      </c>
      <c r="EJ37" s="1150" t="s">
        <v>33</v>
      </c>
      <c r="EK37" s="1150" t="s">
        <v>3063</v>
      </c>
      <c r="EL37" s="1150" t="s">
        <v>3064</v>
      </c>
      <c r="EM37" s="1150" t="s">
        <v>1803</v>
      </c>
      <c r="EN37" s="1150" t="s">
        <v>3065</v>
      </c>
      <c r="EO37" s="1150" t="s">
        <v>3066</v>
      </c>
      <c r="EP37" s="1150" t="s">
        <v>3067</v>
      </c>
      <c r="EQ37" s="1150" t="s">
        <v>3068</v>
      </c>
      <c r="ER37" s="1150" t="s">
        <v>3069</v>
      </c>
      <c r="ES37" s="1150" t="s">
        <v>3070</v>
      </c>
      <c r="ET37" s="1150" t="s">
        <v>2253</v>
      </c>
      <c r="EU37" s="1150" t="s">
        <v>3071</v>
      </c>
      <c r="EV37" s="1150" t="s">
        <v>3072</v>
      </c>
      <c r="EW37" s="1150" t="s">
        <v>3073</v>
      </c>
      <c r="EX37" s="1150" t="s">
        <v>3074</v>
      </c>
      <c r="EY37" s="1150" t="s">
        <v>25</v>
      </c>
      <c r="EZ37" s="1150" t="s">
        <v>3075</v>
      </c>
      <c r="FA37" s="1150" t="s">
        <v>3062</v>
      </c>
      <c r="FB37" s="1150" t="s">
        <v>3042</v>
      </c>
      <c r="FC37" s="1150" t="s">
        <v>20</v>
      </c>
      <c r="FD37" s="1150" t="s">
        <v>21</v>
      </c>
      <c r="FE37" s="1150" t="s">
        <v>33</v>
      </c>
      <c r="FF37" s="1150" t="s">
        <v>3063</v>
      </c>
      <c r="FG37" s="1150" t="s">
        <v>3064</v>
      </c>
      <c r="FH37" s="1150" t="s">
        <v>1803</v>
      </c>
      <c r="FI37" s="1150" t="s">
        <v>3065</v>
      </c>
      <c r="FJ37" s="1150" t="s">
        <v>3066</v>
      </c>
      <c r="FK37" s="1150" t="s">
        <v>3067</v>
      </c>
      <c r="FL37" s="1150" t="s">
        <v>3068</v>
      </c>
      <c r="FM37" s="1150" t="s">
        <v>3069</v>
      </c>
      <c r="FN37" s="1150" t="s">
        <v>3070</v>
      </c>
      <c r="FO37" s="1150" t="s">
        <v>2253</v>
      </c>
      <c r="FP37" s="1150" t="s">
        <v>3071</v>
      </c>
      <c r="FQ37" s="1150" t="s">
        <v>3072</v>
      </c>
      <c r="FR37" s="1150" t="s">
        <v>3073</v>
      </c>
      <c r="FS37" s="1150" t="s">
        <v>3074</v>
      </c>
      <c r="FT37" s="1150" t="s">
        <v>25</v>
      </c>
      <c r="FU37" s="1150" t="s">
        <v>3075</v>
      </c>
      <c r="FV37" s="1150" t="s">
        <v>3062</v>
      </c>
      <c r="FW37" s="1150" t="s">
        <v>3042</v>
      </c>
      <c r="FX37" s="1150" t="s">
        <v>20</v>
      </c>
      <c r="FY37" s="1150" t="s">
        <v>21</v>
      </c>
      <c r="FZ37" s="1150" t="s">
        <v>33</v>
      </c>
      <c r="GA37" s="1150" t="s">
        <v>3063</v>
      </c>
      <c r="GB37" s="1150" t="s">
        <v>3064</v>
      </c>
      <c r="GC37" s="1150" t="s">
        <v>1803</v>
      </c>
      <c r="GD37" s="1150" t="s">
        <v>3065</v>
      </c>
      <c r="GE37" s="1150" t="s">
        <v>3066</v>
      </c>
      <c r="GF37" s="1150" t="s">
        <v>3067</v>
      </c>
      <c r="GG37" s="1150" t="s">
        <v>3068</v>
      </c>
      <c r="GH37" s="1150" t="s">
        <v>3069</v>
      </c>
      <c r="GI37" s="1150" t="s">
        <v>3070</v>
      </c>
      <c r="GJ37" s="1150" t="s">
        <v>2253</v>
      </c>
      <c r="GK37" s="1150" t="s">
        <v>3071</v>
      </c>
      <c r="GL37" s="1150" t="s">
        <v>3072</v>
      </c>
      <c r="GM37" s="1150" t="s">
        <v>3073</v>
      </c>
      <c r="GN37" s="1150" t="s">
        <v>3074</v>
      </c>
      <c r="GO37" s="1150" t="s">
        <v>25</v>
      </c>
      <c r="GP37" s="1150" t="s">
        <v>3075</v>
      </c>
      <c r="GQ37" s="1150" t="s">
        <v>3062</v>
      </c>
      <c r="GR37" s="1150" t="s">
        <v>3042</v>
      </c>
      <c r="GS37" s="1150" t="s">
        <v>20</v>
      </c>
      <c r="GT37" s="1150" t="s">
        <v>21</v>
      </c>
      <c r="GU37" s="1150" t="s">
        <v>33</v>
      </c>
      <c r="GV37" s="1150" t="s">
        <v>3063</v>
      </c>
      <c r="GW37" s="1150" t="s">
        <v>3064</v>
      </c>
      <c r="GX37" s="1150" t="s">
        <v>1803</v>
      </c>
      <c r="GY37" s="1150" t="s">
        <v>3065</v>
      </c>
      <c r="GZ37" s="1150" t="s">
        <v>3066</v>
      </c>
      <c r="HA37" s="1150" t="s">
        <v>3067</v>
      </c>
      <c r="HB37" s="1150" t="s">
        <v>3068</v>
      </c>
      <c r="HC37" s="1150" t="s">
        <v>3069</v>
      </c>
      <c r="HD37" s="1150" t="s">
        <v>3070</v>
      </c>
      <c r="HE37" s="1150" t="s">
        <v>2253</v>
      </c>
      <c r="HF37" s="1150" t="s">
        <v>3071</v>
      </c>
      <c r="HG37" s="1150" t="s">
        <v>3072</v>
      </c>
      <c r="HH37" s="1150" t="s">
        <v>3073</v>
      </c>
      <c r="HI37" s="1150" t="s">
        <v>3074</v>
      </c>
      <c r="HJ37" s="1150" t="s">
        <v>25</v>
      </c>
      <c r="HK37" s="1150" t="s">
        <v>3075</v>
      </c>
      <c r="HL37" s="1150" t="s">
        <v>3062</v>
      </c>
      <c r="HM37" s="1150" t="s">
        <v>3042</v>
      </c>
      <c r="HN37" s="1150" t="s">
        <v>20</v>
      </c>
      <c r="HO37" s="1150" t="s">
        <v>21</v>
      </c>
      <c r="HP37" s="1150" t="s">
        <v>33</v>
      </c>
      <c r="HQ37" s="1150" t="s">
        <v>3063</v>
      </c>
      <c r="HR37" s="1150" t="s">
        <v>3064</v>
      </c>
      <c r="HS37" s="1150" t="s">
        <v>1803</v>
      </c>
      <c r="HT37" s="1150" t="s">
        <v>3065</v>
      </c>
      <c r="HU37" s="1150" t="s">
        <v>3066</v>
      </c>
      <c r="HV37" s="1150" t="s">
        <v>3067</v>
      </c>
      <c r="HW37" s="1150" t="s">
        <v>3068</v>
      </c>
      <c r="HX37" s="1150" t="s">
        <v>3069</v>
      </c>
      <c r="HY37" s="1150" t="s">
        <v>3070</v>
      </c>
      <c r="HZ37" s="1150" t="s">
        <v>2253</v>
      </c>
      <c r="IA37" s="1150" t="s">
        <v>3071</v>
      </c>
      <c r="IB37" s="1150" t="s">
        <v>3072</v>
      </c>
      <c r="IC37" s="1150" t="s">
        <v>3073</v>
      </c>
      <c r="ID37" s="1150" t="s">
        <v>3074</v>
      </c>
      <c r="IE37" s="1150" t="s">
        <v>25</v>
      </c>
      <c r="IF37" s="1150" t="s">
        <v>3075</v>
      </c>
      <c r="IG37" s="1150" t="s">
        <v>3062</v>
      </c>
      <c r="IH37" s="1150" t="s">
        <v>3042</v>
      </c>
      <c r="II37" s="1150" t="s">
        <v>20</v>
      </c>
      <c r="IJ37" s="1150" t="s">
        <v>21</v>
      </c>
      <c r="IK37" s="1150" t="s">
        <v>33</v>
      </c>
      <c r="IL37" s="1150" t="s">
        <v>3063</v>
      </c>
      <c r="IM37" s="1150" t="s">
        <v>3064</v>
      </c>
      <c r="IN37" s="1150" t="s">
        <v>1803</v>
      </c>
      <c r="IO37" s="1150" t="s">
        <v>3065</v>
      </c>
      <c r="IP37" s="1150" t="s">
        <v>3066</v>
      </c>
      <c r="IQ37" s="1150" t="s">
        <v>3067</v>
      </c>
      <c r="IR37" s="1150" t="s">
        <v>3068</v>
      </c>
      <c r="IS37" s="1150" t="s">
        <v>3069</v>
      </c>
      <c r="IT37" s="1150" t="s">
        <v>3070</v>
      </c>
      <c r="IU37" s="1150" t="s">
        <v>2253</v>
      </c>
      <c r="IV37" s="1150" t="s">
        <v>3071</v>
      </c>
      <c r="IW37" s="1150" t="s">
        <v>3072</v>
      </c>
      <c r="IX37" s="1150" t="s">
        <v>3073</v>
      </c>
      <c r="IY37" s="1150" t="s">
        <v>3074</v>
      </c>
      <c r="IZ37" s="1150" t="s">
        <v>25</v>
      </c>
      <c r="JA37" s="1150" t="s">
        <v>3075</v>
      </c>
    </row>
    <row r="38" spans="1:261">
      <c r="A38" s="1150">
        <v>33</v>
      </c>
      <c r="B38" s="1150" t="s">
        <v>26</v>
      </c>
      <c r="C38" s="1150" t="s">
        <v>2995</v>
      </c>
      <c r="D38" s="1150" t="s">
        <v>1523</v>
      </c>
      <c r="E38" s="1153">
        <v>23157</v>
      </c>
      <c r="F38" s="1150">
        <v>181</v>
      </c>
      <c r="G38" s="1150">
        <v>6</v>
      </c>
      <c r="I38" s="1150">
        <v>3641.2319930353001</v>
      </c>
      <c r="J38" s="1150" t="s">
        <v>3</v>
      </c>
      <c r="K38" s="1150" t="s">
        <v>4</v>
      </c>
      <c r="L38" s="1150" t="s">
        <v>2583</v>
      </c>
      <c r="M38" s="1150" t="s">
        <v>2907</v>
      </c>
      <c r="N38" s="1150" t="s">
        <v>32</v>
      </c>
      <c r="O38" s="1150">
        <v>181</v>
      </c>
      <c r="P38" s="1150">
        <v>6</v>
      </c>
      <c r="Q38" s="1150">
        <v>874.0385</v>
      </c>
      <c r="S38" s="1150" t="s">
        <v>2254</v>
      </c>
      <c r="T38" s="1150">
        <v>10</v>
      </c>
      <c r="U38" s="1150">
        <v>25</v>
      </c>
      <c r="V38" s="1150">
        <v>15</v>
      </c>
      <c r="W38" s="1150">
        <v>4</v>
      </c>
      <c r="X38" s="1150">
        <v>250000</v>
      </c>
      <c r="Y38" s="1150">
        <v>524.42309999999998</v>
      </c>
      <c r="Z38" s="1150">
        <v>545.40002400000003</v>
      </c>
      <c r="AA38" s="1150">
        <v>7</v>
      </c>
      <c r="AB38" s="1150" t="s">
        <v>1</v>
      </c>
      <c r="AC38" s="1150">
        <v>6</v>
      </c>
      <c r="AD38" s="1150">
        <v>558.40002400000003</v>
      </c>
      <c r="AE38" s="1150" t="s">
        <v>5</v>
      </c>
      <c r="AF38" s="1150" t="s">
        <v>4</v>
      </c>
      <c r="AG38" s="1150" t="s">
        <v>2583</v>
      </c>
      <c r="AH38" s="1150" t="s">
        <v>2907</v>
      </c>
      <c r="AI38" s="1150" t="s">
        <v>32</v>
      </c>
      <c r="AJ38" s="1150">
        <v>181</v>
      </c>
      <c r="AK38" s="1150">
        <v>6</v>
      </c>
      <c r="AL38" s="1150">
        <v>142.78845999999999</v>
      </c>
      <c r="AN38" s="1150" t="s">
        <v>2254</v>
      </c>
      <c r="AO38" s="1150">
        <v>10</v>
      </c>
      <c r="AP38" s="1150">
        <v>25</v>
      </c>
      <c r="AQ38" s="1150">
        <v>15</v>
      </c>
      <c r="AR38" s="1150">
        <v>4</v>
      </c>
      <c r="AS38" s="1150">
        <v>12500</v>
      </c>
      <c r="AT38" s="1150">
        <v>85.673075999999995</v>
      </c>
      <c r="AU38" s="1150">
        <v>89.09999904</v>
      </c>
      <c r="AV38" s="1150">
        <v>0</v>
      </c>
      <c r="AY38" s="1150">
        <v>89.09999904</v>
      </c>
      <c r="CP38" s="1150" t="s">
        <v>6</v>
      </c>
      <c r="CQ38" s="1150" t="s">
        <v>2549</v>
      </c>
      <c r="CR38" s="1150" t="s">
        <v>88</v>
      </c>
      <c r="CS38" s="1150">
        <v>240303</v>
      </c>
      <c r="CT38" s="1150" t="s">
        <v>32</v>
      </c>
      <c r="CU38" s="1150">
        <v>181</v>
      </c>
      <c r="CV38" s="1150">
        <v>6</v>
      </c>
      <c r="CX38" s="1150">
        <v>5.0099999999999999E-2</v>
      </c>
      <c r="CY38" s="1150" t="s">
        <v>2255</v>
      </c>
      <c r="CZ38" s="1150">
        <v>0</v>
      </c>
      <c r="DA38" s="1150">
        <v>27.5</v>
      </c>
      <c r="DB38" s="1150">
        <v>15</v>
      </c>
      <c r="DC38" s="1150">
        <v>4</v>
      </c>
      <c r="DD38" s="1150">
        <v>214224.65753425</v>
      </c>
      <c r="DE38" s="1150">
        <v>148.03662541332</v>
      </c>
      <c r="DF38" s="1150">
        <v>153.95809042984999</v>
      </c>
      <c r="DG38" s="1150">
        <v>0</v>
      </c>
      <c r="DJ38" s="1150">
        <v>153.95809042984999</v>
      </c>
      <c r="DK38" s="1150" t="s">
        <v>8</v>
      </c>
      <c r="DL38" s="1150" t="s">
        <v>2549</v>
      </c>
      <c r="DM38" s="1150" t="s">
        <v>88</v>
      </c>
      <c r="DN38" s="1150">
        <v>240303</v>
      </c>
      <c r="DO38" s="1150" t="s">
        <v>32</v>
      </c>
      <c r="DP38" s="1150">
        <v>181</v>
      </c>
      <c r="DQ38" s="1150">
        <v>6</v>
      </c>
      <c r="DS38" s="1150">
        <v>0.12529999999999999</v>
      </c>
      <c r="DT38" s="1150" t="s">
        <v>2255</v>
      </c>
      <c r="DU38" s="1150">
        <v>0</v>
      </c>
      <c r="DV38" s="1150">
        <v>27.5</v>
      </c>
      <c r="DW38" s="1150">
        <v>15</v>
      </c>
      <c r="DX38" s="1150">
        <v>4</v>
      </c>
      <c r="DY38" s="1150">
        <v>214224.65753425</v>
      </c>
      <c r="DZ38" s="1150">
        <v>370.23930467642998</v>
      </c>
      <c r="EA38" s="1150">
        <v>385.04887686349002</v>
      </c>
      <c r="EB38" s="1150">
        <v>0</v>
      </c>
      <c r="EE38" s="1150">
        <v>385.04887686349002</v>
      </c>
      <c r="EF38" s="1150" t="s">
        <v>9</v>
      </c>
      <c r="EG38" s="1150" t="s">
        <v>2549</v>
      </c>
      <c r="EH38" s="1150" t="s">
        <v>88</v>
      </c>
      <c r="EI38" s="1150">
        <v>240303</v>
      </c>
      <c r="EJ38" s="1150" t="s">
        <v>32</v>
      </c>
      <c r="EK38" s="1150">
        <v>181</v>
      </c>
      <c r="EL38" s="1150">
        <v>6</v>
      </c>
      <c r="EN38" s="1150">
        <v>6.1899999999999997E-2</v>
      </c>
      <c r="EO38" s="1150" t="s">
        <v>2255</v>
      </c>
      <c r="EP38" s="1150">
        <v>0</v>
      </c>
      <c r="EQ38" s="1150">
        <v>27.5</v>
      </c>
      <c r="ER38" s="1150">
        <v>15</v>
      </c>
      <c r="ES38" s="1150">
        <v>4</v>
      </c>
      <c r="ET38" s="1150">
        <v>214224.65753425</v>
      </c>
      <c r="EU38" s="1150">
        <v>182.90353519131</v>
      </c>
      <c r="EV38" s="1150">
        <v>190.21967659896001</v>
      </c>
      <c r="EW38" s="1150">
        <v>0</v>
      </c>
      <c r="EZ38" s="1150">
        <v>190.21967659896001</v>
      </c>
      <c r="FA38" s="1150" t="s">
        <v>10</v>
      </c>
      <c r="FB38" s="1150" t="s">
        <v>2549</v>
      </c>
      <c r="FC38" s="1150" t="s">
        <v>88</v>
      </c>
      <c r="FD38" s="1150">
        <v>240303</v>
      </c>
      <c r="FE38" s="1150" t="s">
        <v>32</v>
      </c>
      <c r="FF38" s="1150">
        <v>181</v>
      </c>
      <c r="FG38" s="1150">
        <v>6</v>
      </c>
      <c r="FI38" s="1150">
        <v>0.1489</v>
      </c>
      <c r="FJ38" s="1150" t="s">
        <v>2255</v>
      </c>
      <c r="FK38" s="1150">
        <v>0</v>
      </c>
      <c r="FL38" s="1150">
        <v>27.5</v>
      </c>
      <c r="FM38" s="1150">
        <v>15</v>
      </c>
      <c r="FN38" s="1150">
        <v>4</v>
      </c>
      <c r="FO38" s="1150">
        <v>214224.65753425</v>
      </c>
      <c r="FP38" s="1150">
        <v>439.97312423239998</v>
      </c>
      <c r="FQ38" s="1150">
        <v>457.5720492017</v>
      </c>
      <c r="FR38" s="1150">
        <v>0</v>
      </c>
      <c r="FU38" s="1150">
        <v>457.5720492017</v>
      </c>
      <c r="HL38" s="1150" t="s">
        <v>40</v>
      </c>
      <c r="HM38" s="1150" t="s">
        <v>2549</v>
      </c>
      <c r="HN38" s="1150" t="s">
        <v>88</v>
      </c>
      <c r="HO38" s="1150">
        <v>240450</v>
      </c>
      <c r="HP38" s="1150" t="s">
        <v>32</v>
      </c>
      <c r="HQ38" s="1150">
        <v>181</v>
      </c>
      <c r="HR38" s="1150">
        <v>6</v>
      </c>
      <c r="HT38" s="1150">
        <v>0.58830000000000005</v>
      </c>
      <c r="HU38" s="1150" t="s">
        <v>2255</v>
      </c>
      <c r="HV38" s="1150">
        <v>0</v>
      </c>
      <c r="HW38" s="1150">
        <v>27.5</v>
      </c>
      <c r="HX38" s="1150">
        <v>15</v>
      </c>
      <c r="HY38" s="1150">
        <v>4</v>
      </c>
      <c r="HZ38" s="1150">
        <v>71408.219178081999</v>
      </c>
      <c r="IA38" s="1150">
        <v>579.44076334435999</v>
      </c>
      <c r="IB38" s="1150">
        <v>602.61839387812995</v>
      </c>
      <c r="IC38" s="1150">
        <v>0</v>
      </c>
      <c r="IF38" s="1150">
        <v>602.61839387812995</v>
      </c>
      <c r="IG38" s="1150" t="s">
        <v>41</v>
      </c>
      <c r="IH38" s="1150" t="s">
        <v>2549</v>
      </c>
      <c r="II38" s="1150" t="s">
        <v>88</v>
      </c>
      <c r="IJ38" s="1150">
        <v>240450</v>
      </c>
      <c r="IK38" s="1150" t="s">
        <v>32</v>
      </c>
      <c r="IL38" s="1150">
        <v>181</v>
      </c>
      <c r="IM38" s="1150">
        <v>6</v>
      </c>
      <c r="IO38" s="1150">
        <v>1.1757</v>
      </c>
      <c r="IP38" s="1150" t="s">
        <v>2255</v>
      </c>
      <c r="IQ38" s="1150">
        <v>0</v>
      </c>
      <c r="IR38" s="1150">
        <v>27.5</v>
      </c>
      <c r="IS38" s="1150">
        <v>15</v>
      </c>
      <c r="IT38" s="1150">
        <v>4</v>
      </c>
      <c r="IU38" s="1150">
        <v>71408.219178081999</v>
      </c>
      <c r="IV38" s="1150">
        <v>1157.9950798299001</v>
      </c>
      <c r="IW38" s="1150">
        <v>1204.3148830231</v>
      </c>
      <c r="IX38" s="1150">
        <v>0</v>
      </c>
      <c r="JA38" s="1150">
        <v>1204.3148830231</v>
      </c>
    </row>
    <row r="39" spans="1:261">
      <c r="A39" s="1150">
        <v>130254</v>
      </c>
      <c r="B39" s="1150" t="s">
        <v>26</v>
      </c>
      <c r="C39" s="1150" t="s">
        <v>2952</v>
      </c>
      <c r="D39" s="1150" t="s">
        <v>3076</v>
      </c>
      <c r="E39" s="1153">
        <v>32017</v>
      </c>
      <c r="F39" s="1150">
        <v>181</v>
      </c>
      <c r="G39" s="1150">
        <v>6</v>
      </c>
      <c r="I39" s="1150">
        <v>1094.7683392112999</v>
      </c>
      <c r="AZ39" s="1150" t="s">
        <v>3</v>
      </c>
      <c r="BA39" s="1150" t="s">
        <v>4</v>
      </c>
      <c r="BB39" s="1150" t="s">
        <v>2582</v>
      </c>
      <c r="BC39" s="1150" t="s">
        <v>2906</v>
      </c>
      <c r="BD39" s="1150" t="s">
        <v>32</v>
      </c>
      <c r="BE39" s="1150">
        <v>181</v>
      </c>
      <c r="BF39" s="1150">
        <v>6</v>
      </c>
      <c r="BG39" s="1150">
        <v>426.77890000000002</v>
      </c>
      <c r="BI39" s="1150" t="s">
        <v>2254</v>
      </c>
      <c r="BJ39" s="1150">
        <v>10</v>
      </c>
      <c r="BK39" s="1150">
        <v>25</v>
      </c>
      <c r="BL39" s="1150">
        <v>15</v>
      </c>
      <c r="BM39" s="1150">
        <v>4</v>
      </c>
      <c r="BN39" s="1150">
        <v>50000</v>
      </c>
      <c r="BO39" s="1150">
        <v>256.06734</v>
      </c>
      <c r="BP39" s="1150">
        <v>266.3100336</v>
      </c>
      <c r="BQ39" s="1150">
        <v>7.6</v>
      </c>
      <c r="BR39" s="1150" t="s">
        <v>1</v>
      </c>
      <c r="BS39" s="1150">
        <v>6</v>
      </c>
      <c r="BT39" s="1150">
        <v>279.91003360000002</v>
      </c>
      <c r="BU39" s="1150" t="s">
        <v>5</v>
      </c>
      <c r="BV39" s="1150" t="s">
        <v>4</v>
      </c>
      <c r="BW39" s="1150" t="s">
        <v>2582</v>
      </c>
      <c r="BX39" s="1150" t="s">
        <v>2906</v>
      </c>
      <c r="BY39" s="1150" t="s">
        <v>32</v>
      </c>
      <c r="BZ39" s="1150">
        <v>181</v>
      </c>
      <c r="CA39" s="1150">
        <v>6</v>
      </c>
      <c r="CB39" s="1150">
        <v>95.192400000000006</v>
      </c>
      <c r="CD39" s="1150" t="s">
        <v>2254</v>
      </c>
      <c r="CE39" s="1150">
        <v>10</v>
      </c>
      <c r="CF39" s="1150">
        <v>25</v>
      </c>
      <c r="CG39" s="1150">
        <v>15</v>
      </c>
      <c r="CH39" s="1150">
        <v>4</v>
      </c>
      <c r="CI39" s="1150">
        <v>6250</v>
      </c>
      <c r="CJ39" s="1150">
        <v>57.11544</v>
      </c>
      <c r="CK39" s="1150">
        <v>59.400057599999997</v>
      </c>
      <c r="CL39" s="1150">
        <v>0</v>
      </c>
      <c r="CO39" s="1150">
        <v>59.400057599999997</v>
      </c>
      <c r="CP39" s="1150" t="s">
        <v>6</v>
      </c>
      <c r="CQ39" s="1150" t="s">
        <v>2549</v>
      </c>
      <c r="CR39" s="1150" t="s">
        <v>88</v>
      </c>
      <c r="CS39" s="1150">
        <v>240303</v>
      </c>
      <c r="CT39" s="1150" t="s">
        <v>32</v>
      </c>
      <c r="CU39" s="1150">
        <v>181</v>
      </c>
      <c r="CV39" s="1150">
        <v>6</v>
      </c>
      <c r="CX39" s="1150">
        <v>5.0099999999999999E-2</v>
      </c>
      <c r="CY39" s="1150" t="s">
        <v>2255</v>
      </c>
      <c r="CZ39" s="1150">
        <v>0</v>
      </c>
      <c r="DA39" s="1150">
        <v>27.5</v>
      </c>
      <c r="DB39" s="1150">
        <v>15</v>
      </c>
      <c r="DC39" s="1150">
        <v>4</v>
      </c>
      <c r="DD39" s="1150">
        <v>62482.191780822002</v>
      </c>
      <c r="DE39" s="1150">
        <v>43.177349078885001</v>
      </c>
      <c r="DF39" s="1150">
        <v>44.904443042041002</v>
      </c>
      <c r="DG39" s="1150">
        <v>0</v>
      </c>
      <c r="DJ39" s="1150">
        <v>44.904443042041002</v>
      </c>
      <c r="DK39" s="1150" t="s">
        <v>8</v>
      </c>
      <c r="DL39" s="1150" t="s">
        <v>2549</v>
      </c>
      <c r="DM39" s="1150" t="s">
        <v>88</v>
      </c>
      <c r="DN39" s="1150">
        <v>240303</v>
      </c>
      <c r="DO39" s="1150" t="s">
        <v>32</v>
      </c>
      <c r="DP39" s="1150">
        <v>181</v>
      </c>
      <c r="DQ39" s="1150">
        <v>6</v>
      </c>
      <c r="DS39" s="1150">
        <v>0.12529999999999999</v>
      </c>
      <c r="DT39" s="1150" t="s">
        <v>2255</v>
      </c>
      <c r="DU39" s="1150">
        <v>0</v>
      </c>
      <c r="DV39" s="1150">
        <v>27.5</v>
      </c>
      <c r="DW39" s="1150">
        <v>15</v>
      </c>
      <c r="DX39" s="1150">
        <v>4</v>
      </c>
      <c r="DY39" s="1150">
        <v>62482.191780822002</v>
      </c>
      <c r="DZ39" s="1150">
        <v>107.98646386396</v>
      </c>
      <c r="EA39" s="1150">
        <v>112.30592241852</v>
      </c>
      <c r="EB39" s="1150">
        <v>0</v>
      </c>
      <c r="EE39" s="1150">
        <v>112.30592241852</v>
      </c>
      <c r="EF39" s="1150" t="s">
        <v>9</v>
      </c>
      <c r="EG39" s="1150" t="s">
        <v>2549</v>
      </c>
      <c r="EH39" s="1150" t="s">
        <v>88</v>
      </c>
      <c r="EI39" s="1150">
        <v>240303</v>
      </c>
      <c r="EJ39" s="1150" t="s">
        <v>32</v>
      </c>
      <c r="EK39" s="1150">
        <v>181</v>
      </c>
      <c r="EL39" s="1150">
        <v>6</v>
      </c>
      <c r="EN39" s="1150">
        <v>6.1899999999999997E-2</v>
      </c>
      <c r="EO39" s="1150" t="s">
        <v>2255</v>
      </c>
      <c r="EP39" s="1150">
        <v>0</v>
      </c>
      <c r="EQ39" s="1150">
        <v>27.5</v>
      </c>
      <c r="ER39" s="1150">
        <v>15</v>
      </c>
      <c r="ES39" s="1150">
        <v>4</v>
      </c>
      <c r="ET39" s="1150">
        <v>62482.191780822002</v>
      </c>
      <c r="EU39" s="1150">
        <v>53.346864430798</v>
      </c>
      <c r="EV39" s="1150">
        <v>55.48073900803</v>
      </c>
      <c r="EW39" s="1150">
        <v>0</v>
      </c>
      <c r="EZ39" s="1150">
        <v>55.48073900803</v>
      </c>
      <c r="FA39" s="1150" t="s">
        <v>10</v>
      </c>
      <c r="FB39" s="1150" t="s">
        <v>2549</v>
      </c>
      <c r="FC39" s="1150" t="s">
        <v>88</v>
      </c>
      <c r="FD39" s="1150">
        <v>240303</v>
      </c>
      <c r="FE39" s="1150" t="s">
        <v>32</v>
      </c>
      <c r="FF39" s="1150">
        <v>181</v>
      </c>
      <c r="FG39" s="1150">
        <v>6</v>
      </c>
      <c r="FI39" s="1150">
        <v>0.1489</v>
      </c>
      <c r="FJ39" s="1150" t="s">
        <v>2255</v>
      </c>
      <c r="FK39" s="1150">
        <v>0</v>
      </c>
      <c r="FL39" s="1150">
        <v>27.5</v>
      </c>
      <c r="FM39" s="1150">
        <v>15</v>
      </c>
      <c r="FN39" s="1150">
        <v>4</v>
      </c>
      <c r="FO39" s="1150">
        <v>62482.191780822002</v>
      </c>
      <c r="FP39" s="1150">
        <v>128.32549456778</v>
      </c>
      <c r="FQ39" s="1150">
        <v>133.4585143505</v>
      </c>
      <c r="FR39" s="1150">
        <v>0</v>
      </c>
      <c r="FU39" s="1150">
        <v>133.4585143505</v>
      </c>
      <c r="FV39" s="1150" t="s">
        <v>40</v>
      </c>
      <c r="FW39" s="1150" t="s">
        <v>2549</v>
      </c>
      <c r="FX39" s="1150" t="s">
        <v>88</v>
      </c>
      <c r="FY39" s="1150">
        <v>240303</v>
      </c>
      <c r="FZ39" s="1150" t="s">
        <v>32</v>
      </c>
      <c r="GA39" s="1150">
        <v>181</v>
      </c>
      <c r="GB39" s="1150">
        <v>6</v>
      </c>
      <c r="GD39" s="1150">
        <v>0.58730000000000004</v>
      </c>
      <c r="GE39" s="1150" t="s">
        <v>2255</v>
      </c>
      <c r="GF39" s="1150">
        <v>0</v>
      </c>
      <c r="GG39" s="1150">
        <v>27.5</v>
      </c>
      <c r="GH39" s="1150">
        <v>15</v>
      </c>
      <c r="GI39" s="1150">
        <v>4</v>
      </c>
      <c r="GJ39" s="1150">
        <v>20827.397260274</v>
      </c>
      <c r="GK39" s="1150">
        <v>168.71628153047001</v>
      </c>
      <c r="GL39" s="1150">
        <v>175.46493279168999</v>
      </c>
      <c r="GM39" s="1150">
        <v>0</v>
      </c>
      <c r="GP39" s="1150">
        <v>175.46493279168999</v>
      </c>
      <c r="GQ39" s="1150" t="s">
        <v>41</v>
      </c>
      <c r="GR39" s="1150" t="s">
        <v>2549</v>
      </c>
      <c r="GS39" s="1150" t="s">
        <v>88</v>
      </c>
      <c r="GT39" s="1150">
        <v>240303</v>
      </c>
      <c r="GU39" s="1150" t="s">
        <v>32</v>
      </c>
      <c r="GV39" s="1150">
        <v>181</v>
      </c>
      <c r="GW39" s="1150">
        <v>6</v>
      </c>
      <c r="GY39" s="1150">
        <v>0.78269999999999995</v>
      </c>
      <c r="GZ39" s="1150" t="s">
        <v>2255</v>
      </c>
      <c r="HA39" s="1150">
        <v>0</v>
      </c>
      <c r="HB39" s="1150">
        <v>27.5</v>
      </c>
      <c r="HC39" s="1150">
        <v>15</v>
      </c>
      <c r="HD39" s="1150">
        <v>4</v>
      </c>
      <c r="HE39" s="1150">
        <v>20827.397260274</v>
      </c>
      <c r="HF39" s="1150">
        <v>224.84970807747001</v>
      </c>
      <c r="HG39" s="1150">
        <v>233.84369640057</v>
      </c>
      <c r="HH39" s="1150">
        <v>0</v>
      </c>
      <c r="HK39" s="1150">
        <v>233.84369640057</v>
      </c>
    </row>
    <row r="40" spans="1:261">
      <c r="A40" s="1150">
        <v>133440</v>
      </c>
      <c r="B40" s="1150" t="s">
        <v>26</v>
      </c>
      <c r="C40" s="1150" t="s">
        <v>2935</v>
      </c>
      <c r="D40" s="1150" t="s">
        <v>2936</v>
      </c>
      <c r="E40" s="1153">
        <v>30123</v>
      </c>
      <c r="F40" s="1150">
        <v>181</v>
      </c>
      <c r="G40" s="1150">
        <v>6</v>
      </c>
      <c r="I40" s="1150">
        <v>1202.6909460700999</v>
      </c>
      <c r="AZ40" s="1150" t="s">
        <v>3</v>
      </c>
      <c r="BA40" s="1150" t="s">
        <v>4</v>
      </c>
      <c r="BB40" s="1150" t="s">
        <v>2582</v>
      </c>
      <c r="BC40" s="1150" t="s">
        <v>2906</v>
      </c>
      <c r="BD40" s="1150" t="s">
        <v>32</v>
      </c>
      <c r="BE40" s="1150">
        <v>181</v>
      </c>
      <c r="BF40" s="1150">
        <v>6</v>
      </c>
      <c r="BG40" s="1150">
        <v>426.77890000000002</v>
      </c>
      <c r="BI40" s="1150" t="s">
        <v>2254</v>
      </c>
      <c r="BJ40" s="1150">
        <v>10</v>
      </c>
      <c r="BK40" s="1150">
        <v>25</v>
      </c>
      <c r="BL40" s="1150">
        <v>15</v>
      </c>
      <c r="BM40" s="1150">
        <v>4</v>
      </c>
      <c r="BN40" s="1150">
        <v>50000</v>
      </c>
      <c r="BO40" s="1150">
        <v>256.06734</v>
      </c>
      <c r="BP40" s="1150">
        <v>266.3100336</v>
      </c>
      <c r="BQ40" s="1150">
        <v>7.6</v>
      </c>
      <c r="BR40" s="1150" t="s">
        <v>1</v>
      </c>
      <c r="BS40" s="1150">
        <v>6</v>
      </c>
      <c r="BT40" s="1150">
        <v>279.91003360000002</v>
      </c>
      <c r="BU40" s="1150" t="s">
        <v>5</v>
      </c>
      <c r="BV40" s="1150" t="s">
        <v>4</v>
      </c>
      <c r="BW40" s="1150" t="s">
        <v>2582</v>
      </c>
      <c r="BX40" s="1150" t="s">
        <v>2906</v>
      </c>
      <c r="BY40" s="1150" t="s">
        <v>32</v>
      </c>
      <c r="BZ40" s="1150">
        <v>181</v>
      </c>
      <c r="CA40" s="1150">
        <v>6</v>
      </c>
      <c r="CB40" s="1150">
        <v>95.192400000000006</v>
      </c>
      <c r="CD40" s="1150" t="s">
        <v>2254</v>
      </c>
      <c r="CE40" s="1150">
        <v>10</v>
      </c>
      <c r="CF40" s="1150">
        <v>25</v>
      </c>
      <c r="CG40" s="1150">
        <v>15</v>
      </c>
      <c r="CH40" s="1150">
        <v>4</v>
      </c>
      <c r="CI40" s="1150">
        <v>6250</v>
      </c>
      <c r="CJ40" s="1150">
        <v>57.11544</v>
      </c>
      <c r="CK40" s="1150">
        <v>59.400057599999997</v>
      </c>
      <c r="CL40" s="1150">
        <v>0</v>
      </c>
      <c r="CO40" s="1150">
        <v>59.400057599999997</v>
      </c>
      <c r="CP40" s="1150" t="s">
        <v>6</v>
      </c>
      <c r="CQ40" s="1150" t="s">
        <v>2549</v>
      </c>
      <c r="CR40" s="1150" t="s">
        <v>88</v>
      </c>
      <c r="CS40" s="1150">
        <v>240303</v>
      </c>
      <c r="CT40" s="1150" t="s">
        <v>32</v>
      </c>
      <c r="CU40" s="1150">
        <v>181</v>
      </c>
      <c r="CV40" s="1150">
        <v>6</v>
      </c>
      <c r="CX40" s="1150">
        <v>5.0099999999999999E-2</v>
      </c>
      <c r="CY40" s="1150" t="s">
        <v>2255</v>
      </c>
      <c r="CZ40" s="1150">
        <v>0</v>
      </c>
      <c r="DA40" s="1150">
        <v>27.5</v>
      </c>
      <c r="DB40" s="1150">
        <v>15</v>
      </c>
      <c r="DC40" s="1150">
        <v>4</v>
      </c>
      <c r="DD40" s="1150">
        <v>71408.219178081999</v>
      </c>
      <c r="DE40" s="1150">
        <v>49.345541804440003</v>
      </c>
      <c r="DF40" s="1150">
        <v>51.319363476618001</v>
      </c>
      <c r="DG40" s="1150">
        <v>0</v>
      </c>
      <c r="DJ40" s="1150">
        <v>51.319363476618001</v>
      </c>
      <c r="DK40" s="1150" t="s">
        <v>8</v>
      </c>
      <c r="DL40" s="1150" t="s">
        <v>2549</v>
      </c>
      <c r="DM40" s="1150" t="s">
        <v>88</v>
      </c>
      <c r="DN40" s="1150">
        <v>240303</v>
      </c>
      <c r="DO40" s="1150" t="s">
        <v>32</v>
      </c>
      <c r="DP40" s="1150">
        <v>181</v>
      </c>
      <c r="DQ40" s="1150">
        <v>6</v>
      </c>
      <c r="DS40" s="1150">
        <v>0.12529999999999999</v>
      </c>
      <c r="DT40" s="1150" t="s">
        <v>2255</v>
      </c>
      <c r="DU40" s="1150">
        <v>0</v>
      </c>
      <c r="DV40" s="1150">
        <v>27.5</v>
      </c>
      <c r="DW40" s="1150">
        <v>15</v>
      </c>
      <c r="DX40" s="1150">
        <v>4</v>
      </c>
      <c r="DY40" s="1150">
        <v>71408.219178081999</v>
      </c>
      <c r="DZ40" s="1150">
        <v>123.41310155881</v>
      </c>
      <c r="EA40" s="1150">
        <v>128.34962562115999</v>
      </c>
      <c r="EB40" s="1150">
        <v>0</v>
      </c>
      <c r="EE40" s="1150">
        <v>128.34962562115999</v>
      </c>
      <c r="EF40" s="1150" t="s">
        <v>9</v>
      </c>
      <c r="EG40" s="1150" t="s">
        <v>2549</v>
      </c>
      <c r="EH40" s="1150" t="s">
        <v>88</v>
      </c>
      <c r="EI40" s="1150">
        <v>240303</v>
      </c>
      <c r="EJ40" s="1150" t="s">
        <v>32</v>
      </c>
      <c r="EK40" s="1150">
        <v>181</v>
      </c>
      <c r="EL40" s="1150">
        <v>6</v>
      </c>
      <c r="EN40" s="1150">
        <v>6.1899999999999997E-2</v>
      </c>
      <c r="EO40" s="1150" t="s">
        <v>2255</v>
      </c>
      <c r="EP40" s="1150">
        <v>0</v>
      </c>
      <c r="EQ40" s="1150">
        <v>27.5</v>
      </c>
      <c r="ER40" s="1150">
        <v>15</v>
      </c>
      <c r="ES40" s="1150">
        <v>4</v>
      </c>
      <c r="ET40" s="1150">
        <v>71408.219178081999</v>
      </c>
      <c r="EU40" s="1150">
        <v>60.967845063768998</v>
      </c>
      <c r="EV40" s="1150">
        <v>63.406558866319997</v>
      </c>
      <c r="EW40" s="1150">
        <v>0</v>
      </c>
      <c r="EZ40" s="1150">
        <v>63.406558866319997</v>
      </c>
      <c r="FA40" s="1150" t="s">
        <v>10</v>
      </c>
      <c r="FB40" s="1150" t="s">
        <v>2549</v>
      </c>
      <c r="FC40" s="1150" t="s">
        <v>88</v>
      </c>
      <c r="FD40" s="1150">
        <v>240303</v>
      </c>
      <c r="FE40" s="1150" t="s">
        <v>32</v>
      </c>
      <c r="FF40" s="1150">
        <v>181</v>
      </c>
      <c r="FG40" s="1150">
        <v>6</v>
      </c>
      <c r="FI40" s="1150">
        <v>0.1489</v>
      </c>
      <c r="FJ40" s="1150" t="s">
        <v>2255</v>
      </c>
      <c r="FK40" s="1150">
        <v>0</v>
      </c>
      <c r="FL40" s="1150">
        <v>27.5</v>
      </c>
      <c r="FM40" s="1150">
        <v>15</v>
      </c>
      <c r="FN40" s="1150">
        <v>4</v>
      </c>
      <c r="FO40" s="1150">
        <v>71408.219178081999</v>
      </c>
      <c r="FP40" s="1150">
        <v>146.65770807747001</v>
      </c>
      <c r="FQ40" s="1150">
        <v>152.52401640056999</v>
      </c>
      <c r="FR40" s="1150">
        <v>0</v>
      </c>
      <c r="FU40" s="1150">
        <v>152.52401640056999</v>
      </c>
      <c r="FV40" s="1150" t="s">
        <v>40</v>
      </c>
      <c r="FW40" s="1150" t="s">
        <v>2549</v>
      </c>
      <c r="FX40" s="1150" t="s">
        <v>88</v>
      </c>
      <c r="FY40" s="1150">
        <v>240303</v>
      </c>
      <c r="FZ40" s="1150" t="s">
        <v>32</v>
      </c>
      <c r="GA40" s="1150">
        <v>181</v>
      </c>
      <c r="GB40" s="1150">
        <v>6</v>
      </c>
      <c r="GD40" s="1150">
        <v>0.58730000000000004</v>
      </c>
      <c r="GE40" s="1150" t="s">
        <v>2255</v>
      </c>
      <c r="GF40" s="1150">
        <v>0</v>
      </c>
      <c r="GG40" s="1150">
        <v>27.5</v>
      </c>
      <c r="GH40" s="1150">
        <v>15</v>
      </c>
      <c r="GI40" s="1150">
        <v>4</v>
      </c>
      <c r="GJ40" s="1150">
        <v>23802.739726027001</v>
      </c>
      <c r="GK40" s="1150">
        <v>192.81860746339001</v>
      </c>
      <c r="GL40" s="1150">
        <v>200.53135176193001</v>
      </c>
      <c r="GM40" s="1150">
        <v>0</v>
      </c>
      <c r="GP40" s="1150">
        <v>200.53135176193001</v>
      </c>
      <c r="GQ40" s="1150" t="s">
        <v>41</v>
      </c>
      <c r="GR40" s="1150" t="s">
        <v>2549</v>
      </c>
      <c r="GS40" s="1150" t="s">
        <v>88</v>
      </c>
      <c r="GT40" s="1150">
        <v>240303</v>
      </c>
      <c r="GU40" s="1150" t="s">
        <v>32</v>
      </c>
      <c r="GV40" s="1150">
        <v>181</v>
      </c>
      <c r="GW40" s="1150">
        <v>6</v>
      </c>
      <c r="GY40" s="1150">
        <v>0.78269999999999995</v>
      </c>
      <c r="GZ40" s="1150" t="s">
        <v>2255</v>
      </c>
      <c r="HA40" s="1150">
        <v>0</v>
      </c>
      <c r="HB40" s="1150">
        <v>27.5</v>
      </c>
      <c r="HC40" s="1150">
        <v>15</v>
      </c>
      <c r="HD40" s="1150">
        <v>4</v>
      </c>
      <c r="HE40" s="1150">
        <v>23802.739726027001</v>
      </c>
      <c r="HF40" s="1150">
        <v>256.97109494568002</v>
      </c>
      <c r="HG40" s="1150">
        <v>267.24993874350002</v>
      </c>
      <c r="HH40" s="1150">
        <v>0</v>
      </c>
      <c r="HK40" s="1150">
        <v>267.24993874350002</v>
      </c>
    </row>
    <row r="41" spans="1:261">
      <c r="A41" s="1150">
        <v>133442</v>
      </c>
      <c r="B41" s="1150" t="s">
        <v>26</v>
      </c>
      <c r="C41" s="1150" t="s">
        <v>2959</v>
      </c>
      <c r="D41" s="1150" t="s">
        <v>2960</v>
      </c>
      <c r="E41" s="1153">
        <v>26888</v>
      </c>
      <c r="F41" s="1150">
        <v>181</v>
      </c>
      <c r="G41" s="1150">
        <v>6</v>
      </c>
      <c r="I41" s="1150">
        <v>1634.3813735051001</v>
      </c>
      <c r="AZ41" s="1150" t="s">
        <v>3</v>
      </c>
      <c r="BA41" s="1150" t="s">
        <v>4</v>
      </c>
      <c r="BB41" s="1150" t="s">
        <v>2582</v>
      </c>
      <c r="BC41" s="1150" t="s">
        <v>2906</v>
      </c>
      <c r="BD41" s="1150" t="s">
        <v>32</v>
      </c>
      <c r="BE41" s="1150">
        <v>181</v>
      </c>
      <c r="BF41" s="1150">
        <v>6</v>
      </c>
      <c r="BG41" s="1150">
        <v>426.77890000000002</v>
      </c>
      <c r="BI41" s="1150" t="s">
        <v>2254</v>
      </c>
      <c r="BJ41" s="1150">
        <v>10</v>
      </c>
      <c r="BK41" s="1150">
        <v>25</v>
      </c>
      <c r="BL41" s="1150">
        <v>15</v>
      </c>
      <c r="BM41" s="1150">
        <v>4</v>
      </c>
      <c r="BN41" s="1150">
        <v>50000</v>
      </c>
      <c r="BO41" s="1150">
        <v>256.06734</v>
      </c>
      <c r="BP41" s="1150">
        <v>266.3100336</v>
      </c>
      <c r="BQ41" s="1150">
        <v>7.6</v>
      </c>
      <c r="BR41" s="1150" t="s">
        <v>1</v>
      </c>
      <c r="BS41" s="1150">
        <v>6</v>
      </c>
      <c r="BT41" s="1150">
        <v>279.91003360000002</v>
      </c>
      <c r="BU41" s="1150" t="s">
        <v>5</v>
      </c>
      <c r="BV41" s="1150" t="s">
        <v>4</v>
      </c>
      <c r="BW41" s="1150" t="s">
        <v>2582</v>
      </c>
      <c r="BX41" s="1150" t="s">
        <v>2906</v>
      </c>
      <c r="BY41" s="1150" t="s">
        <v>32</v>
      </c>
      <c r="BZ41" s="1150">
        <v>181</v>
      </c>
      <c r="CA41" s="1150">
        <v>6</v>
      </c>
      <c r="CB41" s="1150">
        <v>95.192400000000006</v>
      </c>
      <c r="CD41" s="1150" t="s">
        <v>2254</v>
      </c>
      <c r="CE41" s="1150">
        <v>10</v>
      </c>
      <c r="CF41" s="1150">
        <v>25</v>
      </c>
      <c r="CG41" s="1150">
        <v>15</v>
      </c>
      <c r="CH41" s="1150">
        <v>4</v>
      </c>
      <c r="CI41" s="1150">
        <v>6250</v>
      </c>
      <c r="CJ41" s="1150">
        <v>57.11544</v>
      </c>
      <c r="CK41" s="1150">
        <v>59.400057599999997</v>
      </c>
      <c r="CL41" s="1150">
        <v>0</v>
      </c>
      <c r="CO41" s="1150">
        <v>59.400057599999997</v>
      </c>
      <c r="CP41" s="1150" t="s">
        <v>6</v>
      </c>
      <c r="CQ41" s="1150" t="s">
        <v>2549</v>
      </c>
      <c r="CR41" s="1150" t="s">
        <v>88</v>
      </c>
      <c r="CS41" s="1150">
        <v>240303</v>
      </c>
      <c r="CT41" s="1150" t="s">
        <v>32</v>
      </c>
      <c r="CU41" s="1150">
        <v>181</v>
      </c>
      <c r="CV41" s="1150">
        <v>6</v>
      </c>
      <c r="CX41" s="1150">
        <v>5.0099999999999999E-2</v>
      </c>
      <c r="CY41" s="1150" t="s">
        <v>2255</v>
      </c>
      <c r="CZ41" s="1150">
        <v>0</v>
      </c>
      <c r="DA41" s="1150">
        <v>27.5</v>
      </c>
      <c r="DB41" s="1150">
        <v>15</v>
      </c>
      <c r="DC41" s="1150">
        <v>4</v>
      </c>
      <c r="DD41" s="1150">
        <v>107112.32876711999</v>
      </c>
      <c r="DE41" s="1150">
        <v>74.018312706659998</v>
      </c>
      <c r="DF41" s="1150">
        <v>76.979045214926998</v>
      </c>
      <c r="DG41" s="1150">
        <v>0</v>
      </c>
      <c r="DJ41" s="1150">
        <v>76.979045214926998</v>
      </c>
      <c r="DK41" s="1150" t="s">
        <v>8</v>
      </c>
      <c r="DL41" s="1150" t="s">
        <v>2549</v>
      </c>
      <c r="DM41" s="1150" t="s">
        <v>88</v>
      </c>
      <c r="DN41" s="1150">
        <v>240303</v>
      </c>
      <c r="DO41" s="1150" t="s">
        <v>32</v>
      </c>
      <c r="DP41" s="1150">
        <v>181</v>
      </c>
      <c r="DQ41" s="1150">
        <v>6</v>
      </c>
      <c r="DS41" s="1150">
        <v>0.12529999999999999</v>
      </c>
      <c r="DT41" s="1150" t="s">
        <v>2255</v>
      </c>
      <c r="DU41" s="1150">
        <v>0</v>
      </c>
      <c r="DV41" s="1150">
        <v>27.5</v>
      </c>
      <c r="DW41" s="1150">
        <v>15</v>
      </c>
      <c r="DX41" s="1150">
        <v>4</v>
      </c>
      <c r="DY41" s="1150">
        <v>107112.32876711999</v>
      </c>
      <c r="DZ41" s="1150">
        <v>185.11965233820999</v>
      </c>
      <c r="EA41" s="1150">
        <v>192.52443843174001</v>
      </c>
      <c r="EB41" s="1150">
        <v>0</v>
      </c>
      <c r="EE41" s="1150">
        <v>192.52443843174001</v>
      </c>
      <c r="EF41" s="1150" t="s">
        <v>9</v>
      </c>
      <c r="EG41" s="1150" t="s">
        <v>2549</v>
      </c>
      <c r="EH41" s="1150" t="s">
        <v>88</v>
      </c>
      <c r="EI41" s="1150">
        <v>240303</v>
      </c>
      <c r="EJ41" s="1150" t="s">
        <v>32</v>
      </c>
      <c r="EK41" s="1150">
        <v>181</v>
      </c>
      <c r="EL41" s="1150">
        <v>6</v>
      </c>
      <c r="EN41" s="1150">
        <v>6.1899999999999997E-2</v>
      </c>
      <c r="EO41" s="1150" t="s">
        <v>2255</v>
      </c>
      <c r="EP41" s="1150">
        <v>0</v>
      </c>
      <c r="EQ41" s="1150">
        <v>27.5</v>
      </c>
      <c r="ER41" s="1150">
        <v>15</v>
      </c>
      <c r="ES41" s="1150">
        <v>4</v>
      </c>
      <c r="ET41" s="1150">
        <v>107112.32876711999</v>
      </c>
      <c r="EU41" s="1150">
        <v>91.451767595654005</v>
      </c>
      <c r="EV41" s="1150">
        <v>95.109838299480003</v>
      </c>
      <c r="EW41" s="1150">
        <v>0</v>
      </c>
      <c r="EZ41" s="1150">
        <v>95.109838299480003</v>
      </c>
      <c r="FA41" s="1150" t="s">
        <v>10</v>
      </c>
      <c r="FB41" s="1150" t="s">
        <v>2549</v>
      </c>
      <c r="FC41" s="1150" t="s">
        <v>88</v>
      </c>
      <c r="FD41" s="1150">
        <v>240303</v>
      </c>
      <c r="FE41" s="1150" t="s">
        <v>32</v>
      </c>
      <c r="FF41" s="1150">
        <v>181</v>
      </c>
      <c r="FG41" s="1150">
        <v>6</v>
      </c>
      <c r="FI41" s="1150">
        <v>0.1489</v>
      </c>
      <c r="FJ41" s="1150" t="s">
        <v>2255</v>
      </c>
      <c r="FK41" s="1150">
        <v>0</v>
      </c>
      <c r="FL41" s="1150">
        <v>27.5</v>
      </c>
      <c r="FM41" s="1150">
        <v>15</v>
      </c>
      <c r="FN41" s="1150">
        <v>4</v>
      </c>
      <c r="FO41" s="1150">
        <v>107112.32876711999</v>
      </c>
      <c r="FP41" s="1150">
        <v>219.98656211619999</v>
      </c>
      <c r="FQ41" s="1150">
        <v>228.78602460085</v>
      </c>
      <c r="FR41" s="1150">
        <v>0</v>
      </c>
      <c r="FU41" s="1150">
        <v>228.78602460085</v>
      </c>
      <c r="FV41" s="1150" t="s">
        <v>40</v>
      </c>
      <c r="FW41" s="1150" t="s">
        <v>2549</v>
      </c>
      <c r="FX41" s="1150" t="s">
        <v>88</v>
      </c>
      <c r="FY41" s="1150">
        <v>240303</v>
      </c>
      <c r="FZ41" s="1150" t="s">
        <v>32</v>
      </c>
      <c r="GA41" s="1150">
        <v>181</v>
      </c>
      <c r="GB41" s="1150">
        <v>6</v>
      </c>
      <c r="GD41" s="1150">
        <v>0.58730000000000004</v>
      </c>
      <c r="GE41" s="1150" t="s">
        <v>2255</v>
      </c>
      <c r="GF41" s="1150">
        <v>0</v>
      </c>
      <c r="GG41" s="1150">
        <v>27.5</v>
      </c>
      <c r="GH41" s="1150">
        <v>15</v>
      </c>
      <c r="GI41" s="1150">
        <v>4</v>
      </c>
      <c r="GJ41" s="1150">
        <v>35704.109589041</v>
      </c>
      <c r="GK41" s="1150">
        <v>289.22791119508997</v>
      </c>
      <c r="GL41" s="1150">
        <v>300.79702764288999</v>
      </c>
      <c r="GM41" s="1150">
        <v>0</v>
      </c>
      <c r="GP41" s="1150">
        <v>300.79702764288999</v>
      </c>
      <c r="GQ41" s="1150" t="s">
        <v>41</v>
      </c>
      <c r="GR41" s="1150" t="s">
        <v>2549</v>
      </c>
      <c r="GS41" s="1150" t="s">
        <v>88</v>
      </c>
      <c r="GT41" s="1150">
        <v>240303</v>
      </c>
      <c r="GU41" s="1150" t="s">
        <v>32</v>
      </c>
      <c r="GV41" s="1150">
        <v>181</v>
      </c>
      <c r="GW41" s="1150">
        <v>6</v>
      </c>
      <c r="GY41" s="1150">
        <v>0.78269999999999995</v>
      </c>
      <c r="GZ41" s="1150" t="s">
        <v>2255</v>
      </c>
      <c r="HA41" s="1150">
        <v>0</v>
      </c>
      <c r="HB41" s="1150">
        <v>27.5</v>
      </c>
      <c r="HC41" s="1150">
        <v>15</v>
      </c>
      <c r="HD41" s="1150">
        <v>4</v>
      </c>
      <c r="HE41" s="1150">
        <v>35704.109589041</v>
      </c>
      <c r="HF41" s="1150">
        <v>385.45664241852</v>
      </c>
      <c r="HG41" s="1150">
        <v>400.87490811525998</v>
      </c>
      <c r="HH41" s="1150">
        <v>0</v>
      </c>
      <c r="HK41" s="1150">
        <v>400.87490811525998</v>
      </c>
    </row>
    <row r="42" spans="1:261">
      <c r="A42" s="1150">
        <v>133586</v>
      </c>
      <c r="B42" s="1150" t="s">
        <v>26</v>
      </c>
      <c r="C42" s="1150" t="s">
        <v>2940</v>
      </c>
      <c r="D42" s="1150" t="s">
        <v>2941</v>
      </c>
      <c r="E42" s="1153">
        <v>28337</v>
      </c>
      <c r="F42" s="1150">
        <v>181</v>
      </c>
      <c r="G42" s="1150">
        <v>6</v>
      </c>
      <c r="I42" s="1150">
        <v>1850.2265872226999</v>
      </c>
      <c r="AZ42" s="1150" t="s">
        <v>3</v>
      </c>
      <c r="BA42" s="1150" t="s">
        <v>4</v>
      </c>
      <c r="BB42" s="1150" t="s">
        <v>2582</v>
      </c>
      <c r="BC42" s="1150" t="s">
        <v>2906</v>
      </c>
      <c r="BD42" s="1150" t="s">
        <v>32</v>
      </c>
      <c r="BE42" s="1150">
        <v>181</v>
      </c>
      <c r="BF42" s="1150">
        <v>6</v>
      </c>
      <c r="BG42" s="1150">
        <v>426.77890000000002</v>
      </c>
      <c r="BI42" s="1150" t="s">
        <v>2254</v>
      </c>
      <c r="BJ42" s="1150">
        <v>10</v>
      </c>
      <c r="BK42" s="1150">
        <v>25</v>
      </c>
      <c r="BL42" s="1150">
        <v>15</v>
      </c>
      <c r="BM42" s="1150">
        <v>4</v>
      </c>
      <c r="BN42" s="1150">
        <v>50000</v>
      </c>
      <c r="BO42" s="1150">
        <v>256.06734</v>
      </c>
      <c r="BP42" s="1150">
        <v>266.3100336</v>
      </c>
      <c r="BQ42" s="1150">
        <v>7.6</v>
      </c>
      <c r="BR42" s="1150" t="s">
        <v>1</v>
      </c>
      <c r="BS42" s="1150">
        <v>6</v>
      </c>
      <c r="BT42" s="1150">
        <v>279.91003360000002</v>
      </c>
      <c r="BU42" s="1150" t="s">
        <v>5</v>
      </c>
      <c r="BV42" s="1150" t="s">
        <v>4</v>
      </c>
      <c r="BW42" s="1150" t="s">
        <v>2582</v>
      </c>
      <c r="BX42" s="1150" t="s">
        <v>2906</v>
      </c>
      <c r="BY42" s="1150" t="s">
        <v>32</v>
      </c>
      <c r="BZ42" s="1150">
        <v>181</v>
      </c>
      <c r="CA42" s="1150">
        <v>6</v>
      </c>
      <c r="CB42" s="1150">
        <v>95.192400000000006</v>
      </c>
      <c r="CD42" s="1150" t="s">
        <v>2254</v>
      </c>
      <c r="CE42" s="1150">
        <v>10</v>
      </c>
      <c r="CF42" s="1150">
        <v>25</v>
      </c>
      <c r="CG42" s="1150">
        <v>15</v>
      </c>
      <c r="CH42" s="1150">
        <v>4</v>
      </c>
      <c r="CI42" s="1150">
        <v>6250</v>
      </c>
      <c r="CJ42" s="1150">
        <v>57.11544</v>
      </c>
      <c r="CK42" s="1150">
        <v>59.400057599999997</v>
      </c>
      <c r="CL42" s="1150">
        <v>0</v>
      </c>
      <c r="CO42" s="1150">
        <v>59.400057599999997</v>
      </c>
      <c r="CP42" s="1150" t="s">
        <v>6</v>
      </c>
      <c r="CQ42" s="1150" t="s">
        <v>2549</v>
      </c>
      <c r="CR42" s="1150" t="s">
        <v>88</v>
      </c>
      <c r="CS42" s="1150">
        <v>240303</v>
      </c>
      <c r="CT42" s="1150" t="s">
        <v>32</v>
      </c>
      <c r="CU42" s="1150">
        <v>181</v>
      </c>
      <c r="CV42" s="1150">
        <v>6</v>
      </c>
      <c r="CX42" s="1150">
        <v>5.0099999999999999E-2</v>
      </c>
      <c r="CY42" s="1150" t="s">
        <v>2255</v>
      </c>
      <c r="CZ42" s="1150">
        <v>0</v>
      </c>
      <c r="DA42" s="1150">
        <v>27.5</v>
      </c>
      <c r="DB42" s="1150">
        <v>15</v>
      </c>
      <c r="DC42" s="1150">
        <v>4</v>
      </c>
      <c r="DD42" s="1150">
        <v>124964.38356164</v>
      </c>
      <c r="DE42" s="1150">
        <v>86.354698157770002</v>
      </c>
      <c r="DF42" s="1150">
        <v>89.808886084080996</v>
      </c>
      <c r="DG42" s="1150">
        <v>0</v>
      </c>
      <c r="DJ42" s="1150">
        <v>89.808886084080996</v>
      </c>
      <c r="DK42" s="1150" t="s">
        <v>8</v>
      </c>
      <c r="DL42" s="1150" t="s">
        <v>2549</v>
      </c>
      <c r="DM42" s="1150" t="s">
        <v>88</v>
      </c>
      <c r="DN42" s="1150">
        <v>240303</v>
      </c>
      <c r="DO42" s="1150" t="s">
        <v>32</v>
      </c>
      <c r="DP42" s="1150">
        <v>181</v>
      </c>
      <c r="DQ42" s="1150">
        <v>6</v>
      </c>
      <c r="DS42" s="1150">
        <v>0.12529999999999999</v>
      </c>
      <c r="DT42" s="1150" t="s">
        <v>2255</v>
      </c>
      <c r="DU42" s="1150">
        <v>0</v>
      </c>
      <c r="DV42" s="1150">
        <v>27.5</v>
      </c>
      <c r="DW42" s="1150">
        <v>15</v>
      </c>
      <c r="DX42" s="1150">
        <v>4</v>
      </c>
      <c r="DY42" s="1150">
        <v>124964.38356164</v>
      </c>
      <c r="DZ42" s="1150">
        <v>215.97292772791999</v>
      </c>
      <c r="EA42" s="1150">
        <v>224.61184483702999</v>
      </c>
      <c r="EB42" s="1150">
        <v>0</v>
      </c>
      <c r="EE42" s="1150">
        <v>224.61184483702999</v>
      </c>
      <c r="EF42" s="1150" t="s">
        <v>9</v>
      </c>
      <c r="EG42" s="1150" t="s">
        <v>2549</v>
      </c>
      <c r="EH42" s="1150" t="s">
        <v>88</v>
      </c>
      <c r="EI42" s="1150">
        <v>240303</v>
      </c>
      <c r="EJ42" s="1150" t="s">
        <v>32</v>
      </c>
      <c r="EK42" s="1150">
        <v>181</v>
      </c>
      <c r="EL42" s="1150">
        <v>6</v>
      </c>
      <c r="EN42" s="1150">
        <v>6.1899999999999997E-2</v>
      </c>
      <c r="EO42" s="1150" t="s">
        <v>2255</v>
      </c>
      <c r="EP42" s="1150">
        <v>0</v>
      </c>
      <c r="EQ42" s="1150">
        <v>27.5</v>
      </c>
      <c r="ER42" s="1150">
        <v>15</v>
      </c>
      <c r="ES42" s="1150">
        <v>4</v>
      </c>
      <c r="ET42" s="1150">
        <v>124964.38356164</v>
      </c>
      <c r="EU42" s="1150">
        <v>106.69372886159999</v>
      </c>
      <c r="EV42" s="1150">
        <v>110.96147801606</v>
      </c>
      <c r="EW42" s="1150">
        <v>0</v>
      </c>
      <c r="EZ42" s="1150">
        <v>110.96147801606</v>
      </c>
      <c r="FA42" s="1150" t="s">
        <v>10</v>
      </c>
      <c r="FB42" s="1150" t="s">
        <v>2549</v>
      </c>
      <c r="FC42" s="1150" t="s">
        <v>88</v>
      </c>
      <c r="FD42" s="1150">
        <v>240303</v>
      </c>
      <c r="FE42" s="1150" t="s">
        <v>32</v>
      </c>
      <c r="FF42" s="1150">
        <v>181</v>
      </c>
      <c r="FG42" s="1150">
        <v>6</v>
      </c>
      <c r="FI42" s="1150">
        <v>0.1489</v>
      </c>
      <c r="FJ42" s="1150" t="s">
        <v>2255</v>
      </c>
      <c r="FK42" s="1150">
        <v>0</v>
      </c>
      <c r="FL42" s="1150">
        <v>27.5</v>
      </c>
      <c r="FM42" s="1150">
        <v>15</v>
      </c>
      <c r="FN42" s="1150">
        <v>4</v>
      </c>
      <c r="FO42" s="1150">
        <v>124964.38356164</v>
      </c>
      <c r="FP42" s="1150">
        <v>256.65098913557</v>
      </c>
      <c r="FQ42" s="1150">
        <v>266.91702870098999</v>
      </c>
      <c r="FR42" s="1150">
        <v>0</v>
      </c>
      <c r="FU42" s="1150">
        <v>266.91702870098999</v>
      </c>
      <c r="FV42" s="1150" t="s">
        <v>40</v>
      </c>
      <c r="FW42" s="1150" t="s">
        <v>2549</v>
      </c>
      <c r="FX42" s="1150" t="s">
        <v>88</v>
      </c>
      <c r="FY42" s="1150">
        <v>240303</v>
      </c>
      <c r="FZ42" s="1150" t="s">
        <v>32</v>
      </c>
      <c r="GA42" s="1150">
        <v>181</v>
      </c>
      <c r="GB42" s="1150">
        <v>6</v>
      </c>
      <c r="GD42" s="1150">
        <v>0.58730000000000004</v>
      </c>
      <c r="GE42" s="1150" t="s">
        <v>2255</v>
      </c>
      <c r="GF42" s="1150">
        <v>0</v>
      </c>
      <c r="GG42" s="1150">
        <v>27.5</v>
      </c>
      <c r="GH42" s="1150">
        <v>15</v>
      </c>
      <c r="GI42" s="1150">
        <v>4</v>
      </c>
      <c r="GJ42" s="1150">
        <v>41654.794520547999</v>
      </c>
      <c r="GK42" s="1150">
        <v>337.43256306094003</v>
      </c>
      <c r="GL42" s="1150">
        <v>350.92986558336997</v>
      </c>
      <c r="GM42" s="1150">
        <v>0</v>
      </c>
      <c r="GP42" s="1150">
        <v>350.92986558336997</v>
      </c>
      <c r="GQ42" s="1150" t="s">
        <v>41</v>
      </c>
      <c r="GR42" s="1150" t="s">
        <v>2549</v>
      </c>
      <c r="GS42" s="1150" t="s">
        <v>88</v>
      </c>
      <c r="GT42" s="1150">
        <v>240303</v>
      </c>
      <c r="GU42" s="1150" t="s">
        <v>32</v>
      </c>
      <c r="GV42" s="1150">
        <v>181</v>
      </c>
      <c r="GW42" s="1150">
        <v>6</v>
      </c>
      <c r="GY42" s="1150">
        <v>0.78269999999999995</v>
      </c>
      <c r="GZ42" s="1150" t="s">
        <v>2255</v>
      </c>
      <c r="HA42" s="1150">
        <v>0</v>
      </c>
      <c r="HB42" s="1150">
        <v>27.5</v>
      </c>
      <c r="HC42" s="1150">
        <v>15</v>
      </c>
      <c r="HD42" s="1150">
        <v>4</v>
      </c>
      <c r="HE42" s="1150">
        <v>41654.794520547999</v>
      </c>
      <c r="HF42" s="1150">
        <v>449.69941615494002</v>
      </c>
      <c r="HG42" s="1150">
        <v>467.68739280112999</v>
      </c>
      <c r="HH42" s="1150">
        <v>0</v>
      </c>
      <c r="HK42" s="1150">
        <v>467.68739280112999</v>
      </c>
    </row>
    <row r="43" spans="1:261">
      <c r="A43" s="1150">
        <v>135199</v>
      </c>
      <c r="B43" s="1150" t="s">
        <v>26</v>
      </c>
      <c r="C43" s="1150" t="s">
        <v>2964</v>
      </c>
      <c r="D43" s="1150" t="s">
        <v>2965</v>
      </c>
      <c r="E43" s="1153">
        <v>29133</v>
      </c>
      <c r="F43" s="1150">
        <v>181</v>
      </c>
      <c r="G43" s="1150">
        <v>6</v>
      </c>
      <c r="I43" s="1150">
        <v>1850.2265872226999</v>
      </c>
      <c r="AZ43" s="1150" t="s">
        <v>3</v>
      </c>
      <c r="BA43" s="1150" t="s">
        <v>4</v>
      </c>
      <c r="BB43" s="1150" t="s">
        <v>2582</v>
      </c>
      <c r="BC43" s="1150" t="s">
        <v>2906</v>
      </c>
      <c r="BD43" s="1150" t="s">
        <v>32</v>
      </c>
      <c r="BE43" s="1150">
        <v>181</v>
      </c>
      <c r="BF43" s="1150">
        <v>6</v>
      </c>
      <c r="BG43" s="1150">
        <v>426.77890000000002</v>
      </c>
      <c r="BI43" s="1150" t="s">
        <v>2254</v>
      </c>
      <c r="BJ43" s="1150">
        <v>10</v>
      </c>
      <c r="BK43" s="1150">
        <v>25</v>
      </c>
      <c r="BL43" s="1150">
        <v>15</v>
      </c>
      <c r="BM43" s="1150">
        <v>4</v>
      </c>
      <c r="BN43" s="1150">
        <v>50000</v>
      </c>
      <c r="BO43" s="1150">
        <v>256.06734</v>
      </c>
      <c r="BP43" s="1150">
        <v>266.3100336</v>
      </c>
      <c r="BQ43" s="1150">
        <v>7.6</v>
      </c>
      <c r="BR43" s="1150" t="s">
        <v>1</v>
      </c>
      <c r="BS43" s="1150">
        <v>6</v>
      </c>
      <c r="BT43" s="1150">
        <v>279.91003360000002</v>
      </c>
      <c r="BU43" s="1150" t="s">
        <v>5</v>
      </c>
      <c r="BV43" s="1150" t="s">
        <v>4</v>
      </c>
      <c r="BW43" s="1150" t="s">
        <v>2582</v>
      </c>
      <c r="BX43" s="1150" t="s">
        <v>2906</v>
      </c>
      <c r="BY43" s="1150" t="s">
        <v>32</v>
      </c>
      <c r="BZ43" s="1150">
        <v>181</v>
      </c>
      <c r="CA43" s="1150">
        <v>6</v>
      </c>
      <c r="CB43" s="1150">
        <v>95.192400000000006</v>
      </c>
      <c r="CD43" s="1150" t="s">
        <v>2254</v>
      </c>
      <c r="CE43" s="1150">
        <v>10</v>
      </c>
      <c r="CF43" s="1150">
        <v>25</v>
      </c>
      <c r="CG43" s="1150">
        <v>15</v>
      </c>
      <c r="CH43" s="1150">
        <v>4</v>
      </c>
      <c r="CI43" s="1150">
        <v>6250</v>
      </c>
      <c r="CJ43" s="1150">
        <v>57.11544</v>
      </c>
      <c r="CK43" s="1150">
        <v>59.400057599999997</v>
      </c>
      <c r="CL43" s="1150">
        <v>0</v>
      </c>
      <c r="CO43" s="1150">
        <v>59.400057599999997</v>
      </c>
      <c r="CP43" s="1150" t="s">
        <v>6</v>
      </c>
      <c r="CQ43" s="1150" t="s">
        <v>2549</v>
      </c>
      <c r="CR43" s="1150" t="s">
        <v>88</v>
      </c>
      <c r="CS43" s="1150">
        <v>240303</v>
      </c>
      <c r="CT43" s="1150" t="s">
        <v>32</v>
      </c>
      <c r="CU43" s="1150">
        <v>181</v>
      </c>
      <c r="CV43" s="1150">
        <v>6</v>
      </c>
      <c r="CX43" s="1150">
        <v>5.0099999999999999E-2</v>
      </c>
      <c r="CY43" s="1150" t="s">
        <v>2255</v>
      </c>
      <c r="CZ43" s="1150">
        <v>0</v>
      </c>
      <c r="DA43" s="1150">
        <v>27.5</v>
      </c>
      <c r="DB43" s="1150">
        <v>15</v>
      </c>
      <c r="DC43" s="1150">
        <v>4</v>
      </c>
      <c r="DD43" s="1150">
        <v>124964.38356164</v>
      </c>
      <c r="DE43" s="1150">
        <v>86.354698157770002</v>
      </c>
      <c r="DF43" s="1150">
        <v>89.808886084080996</v>
      </c>
      <c r="DG43" s="1150">
        <v>0</v>
      </c>
      <c r="DJ43" s="1150">
        <v>89.808886084080996</v>
      </c>
      <c r="DK43" s="1150" t="s">
        <v>8</v>
      </c>
      <c r="DL43" s="1150" t="s">
        <v>2549</v>
      </c>
      <c r="DM43" s="1150" t="s">
        <v>88</v>
      </c>
      <c r="DN43" s="1150">
        <v>240303</v>
      </c>
      <c r="DO43" s="1150" t="s">
        <v>32</v>
      </c>
      <c r="DP43" s="1150">
        <v>181</v>
      </c>
      <c r="DQ43" s="1150">
        <v>6</v>
      </c>
      <c r="DS43" s="1150">
        <v>0.12529999999999999</v>
      </c>
      <c r="DT43" s="1150" t="s">
        <v>2255</v>
      </c>
      <c r="DU43" s="1150">
        <v>0</v>
      </c>
      <c r="DV43" s="1150">
        <v>27.5</v>
      </c>
      <c r="DW43" s="1150">
        <v>15</v>
      </c>
      <c r="DX43" s="1150">
        <v>4</v>
      </c>
      <c r="DY43" s="1150">
        <v>124964.38356164</v>
      </c>
      <c r="DZ43" s="1150">
        <v>215.97292772791999</v>
      </c>
      <c r="EA43" s="1150">
        <v>224.61184483702999</v>
      </c>
      <c r="EB43" s="1150">
        <v>0</v>
      </c>
      <c r="EE43" s="1150">
        <v>224.61184483702999</v>
      </c>
      <c r="EF43" s="1150" t="s">
        <v>9</v>
      </c>
      <c r="EG43" s="1150" t="s">
        <v>2549</v>
      </c>
      <c r="EH43" s="1150" t="s">
        <v>88</v>
      </c>
      <c r="EI43" s="1150">
        <v>240303</v>
      </c>
      <c r="EJ43" s="1150" t="s">
        <v>32</v>
      </c>
      <c r="EK43" s="1150">
        <v>181</v>
      </c>
      <c r="EL43" s="1150">
        <v>6</v>
      </c>
      <c r="EN43" s="1150">
        <v>6.1899999999999997E-2</v>
      </c>
      <c r="EO43" s="1150" t="s">
        <v>2255</v>
      </c>
      <c r="EP43" s="1150">
        <v>0</v>
      </c>
      <c r="EQ43" s="1150">
        <v>27.5</v>
      </c>
      <c r="ER43" s="1150">
        <v>15</v>
      </c>
      <c r="ES43" s="1150">
        <v>4</v>
      </c>
      <c r="ET43" s="1150">
        <v>124964.38356164</v>
      </c>
      <c r="EU43" s="1150">
        <v>106.69372886159999</v>
      </c>
      <c r="EV43" s="1150">
        <v>110.96147801606</v>
      </c>
      <c r="EW43" s="1150">
        <v>0</v>
      </c>
      <c r="EZ43" s="1150">
        <v>110.96147801606</v>
      </c>
      <c r="FA43" s="1150" t="s">
        <v>10</v>
      </c>
      <c r="FB43" s="1150" t="s">
        <v>2549</v>
      </c>
      <c r="FC43" s="1150" t="s">
        <v>88</v>
      </c>
      <c r="FD43" s="1150">
        <v>240303</v>
      </c>
      <c r="FE43" s="1150" t="s">
        <v>32</v>
      </c>
      <c r="FF43" s="1150">
        <v>181</v>
      </c>
      <c r="FG43" s="1150">
        <v>6</v>
      </c>
      <c r="FI43" s="1150">
        <v>0.1489</v>
      </c>
      <c r="FJ43" s="1150" t="s">
        <v>2255</v>
      </c>
      <c r="FK43" s="1150">
        <v>0</v>
      </c>
      <c r="FL43" s="1150">
        <v>27.5</v>
      </c>
      <c r="FM43" s="1150">
        <v>15</v>
      </c>
      <c r="FN43" s="1150">
        <v>4</v>
      </c>
      <c r="FO43" s="1150">
        <v>124964.38356164</v>
      </c>
      <c r="FP43" s="1150">
        <v>256.65098913557</v>
      </c>
      <c r="FQ43" s="1150">
        <v>266.91702870098999</v>
      </c>
      <c r="FR43" s="1150">
        <v>0</v>
      </c>
      <c r="FU43" s="1150">
        <v>266.91702870098999</v>
      </c>
      <c r="FV43" s="1150" t="s">
        <v>40</v>
      </c>
      <c r="FW43" s="1150" t="s">
        <v>2549</v>
      </c>
      <c r="FX43" s="1150" t="s">
        <v>88</v>
      </c>
      <c r="FY43" s="1150">
        <v>240303</v>
      </c>
      <c r="FZ43" s="1150" t="s">
        <v>32</v>
      </c>
      <c r="GA43" s="1150">
        <v>181</v>
      </c>
      <c r="GB43" s="1150">
        <v>6</v>
      </c>
      <c r="GD43" s="1150">
        <v>0.58730000000000004</v>
      </c>
      <c r="GE43" s="1150" t="s">
        <v>2255</v>
      </c>
      <c r="GF43" s="1150">
        <v>0</v>
      </c>
      <c r="GG43" s="1150">
        <v>27.5</v>
      </c>
      <c r="GH43" s="1150">
        <v>15</v>
      </c>
      <c r="GI43" s="1150">
        <v>4</v>
      </c>
      <c r="GJ43" s="1150">
        <v>41654.794520547999</v>
      </c>
      <c r="GK43" s="1150">
        <v>337.43256306094003</v>
      </c>
      <c r="GL43" s="1150">
        <v>350.92986558336997</v>
      </c>
      <c r="GM43" s="1150">
        <v>0</v>
      </c>
      <c r="GP43" s="1150">
        <v>350.92986558336997</v>
      </c>
      <c r="GQ43" s="1150" t="s">
        <v>41</v>
      </c>
      <c r="GR43" s="1150" t="s">
        <v>2549</v>
      </c>
      <c r="GS43" s="1150" t="s">
        <v>88</v>
      </c>
      <c r="GT43" s="1150">
        <v>240303</v>
      </c>
      <c r="GU43" s="1150" t="s">
        <v>32</v>
      </c>
      <c r="GV43" s="1150">
        <v>181</v>
      </c>
      <c r="GW43" s="1150">
        <v>6</v>
      </c>
      <c r="GY43" s="1150">
        <v>0.78269999999999995</v>
      </c>
      <c r="GZ43" s="1150" t="s">
        <v>2255</v>
      </c>
      <c r="HA43" s="1150">
        <v>0</v>
      </c>
      <c r="HB43" s="1150">
        <v>27.5</v>
      </c>
      <c r="HC43" s="1150">
        <v>15</v>
      </c>
      <c r="HD43" s="1150">
        <v>4</v>
      </c>
      <c r="HE43" s="1150">
        <v>41654.794520547999</v>
      </c>
      <c r="HF43" s="1150">
        <v>449.69941615494002</v>
      </c>
      <c r="HG43" s="1150">
        <v>467.68739280112999</v>
      </c>
      <c r="HH43" s="1150">
        <v>0</v>
      </c>
      <c r="HK43" s="1150">
        <v>467.68739280112999</v>
      </c>
    </row>
    <row r="44" spans="1:261">
      <c r="A44" s="1150">
        <v>135200</v>
      </c>
      <c r="B44" s="1150" t="s">
        <v>26</v>
      </c>
      <c r="C44" s="1150" t="s">
        <v>2961</v>
      </c>
      <c r="D44" s="1150" t="s">
        <v>776</v>
      </c>
      <c r="E44" s="1153">
        <v>33165</v>
      </c>
      <c r="F44" s="1150">
        <v>181</v>
      </c>
      <c r="G44" s="1150">
        <v>6</v>
      </c>
      <c r="I44" s="1150">
        <v>1094.7683392112999</v>
      </c>
      <c r="AZ44" s="1150" t="s">
        <v>3</v>
      </c>
      <c r="BA44" s="1150" t="s">
        <v>4</v>
      </c>
      <c r="BB44" s="1150" t="s">
        <v>2582</v>
      </c>
      <c r="BC44" s="1150" t="s">
        <v>2906</v>
      </c>
      <c r="BD44" s="1150" t="s">
        <v>32</v>
      </c>
      <c r="BE44" s="1150">
        <v>181</v>
      </c>
      <c r="BF44" s="1150">
        <v>6</v>
      </c>
      <c r="BG44" s="1150">
        <v>426.77890000000002</v>
      </c>
      <c r="BI44" s="1150" t="s">
        <v>2254</v>
      </c>
      <c r="BJ44" s="1150">
        <v>10</v>
      </c>
      <c r="BK44" s="1150">
        <v>25</v>
      </c>
      <c r="BL44" s="1150">
        <v>15</v>
      </c>
      <c r="BM44" s="1150">
        <v>4</v>
      </c>
      <c r="BN44" s="1150">
        <v>50000</v>
      </c>
      <c r="BO44" s="1150">
        <v>256.06734</v>
      </c>
      <c r="BP44" s="1150">
        <v>266.3100336</v>
      </c>
      <c r="BQ44" s="1150">
        <v>7.6</v>
      </c>
      <c r="BR44" s="1150" t="s">
        <v>1</v>
      </c>
      <c r="BS44" s="1150">
        <v>6</v>
      </c>
      <c r="BT44" s="1150">
        <v>279.91003360000002</v>
      </c>
      <c r="BU44" s="1150" t="s">
        <v>5</v>
      </c>
      <c r="BV44" s="1150" t="s">
        <v>4</v>
      </c>
      <c r="BW44" s="1150" t="s">
        <v>2582</v>
      </c>
      <c r="BX44" s="1150" t="s">
        <v>2906</v>
      </c>
      <c r="BY44" s="1150" t="s">
        <v>32</v>
      </c>
      <c r="BZ44" s="1150">
        <v>181</v>
      </c>
      <c r="CA44" s="1150">
        <v>6</v>
      </c>
      <c r="CB44" s="1150">
        <v>95.192400000000006</v>
      </c>
      <c r="CD44" s="1150" t="s">
        <v>2254</v>
      </c>
      <c r="CE44" s="1150">
        <v>10</v>
      </c>
      <c r="CF44" s="1150">
        <v>25</v>
      </c>
      <c r="CG44" s="1150">
        <v>15</v>
      </c>
      <c r="CH44" s="1150">
        <v>4</v>
      </c>
      <c r="CI44" s="1150">
        <v>6250</v>
      </c>
      <c r="CJ44" s="1150">
        <v>57.11544</v>
      </c>
      <c r="CK44" s="1150">
        <v>59.400057599999997</v>
      </c>
      <c r="CL44" s="1150">
        <v>0</v>
      </c>
      <c r="CO44" s="1150">
        <v>59.400057599999997</v>
      </c>
      <c r="CP44" s="1150" t="s">
        <v>6</v>
      </c>
      <c r="CQ44" s="1150" t="s">
        <v>2549</v>
      </c>
      <c r="CR44" s="1150" t="s">
        <v>88</v>
      </c>
      <c r="CS44" s="1150">
        <v>240303</v>
      </c>
      <c r="CT44" s="1150" t="s">
        <v>32</v>
      </c>
      <c r="CU44" s="1150">
        <v>181</v>
      </c>
      <c r="CV44" s="1150">
        <v>6</v>
      </c>
      <c r="CX44" s="1150">
        <v>5.0099999999999999E-2</v>
      </c>
      <c r="CY44" s="1150" t="s">
        <v>2255</v>
      </c>
      <c r="CZ44" s="1150">
        <v>0</v>
      </c>
      <c r="DA44" s="1150">
        <v>27.5</v>
      </c>
      <c r="DB44" s="1150">
        <v>15</v>
      </c>
      <c r="DC44" s="1150">
        <v>4</v>
      </c>
      <c r="DD44" s="1150">
        <v>62482.191780822002</v>
      </c>
      <c r="DE44" s="1150">
        <v>43.177349078885001</v>
      </c>
      <c r="DF44" s="1150">
        <v>44.904443042041002</v>
      </c>
      <c r="DG44" s="1150">
        <v>0</v>
      </c>
      <c r="DJ44" s="1150">
        <v>44.904443042041002</v>
      </c>
      <c r="DK44" s="1150" t="s">
        <v>8</v>
      </c>
      <c r="DL44" s="1150" t="s">
        <v>2549</v>
      </c>
      <c r="DM44" s="1150" t="s">
        <v>88</v>
      </c>
      <c r="DN44" s="1150">
        <v>240303</v>
      </c>
      <c r="DO44" s="1150" t="s">
        <v>32</v>
      </c>
      <c r="DP44" s="1150">
        <v>181</v>
      </c>
      <c r="DQ44" s="1150">
        <v>6</v>
      </c>
      <c r="DS44" s="1150">
        <v>0.12529999999999999</v>
      </c>
      <c r="DT44" s="1150" t="s">
        <v>2255</v>
      </c>
      <c r="DU44" s="1150">
        <v>0</v>
      </c>
      <c r="DV44" s="1150">
        <v>27.5</v>
      </c>
      <c r="DW44" s="1150">
        <v>15</v>
      </c>
      <c r="DX44" s="1150">
        <v>4</v>
      </c>
      <c r="DY44" s="1150">
        <v>62482.191780822002</v>
      </c>
      <c r="DZ44" s="1150">
        <v>107.98646386396</v>
      </c>
      <c r="EA44" s="1150">
        <v>112.30592241852</v>
      </c>
      <c r="EB44" s="1150">
        <v>0</v>
      </c>
      <c r="EE44" s="1150">
        <v>112.30592241852</v>
      </c>
      <c r="EF44" s="1150" t="s">
        <v>9</v>
      </c>
      <c r="EG44" s="1150" t="s">
        <v>2549</v>
      </c>
      <c r="EH44" s="1150" t="s">
        <v>88</v>
      </c>
      <c r="EI44" s="1150">
        <v>240303</v>
      </c>
      <c r="EJ44" s="1150" t="s">
        <v>32</v>
      </c>
      <c r="EK44" s="1150">
        <v>181</v>
      </c>
      <c r="EL44" s="1150">
        <v>6</v>
      </c>
      <c r="EN44" s="1150">
        <v>6.1899999999999997E-2</v>
      </c>
      <c r="EO44" s="1150" t="s">
        <v>2255</v>
      </c>
      <c r="EP44" s="1150">
        <v>0</v>
      </c>
      <c r="EQ44" s="1150">
        <v>27.5</v>
      </c>
      <c r="ER44" s="1150">
        <v>15</v>
      </c>
      <c r="ES44" s="1150">
        <v>4</v>
      </c>
      <c r="ET44" s="1150">
        <v>62482.191780822002</v>
      </c>
      <c r="EU44" s="1150">
        <v>53.346864430798</v>
      </c>
      <c r="EV44" s="1150">
        <v>55.48073900803</v>
      </c>
      <c r="EW44" s="1150">
        <v>0</v>
      </c>
      <c r="EZ44" s="1150">
        <v>55.48073900803</v>
      </c>
      <c r="FA44" s="1150" t="s">
        <v>10</v>
      </c>
      <c r="FB44" s="1150" t="s">
        <v>2549</v>
      </c>
      <c r="FC44" s="1150" t="s">
        <v>88</v>
      </c>
      <c r="FD44" s="1150">
        <v>240303</v>
      </c>
      <c r="FE44" s="1150" t="s">
        <v>32</v>
      </c>
      <c r="FF44" s="1150">
        <v>181</v>
      </c>
      <c r="FG44" s="1150">
        <v>6</v>
      </c>
      <c r="FI44" s="1150">
        <v>0.1489</v>
      </c>
      <c r="FJ44" s="1150" t="s">
        <v>2255</v>
      </c>
      <c r="FK44" s="1150">
        <v>0</v>
      </c>
      <c r="FL44" s="1150">
        <v>27.5</v>
      </c>
      <c r="FM44" s="1150">
        <v>15</v>
      </c>
      <c r="FN44" s="1150">
        <v>4</v>
      </c>
      <c r="FO44" s="1150">
        <v>62482.191780822002</v>
      </c>
      <c r="FP44" s="1150">
        <v>128.32549456778</v>
      </c>
      <c r="FQ44" s="1150">
        <v>133.4585143505</v>
      </c>
      <c r="FR44" s="1150">
        <v>0</v>
      </c>
      <c r="FU44" s="1150">
        <v>133.4585143505</v>
      </c>
      <c r="FV44" s="1150" t="s">
        <v>40</v>
      </c>
      <c r="FW44" s="1150" t="s">
        <v>2549</v>
      </c>
      <c r="FX44" s="1150" t="s">
        <v>88</v>
      </c>
      <c r="FY44" s="1150">
        <v>240303</v>
      </c>
      <c r="FZ44" s="1150" t="s">
        <v>32</v>
      </c>
      <c r="GA44" s="1150">
        <v>181</v>
      </c>
      <c r="GB44" s="1150">
        <v>6</v>
      </c>
      <c r="GD44" s="1150">
        <v>0.58730000000000004</v>
      </c>
      <c r="GE44" s="1150" t="s">
        <v>2255</v>
      </c>
      <c r="GF44" s="1150">
        <v>0</v>
      </c>
      <c r="GG44" s="1150">
        <v>27.5</v>
      </c>
      <c r="GH44" s="1150">
        <v>15</v>
      </c>
      <c r="GI44" s="1150">
        <v>4</v>
      </c>
      <c r="GJ44" s="1150">
        <v>20827.397260274</v>
      </c>
      <c r="GK44" s="1150">
        <v>168.71628153047001</v>
      </c>
      <c r="GL44" s="1150">
        <v>175.46493279168999</v>
      </c>
      <c r="GM44" s="1150">
        <v>0</v>
      </c>
      <c r="GP44" s="1150">
        <v>175.46493279168999</v>
      </c>
      <c r="GQ44" s="1150" t="s">
        <v>41</v>
      </c>
      <c r="GR44" s="1150" t="s">
        <v>2549</v>
      </c>
      <c r="GS44" s="1150" t="s">
        <v>88</v>
      </c>
      <c r="GT44" s="1150">
        <v>240303</v>
      </c>
      <c r="GU44" s="1150" t="s">
        <v>32</v>
      </c>
      <c r="GV44" s="1150">
        <v>181</v>
      </c>
      <c r="GW44" s="1150">
        <v>6</v>
      </c>
      <c r="GY44" s="1150">
        <v>0.78269999999999995</v>
      </c>
      <c r="GZ44" s="1150" t="s">
        <v>2255</v>
      </c>
      <c r="HA44" s="1150">
        <v>0</v>
      </c>
      <c r="HB44" s="1150">
        <v>27.5</v>
      </c>
      <c r="HC44" s="1150">
        <v>15</v>
      </c>
      <c r="HD44" s="1150">
        <v>4</v>
      </c>
      <c r="HE44" s="1150">
        <v>20827.397260274</v>
      </c>
      <c r="HF44" s="1150">
        <v>224.84970807747001</v>
      </c>
      <c r="HG44" s="1150">
        <v>233.84369640057</v>
      </c>
      <c r="HH44" s="1150">
        <v>0</v>
      </c>
      <c r="HK44" s="1150">
        <v>233.84369640057</v>
      </c>
    </row>
    <row r="45" spans="1:261">
      <c r="A45" s="1150">
        <v>135201</v>
      </c>
      <c r="B45" s="1150" t="s">
        <v>26</v>
      </c>
      <c r="C45" s="1150" t="s">
        <v>2972</v>
      </c>
      <c r="D45" s="1150" t="s">
        <v>2973</v>
      </c>
      <c r="E45" s="1153">
        <v>29363</v>
      </c>
      <c r="F45" s="1150">
        <v>181</v>
      </c>
      <c r="G45" s="1150">
        <v>6</v>
      </c>
      <c r="I45" s="1150">
        <v>986.84573235257005</v>
      </c>
      <c r="AZ45" s="1150" t="s">
        <v>3</v>
      </c>
      <c r="BA45" s="1150" t="s">
        <v>4</v>
      </c>
      <c r="BB45" s="1150" t="s">
        <v>2582</v>
      </c>
      <c r="BC45" s="1150" t="s">
        <v>2906</v>
      </c>
      <c r="BD45" s="1150" t="s">
        <v>32</v>
      </c>
      <c r="BE45" s="1150">
        <v>181</v>
      </c>
      <c r="BF45" s="1150">
        <v>6</v>
      </c>
      <c r="BG45" s="1150">
        <v>426.77890000000002</v>
      </c>
      <c r="BI45" s="1150" t="s">
        <v>2254</v>
      </c>
      <c r="BJ45" s="1150">
        <v>10</v>
      </c>
      <c r="BK45" s="1150">
        <v>25</v>
      </c>
      <c r="BL45" s="1150">
        <v>15</v>
      </c>
      <c r="BM45" s="1150">
        <v>4</v>
      </c>
      <c r="BN45" s="1150">
        <v>50000</v>
      </c>
      <c r="BO45" s="1150">
        <v>256.06734</v>
      </c>
      <c r="BP45" s="1150">
        <v>266.3100336</v>
      </c>
      <c r="BQ45" s="1150">
        <v>7.6</v>
      </c>
      <c r="BR45" s="1150" t="s">
        <v>1</v>
      </c>
      <c r="BS45" s="1150">
        <v>6</v>
      </c>
      <c r="BT45" s="1150">
        <v>279.91003360000002</v>
      </c>
      <c r="BU45" s="1150" t="s">
        <v>5</v>
      </c>
      <c r="BV45" s="1150" t="s">
        <v>4</v>
      </c>
      <c r="BW45" s="1150" t="s">
        <v>2582</v>
      </c>
      <c r="BX45" s="1150" t="s">
        <v>2906</v>
      </c>
      <c r="BY45" s="1150" t="s">
        <v>32</v>
      </c>
      <c r="BZ45" s="1150">
        <v>181</v>
      </c>
      <c r="CA45" s="1150">
        <v>6</v>
      </c>
      <c r="CB45" s="1150">
        <v>95.192400000000006</v>
      </c>
      <c r="CD45" s="1150" t="s">
        <v>2254</v>
      </c>
      <c r="CE45" s="1150">
        <v>10</v>
      </c>
      <c r="CF45" s="1150">
        <v>25</v>
      </c>
      <c r="CG45" s="1150">
        <v>15</v>
      </c>
      <c r="CH45" s="1150">
        <v>4</v>
      </c>
      <c r="CI45" s="1150">
        <v>6250</v>
      </c>
      <c r="CJ45" s="1150">
        <v>57.11544</v>
      </c>
      <c r="CK45" s="1150">
        <v>59.400057599999997</v>
      </c>
      <c r="CL45" s="1150">
        <v>0</v>
      </c>
      <c r="CO45" s="1150">
        <v>59.400057599999997</v>
      </c>
      <c r="CP45" s="1150" t="s">
        <v>6</v>
      </c>
      <c r="CQ45" s="1150" t="s">
        <v>2549</v>
      </c>
      <c r="CR45" s="1150" t="s">
        <v>88</v>
      </c>
      <c r="CS45" s="1150">
        <v>240303</v>
      </c>
      <c r="CT45" s="1150" t="s">
        <v>32</v>
      </c>
      <c r="CU45" s="1150">
        <v>181</v>
      </c>
      <c r="CV45" s="1150">
        <v>6</v>
      </c>
      <c r="CX45" s="1150">
        <v>5.0099999999999999E-2</v>
      </c>
      <c r="CY45" s="1150" t="s">
        <v>2255</v>
      </c>
      <c r="CZ45" s="1150">
        <v>0</v>
      </c>
      <c r="DA45" s="1150">
        <v>27.5</v>
      </c>
      <c r="DB45" s="1150">
        <v>15</v>
      </c>
      <c r="DC45" s="1150">
        <v>4</v>
      </c>
      <c r="DD45" s="1150">
        <v>53556.164383561998</v>
      </c>
      <c r="DE45" s="1150">
        <v>37.009156353329999</v>
      </c>
      <c r="DF45" s="1150">
        <v>38.489522607463002</v>
      </c>
      <c r="DG45" s="1150">
        <v>0</v>
      </c>
      <c r="DJ45" s="1150">
        <v>38.489522607463002</v>
      </c>
      <c r="DK45" s="1150" t="s">
        <v>8</v>
      </c>
      <c r="DL45" s="1150" t="s">
        <v>2549</v>
      </c>
      <c r="DM45" s="1150" t="s">
        <v>88</v>
      </c>
      <c r="DN45" s="1150">
        <v>240303</v>
      </c>
      <c r="DO45" s="1150" t="s">
        <v>32</v>
      </c>
      <c r="DP45" s="1150">
        <v>181</v>
      </c>
      <c r="DQ45" s="1150">
        <v>6</v>
      </c>
      <c r="DS45" s="1150">
        <v>0.12529999999999999</v>
      </c>
      <c r="DT45" s="1150" t="s">
        <v>2255</v>
      </c>
      <c r="DU45" s="1150">
        <v>0</v>
      </c>
      <c r="DV45" s="1150">
        <v>27.5</v>
      </c>
      <c r="DW45" s="1150">
        <v>15</v>
      </c>
      <c r="DX45" s="1150">
        <v>4</v>
      </c>
      <c r="DY45" s="1150">
        <v>53556.164383561998</v>
      </c>
      <c r="DZ45" s="1150">
        <v>92.559826169106998</v>
      </c>
      <c r="EA45" s="1150">
        <v>96.262219215871994</v>
      </c>
      <c r="EB45" s="1150">
        <v>0</v>
      </c>
      <c r="EE45" s="1150">
        <v>96.262219215871994</v>
      </c>
      <c r="EF45" s="1150" t="s">
        <v>9</v>
      </c>
      <c r="EG45" s="1150" t="s">
        <v>2549</v>
      </c>
      <c r="EH45" s="1150" t="s">
        <v>88</v>
      </c>
      <c r="EI45" s="1150">
        <v>240303</v>
      </c>
      <c r="EJ45" s="1150" t="s">
        <v>32</v>
      </c>
      <c r="EK45" s="1150">
        <v>181</v>
      </c>
      <c r="EL45" s="1150">
        <v>6</v>
      </c>
      <c r="EN45" s="1150">
        <v>6.1899999999999997E-2</v>
      </c>
      <c r="EO45" s="1150" t="s">
        <v>2255</v>
      </c>
      <c r="EP45" s="1150">
        <v>0</v>
      </c>
      <c r="EQ45" s="1150">
        <v>27.5</v>
      </c>
      <c r="ER45" s="1150">
        <v>15</v>
      </c>
      <c r="ES45" s="1150">
        <v>4</v>
      </c>
      <c r="ET45" s="1150">
        <v>53556.164383561998</v>
      </c>
      <c r="EU45" s="1150">
        <v>45.725883797827002</v>
      </c>
      <c r="EV45" s="1150">
        <v>47.554919149740002</v>
      </c>
      <c r="EW45" s="1150">
        <v>0</v>
      </c>
      <c r="EZ45" s="1150">
        <v>47.554919149740002</v>
      </c>
      <c r="FA45" s="1150" t="s">
        <v>10</v>
      </c>
      <c r="FB45" s="1150" t="s">
        <v>2549</v>
      </c>
      <c r="FC45" s="1150" t="s">
        <v>88</v>
      </c>
      <c r="FD45" s="1150">
        <v>240303</v>
      </c>
      <c r="FE45" s="1150" t="s">
        <v>32</v>
      </c>
      <c r="FF45" s="1150">
        <v>181</v>
      </c>
      <c r="FG45" s="1150">
        <v>6</v>
      </c>
      <c r="FI45" s="1150">
        <v>0.1489</v>
      </c>
      <c r="FJ45" s="1150" t="s">
        <v>2255</v>
      </c>
      <c r="FK45" s="1150">
        <v>0</v>
      </c>
      <c r="FL45" s="1150">
        <v>27.5</v>
      </c>
      <c r="FM45" s="1150">
        <v>15</v>
      </c>
      <c r="FN45" s="1150">
        <v>4</v>
      </c>
      <c r="FO45" s="1150">
        <v>53556.164383561998</v>
      </c>
      <c r="FP45" s="1150">
        <v>109.9932810581</v>
      </c>
      <c r="FQ45" s="1150">
        <v>114.39301230043</v>
      </c>
      <c r="FR45" s="1150">
        <v>0</v>
      </c>
      <c r="FU45" s="1150">
        <v>114.39301230043</v>
      </c>
      <c r="FV45" s="1150" t="s">
        <v>40</v>
      </c>
      <c r="FW45" s="1150" t="s">
        <v>2549</v>
      </c>
      <c r="FX45" s="1150" t="s">
        <v>88</v>
      </c>
      <c r="FY45" s="1150">
        <v>240303</v>
      </c>
      <c r="FZ45" s="1150" t="s">
        <v>32</v>
      </c>
      <c r="GA45" s="1150">
        <v>181</v>
      </c>
      <c r="GB45" s="1150">
        <v>6</v>
      </c>
      <c r="GD45" s="1150">
        <v>0.58730000000000004</v>
      </c>
      <c r="GE45" s="1150" t="s">
        <v>2255</v>
      </c>
      <c r="GF45" s="1150">
        <v>0</v>
      </c>
      <c r="GG45" s="1150">
        <v>27.5</v>
      </c>
      <c r="GH45" s="1150">
        <v>15</v>
      </c>
      <c r="GI45" s="1150">
        <v>4</v>
      </c>
      <c r="GJ45" s="1150">
        <v>17852.054794520998</v>
      </c>
      <c r="GK45" s="1150">
        <v>144.61395559754001</v>
      </c>
      <c r="GL45" s="1150">
        <v>150.39851382145</v>
      </c>
      <c r="GM45" s="1150">
        <v>0</v>
      </c>
      <c r="GP45" s="1150">
        <v>150.39851382145</v>
      </c>
      <c r="GQ45" s="1150" t="s">
        <v>41</v>
      </c>
      <c r="GR45" s="1150" t="s">
        <v>2549</v>
      </c>
      <c r="GS45" s="1150" t="s">
        <v>88</v>
      </c>
      <c r="GT45" s="1150">
        <v>240303</v>
      </c>
      <c r="GU45" s="1150" t="s">
        <v>32</v>
      </c>
      <c r="GV45" s="1150">
        <v>181</v>
      </c>
      <c r="GW45" s="1150">
        <v>6</v>
      </c>
      <c r="GY45" s="1150">
        <v>0.78269999999999995</v>
      </c>
      <c r="GZ45" s="1150" t="s">
        <v>2255</v>
      </c>
      <c r="HA45" s="1150">
        <v>0</v>
      </c>
      <c r="HB45" s="1150">
        <v>27.5</v>
      </c>
      <c r="HC45" s="1150">
        <v>15</v>
      </c>
      <c r="HD45" s="1150">
        <v>4</v>
      </c>
      <c r="HE45" s="1150">
        <v>17852.054794520998</v>
      </c>
      <c r="HF45" s="1150">
        <v>192.72832120926</v>
      </c>
      <c r="HG45" s="1150">
        <v>200.43745405762999</v>
      </c>
      <c r="HH45" s="1150">
        <v>0</v>
      </c>
      <c r="HK45" s="1150">
        <v>200.43745405762999</v>
      </c>
    </row>
    <row r="46" spans="1:261">
      <c r="A46" s="1150">
        <v>135202</v>
      </c>
      <c r="B46" s="1150" t="s">
        <v>26</v>
      </c>
      <c r="C46" s="1150" t="s">
        <v>2928</v>
      </c>
      <c r="D46" s="1150" t="s">
        <v>2929</v>
      </c>
      <c r="E46" s="1153">
        <v>29104</v>
      </c>
      <c r="F46" s="1150">
        <v>181</v>
      </c>
      <c r="G46" s="1150">
        <v>6</v>
      </c>
      <c r="I46" s="1150">
        <v>1202.6909460700999</v>
      </c>
      <c r="AZ46" s="1150" t="s">
        <v>3</v>
      </c>
      <c r="BA46" s="1150" t="s">
        <v>4</v>
      </c>
      <c r="BB46" s="1150" t="s">
        <v>2582</v>
      </c>
      <c r="BC46" s="1150" t="s">
        <v>2906</v>
      </c>
      <c r="BD46" s="1150" t="s">
        <v>32</v>
      </c>
      <c r="BE46" s="1150">
        <v>181</v>
      </c>
      <c r="BF46" s="1150">
        <v>6</v>
      </c>
      <c r="BG46" s="1150">
        <v>426.77890000000002</v>
      </c>
      <c r="BI46" s="1150" t="s">
        <v>2254</v>
      </c>
      <c r="BJ46" s="1150">
        <v>10</v>
      </c>
      <c r="BK46" s="1150">
        <v>25</v>
      </c>
      <c r="BL46" s="1150">
        <v>15</v>
      </c>
      <c r="BM46" s="1150">
        <v>4</v>
      </c>
      <c r="BN46" s="1150">
        <v>50000</v>
      </c>
      <c r="BO46" s="1150">
        <v>256.06734</v>
      </c>
      <c r="BP46" s="1150">
        <v>266.3100336</v>
      </c>
      <c r="BQ46" s="1150">
        <v>7.6</v>
      </c>
      <c r="BR46" s="1150" t="s">
        <v>1</v>
      </c>
      <c r="BS46" s="1150">
        <v>6</v>
      </c>
      <c r="BT46" s="1150">
        <v>279.91003360000002</v>
      </c>
      <c r="BU46" s="1150" t="s">
        <v>5</v>
      </c>
      <c r="BV46" s="1150" t="s">
        <v>4</v>
      </c>
      <c r="BW46" s="1150" t="s">
        <v>2582</v>
      </c>
      <c r="BX46" s="1150" t="s">
        <v>2906</v>
      </c>
      <c r="BY46" s="1150" t="s">
        <v>32</v>
      </c>
      <c r="BZ46" s="1150">
        <v>181</v>
      </c>
      <c r="CA46" s="1150">
        <v>6</v>
      </c>
      <c r="CB46" s="1150">
        <v>95.192400000000006</v>
      </c>
      <c r="CD46" s="1150" t="s">
        <v>2254</v>
      </c>
      <c r="CE46" s="1150">
        <v>10</v>
      </c>
      <c r="CF46" s="1150">
        <v>25</v>
      </c>
      <c r="CG46" s="1150">
        <v>15</v>
      </c>
      <c r="CH46" s="1150">
        <v>4</v>
      </c>
      <c r="CI46" s="1150">
        <v>6250</v>
      </c>
      <c r="CJ46" s="1150">
        <v>57.11544</v>
      </c>
      <c r="CK46" s="1150">
        <v>59.400057599999997</v>
      </c>
      <c r="CL46" s="1150">
        <v>0</v>
      </c>
      <c r="CO46" s="1150">
        <v>59.400057599999997</v>
      </c>
      <c r="CP46" s="1150" t="s">
        <v>6</v>
      </c>
      <c r="CQ46" s="1150" t="s">
        <v>2549</v>
      </c>
      <c r="CR46" s="1150" t="s">
        <v>88</v>
      </c>
      <c r="CS46" s="1150">
        <v>240303</v>
      </c>
      <c r="CT46" s="1150" t="s">
        <v>32</v>
      </c>
      <c r="CU46" s="1150">
        <v>181</v>
      </c>
      <c r="CV46" s="1150">
        <v>6</v>
      </c>
      <c r="CX46" s="1150">
        <v>5.0099999999999999E-2</v>
      </c>
      <c r="CY46" s="1150" t="s">
        <v>2255</v>
      </c>
      <c r="CZ46" s="1150">
        <v>0</v>
      </c>
      <c r="DA46" s="1150">
        <v>27.5</v>
      </c>
      <c r="DB46" s="1150">
        <v>15</v>
      </c>
      <c r="DC46" s="1150">
        <v>4</v>
      </c>
      <c r="DD46" s="1150">
        <v>71408.219178081999</v>
      </c>
      <c r="DE46" s="1150">
        <v>49.345541804440003</v>
      </c>
      <c r="DF46" s="1150">
        <v>51.319363476618001</v>
      </c>
      <c r="DG46" s="1150">
        <v>0</v>
      </c>
      <c r="DJ46" s="1150">
        <v>51.319363476618001</v>
      </c>
      <c r="DK46" s="1150" t="s">
        <v>8</v>
      </c>
      <c r="DL46" s="1150" t="s">
        <v>2549</v>
      </c>
      <c r="DM46" s="1150" t="s">
        <v>88</v>
      </c>
      <c r="DN46" s="1150">
        <v>240303</v>
      </c>
      <c r="DO46" s="1150" t="s">
        <v>32</v>
      </c>
      <c r="DP46" s="1150">
        <v>181</v>
      </c>
      <c r="DQ46" s="1150">
        <v>6</v>
      </c>
      <c r="DS46" s="1150">
        <v>0.12529999999999999</v>
      </c>
      <c r="DT46" s="1150" t="s">
        <v>2255</v>
      </c>
      <c r="DU46" s="1150">
        <v>0</v>
      </c>
      <c r="DV46" s="1150">
        <v>27.5</v>
      </c>
      <c r="DW46" s="1150">
        <v>15</v>
      </c>
      <c r="DX46" s="1150">
        <v>4</v>
      </c>
      <c r="DY46" s="1150">
        <v>71408.219178081999</v>
      </c>
      <c r="DZ46" s="1150">
        <v>123.41310155881</v>
      </c>
      <c r="EA46" s="1150">
        <v>128.34962562115999</v>
      </c>
      <c r="EB46" s="1150">
        <v>0</v>
      </c>
      <c r="EE46" s="1150">
        <v>128.34962562115999</v>
      </c>
      <c r="EF46" s="1150" t="s">
        <v>9</v>
      </c>
      <c r="EG46" s="1150" t="s">
        <v>2549</v>
      </c>
      <c r="EH46" s="1150" t="s">
        <v>88</v>
      </c>
      <c r="EI46" s="1150">
        <v>240303</v>
      </c>
      <c r="EJ46" s="1150" t="s">
        <v>32</v>
      </c>
      <c r="EK46" s="1150">
        <v>181</v>
      </c>
      <c r="EL46" s="1150">
        <v>6</v>
      </c>
      <c r="EN46" s="1150">
        <v>6.1899999999999997E-2</v>
      </c>
      <c r="EO46" s="1150" t="s">
        <v>2255</v>
      </c>
      <c r="EP46" s="1150">
        <v>0</v>
      </c>
      <c r="EQ46" s="1150">
        <v>27.5</v>
      </c>
      <c r="ER46" s="1150">
        <v>15</v>
      </c>
      <c r="ES46" s="1150">
        <v>4</v>
      </c>
      <c r="ET46" s="1150">
        <v>71408.219178081999</v>
      </c>
      <c r="EU46" s="1150">
        <v>60.967845063768998</v>
      </c>
      <c r="EV46" s="1150">
        <v>63.406558866319997</v>
      </c>
      <c r="EW46" s="1150">
        <v>0</v>
      </c>
      <c r="EZ46" s="1150">
        <v>63.406558866319997</v>
      </c>
      <c r="FA46" s="1150" t="s">
        <v>10</v>
      </c>
      <c r="FB46" s="1150" t="s">
        <v>2549</v>
      </c>
      <c r="FC46" s="1150" t="s">
        <v>88</v>
      </c>
      <c r="FD46" s="1150">
        <v>240303</v>
      </c>
      <c r="FE46" s="1150" t="s">
        <v>32</v>
      </c>
      <c r="FF46" s="1150">
        <v>181</v>
      </c>
      <c r="FG46" s="1150">
        <v>6</v>
      </c>
      <c r="FI46" s="1150">
        <v>0.1489</v>
      </c>
      <c r="FJ46" s="1150" t="s">
        <v>2255</v>
      </c>
      <c r="FK46" s="1150">
        <v>0</v>
      </c>
      <c r="FL46" s="1150">
        <v>27.5</v>
      </c>
      <c r="FM46" s="1150">
        <v>15</v>
      </c>
      <c r="FN46" s="1150">
        <v>4</v>
      </c>
      <c r="FO46" s="1150">
        <v>71408.219178081999</v>
      </c>
      <c r="FP46" s="1150">
        <v>146.65770807747001</v>
      </c>
      <c r="FQ46" s="1150">
        <v>152.52401640056999</v>
      </c>
      <c r="FR46" s="1150">
        <v>0</v>
      </c>
      <c r="FU46" s="1150">
        <v>152.52401640056999</v>
      </c>
      <c r="FV46" s="1150" t="s">
        <v>40</v>
      </c>
      <c r="FW46" s="1150" t="s">
        <v>2549</v>
      </c>
      <c r="FX46" s="1150" t="s">
        <v>88</v>
      </c>
      <c r="FY46" s="1150">
        <v>240303</v>
      </c>
      <c r="FZ46" s="1150" t="s">
        <v>32</v>
      </c>
      <c r="GA46" s="1150">
        <v>181</v>
      </c>
      <c r="GB46" s="1150">
        <v>6</v>
      </c>
      <c r="GD46" s="1150">
        <v>0.58730000000000004</v>
      </c>
      <c r="GE46" s="1150" t="s">
        <v>2255</v>
      </c>
      <c r="GF46" s="1150">
        <v>0</v>
      </c>
      <c r="GG46" s="1150">
        <v>27.5</v>
      </c>
      <c r="GH46" s="1150">
        <v>15</v>
      </c>
      <c r="GI46" s="1150">
        <v>4</v>
      </c>
      <c r="GJ46" s="1150">
        <v>23802.739726027001</v>
      </c>
      <c r="GK46" s="1150">
        <v>192.81860746339001</v>
      </c>
      <c r="GL46" s="1150">
        <v>200.53135176193001</v>
      </c>
      <c r="GM46" s="1150">
        <v>0</v>
      </c>
      <c r="GP46" s="1150">
        <v>200.53135176193001</v>
      </c>
      <c r="GQ46" s="1150" t="s">
        <v>41</v>
      </c>
      <c r="GR46" s="1150" t="s">
        <v>2549</v>
      </c>
      <c r="GS46" s="1150" t="s">
        <v>88</v>
      </c>
      <c r="GT46" s="1150">
        <v>240303</v>
      </c>
      <c r="GU46" s="1150" t="s">
        <v>32</v>
      </c>
      <c r="GV46" s="1150">
        <v>181</v>
      </c>
      <c r="GW46" s="1150">
        <v>6</v>
      </c>
      <c r="GY46" s="1150">
        <v>0.78269999999999995</v>
      </c>
      <c r="GZ46" s="1150" t="s">
        <v>2255</v>
      </c>
      <c r="HA46" s="1150">
        <v>0</v>
      </c>
      <c r="HB46" s="1150">
        <v>27.5</v>
      </c>
      <c r="HC46" s="1150">
        <v>15</v>
      </c>
      <c r="HD46" s="1150">
        <v>4</v>
      </c>
      <c r="HE46" s="1150">
        <v>23802.739726027001</v>
      </c>
      <c r="HF46" s="1150">
        <v>256.97109494568002</v>
      </c>
      <c r="HG46" s="1150">
        <v>267.24993874350002</v>
      </c>
      <c r="HH46" s="1150">
        <v>0</v>
      </c>
      <c r="HK46" s="1150">
        <v>267.24993874350002</v>
      </c>
    </row>
    <row r="47" spans="1:261">
      <c r="A47" s="1150">
        <v>135203</v>
      </c>
      <c r="B47" s="1150" t="s">
        <v>3077</v>
      </c>
      <c r="C47" s="1150" t="s">
        <v>2946</v>
      </c>
      <c r="D47" s="1150" t="s">
        <v>978</v>
      </c>
      <c r="E47" s="1153">
        <v>32484</v>
      </c>
      <c r="F47" s="1150">
        <v>181</v>
      </c>
      <c r="G47" s="1150">
        <v>6</v>
      </c>
      <c r="I47" s="1150">
        <v>986.84573235257005</v>
      </c>
      <c r="AZ47" s="1150" t="s">
        <v>3</v>
      </c>
      <c r="BA47" s="1150" t="s">
        <v>4</v>
      </c>
      <c r="BB47" s="1150" t="s">
        <v>2582</v>
      </c>
      <c r="BC47" s="1150" t="s">
        <v>2906</v>
      </c>
      <c r="BD47" s="1150" t="s">
        <v>32</v>
      </c>
      <c r="BE47" s="1150">
        <v>181</v>
      </c>
      <c r="BF47" s="1150">
        <v>6</v>
      </c>
      <c r="BG47" s="1150">
        <v>426.77890000000002</v>
      </c>
      <c r="BI47" s="1150" t="s">
        <v>2254</v>
      </c>
      <c r="BJ47" s="1150">
        <v>10</v>
      </c>
      <c r="BK47" s="1150">
        <v>25</v>
      </c>
      <c r="BL47" s="1150">
        <v>15</v>
      </c>
      <c r="BM47" s="1150">
        <v>4</v>
      </c>
      <c r="BN47" s="1150">
        <v>50000</v>
      </c>
      <c r="BO47" s="1150">
        <v>256.06734</v>
      </c>
      <c r="BP47" s="1150">
        <v>266.3100336</v>
      </c>
      <c r="BQ47" s="1150">
        <v>7.6</v>
      </c>
      <c r="BR47" s="1150" t="s">
        <v>1</v>
      </c>
      <c r="BS47" s="1150">
        <v>6</v>
      </c>
      <c r="BT47" s="1150">
        <v>279.91003360000002</v>
      </c>
      <c r="BU47" s="1150" t="s">
        <v>5</v>
      </c>
      <c r="BV47" s="1150" t="s">
        <v>4</v>
      </c>
      <c r="BW47" s="1150" t="s">
        <v>2582</v>
      </c>
      <c r="BX47" s="1150" t="s">
        <v>2906</v>
      </c>
      <c r="BY47" s="1150" t="s">
        <v>32</v>
      </c>
      <c r="BZ47" s="1150">
        <v>181</v>
      </c>
      <c r="CA47" s="1150">
        <v>6</v>
      </c>
      <c r="CB47" s="1150">
        <v>95.192400000000006</v>
      </c>
      <c r="CD47" s="1150" t="s">
        <v>2254</v>
      </c>
      <c r="CE47" s="1150">
        <v>10</v>
      </c>
      <c r="CF47" s="1150">
        <v>25</v>
      </c>
      <c r="CG47" s="1150">
        <v>15</v>
      </c>
      <c r="CH47" s="1150">
        <v>4</v>
      </c>
      <c r="CI47" s="1150">
        <v>6250</v>
      </c>
      <c r="CJ47" s="1150">
        <v>57.11544</v>
      </c>
      <c r="CK47" s="1150">
        <v>59.400057599999997</v>
      </c>
      <c r="CL47" s="1150">
        <v>0</v>
      </c>
      <c r="CO47" s="1150">
        <v>59.400057599999997</v>
      </c>
      <c r="CP47" s="1150" t="s">
        <v>6</v>
      </c>
      <c r="CQ47" s="1150" t="s">
        <v>2549</v>
      </c>
      <c r="CR47" s="1150" t="s">
        <v>88</v>
      </c>
      <c r="CS47" s="1150">
        <v>240303</v>
      </c>
      <c r="CT47" s="1150" t="s">
        <v>32</v>
      </c>
      <c r="CU47" s="1150">
        <v>181</v>
      </c>
      <c r="CV47" s="1150">
        <v>6</v>
      </c>
      <c r="CX47" s="1150">
        <v>5.0099999999999999E-2</v>
      </c>
      <c r="CY47" s="1150" t="s">
        <v>2255</v>
      </c>
      <c r="CZ47" s="1150">
        <v>0</v>
      </c>
      <c r="DA47" s="1150">
        <v>27.5</v>
      </c>
      <c r="DB47" s="1150">
        <v>15</v>
      </c>
      <c r="DC47" s="1150">
        <v>4</v>
      </c>
      <c r="DD47" s="1150">
        <v>53556.164383561998</v>
      </c>
      <c r="DE47" s="1150">
        <v>37.009156353329999</v>
      </c>
      <c r="DF47" s="1150">
        <v>38.489522607463002</v>
      </c>
      <c r="DG47" s="1150">
        <v>0</v>
      </c>
      <c r="DJ47" s="1150">
        <v>38.489522607463002</v>
      </c>
      <c r="DK47" s="1150" t="s">
        <v>8</v>
      </c>
      <c r="DL47" s="1150" t="s">
        <v>2549</v>
      </c>
      <c r="DM47" s="1150" t="s">
        <v>88</v>
      </c>
      <c r="DN47" s="1150">
        <v>240303</v>
      </c>
      <c r="DO47" s="1150" t="s">
        <v>32</v>
      </c>
      <c r="DP47" s="1150">
        <v>181</v>
      </c>
      <c r="DQ47" s="1150">
        <v>6</v>
      </c>
      <c r="DS47" s="1150">
        <v>0.12529999999999999</v>
      </c>
      <c r="DT47" s="1150" t="s">
        <v>2255</v>
      </c>
      <c r="DU47" s="1150">
        <v>0</v>
      </c>
      <c r="DV47" s="1150">
        <v>27.5</v>
      </c>
      <c r="DW47" s="1150">
        <v>15</v>
      </c>
      <c r="DX47" s="1150">
        <v>4</v>
      </c>
      <c r="DY47" s="1150">
        <v>53556.164383561998</v>
      </c>
      <c r="DZ47" s="1150">
        <v>92.559826169106998</v>
      </c>
      <c r="EA47" s="1150">
        <v>96.262219215871994</v>
      </c>
      <c r="EB47" s="1150">
        <v>0</v>
      </c>
      <c r="EE47" s="1150">
        <v>96.262219215871994</v>
      </c>
      <c r="EF47" s="1150" t="s">
        <v>9</v>
      </c>
      <c r="EG47" s="1150" t="s">
        <v>2549</v>
      </c>
      <c r="EH47" s="1150" t="s">
        <v>88</v>
      </c>
      <c r="EI47" s="1150">
        <v>240303</v>
      </c>
      <c r="EJ47" s="1150" t="s">
        <v>32</v>
      </c>
      <c r="EK47" s="1150">
        <v>181</v>
      </c>
      <c r="EL47" s="1150">
        <v>6</v>
      </c>
      <c r="EN47" s="1150">
        <v>6.1899999999999997E-2</v>
      </c>
      <c r="EO47" s="1150" t="s">
        <v>2255</v>
      </c>
      <c r="EP47" s="1150">
        <v>0</v>
      </c>
      <c r="EQ47" s="1150">
        <v>27.5</v>
      </c>
      <c r="ER47" s="1150">
        <v>15</v>
      </c>
      <c r="ES47" s="1150">
        <v>4</v>
      </c>
      <c r="ET47" s="1150">
        <v>53556.164383561998</v>
      </c>
      <c r="EU47" s="1150">
        <v>45.725883797827002</v>
      </c>
      <c r="EV47" s="1150">
        <v>47.554919149740002</v>
      </c>
      <c r="EW47" s="1150">
        <v>0</v>
      </c>
      <c r="EZ47" s="1150">
        <v>47.554919149740002</v>
      </c>
      <c r="FA47" s="1150" t="s">
        <v>10</v>
      </c>
      <c r="FB47" s="1150" t="s">
        <v>2549</v>
      </c>
      <c r="FC47" s="1150" t="s">
        <v>88</v>
      </c>
      <c r="FD47" s="1150">
        <v>240303</v>
      </c>
      <c r="FE47" s="1150" t="s">
        <v>32</v>
      </c>
      <c r="FF47" s="1150">
        <v>181</v>
      </c>
      <c r="FG47" s="1150">
        <v>6</v>
      </c>
      <c r="FI47" s="1150">
        <v>0.1489</v>
      </c>
      <c r="FJ47" s="1150" t="s">
        <v>2255</v>
      </c>
      <c r="FK47" s="1150">
        <v>0</v>
      </c>
      <c r="FL47" s="1150">
        <v>27.5</v>
      </c>
      <c r="FM47" s="1150">
        <v>15</v>
      </c>
      <c r="FN47" s="1150">
        <v>4</v>
      </c>
      <c r="FO47" s="1150">
        <v>53556.164383561998</v>
      </c>
      <c r="FP47" s="1150">
        <v>109.9932810581</v>
      </c>
      <c r="FQ47" s="1150">
        <v>114.39301230043</v>
      </c>
      <c r="FR47" s="1150">
        <v>0</v>
      </c>
      <c r="FU47" s="1150">
        <v>114.39301230043</v>
      </c>
      <c r="FV47" s="1150" t="s">
        <v>40</v>
      </c>
      <c r="FW47" s="1150" t="s">
        <v>2549</v>
      </c>
      <c r="FX47" s="1150" t="s">
        <v>88</v>
      </c>
      <c r="FY47" s="1150">
        <v>240303</v>
      </c>
      <c r="FZ47" s="1150" t="s">
        <v>32</v>
      </c>
      <c r="GA47" s="1150">
        <v>181</v>
      </c>
      <c r="GB47" s="1150">
        <v>6</v>
      </c>
      <c r="GD47" s="1150">
        <v>0.58730000000000004</v>
      </c>
      <c r="GE47" s="1150" t="s">
        <v>2255</v>
      </c>
      <c r="GF47" s="1150">
        <v>0</v>
      </c>
      <c r="GG47" s="1150">
        <v>27.5</v>
      </c>
      <c r="GH47" s="1150">
        <v>15</v>
      </c>
      <c r="GI47" s="1150">
        <v>4</v>
      </c>
      <c r="GJ47" s="1150">
        <v>17852.054794520998</v>
      </c>
      <c r="GK47" s="1150">
        <v>144.61395559754001</v>
      </c>
      <c r="GL47" s="1150">
        <v>150.39851382145</v>
      </c>
      <c r="GM47" s="1150">
        <v>0</v>
      </c>
      <c r="GP47" s="1150">
        <v>150.39851382145</v>
      </c>
      <c r="GQ47" s="1150" t="s">
        <v>41</v>
      </c>
      <c r="GR47" s="1150" t="s">
        <v>2549</v>
      </c>
      <c r="GS47" s="1150" t="s">
        <v>88</v>
      </c>
      <c r="GT47" s="1150">
        <v>240303</v>
      </c>
      <c r="GU47" s="1150" t="s">
        <v>32</v>
      </c>
      <c r="GV47" s="1150">
        <v>181</v>
      </c>
      <c r="GW47" s="1150">
        <v>6</v>
      </c>
      <c r="GY47" s="1150">
        <v>0.78269999999999995</v>
      </c>
      <c r="GZ47" s="1150" t="s">
        <v>2255</v>
      </c>
      <c r="HA47" s="1150">
        <v>0</v>
      </c>
      <c r="HB47" s="1150">
        <v>27.5</v>
      </c>
      <c r="HC47" s="1150">
        <v>15</v>
      </c>
      <c r="HD47" s="1150">
        <v>4</v>
      </c>
      <c r="HE47" s="1150">
        <v>17852.054794520998</v>
      </c>
      <c r="HF47" s="1150">
        <v>192.72832120926</v>
      </c>
      <c r="HG47" s="1150">
        <v>200.43745405762999</v>
      </c>
      <c r="HH47" s="1150">
        <v>0</v>
      </c>
      <c r="HK47" s="1150">
        <v>200.43745405762999</v>
      </c>
    </row>
  </sheetData>
  <sortState ref="A38:JA70">
    <sortCondition ref="C38:C7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Y105"/>
  <sheetViews>
    <sheetView view="pageBreakPreview" topLeftCell="C29" zoomScaleSheetLayoutView="100" workbookViewId="0">
      <selection activeCell="W53" sqref="W53:X54"/>
    </sheetView>
  </sheetViews>
  <sheetFormatPr baseColWidth="10" defaultColWidth="11.42578125" defaultRowHeight="15"/>
  <cols>
    <col min="1" max="1" width="16.42578125" hidden="1" customWidth="1"/>
    <col min="2" max="2" width="13.85546875" hidden="1" customWidth="1"/>
    <col min="3" max="3" width="11" style="287" customWidth="1"/>
    <col min="4" max="4" width="11.5703125" bestFit="1" customWidth="1"/>
    <col min="5" max="5" width="13.140625" customWidth="1"/>
    <col min="6" max="6" width="11.5703125" bestFit="1" customWidth="1"/>
    <col min="7" max="7" width="14.42578125" bestFit="1" customWidth="1"/>
    <col min="8" max="11" width="11.5703125" bestFit="1" customWidth="1"/>
    <col min="12" max="12" width="22.5703125" customWidth="1"/>
    <col min="13" max="13" width="11.5703125" bestFit="1" customWidth="1"/>
    <col min="14" max="14" width="9.42578125" customWidth="1"/>
    <col min="15" max="15" width="11.5703125" style="638" hidden="1" customWidth="1"/>
    <col min="16" max="20" width="11.5703125" bestFit="1" customWidth="1"/>
    <col min="21" max="21" width="11.85546875" bestFit="1" customWidth="1"/>
    <col min="22" max="22" width="11.5703125" bestFit="1" customWidth="1"/>
    <col min="23" max="23" width="29.28515625" customWidth="1"/>
    <col min="24" max="24" width="15" customWidth="1"/>
    <col min="25" max="25" width="11.85546875" bestFit="1" customWidth="1"/>
  </cols>
  <sheetData>
    <row r="1" spans="1:25">
      <c r="A1" s="111" t="str">
        <f>J5&amp;"annual"</f>
        <v>2017-2018annual</v>
      </c>
      <c r="B1" s="112"/>
      <c r="C1" s="289"/>
      <c r="D1" s="112"/>
      <c r="E1" s="1873" t="s">
        <v>1963</v>
      </c>
      <c r="F1" s="1873"/>
      <c r="G1" s="113">
        <v>42745</v>
      </c>
      <c r="H1" s="114"/>
      <c r="I1" s="115"/>
      <c r="J1" s="1878"/>
      <c r="K1" s="1878"/>
      <c r="L1" s="116" t="s">
        <v>180</v>
      </c>
      <c r="M1" s="1879">
        <f>Admin!E5</f>
        <v>42930</v>
      </c>
      <c r="N1" s="1879"/>
      <c r="O1" s="632"/>
      <c r="P1" s="117"/>
      <c r="Q1" s="1875"/>
      <c r="R1" s="1875"/>
      <c r="S1" s="362"/>
      <c r="T1" s="362"/>
      <c r="U1" s="361" t="s">
        <v>1964</v>
      </c>
      <c r="V1" s="362"/>
      <c r="W1" s="359" t="str">
        <f>ANCERTIF</f>
        <v>2014</v>
      </c>
      <c r="X1" s="119" t="s">
        <v>1965</v>
      </c>
      <c r="Y1" s="333"/>
    </row>
    <row r="2" spans="1:25" ht="15" customHeight="1">
      <c r="A2" s="111" t="str">
        <f>J5&amp;"seasonal"</f>
        <v>2017-2018seasonal</v>
      </c>
      <c r="B2" s="112"/>
      <c r="C2" s="289"/>
      <c r="D2" s="112"/>
      <c r="E2" s="1876" t="s">
        <v>184</v>
      </c>
      <c r="F2" s="1876"/>
      <c r="G2" s="1866" t="str">
        <f>Admin!B9</f>
        <v>IDOL YACHTING LIMITED</v>
      </c>
      <c r="H2" s="1866"/>
      <c r="I2" s="1866"/>
      <c r="J2" s="120"/>
      <c r="K2" s="120"/>
      <c r="L2" s="121" t="s">
        <v>187</v>
      </c>
      <c r="M2" s="1866" t="str">
        <f>APPORTEURS!C1</f>
        <v>SOMECASSUR</v>
      </c>
      <c r="N2" s="1866"/>
      <c r="O2" s="1866"/>
      <c r="P2" s="1866"/>
      <c r="Q2" s="1866"/>
      <c r="R2" s="1866"/>
      <c r="S2" s="123"/>
      <c r="T2" s="123"/>
      <c r="U2" s="361" t="s">
        <v>1966</v>
      </c>
      <c r="V2" s="123"/>
      <c r="W2" s="359"/>
      <c r="X2" s="360"/>
      <c r="Y2" s="333"/>
    </row>
    <row r="3" spans="1:25" ht="15" customHeight="1">
      <c r="A3" s="111" t="str">
        <f>J5&amp;"day worker"</f>
        <v>2017-2018day worker</v>
      </c>
      <c r="B3" s="112"/>
      <c r="C3" s="289"/>
      <c r="D3" s="112"/>
      <c r="E3" s="1876" t="s">
        <v>1967</v>
      </c>
      <c r="F3" s="1876"/>
      <c r="G3" s="1877" t="str">
        <f>IF(Admin!C9=0,"",Admin!C9)</f>
        <v>Level 4, Suite 7; Rosa Marina Buildings</v>
      </c>
      <c r="H3" s="1877"/>
      <c r="I3" s="1877"/>
      <c r="J3" s="114"/>
      <c r="K3" s="114"/>
      <c r="L3" s="122" t="s">
        <v>189</v>
      </c>
      <c r="M3" s="123" t="str">
        <f>Admin!E2</f>
        <v>12522.3</v>
      </c>
      <c r="N3" s="1865" t="s">
        <v>190</v>
      </c>
      <c r="O3" s="1865"/>
      <c r="P3" s="1865"/>
      <c r="Q3" s="1865"/>
      <c r="R3" s="1865"/>
      <c r="S3" s="1865" t="s">
        <v>199</v>
      </c>
      <c r="T3" s="1865"/>
      <c r="U3" s="1865" t="s">
        <v>191</v>
      </c>
      <c r="V3" s="1865"/>
      <c r="W3" s="145" t="str">
        <f>W2-1&amp;"-"&amp;W2</f>
        <v>-1-</v>
      </c>
      <c r="X3" s="125"/>
      <c r="Y3" s="333"/>
    </row>
    <row r="4" spans="1:25">
      <c r="A4" s="112"/>
      <c r="B4" s="112"/>
      <c r="C4" s="289"/>
      <c r="D4" s="112"/>
      <c r="E4" s="1866"/>
      <c r="F4" s="1866"/>
      <c r="G4" s="114" t="str">
        <f>IF(Admin!H9=0,"",Admin!H9)</f>
        <v>PTA 9041</v>
      </c>
      <c r="H4" s="1867" t="str">
        <f>IF(Admin!I9=0,"",Admin!I9)</f>
        <v>Pieta</v>
      </c>
      <c r="I4" s="1867"/>
      <c r="J4" s="126"/>
      <c r="K4" s="126"/>
      <c r="L4" s="1868" t="s">
        <v>1968</v>
      </c>
      <c r="M4" s="915" t="str">
        <f>HISTORY!G6</f>
        <v>L2025408</v>
      </c>
      <c r="N4" s="1859" t="str">
        <f>HISTORY!H6</f>
        <v>Perfect S for Captain only</v>
      </c>
      <c r="O4" s="1859"/>
      <c r="P4" s="1859"/>
      <c r="Q4" s="1859"/>
      <c r="R4" s="1859"/>
      <c r="S4" s="1859"/>
      <c r="T4" s="1859"/>
      <c r="U4" s="1859"/>
      <c r="V4" s="1859"/>
      <c r="W4" s="124"/>
      <c r="X4" s="118"/>
      <c r="Y4" s="333"/>
    </row>
    <row r="5" spans="1:25" ht="15.75" thickBot="1">
      <c r="A5" s="112" t="s">
        <v>1969</v>
      </c>
      <c r="B5" s="112"/>
      <c r="C5" s="289"/>
      <c r="D5" s="112"/>
      <c r="E5" s="1869"/>
      <c r="F5" s="1869"/>
      <c r="G5" s="1869"/>
      <c r="H5" s="1869"/>
      <c r="I5" s="1869"/>
      <c r="J5" s="1870" t="s">
        <v>2894</v>
      </c>
      <c r="K5" s="1871"/>
      <c r="L5" s="1868"/>
      <c r="M5" s="1081" t="str">
        <f>HISTORY!G7</f>
        <v>L2024408</v>
      </c>
      <c r="N5" s="1859" t="str">
        <f>HISTORY!H7</f>
        <v>StandardMLC S for All others on board</v>
      </c>
      <c r="O5" s="1859"/>
      <c r="P5" s="1859"/>
      <c r="Q5" s="1859"/>
      <c r="R5" s="1859"/>
      <c r="S5" s="1859"/>
      <c r="T5" s="1859"/>
      <c r="U5" s="1859"/>
      <c r="V5" s="1859"/>
      <c r="W5" s="124"/>
      <c r="X5" s="118"/>
      <c r="Y5" s="333"/>
    </row>
    <row r="6" spans="1:25" ht="15" customHeight="1" thickBot="1">
      <c r="A6" s="111" t="str">
        <f>J5&amp;"annual"</f>
        <v>2017-2018annual</v>
      </c>
      <c r="B6" s="112"/>
      <c r="C6" s="289"/>
      <c r="D6" s="112"/>
      <c r="E6" s="127"/>
      <c r="F6" s="127"/>
      <c r="G6" s="128"/>
      <c r="H6" s="129" t="s">
        <v>1970</v>
      </c>
      <c r="I6" s="600">
        <f>SUMPRODUCT((EXACT($A$15:$A$120,A6)*1))</f>
        <v>0</v>
      </c>
      <c r="J6" s="600">
        <f>SUMIF($A$15:$A$120,A6,$R$15:$R$120)</f>
        <v>0</v>
      </c>
      <c r="K6" s="130">
        <f>SUMIF($A$15:$A$120,A6,$S$15:$S$120)</f>
        <v>0</v>
      </c>
      <c r="L6" s="1868"/>
      <c r="M6" s="1081">
        <f>HISTORY!G8</f>
        <v>140494</v>
      </c>
      <c r="N6" s="1859" t="str">
        <f>HISTORY!H8</f>
        <v>Medical Excellent and Homeland for Day Workers</v>
      </c>
      <c r="O6" s="1859"/>
      <c r="P6" s="1859"/>
      <c r="Q6" s="1859"/>
      <c r="R6" s="1859"/>
      <c r="S6" s="1859"/>
      <c r="T6" s="1859"/>
      <c r="U6" s="1859"/>
      <c r="V6" s="1859"/>
      <c r="W6" s="124"/>
      <c r="X6" s="118"/>
      <c r="Y6" s="333"/>
    </row>
    <row r="7" spans="1:25" ht="34.5" customHeight="1" thickBot="1">
      <c r="A7" s="111" t="str">
        <f>J5&amp;"seasonal"</f>
        <v>2017-2018seasonal</v>
      </c>
      <c r="B7" s="112"/>
      <c r="C7" s="289"/>
      <c r="D7" s="112"/>
      <c r="E7" s="123" t="str">
        <f>Currency!A2</f>
        <v>EUR/USD</v>
      </c>
      <c r="F7" s="131">
        <f>Currency!D2</f>
        <v>1.1100000000000001</v>
      </c>
      <c r="G7" s="132"/>
      <c r="H7" s="129" t="s">
        <v>1971</v>
      </c>
      <c r="I7" s="601">
        <f>SUMPRODUCT((EXACT($A$15:$A$120,A7)*1))</f>
        <v>0</v>
      </c>
      <c r="J7" s="601">
        <f t="shared" ref="J7:J8" si="0">SUMIF($A$15:$A$120,A7,$R$15:$R$120)</f>
        <v>0</v>
      </c>
      <c r="K7" s="133">
        <f t="shared" ref="K7:K8" si="1">SUMIF($A$15:$A$120,A7,$S$15:$S$120)</f>
        <v>0</v>
      </c>
      <c r="L7" s="1868" t="s">
        <v>1972</v>
      </c>
      <c r="M7" s="1457">
        <f>HISTORY!G11</f>
        <v>240450</v>
      </c>
      <c r="N7" s="1872" t="str">
        <f>HISTORY!H11</f>
        <v>Formula 3: LOL&amp;PTD 300% annual salary  1000000 EUR limit per year, 100% annual salary  125000 EUR limit per year for Captain only</v>
      </c>
      <c r="O7" s="1872"/>
      <c r="P7" s="1872"/>
      <c r="Q7" s="1872"/>
      <c r="R7" s="1872"/>
      <c r="S7" s="1872"/>
      <c r="T7" s="1872"/>
      <c r="U7" s="1872"/>
      <c r="V7" s="1872"/>
      <c r="W7" s="118"/>
      <c r="X7" s="134"/>
      <c r="Y7" s="333"/>
    </row>
    <row r="8" spans="1:25" ht="35.25" customHeight="1" thickBot="1">
      <c r="A8" s="111" t="str">
        <f>J5&amp;"day worker"</f>
        <v>2017-2018day worker</v>
      </c>
      <c r="B8" s="112"/>
      <c r="C8" s="289"/>
      <c r="D8" s="112"/>
      <c r="E8" s="1873" t="s">
        <v>177</v>
      </c>
      <c r="F8" s="1873"/>
      <c r="G8" s="135"/>
      <c r="H8" s="136" t="s">
        <v>1973</v>
      </c>
      <c r="I8" s="602">
        <f>SUMPRODUCT((EXACT($A$15:$A$120,A8)*1))</f>
        <v>0</v>
      </c>
      <c r="J8" s="602">
        <f t="shared" si="0"/>
        <v>0</v>
      </c>
      <c r="K8" s="603">
        <f t="shared" si="1"/>
        <v>0</v>
      </c>
      <c r="L8" s="1868"/>
      <c r="M8" s="1081">
        <f>HISTORY!G12</f>
        <v>240303</v>
      </c>
      <c r="N8" s="1860" t="str">
        <f>HISTORY!H12</f>
        <v>Formula 3: LOL&amp;PTD 300% annual salary  1000000 EUR limit per year, 100% annual salary  450000 EUR limit per year for All others on board</v>
      </c>
      <c r="O8" s="1860"/>
      <c r="P8" s="1860"/>
      <c r="Q8" s="1860"/>
      <c r="R8" s="1860"/>
      <c r="S8" s="1860"/>
      <c r="T8" s="1860"/>
      <c r="U8" s="1860"/>
      <c r="V8" s="1860"/>
      <c r="W8" s="118"/>
      <c r="X8" s="932">
        <f>SUM(X15:X20)</f>
        <v>0</v>
      </c>
      <c r="Y8" s="333"/>
    </row>
    <row r="9" spans="1:25" ht="18" customHeight="1" thickBot="1">
      <c r="A9" s="112"/>
      <c r="B9" s="112"/>
      <c r="C9" s="289"/>
      <c r="D9" s="112"/>
      <c r="E9" s="1874" t="str">
        <f>Admin!B2</f>
        <v>IDOL</v>
      </c>
      <c r="F9" s="1874"/>
      <c r="G9" s="1874"/>
      <c r="H9" s="137"/>
      <c r="I9" s="138">
        <f>SUM(I6:I8)</f>
        <v>0</v>
      </c>
      <c r="J9" s="138">
        <f>SUM(J6:J8)</f>
        <v>0</v>
      </c>
      <c r="K9" s="138">
        <f>SUM(K6:K8)</f>
        <v>0</v>
      </c>
      <c r="L9" s="1868"/>
      <c r="M9" s="1081">
        <f>HISTORY!G13</f>
        <v>140494</v>
      </c>
      <c r="N9" s="1860" t="str">
        <f>HISTORY!H13</f>
        <v>Formula Day Worker: LOL&amp;PTD 50000 EUR ,  for Day Workers</v>
      </c>
      <c r="O9" s="1860"/>
      <c r="P9" s="1860"/>
      <c r="Q9" s="1860"/>
      <c r="R9" s="1860"/>
      <c r="S9" s="1860"/>
      <c r="T9" s="1860"/>
      <c r="U9" s="1860"/>
      <c r="V9" s="1860"/>
      <c r="W9" s="118"/>
      <c r="Y9" s="333"/>
    </row>
    <row r="10" spans="1:25" ht="18" customHeight="1">
      <c r="A10" s="112"/>
      <c r="B10" s="112"/>
      <c r="C10" s="289"/>
      <c r="D10" s="112"/>
      <c r="E10" s="1874"/>
      <c r="F10" s="1874"/>
      <c r="G10" s="1874"/>
      <c r="H10" s="137"/>
      <c r="I10" s="135" t="s">
        <v>1974</v>
      </c>
      <c r="J10" s="137"/>
      <c r="K10" s="137"/>
      <c r="L10" s="139"/>
      <c r="M10" s="120"/>
      <c r="N10" s="140"/>
      <c r="O10" s="631"/>
      <c r="P10" s="140"/>
      <c r="Q10" s="140"/>
      <c r="R10" s="140"/>
      <c r="S10" s="140"/>
      <c r="T10" s="1861" t="str">
        <f>"TOTAL FOR THE YEAR "&amp;W3</f>
        <v>TOTAL FOR THE YEAR -1-</v>
      </c>
      <c r="U10" s="1862"/>
      <c r="V10" s="929">
        <f>SUMPRODUCT((EXACT(V15:V69,W10)*1))</f>
        <v>35</v>
      </c>
      <c r="W10" s="141" t="s">
        <v>1975</v>
      </c>
      <c r="X10" s="2" t="s">
        <v>1976</v>
      </c>
      <c r="Y10" s="332"/>
    </row>
    <row r="11" spans="1:25" ht="18" customHeight="1">
      <c r="A11" s="112"/>
      <c r="B11" s="112"/>
      <c r="C11" s="289"/>
      <c r="D11" s="112"/>
      <c r="E11" s="1874"/>
      <c r="F11" s="1874"/>
      <c r="G11" s="1874"/>
      <c r="H11" s="135"/>
      <c r="I11" s="137" t="s">
        <v>1977</v>
      </c>
      <c r="J11" s="135"/>
      <c r="K11" s="137"/>
      <c r="L11" s="122"/>
      <c r="M11" s="122"/>
      <c r="N11" s="142">
        <f>SUM(N15:N149)</f>
        <v>180000</v>
      </c>
      <c r="O11" s="634"/>
      <c r="P11" s="142">
        <f>SUM(P15:P149)</f>
        <v>60500</v>
      </c>
      <c r="Q11" s="142">
        <f>SUM(Q15:Q149)</f>
        <v>0</v>
      </c>
      <c r="R11" s="142">
        <f>SUM(R15:R149)</f>
        <v>168</v>
      </c>
      <c r="S11" s="142">
        <f>SUM(S15:S149)</f>
        <v>7263</v>
      </c>
      <c r="T11" s="1863"/>
      <c r="U11" s="1864"/>
      <c r="V11" s="143">
        <f>SUMPRODUCT((EXACT(V15:V69,W11)*1))</f>
        <v>3</v>
      </c>
      <c r="W11" s="144" t="s">
        <v>1978</v>
      </c>
      <c r="X11" t="s">
        <v>1979</v>
      </c>
      <c r="Y11" s="145"/>
    </row>
    <row r="12" spans="1:25" ht="9" customHeight="1">
      <c r="A12" s="112"/>
      <c r="B12" s="112"/>
      <c r="C12" s="289"/>
      <c r="D12" s="112"/>
      <c r="F12" s="137"/>
      <c r="G12" s="137"/>
      <c r="H12" s="137"/>
      <c r="I12" s="137"/>
      <c r="J12" s="137"/>
      <c r="K12" s="146"/>
      <c r="L12" s="122"/>
      <c r="M12" s="122"/>
      <c r="N12" s="122"/>
      <c r="O12" s="633"/>
      <c r="P12" s="122"/>
      <c r="Q12" s="122"/>
      <c r="R12" s="122"/>
      <c r="S12" s="122"/>
      <c r="T12" s="122"/>
      <c r="U12" s="122"/>
      <c r="V12" s="140"/>
      <c r="W12" s="118"/>
      <c r="Y12" s="145"/>
    </row>
    <row r="13" spans="1:25" ht="19.5" hidden="1" customHeight="1">
      <c r="D13" s="147" t="e">
        <v>#REF!</v>
      </c>
      <c r="E13" s="147" t="e">
        <v>#REF!</v>
      </c>
      <c r="F13" s="147" t="e">
        <v>#REF!</v>
      </c>
      <c r="G13" s="147" t="e">
        <v>#REF!</v>
      </c>
      <c r="H13" s="147" t="e">
        <v>#REF!</v>
      </c>
      <c r="I13" s="147" t="e">
        <v>#REF!</v>
      </c>
      <c r="J13" s="147" t="e">
        <v>#REF!</v>
      </c>
      <c r="K13" s="147" t="e">
        <v>#REF!</v>
      </c>
      <c r="L13" s="147" t="e">
        <v>#REF!</v>
      </c>
      <c r="M13" s="147" t="e">
        <v>#REF!</v>
      </c>
      <c r="N13" s="147" t="e">
        <v>#REF!</v>
      </c>
      <c r="O13" s="635"/>
      <c r="P13" s="147" t="e">
        <v>#REF!</v>
      </c>
      <c r="Q13" s="147" t="e">
        <v>#REF!</v>
      </c>
      <c r="R13" s="147" t="e">
        <v>#REF!</v>
      </c>
      <c r="S13" s="147" t="e">
        <v>#REF!</v>
      </c>
      <c r="T13" s="147" t="e">
        <v>#REF!</v>
      </c>
      <c r="U13" s="147" t="e">
        <v>#REF!</v>
      </c>
      <c r="V13" s="147" t="e">
        <v>#REF!</v>
      </c>
      <c r="W13" s="147" t="e">
        <v>#REF!</v>
      </c>
      <c r="X13" s="147" t="e">
        <v>#REF!</v>
      </c>
      <c r="Y13" s="147" t="e">
        <v>#REF!</v>
      </c>
    </row>
    <row r="14" spans="1:25" ht="37.5" customHeight="1">
      <c r="A14" s="148"/>
      <c r="B14" s="148" t="s">
        <v>1980</v>
      </c>
      <c r="C14" s="148" t="s">
        <v>2323</v>
      </c>
      <c r="D14" s="148" t="s">
        <v>1981</v>
      </c>
      <c r="E14" s="148" t="s">
        <v>1982</v>
      </c>
      <c r="F14" s="149" t="s">
        <v>1983</v>
      </c>
      <c r="G14" s="148" t="s">
        <v>1984</v>
      </c>
      <c r="H14" s="150" t="s">
        <v>1985</v>
      </c>
      <c r="I14" s="150" t="s">
        <v>1986</v>
      </c>
      <c r="J14" s="150" t="s">
        <v>1987</v>
      </c>
      <c r="K14" s="150" t="s">
        <v>1988</v>
      </c>
      <c r="L14" s="150" t="s">
        <v>580</v>
      </c>
      <c r="M14" s="151" t="s">
        <v>1989</v>
      </c>
      <c r="N14" s="151" t="s">
        <v>1990</v>
      </c>
      <c r="O14" s="636" t="s">
        <v>2559</v>
      </c>
      <c r="P14" s="151" t="s">
        <v>1991</v>
      </c>
      <c r="Q14" s="151" t="s">
        <v>1992</v>
      </c>
      <c r="R14" s="1858" t="s">
        <v>1993</v>
      </c>
      <c r="S14" s="1858"/>
      <c r="T14" s="152" t="s">
        <v>1994</v>
      </c>
      <c r="U14" s="152" t="s">
        <v>1995</v>
      </c>
      <c r="V14" s="152" t="s">
        <v>1996</v>
      </c>
      <c r="W14" s="152" t="s">
        <v>1997</v>
      </c>
      <c r="X14" s="153" t="s">
        <v>1998</v>
      </c>
      <c r="Y14" s="154" t="s">
        <v>1999</v>
      </c>
    </row>
    <row r="15" spans="1:25" s="453" customFormat="1" ht="15" customHeight="1">
      <c r="A15" s="654" t="str">
        <f t="shared" ref="A15:A31" si="2">IF(D15="","",IF(U15="",$W$3&amp;V15,YEAR(T15)&amp;"-"&amp;YEAR(Y15)&amp;V15))</f>
        <v>2016-2017annual</v>
      </c>
      <c r="B15" s="1342"/>
      <c r="C15" s="1167">
        <v>5985997</v>
      </c>
      <c r="D15" s="1167">
        <v>134003</v>
      </c>
      <c r="E15" s="1167" t="s">
        <v>2917</v>
      </c>
      <c r="F15" s="1167" t="s">
        <v>2914</v>
      </c>
      <c r="G15" s="1167" t="s">
        <v>2915</v>
      </c>
      <c r="H15" s="1167" t="s">
        <v>2999</v>
      </c>
      <c r="I15" s="1167" t="s">
        <v>2999</v>
      </c>
      <c r="J15" s="1167" t="s">
        <v>3000</v>
      </c>
      <c r="K15" s="1108">
        <v>34443</v>
      </c>
      <c r="L15" s="1167"/>
      <c r="M15" s="1167" t="s">
        <v>32</v>
      </c>
      <c r="N15" s="1167">
        <v>2500</v>
      </c>
      <c r="O15" s="1342">
        <v>2200</v>
      </c>
      <c r="P15" s="830" t="str">
        <f>Cotations!Q15</f>
        <v/>
      </c>
      <c r="Q15" s="1110">
        <v>0</v>
      </c>
      <c r="R15" s="452">
        <f>IF(T15="","",IF(U15="",(DATEDIF(T15,Y15,"M")+1),(DATEDIF(T15,U15,"M")+1)))</f>
        <v>4</v>
      </c>
      <c r="S15" s="452">
        <f>IF(T15="","",DATEDIF(T15,IF(U15="",T15+365,U15),"D")+1)</f>
        <v>110</v>
      </c>
      <c r="T15" s="1390">
        <v>42566</v>
      </c>
      <c r="U15" s="1390">
        <v>42675</v>
      </c>
      <c r="V15" s="1167" t="s">
        <v>1975</v>
      </c>
      <c r="W15" s="1167" t="s">
        <v>3012</v>
      </c>
      <c r="X15" s="1167" t="s">
        <v>3013</v>
      </c>
      <c r="Y15" s="658">
        <f t="shared" ref="Y15:Y31" si="3">IF(T15="","",IF(U15="",DATERENOUV,IF(DATERENOUVMOINS365&gt;=U15,DATERENOUVMOINS365,DATERENOUV)))</f>
        <v>42930</v>
      </c>
    </row>
    <row r="16" spans="1:25" s="453" customFormat="1" ht="15" customHeight="1">
      <c r="A16" s="781" t="str">
        <f t="shared" si="2"/>
        <v>2016-2017annual</v>
      </c>
      <c r="B16" s="1342"/>
      <c r="C16" s="1167">
        <v>5143322</v>
      </c>
      <c r="D16" s="1167">
        <v>130179</v>
      </c>
      <c r="E16" s="1167" t="s">
        <v>2925</v>
      </c>
      <c r="F16" s="1167" t="s">
        <v>2922</v>
      </c>
      <c r="G16" s="1167" t="s">
        <v>2923</v>
      </c>
      <c r="H16" s="1167" t="s">
        <v>3001</v>
      </c>
      <c r="I16" s="1167" t="s">
        <v>3001</v>
      </c>
      <c r="J16" s="1167" t="s">
        <v>3002</v>
      </c>
      <c r="K16" s="1108">
        <v>31417</v>
      </c>
      <c r="L16" s="1167" t="s">
        <v>2924</v>
      </c>
      <c r="M16" s="1167" t="s">
        <v>32</v>
      </c>
      <c r="N16" s="1167">
        <v>4000</v>
      </c>
      <c r="O16" s="1342">
        <v>4500</v>
      </c>
      <c r="P16" s="830" t="str">
        <f>Cotations!Q16</f>
        <v/>
      </c>
      <c r="Q16" s="1110">
        <v>0</v>
      </c>
      <c r="R16" s="452">
        <f t="shared" ref="R16:R17" si="4">IF(T16="","",IF(U16="",(DATEDIF(T16,Y16,"M")+1),(DATEDIF(T16,U16,"M")+1)))</f>
        <v>4</v>
      </c>
      <c r="S16" s="452">
        <f t="shared" ref="S16:S17" si="5">IF(T16="","",DATEDIF(T16,IF(U16="",T16+365,U16),"D")+1)</f>
        <v>110</v>
      </c>
      <c r="T16" s="1390">
        <v>42566</v>
      </c>
      <c r="U16" s="1390">
        <v>42675</v>
      </c>
      <c r="V16" s="1167" t="s">
        <v>1975</v>
      </c>
      <c r="W16" s="1167" t="s">
        <v>3012</v>
      </c>
      <c r="X16" s="1167" t="s">
        <v>3013</v>
      </c>
      <c r="Y16" s="658">
        <f t="shared" si="3"/>
        <v>42930</v>
      </c>
    </row>
    <row r="17" spans="1:25" s="453" customFormat="1" ht="15" customHeight="1">
      <c r="A17" s="781" t="str">
        <f t="shared" si="2"/>
        <v>2016-2017annual</v>
      </c>
      <c r="B17" s="1342"/>
      <c r="C17" s="1167"/>
      <c r="D17" s="1167">
        <v>135202</v>
      </c>
      <c r="E17" s="1167" t="s">
        <v>2925</v>
      </c>
      <c r="F17" s="1167" t="s">
        <v>2928</v>
      </c>
      <c r="G17" s="1167" t="s">
        <v>2929</v>
      </c>
      <c r="H17" s="1167" t="s">
        <v>3001</v>
      </c>
      <c r="I17" s="1167" t="s">
        <v>3001</v>
      </c>
      <c r="J17" s="1167" t="s">
        <v>3002</v>
      </c>
      <c r="K17" s="1108">
        <v>29104</v>
      </c>
      <c r="L17" s="1167"/>
      <c r="M17" s="1167" t="s">
        <v>32</v>
      </c>
      <c r="N17" s="1167">
        <v>4000</v>
      </c>
      <c r="O17" s="1342">
        <v>9000</v>
      </c>
      <c r="P17" s="830" t="str">
        <f>Cotations!Q17</f>
        <v/>
      </c>
      <c r="Q17" s="1110">
        <v>0</v>
      </c>
      <c r="R17" s="452">
        <f t="shared" si="4"/>
        <v>3</v>
      </c>
      <c r="S17" s="452">
        <f t="shared" si="5"/>
        <v>75</v>
      </c>
      <c r="T17" s="1390">
        <v>42675</v>
      </c>
      <c r="U17" s="1390">
        <v>42749</v>
      </c>
      <c r="V17" s="1167" t="s">
        <v>1975</v>
      </c>
      <c r="W17" s="1167" t="s">
        <v>3080</v>
      </c>
      <c r="X17" s="1167" t="s">
        <v>3013</v>
      </c>
      <c r="Y17" s="658">
        <f t="shared" si="3"/>
        <v>42930</v>
      </c>
    </row>
    <row r="18" spans="1:25" s="392" customFormat="1" ht="15" customHeight="1">
      <c r="A18" s="781" t="str">
        <f t="shared" si="2"/>
        <v>2016-2017annual</v>
      </c>
      <c r="B18" s="1342"/>
      <c r="C18" s="1167">
        <v>5986812</v>
      </c>
      <c r="D18" s="1167">
        <v>133999</v>
      </c>
      <c r="E18" s="1167" t="s">
        <v>2932</v>
      </c>
      <c r="F18" s="1167" t="s">
        <v>2930</v>
      </c>
      <c r="G18" s="1167" t="s">
        <v>2931</v>
      </c>
      <c r="H18" s="1167" t="s">
        <v>3003</v>
      </c>
      <c r="I18" s="1167" t="s">
        <v>3003</v>
      </c>
      <c r="J18" s="1167" t="s">
        <v>3002</v>
      </c>
      <c r="K18" s="1108">
        <v>32970</v>
      </c>
      <c r="L18" s="1167"/>
      <c r="M18" s="1167" t="s">
        <v>32</v>
      </c>
      <c r="N18" s="1167">
        <v>2500</v>
      </c>
      <c r="O18" s="1342">
        <v>7500</v>
      </c>
      <c r="P18" s="830" t="str">
        <f>Cotations!Q18</f>
        <v/>
      </c>
      <c r="Q18" s="1110">
        <v>0</v>
      </c>
      <c r="R18" s="452">
        <f t="shared" ref="R18:R21" si="6">IF(T18="","",IF(U18="",(DATEDIF(T18,Y18,"M")+1),(DATEDIF(T18,U18,"M")+1)))</f>
        <v>4</v>
      </c>
      <c r="S18" s="452">
        <f t="shared" ref="S18:S21" si="7">IF(T18="","",DATEDIF(T18,IF(U18="",T18+365,U18),"D")+1)</f>
        <v>110</v>
      </c>
      <c r="T18" s="1390">
        <v>42566</v>
      </c>
      <c r="U18" s="1390">
        <v>42675</v>
      </c>
      <c r="V18" s="1167" t="s">
        <v>1975</v>
      </c>
      <c r="W18" s="1167" t="s">
        <v>3012</v>
      </c>
      <c r="X18" s="1167" t="s">
        <v>3013</v>
      </c>
      <c r="Y18" s="658">
        <f t="shared" si="3"/>
        <v>42930</v>
      </c>
    </row>
    <row r="19" spans="1:25" s="392" customFormat="1" ht="15" customHeight="1">
      <c r="A19" s="781" t="str">
        <f t="shared" si="2"/>
        <v>2016-2017annual</v>
      </c>
      <c r="B19" s="1342"/>
      <c r="C19" s="1167">
        <v>5939898</v>
      </c>
      <c r="D19" s="1167">
        <v>133440</v>
      </c>
      <c r="E19" s="1167" t="s">
        <v>2937</v>
      </c>
      <c r="F19" s="1167" t="s">
        <v>2935</v>
      </c>
      <c r="G19" s="1167" t="s">
        <v>2936</v>
      </c>
      <c r="H19" s="1167" t="s">
        <v>3004</v>
      </c>
      <c r="I19" s="1167" t="s">
        <v>3004</v>
      </c>
      <c r="J19" s="1167" t="s">
        <v>3002</v>
      </c>
      <c r="K19" s="1108">
        <v>30123</v>
      </c>
      <c r="L19" s="1167"/>
      <c r="M19" s="1167" t="s">
        <v>32</v>
      </c>
      <c r="N19" s="1167">
        <v>4000</v>
      </c>
      <c r="O19" s="1342">
        <v>5000</v>
      </c>
      <c r="P19" s="830" t="str">
        <f>Cotations!Q19</f>
        <v/>
      </c>
      <c r="Q19" s="1110">
        <v>0</v>
      </c>
      <c r="R19" s="452">
        <f t="shared" si="6"/>
        <v>3</v>
      </c>
      <c r="S19" s="452">
        <f t="shared" si="7"/>
        <v>75</v>
      </c>
      <c r="T19" s="1390">
        <v>42675</v>
      </c>
      <c r="U19" s="1390">
        <v>42749</v>
      </c>
      <c r="V19" s="1167" t="s">
        <v>1975</v>
      </c>
      <c r="W19" s="1167" t="s">
        <v>3080</v>
      </c>
      <c r="X19" s="1167" t="s">
        <v>3013</v>
      </c>
      <c r="Y19" s="658">
        <f t="shared" si="3"/>
        <v>42930</v>
      </c>
    </row>
    <row r="20" spans="1:25" s="879" customFormat="1" ht="15" customHeight="1">
      <c r="A20" s="1082" t="str">
        <f t="shared" si="2"/>
        <v>2016-2017annual</v>
      </c>
      <c r="B20" s="1342"/>
      <c r="C20" s="1167">
        <v>5115732</v>
      </c>
      <c r="D20" s="1167">
        <v>133586</v>
      </c>
      <c r="E20" s="1167" t="s">
        <v>2943</v>
      </c>
      <c r="F20" s="1167" t="s">
        <v>2940</v>
      </c>
      <c r="G20" s="1167" t="s">
        <v>2941</v>
      </c>
      <c r="H20" s="1167" t="s">
        <v>3005</v>
      </c>
      <c r="I20" s="1167" t="s">
        <v>3005</v>
      </c>
      <c r="J20" s="1167" t="s">
        <v>3002</v>
      </c>
      <c r="K20" s="1108">
        <v>28337</v>
      </c>
      <c r="L20" s="1167"/>
      <c r="M20" s="1167" t="s">
        <v>32</v>
      </c>
      <c r="N20" s="1167">
        <v>7000</v>
      </c>
      <c r="O20" s="1342">
        <v>2500</v>
      </c>
      <c r="P20" s="830" t="str">
        <f>Cotations!Q20</f>
        <v/>
      </c>
      <c r="Q20" s="1110">
        <v>0</v>
      </c>
      <c r="R20" s="452">
        <f t="shared" si="6"/>
        <v>3</v>
      </c>
      <c r="S20" s="452">
        <f t="shared" si="7"/>
        <v>75</v>
      </c>
      <c r="T20" s="1390">
        <v>42675</v>
      </c>
      <c r="U20" s="1390">
        <v>42749</v>
      </c>
      <c r="V20" s="1167" t="s">
        <v>1975</v>
      </c>
      <c r="W20" s="1167" t="s">
        <v>3080</v>
      </c>
      <c r="X20" s="1167" t="s">
        <v>3013</v>
      </c>
      <c r="Y20" s="658">
        <f t="shared" si="3"/>
        <v>42930</v>
      </c>
    </row>
    <row r="21" spans="1:25" s="382" customFormat="1" ht="15" customHeight="1">
      <c r="A21" s="654" t="str">
        <f t="shared" si="2"/>
        <v>2016-2017annual</v>
      </c>
      <c r="B21" s="1342"/>
      <c r="C21" s="1167"/>
      <c r="D21" s="1167">
        <v>135203</v>
      </c>
      <c r="E21" s="1167" t="s">
        <v>2917</v>
      </c>
      <c r="F21" s="1167" t="s">
        <v>2946</v>
      </c>
      <c r="G21" s="1167" t="s">
        <v>978</v>
      </c>
      <c r="H21" s="1167" t="s">
        <v>3006</v>
      </c>
      <c r="I21" s="1167" t="s">
        <v>3006</v>
      </c>
      <c r="J21" s="1167" t="s">
        <v>3000</v>
      </c>
      <c r="K21" s="1108">
        <v>32484</v>
      </c>
      <c r="L21" s="1167"/>
      <c r="M21" s="1167" t="s">
        <v>32</v>
      </c>
      <c r="N21" s="1167">
        <v>3000</v>
      </c>
      <c r="O21" s="1342">
        <v>3500</v>
      </c>
      <c r="P21" s="830" t="str">
        <f>Cotations!Q21</f>
        <v/>
      </c>
      <c r="Q21" s="1110">
        <v>0</v>
      </c>
      <c r="R21" s="452">
        <f t="shared" si="6"/>
        <v>3</v>
      </c>
      <c r="S21" s="452">
        <f t="shared" si="7"/>
        <v>75</v>
      </c>
      <c r="T21" s="1390">
        <v>42675</v>
      </c>
      <c r="U21" s="1390">
        <v>42749</v>
      </c>
      <c r="V21" s="1167" t="s">
        <v>1975</v>
      </c>
      <c r="W21" s="1167" t="s">
        <v>3080</v>
      </c>
      <c r="X21" s="1167" t="s">
        <v>3013</v>
      </c>
      <c r="Y21" s="658">
        <f t="shared" si="3"/>
        <v>42930</v>
      </c>
    </row>
    <row r="22" spans="1:25" s="382" customFormat="1" ht="15" customHeight="1">
      <c r="A22" s="654" t="str">
        <f t="shared" si="2"/>
        <v>2016-2017annual</v>
      </c>
      <c r="B22" s="1342"/>
      <c r="C22" s="1167">
        <v>6020317</v>
      </c>
      <c r="D22" s="1167">
        <v>134000</v>
      </c>
      <c r="E22" s="1167" t="s">
        <v>2951</v>
      </c>
      <c r="F22" s="1167" t="s">
        <v>2948</v>
      </c>
      <c r="G22" s="1167" t="s">
        <v>2949</v>
      </c>
      <c r="H22" s="1167" t="s">
        <v>3006</v>
      </c>
      <c r="I22" s="1167" t="s">
        <v>3006</v>
      </c>
      <c r="J22" s="1167" t="s">
        <v>3000</v>
      </c>
      <c r="K22" s="1108">
        <v>28591</v>
      </c>
      <c r="L22" s="1167" t="s">
        <v>2950</v>
      </c>
      <c r="M22" s="1167" t="s">
        <v>32</v>
      </c>
      <c r="N22" s="1167">
        <v>5500</v>
      </c>
      <c r="O22" s="1342">
        <v>2500</v>
      </c>
      <c r="P22" s="830" t="str">
        <f>Cotations!Q22</f>
        <v/>
      </c>
      <c r="Q22" s="1110">
        <v>0</v>
      </c>
      <c r="R22" s="452">
        <f t="shared" ref="R22:R28" si="8">IF(T22="","",IF(U22="",(DATEDIF(T22,Y22,"M")+1),(DATEDIF(T22,U22,"M")+1)))</f>
        <v>4</v>
      </c>
      <c r="S22" s="452">
        <f t="shared" ref="S22:S28" si="9">IF(T22="","",DATEDIF(T22,IF(U22="",T22+365,U22),"D")+1)</f>
        <v>110</v>
      </c>
      <c r="T22" s="1390">
        <v>42566</v>
      </c>
      <c r="U22" s="1390">
        <v>42675</v>
      </c>
      <c r="V22" s="1167" t="s">
        <v>1975</v>
      </c>
      <c r="W22" s="1167" t="s">
        <v>3012</v>
      </c>
      <c r="X22" s="1167" t="s">
        <v>3013</v>
      </c>
      <c r="Y22" s="658">
        <f t="shared" si="3"/>
        <v>42930</v>
      </c>
    </row>
    <row r="23" spans="1:25" s="774" customFormat="1" ht="15" customHeight="1">
      <c r="A23" s="781" t="str">
        <f t="shared" si="2"/>
        <v>2016-2017annual</v>
      </c>
      <c r="B23" s="1342"/>
      <c r="C23" s="1167">
        <v>5147767</v>
      </c>
      <c r="D23" s="1167">
        <v>130254</v>
      </c>
      <c r="E23" s="1167" t="s">
        <v>2954</v>
      </c>
      <c r="F23" s="1167" t="s">
        <v>2952</v>
      </c>
      <c r="G23" s="1167" t="s">
        <v>2953</v>
      </c>
      <c r="H23" s="1167" t="s">
        <v>2999</v>
      </c>
      <c r="I23" s="1167" t="s">
        <v>2999</v>
      </c>
      <c r="J23" s="1167" t="s">
        <v>3002</v>
      </c>
      <c r="K23" s="1108">
        <v>32017</v>
      </c>
      <c r="L23" s="1167"/>
      <c r="M23" s="1167" t="s">
        <v>32</v>
      </c>
      <c r="N23" s="1167">
        <v>7000</v>
      </c>
      <c r="O23" s="1342">
        <v>5000</v>
      </c>
      <c r="P23" s="830" t="str">
        <f>Cotations!Q23</f>
        <v/>
      </c>
      <c r="Q23" s="1110">
        <v>0</v>
      </c>
      <c r="R23" s="452">
        <f t="shared" si="8"/>
        <v>4</v>
      </c>
      <c r="S23" s="452">
        <f t="shared" si="9"/>
        <v>109</v>
      </c>
      <c r="T23" s="1390">
        <v>42566</v>
      </c>
      <c r="U23" s="1390">
        <v>42674</v>
      </c>
      <c r="V23" s="1167" t="s">
        <v>1975</v>
      </c>
      <c r="W23" s="1167" t="s">
        <v>3012</v>
      </c>
      <c r="X23" s="1167" t="s">
        <v>3013</v>
      </c>
      <c r="Y23" s="658">
        <f t="shared" si="3"/>
        <v>42930</v>
      </c>
    </row>
    <row r="24" spans="1:25" s="774" customFormat="1" ht="15" customHeight="1">
      <c r="A24" s="781" t="str">
        <f t="shared" si="2"/>
        <v>2016-2017annual</v>
      </c>
      <c r="B24" s="1342"/>
      <c r="C24" s="1167">
        <v>5147767</v>
      </c>
      <c r="D24" s="1167">
        <v>130254</v>
      </c>
      <c r="E24" s="1167" t="s">
        <v>2954</v>
      </c>
      <c r="F24" s="1167" t="s">
        <v>2952</v>
      </c>
      <c r="G24" s="1167" t="s">
        <v>2953</v>
      </c>
      <c r="H24" s="1167" t="s">
        <v>2999</v>
      </c>
      <c r="I24" s="1167" t="s">
        <v>2999</v>
      </c>
      <c r="J24" s="1167" t="s">
        <v>3002</v>
      </c>
      <c r="K24" s="1108">
        <v>32017</v>
      </c>
      <c r="L24" s="1167"/>
      <c r="M24" s="1167" t="s">
        <v>32</v>
      </c>
      <c r="N24" s="1167">
        <v>3500</v>
      </c>
      <c r="O24" s="1342">
        <v>8000</v>
      </c>
      <c r="P24" s="830" t="str">
        <f>Cotations!Q24</f>
        <v/>
      </c>
      <c r="Q24" s="1110">
        <v>0</v>
      </c>
      <c r="R24" s="452">
        <f t="shared" si="8"/>
        <v>3</v>
      </c>
      <c r="S24" s="452">
        <f t="shared" si="9"/>
        <v>75</v>
      </c>
      <c r="T24" s="1390">
        <v>42675</v>
      </c>
      <c r="U24" s="1390">
        <v>42749</v>
      </c>
      <c r="V24" s="1167" t="s">
        <v>1975</v>
      </c>
      <c r="W24" s="1167" t="s">
        <v>3080</v>
      </c>
      <c r="X24" s="1167" t="s">
        <v>3013</v>
      </c>
      <c r="Y24" s="658">
        <f t="shared" si="3"/>
        <v>42930</v>
      </c>
    </row>
    <row r="25" spans="1:25" s="1109" customFormat="1" ht="15" customHeight="1">
      <c r="A25" s="654" t="str">
        <f t="shared" si="2"/>
        <v>2016-2017annual</v>
      </c>
      <c r="B25" s="1167"/>
      <c r="C25" s="1167">
        <v>5625896</v>
      </c>
      <c r="D25" s="1167">
        <v>132892</v>
      </c>
      <c r="E25" s="1167" t="s">
        <v>2957</v>
      </c>
      <c r="F25" s="1167" t="s">
        <v>2955</v>
      </c>
      <c r="G25" s="1167" t="s">
        <v>2956</v>
      </c>
      <c r="H25" s="1167" t="s">
        <v>3007</v>
      </c>
      <c r="I25" s="1167" t="s">
        <v>3007</v>
      </c>
      <c r="J25" s="1167" t="s">
        <v>3002</v>
      </c>
      <c r="K25" s="1108">
        <v>28560</v>
      </c>
      <c r="L25" s="1167"/>
      <c r="M25" s="1167" t="s">
        <v>32</v>
      </c>
      <c r="N25" s="1167">
        <v>3500</v>
      </c>
      <c r="O25" s="1167">
        <v>12000</v>
      </c>
      <c r="P25" s="830" t="str">
        <f>Cotations!Q25</f>
        <v/>
      </c>
      <c r="Q25" s="1110">
        <v>0</v>
      </c>
      <c r="R25" s="452">
        <f t="shared" si="8"/>
        <v>4</v>
      </c>
      <c r="S25" s="452">
        <f t="shared" si="9"/>
        <v>110</v>
      </c>
      <c r="T25" s="1390">
        <v>42566</v>
      </c>
      <c r="U25" s="1390">
        <v>42675</v>
      </c>
      <c r="V25" s="1167" t="s">
        <v>1975</v>
      </c>
      <c r="W25" s="1167" t="s">
        <v>3012</v>
      </c>
      <c r="X25" s="1167" t="s">
        <v>3013</v>
      </c>
      <c r="Y25" s="658">
        <f t="shared" si="3"/>
        <v>42930</v>
      </c>
    </row>
    <row r="26" spans="1:25" s="1109" customFormat="1" ht="15" customHeight="1">
      <c r="A26" s="654" t="str">
        <f t="shared" si="2"/>
        <v>2016-2017annual</v>
      </c>
      <c r="B26" s="1167"/>
      <c r="C26" s="1167">
        <v>5934982</v>
      </c>
      <c r="D26" s="1167">
        <v>133442</v>
      </c>
      <c r="E26" s="1167" t="s">
        <v>2943</v>
      </c>
      <c r="F26" s="1167" t="s">
        <v>2959</v>
      </c>
      <c r="G26" s="1167" t="s">
        <v>2960</v>
      </c>
      <c r="H26" s="1167" t="s">
        <v>3005</v>
      </c>
      <c r="I26" s="1167" t="s">
        <v>3005</v>
      </c>
      <c r="J26" s="1167" t="s">
        <v>3002</v>
      </c>
      <c r="K26" s="1108">
        <v>26888</v>
      </c>
      <c r="L26" s="1167"/>
      <c r="M26" s="1167" t="s">
        <v>32</v>
      </c>
      <c r="N26" s="1167">
        <v>6000</v>
      </c>
      <c r="O26" s="1167">
        <v>9000</v>
      </c>
      <c r="P26" s="830" t="str">
        <f>Cotations!Q26</f>
        <v/>
      </c>
      <c r="Q26" s="1110">
        <v>0</v>
      </c>
      <c r="R26" s="452">
        <f t="shared" si="8"/>
        <v>3</v>
      </c>
      <c r="S26" s="452">
        <f t="shared" si="9"/>
        <v>75</v>
      </c>
      <c r="T26" s="1390">
        <v>42675</v>
      </c>
      <c r="U26" s="1390">
        <v>42749</v>
      </c>
      <c r="V26" s="1167" t="s">
        <v>1975</v>
      </c>
      <c r="W26" s="1167" t="s">
        <v>3080</v>
      </c>
      <c r="X26" s="1167" t="s">
        <v>3013</v>
      </c>
      <c r="Y26" s="658">
        <f t="shared" si="3"/>
        <v>42930</v>
      </c>
    </row>
    <row r="27" spans="1:25" s="1109" customFormat="1" ht="15" customHeight="1">
      <c r="A27" s="654" t="str">
        <f t="shared" si="2"/>
        <v>2016-2017annual</v>
      </c>
      <c r="B27" s="1167"/>
      <c r="C27" s="1167"/>
      <c r="D27" s="1167">
        <v>135200</v>
      </c>
      <c r="E27" s="1167" t="s">
        <v>2962</v>
      </c>
      <c r="F27" s="1167" t="s">
        <v>2961</v>
      </c>
      <c r="G27" s="1167" t="s">
        <v>776</v>
      </c>
      <c r="H27" s="1167" t="s">
        <v>3008</v>
      </c>
      <c r="I27" s="1167" t="s">
        <v>3008</v>
      </c>
      <c r="J27" s="1167" t="s">
        <v>3002</v>
      </c>
      <c r="K27" s="1108">
        <v>33165</v>
      </c>
      <c r="L27" s="1167"/>
      <c r="M27" s="1167" t="s">
        <v>32</v>
      </c>
      <c r="N27" s="1167">
        <v>3500</v>
      </c>
      <c r="O27" s="1167">
        <v>5000</v>
      </c>
      <c r="P27" s="830" t="str">
        <f>Cotations!Q27</f>
        <v/>
      </c>
      <c r="Q27" s="1110">
        <v>0</v>
      </c>
      <c r="R27" s="452">
        <f t="shared" si="8"/>
        <v>3</v>
      </c>
      <c r="S27" s="452">
        <f t="shared" si="9"/>
        <v>75</v>
      </c>
      <c r="T27" s="1390">
        <v>42675</v>
      </c>
      <c r="U27" s="1390">
        <v>42749</v>
      </c>
      <c r="V27" s="1167" t="s">
        <v>1975</v>
      </c>
      <c r="W27" s="1167" t="s">
        <v>3080</v>
      </c>
      <c r="X27" s="1167" t="s">
        <v>3013</v>
      </c>
      <c r="Y27" s="658">
        <f t="shared" si="3"/>
        <v>42930</v>
      </c>
    </row>
    <row r="28" spans="1:25" s="1109" customFormat="1" ht="15" customHeight="1">
      <c r="A28" s="654" t="str">
        <f t="shared" si="2"/>
        <v>2016-2017annual</v>
      </c>
      <c r="B28" s="1167"/>
      <c r="C28" s="1167"/>
      <c r="D28" s="1167">
        <v>135199</v>
      </c>
      <c r="E28" s="1167" t="s">
        <v>2966</v>
      </c>
      <c r="F28" s="1167" t="s">
        <v>2964</v>
      </c>
      <c r="G28" s="1167" t="s">
        <v>2965</v>
      </c>
      <c r="H28" s="1167" t="s">
        <v>3008</v>
      </c>
      <c r="I28" s="1167" t="s">
        <v>3008</v>
      </c>
      <c r="J28" s="1167" t="s">
        <v>3002</v>
      </c>
      <c r="K28" s="1108">
        <v>29133</v>
      </c>
      <c r="L28" s="1167"/>
      <c r="M28" s="1167" t="s">
        <v>32</v>
      </c>
      <c r="N28" s="1167">
        <v>7000</v>
      </c>
      <c r="O28" s="1167">
        <v>4500</v>
      </c>
      <c r="P28" s="830" t="str">
        <f>Cotations!Q28</f>
        <v/>
      </c>
      <c r="Q28" s="1110">
        <v>0</v>
      </c>
      <c r="R28" s="452">
        <f t="shared" si="8"/>
        <v>3</v>
      </c>
      <c r="S28" s="452">
        <f t="shared" si="9"/>
        <v>75</v>
      </c>
      <c r="T28" s="1390">
        <v>42675</v>
      </c>
      <c r="U28" s="1390">
        <v>42749</v>
      </c>
      <c r="V28" s="1167" t="s">
        <v>1975</v>
      </c>
      <c r="W28" s="1167" t="s">
        <v>3080</v>
      </c>
      <c r="X28" s="1167" t="s">
        <v>3013</v>
      </c>
      <c r="Y28" s="658">
        <f t="shared" si="3"/>
        <v>42930</v>
      </c>
    </row>
    <row r="29" spans="1:25" s="1127" customFormat="1" ht="15" customHeight="1">
      <c r="A29" s="654" t="str">
        <f t="shared" si="2"/>
        <v>2016-2017annual</v>
      </c>
      <c r="B29" s="1167"/>
      <c r="C29" s="1167">
        <v>6005180</v>
      </c>
      <c r="D29" s="1167">
        <v>134150</v>
      </c>
      <c r="E29" s="1167" t="s">
        <v>2969</v>
      </c>
      <c r="F29" s="1167" t="s">
        <v>2967</v>
      </c>
      <c r="G29" s="1167" t="s">
        <v>2968</v>
      </c>
      <c r="H29" s="1167" t="s">
        <v>3009</v>
      </c>
      <c r="I29" s="1167" t="s">
        <v>3009</v>
      </c>
      <c r="J29" s="1167" t="s">
        <v>3002</v>
      </c>
      <c r="K29" s="1108">
        <v>33554</v>
      </c>
      <c r="L29" s="1167"/>
      <c r="M29" s="1167" t="s">
        <v>32</v>
      </c>
      <c r="N29" s="1167">
        <v>2500</v>
      </c>
      <c r="O29" s="1167">
        <v>2500</v>
      </c>
      <c r="P29" s="830" t="str">
        <f>Cotations!Q29</f>
        <v/>
      </c>
      <c r="Q29" s="1110">
        <v>0</v>
      </c>
      <c r="R29" s="452">
        <f t="shared" ref="R29:R50" si="10">IF(T29="","",IF(U29="",(DATEDIF(T29,Y29,"M")+1),(DATEDIF(T29,U29,"M")+1)))</f>
        <v>4</v>
      </c>
      <c r="S29" s="452">
        <f t="shared" ref="S29:S50" si="11">IF(T29="","",DATEDIF(T29,IF(U29="",T29+365,U29),"D")+1)</f>
        <v>110</v>
      </c>
      <c r="T29" s="1390">
        <v>42566</v>
      </c>
      <c r="U29" s="1390">
        <v>42675</v>
      </c>
      <c r="V29" s="1167" t="s">
        <v>1975</v>
      </c>
      <c r="W29" s="1167" t="s">
        <v>3012</v>
      </c>
      <c r="X29" s="1167" t="s">
        <v>3013</v>
      </c>
      <c r="Y29" s="658">
        <f t="shared" si="3"/>
        <v>42930</v>
      </c>
    </row>
    <row r="30" spans="1:25" s="1127" customFormat="1" ht="15" customHeight="1">
      <c r="A30" s="654" t="str">
        <f t="shared" si="2"/>
        <v>2016-2017annual</v>
      </c>
      <c r="B30" s="1167"/>
      <c r="C30" s="1167"/>
      <c r="D30" s="1167">
        <v>135201</v>
      </c>
      <c r="E30" s="1167" t="s">
        <v>2974</v>
      </c>
      <c r="F30" s="1167" t="s">
        <v>2972</v>
      </c>
      <c r="G30" s="1167" t="s">
        <v>2973</v>
      </c>
      <c r="H30" s="1167" t="s">
        <v>3008</v>
      </c>
      <c r="I30" s="1167" t="s">
        <v>3008</v>
      </c>
      <c r="J30" s="1167" t="s">
        <v>3002</v>
      </c>
      <c r="K30" s="1108">
        <v>29363</v>
      </c>
      <c r="L30" s="1167"/>
      <c r="M30" s="1167" t="s">
        <v>32</v>
      </c>
      <c r="N30" s="1167">
        <v>3000</v>
      </c>
      <c r="O30" s="1167">
        <v>4500</v>
      </c>
      <c r="P30" s="830" t="str">
        <f>Cotations!Q30</f>
        <v/>
      </c>
      <c r="Q30" s="1110">
        <v>0</v>
      </c>
      <c r="R30" s="452">
        <f t="shared" si="10"/>
        <v>3</v>
      </c>
      <c r="S30" s="452">
        <f t="shared" si="11"/>
        <v>75</v>
      </c>
      <c r="T30" s="1390">
        <v>42675</v>
      </c>
      <c r="U30" s="1390">
        <v>42749</v>
      </c>
      <c r="V30" s="1167" t="s">
        <v>1975</v>
      </c>
      <c r="W30" s="1167" t="s">
        <v>3080</v>
      </c>
      <c r="X30" s="1167" t="s">
        <v>3013</v>
      </c>
      <c r="Y30" s="658">
        <f t="shared" si="3"/>
        <v>42930</v>
      </c>
    </row>
    <row r="31" spans="1:25" s="1127" customFormat="1" ht="15" customHeight="1">
      <c r="A31" s="654" t="str">
        <f t="shared" si="2"/>
        <v>2016-2017annual</v>
      </c>
      <c r="B31" s="1167"/>
      <c r="C31" s="1167">
        <v>5991471</v>
      </c>
      <c r="D31" s="1167">
        <v>133998</v>
      </c>
      <c r="E31" s="1167" t="s">
        <v>2977</v>
      </c>
      <c r="F31" s="1167" t="s">
        <v>2975</v>
      </c>
      <c r="G31" s="1167" t="s">
        <v>2976</v>
      </c>
      <c r="H31" s="1167" t="s">
        <v>3006</v>
      </c>
      <c r="I31" s="1167" t="s">
        <v>3006</v>
      </c>
      <c r="J31" s="1167" t="s">
        <v>3002</v>
      </c>
      <c r="K31" s="1108">
        <v>32440</v>
      </c>
      <c r="L31" s="1167"/>
      <c r="M31" s="1167" t="s">
        <v>32</v>
      </c>
      <c r="N31" s="1167">
        <v>2500</v>
      </c>
      <c r="O31" s="1167">
        <v>5000</v>
      </c>
      <c r="P31" s="830" t="str">
        <f>Cotations!Q31</f>
        <v/>
      </c>
      <c r="Q31" s="1110">
        <v>0</v>
      </c>
      <c r="R31" s="452">
        <f t="shared" si="10"/>
        <v>4</v>
      </c>
      <c r="S31" s="452">
        <f t="shared" si="11"/>
        <v>110</v>
      </c>
      <c r="T31" s="1390">
        <v>42566</v>
      </c>
      <c r="U31" s="1390">
        <v>42675</v>
      </c>
      <c r="V31" s="1167" t="s">
        <v>1975</v>
      </c>
      <c r="W31" s="1167" t="s">
        <v>3012</v>
      </c>
      <c r="X31" s="1167" t="s">
        <v>3013</v>
      </c>
      <c r="Y31" s="658">
        <f t="shared" si="3"/>
        <v>42930</v>
      </c>
    </row>
    <row r="32" spans="1:25" s="782" customFormat="1">
      <c r="A32" s="654" t="str">
        <f t="shared" ref="A32:A47" si="12">IF(D32="","",IF(U32="",$W$3&amp;V32,YEAR(T32)&amp;"-"&amp;YEAR(Y32)&amp;V32))</f>
        <v>2016-2017annual</v>
      </c>
      <c r="B32" s="1342"/>
      <c r="C32" s="1167">
        <v>5991494</v>
      </c>
      <c r="D32" s="1167">
        <v>134001</v>
      </c>
      <c r="E32" s="1167" t="s">
        <v>2980</v>
      </c>
      <c r="F32" s="1167" t="s">
        <v>2978</v>
      </c>
      <c r="G32" s="1167" t="s">
        <v>2979</v>
      </c>
      <c r="H32" s="1167" t="s">
        <v>3010</v>
      </c>
      <c r="I32" s="1167" t="s">
        <v>3010</v>
      </c>
      <c r="J32" s="1167" t="s">
        <v>3000</v>
      </c>
      <c r="K32" s="1108">
        <v>32558</v>
      </c>
      <c r="L32" s="1167"/>
      <c r="M32" s="1167" t="s">
        <v>32</v>
      </c>
      <c r="N32" s="1167">
        <v>3000</v>
      </c>
      <c r="O32" s="1342">
        <v>5000</v>
      </c>
      <c r="P32" s="830" t="str">
        <f>Cotations!Q32</f>
        <v/>
      </c>
      <c r="Q32" s="1110">
        <v>0</v>
      </c>
      <c r="R32" s="452">
        <f t="shared" si="10"/>
        <v>4</v>
      </c>
      <c r="S32" s="452">
        <f t="shared" si="11"/>
        <v>110</v>
      </c>
      <c r="T32" s="1390">
        <v>42566</v>
      </c>
      <c r="U32" s="1390">
        <v>42675</v>
      </c>
      <c r="V32" s="1167" t="s">
        <v>1975</v>
      </c>
      <c r="W32" s="1167" t="s">
        <v>3012</v>
      </c>
      <c r="X32" s="1167" t="s">
        <v>3013</v>
      </c>
      <c r="Y32" s="658">
        <f t="shared" ref="Y32:Y47" si="13">IF(T32="","",IF(U32="",DATERENOUV,IF(DATERENOUVMOINS365&gt;=U32,DATERENOUVMOINS365,DATERENOUV)))</f>
        <v>42930</v>
      </c>
    </row>
    <row r="33" spans="1:25" s="782" customFormat="1">
      <c r="A33" s="781" t="str">
        <f t="shared" si="12"/>
        <v>2016-2017annual</v>
      </c>
      <c r="B33" s="1342"/>
      <c r="C33" s="1167">
        <v>5987220</v>
      </c>
      <c r="D33" s="1167">
        <v>134232</v>
      </c>
      <c r="E33" s="1167" t="s">
        <v>2917</v>
      </c>
      <c r="F33" s="1167" t="s">
        <v>2983</v>
      </c>
      <c r="G33" s="1167" t="s">
        <v>2984</v>
      </c>
      <c r="H33" s="1167" t="s">
        <v>3011</v>
      </c>
      <c r="I33" s="1167" t="s">
        <v>3011</v>
      </c>
      <c r="J33" s="1167" t="s">
        <v>3000</v>
      </c>
      <c r="K33" s="1108">
        <v>34111</v>
      </c>
      <c r="L33" s="1167" t="s">
        <v>2985</v>
      </c>
      <c r="M33" s="1167" t="s">
        <v>32</v>
      </c>
      <c r="N33" s="1167">
        <v>2500</v>
      </c>
      <c r="O33" s="1342">
        <v>1700</v>
      </c>
      <c r="P33" s="830" t="str">
        <f>Cotations!Q33</f>
        <v/>
      </c>
      <c r="Q33" s="1110">
        <v>0</v>
      </c>
      <c r="R33" s="452">
        <f t="shared" si="10"/>
        <v>4</v>
      </c>
      <c r="S33" s="452">
        <f t="shared" si="11"/>
        <v>110</v>
      </c>
      <c r="T33" s="1390">
        <v>42566</v>
      </c>
      <c r="U33" s="1390">
        <v>42675</v>
      </c>
      <c r="V33" s="1167" t="s">
        <v>1975</v>
      </c>
      <c r="W33" s="1167" t="s">
        <v>3012</v>
      </c>
      <c r="X33" s="1167" t="s">
        <v>3013</v>
      </c>
      <c r="Y33" s="658">
        <f t="shared" si="13"/>
        <v>42930</v>
      </c>
    </row>
    <row r="34" spans="1:25" s="1281" customFormat="1">
      <c r="A34" s="1428" t="str">
        <f t="shared" si="12"/>
        <v>2016-2017annual</v>
      </c>
      <c r="B34" s="1426"/>
      <c r="C34" s="1426">
        <v>5939898</v>
      </c>
      <c r="D34" s="1426">
        <v>133440</v>
      </c>
      <c r="E34" s="1426" t="s">
        <v>2937</v>
      </c>
      <c r="F34" s="1426" t="s">
        <v>2935</v>
      </c>
      <c r="G34" s="1426" t="s">
        <v>2936</v>
      </c>
      <c r="H34" s="1426" t="s">
        <v>3004</v>
      </c>
      <c r="I34" s="1426" t="s">
        <v>3004</v>
      </c>
      <c r="J34" s="1426" t="s">
        <v>3002</v>
      </c>
      <c r="K34" s="1427">
        <v>30123</v>
      </c>
      <c r="L34" s="1426"/>
      <c r="M34" s="1426" t="s">
        <v>32</v>
      </c>
      <c r="N34" s="1426">
        <v>4000</v>
      </c>
      <c r="O34" s="1426">
        <v>1666</v>
      </c>
      <c r="P34" s="830" t="str">
        <f>Cotations!Q34</f>
        <v/>
      </c>
      <c r="Q34" s="1110">
        <v>0</v>
      </c>
      <c r="R34" s="452">
        <f t="shared" si="10"/>
        <v>4</v>
      </c>
      <c r="S34" s="452">
        <f t="shared" si="11"/>
        <v>109</v>
      </c>
      <c r="T34" s="1388">
        <v>42566</v>
      </c>
      <c r="U34" s="1388">
        <v>42674</v>
      </c>
      <c r="V34" s="1426" t="s">
        <v>1975</v>
      </c>
      <c r="W34" s="1426" t="s">
        <v>3012</v>
      </c>
      <c r="X34" s="1426" t="s">
        <v>3014</v>
      </c>
      <c r="Y34" s="1429">
        <f t="shared" si="13"/>
        <v>42930</v>
      </c>
    </row>
    <row r="35" spans="1:25" s="1281" customFormat="1">
      <c r="A35" s="1428" t="str">
        <f t="shared" si="12"/>
        <v>2016-2017annual</v>
      </c>
      <c r="B35" s="1426"/>
      <c r="C35" s="1426">
        <v>5115732</v>
      </c>
      <c r="D35" s="1426">
        <v>133586</v>
      </c>
      <c r="E35" s="1426" t="s">
        <v>2943</v>
      </c>
      <c r="F35" s="1426" t="s">
        <v>2940</v>
      </c>
      <c r="G35" s="1426" t="s">
        <v>2941</v>
      </c>
      <c r="H35" s="1426" t="s">
        <v>3005</v>
      </c>
      <c r="I35" s="1426" t="s">
        <v>3005</v>
      </c>
      <c r="J35" s="1426" t="s">
        <v>3002</v>
      </c>
      <c r="K35" s="1427">
        <v>28337</v>
      </c>
      <c r="L35" s="1426"/>
      <c r="M35" s="1426" t="s">
        <v>32</v>
      </c>
      <c r="N35" s="1426">
        <v>7000</v>
      </c>
      <c r="O35" s="1426">
        <v>9000</v>
      </c>
      <c r="P35" s="830" t="str">
        <f>Cotations!Q35</f>
        <v/>
      </c>
      <c r="Q35" s="1110">
        <v>0</v>
      </c>
      <c r="R35" s="452">
        <f t="shared" si="10"/>
        <v>4</v>
      </c>
      <c r="S35" s="452">
        <f t="shared" si="11"/>
        <v>109</v>
      </c>
      <c r="T35" s="1388">
        <v>42566</v>
      </c>
      <c r="U35" s="1388">
        <v>42674</v>
      </c>
      <c r="V35" s="1426" t="s">
        <v>1975</v>
      </c>
      <c r="W35" s="1426" t="s">
        <v>3012</v>
      </c>
      <c r="X35" s="1426" t="s">
        <v>3014</v>
      </c>
      <c r="Y35" s="1429">
        <f t="shared" si="13"/>
        <v>42930</v>
      </c>
    </row>
    <row r="36" spans="1:25" s="1281" customFormat="1">
      <c r="A36" s="1428" t="str">
        <f t="shared" si="12"/>
        <v>2016-2017annual</v>
      </c>
      <c r="B36" s="1426"/>
      <c r="C36" s="1426">
        <v>5934982</v>
      </c>
      <c r="D36" s="1426">
        <v>133442</v>
      </c>
      <c r="E36" s="1426" t="s">
        <v>2943</v>
      </c>
      <c r="F36" s="1426" t="s">
        <v>2959</v>
      </c>
      <c r="G36" s="1426" t="s">
        <v>2960</v>
      </c>
      <c r="H36" s="1426" t="s">
        <v>3005</v>
      </c>
      <c r="I36" s="1426" t="s">
        <v>3005</v>
      </c>
      <c r="J36" s="1426" t="s">
        <v>3002</v>
      </c>
      <c r="K36" s="1427">
        <v>26888</v>
      </c>
      <c r="L36" s="1426"/>
      <c r="M36" s="1426" t="s">
        <v>32</v>
      </c>
      <c r="N36" s="1426">
        <v>6000</v>
      </c>
      <c r="O36" s="1426">
        <v>2500</v>
      </c>
      <c r="P36" s="830" t="str">
        <f>Cotations!Q36</f>
        <v/>
      </c>
      <c r="Q36" s="1110">
        <v>0</v>
      </c>
      <c r="R36" s="452">
        <f t="shared" si="10"/>
        <v>4</v>
      </c>
      <c r="S36" s="452">
        <f t="shared" si="11"/>
        <v>109</v>
      </c>
      <c r="T36" s="1388">
        <v>42566</v>
      </c>
      <c r="U36" s="1388">
        <v>42674</v>
      </c>
      <c r="V36" s="1426" t="s">
        <v>1975</v>
      </c>
      <c r="W36" s="1426" t="s">
        <v>3012</v>
      </c>
      <c r="X36" s="1426" t="s">
        <v>3014</v>
      </c>
      <c r="Y36" s="1429">
        <f t="shared" si="13"/>
        <v>42930</v>
      </c>
    </row>
    <row r="37" spans="1:25" s="1281" customFormat="1">
      <c r="A37" s="1428" t="str">
        <f t="shared" si="12"/>
        <v>2016-2017annual</v>
      </c>
      <c r="B37" s="1426"/>
      <c r="C37" s="1426">
        <v>5539382</v>
      </c>
      <c r="D37" s="1426">
        <v>132192</v>
      </c>
      <c r="E37" s="1426" t="s">
        <v>2992</v>
      </c>
      <c r="F37" s="1426" t="s">
        <v>2989</v>
      </c>
      <c r="G37" s="1426" t="s">
        <v>2990</v>
      </c>
      <c r="H37" s="1426" t="s">
        <v>3007</v>
      </c>
      <c r="I37" s="1426" t="s">
        <v>3007</v>
      </c>
      <c r="J37" s="1426" t="s">
        <v>3002</v>
      </c>
      <c r="K37" s="1427">
        <v>29938</v>
      </c>
      <c r="L37" s="1426" t="s">
        <v>2991</v>
      </c>
      <c r="M37" s="1426" t="s">
        <v>32</v>
      </c>
      <c r="N37" s="1426">
        <v>8000</v>
      </c>
      <c r="O37" s="1426">
        <v>2750</v>
      </c>
      <c r="P37" s="830" t="str">
        <f>Cotations!Q37</f>
        <v/>
      </c>
      <c r="Q37" s="1110">
        <v>0</v>
      </c>
      <c r="R37" s="452">
        <f t="shared" si="10"/>
        <v>4</v>
      </c>
      <c r="S37" s="452">
        <f t="shared" si="11"/>
        <v>110</v>
      </c>
      <c r="T37" s="1388">
        <v>42566</v>
      </c>
      <c r="U37" s="1388">
        <v>42675</v>
      </c>
      <c r="V37" s="1426" t="s">
        <v>1975</v>
      </c>
      <c r="W37" s="1426" t="s">
        <v>3012</v>
      </c>
      <c r="X37" s="1426" t="s">
        <v>3014</v>
      </c>
      <c r="Y37" s="1429">
        <f t="shared" si="13"/>
        <v>42930</v>
      </c>
    </row>
    <row r="38" spans="1:25" s="1281" customFormat="1">
      <c r="A38" s="1428" t="str">
        <f t="shared" si="12"/>
        <v>2016-2017annual</v>
      </c>
      <c r="B38" s="1426"/>
      <c r="C38" s="1426">
        <v>5891299</v>
      </c>
      <c r="D38" s="1426">
        <v>133338</v>
      </c>
      <c r="E38" s="1426" t="s">
        <v>2966</v>
      </c>
      <c r="F38" s="1426" t="s">
        <v>2993</v>
      </c>
      <c r="G38" s="1426" t="s">
        <v>2994</v>
      </c>
      <c r="H38" s="1426" t="s">
        <v>3005</v>
      </c>
      <c r="I38" s="1426" t="s">
        <v>3005</v>
      </c>
      <c r="J38" s="1426" t="s">
        <v>3002</v>
      </c>
      <c r="K38" s="1427">
        <v>25958</v>
      </c>
      <c r="L38" s="1426"/>
      <c r="M38" s="1426" t="s">
        <v>32</v>
      </c>
      <c r="N38" s="1426">
        <v>6000</v>
      </c>
      <c r="O38" s="1426">
        <v>15000</v>
      </c>
      <c r="P38" s="830" t="str">
        <f>Cotations!Q38</f>
        <v/>
      </c>
      <c r="Q38" s="1110">
        <v>0</v>
      </c>
      <c r="R38" s="452">
        <f t="shared" si="10"/>
        <v>4</v>
      </c>
      <c r="S38" s="452">
        <f t="shared" si="11"/>
        <v>110</v>
      </c>
      <c r="T38" s="1388">
        <v>42566</v>
      </c>
      <c r="U38" s="1388">
        <v>42675</v>
      </c>
      <c r="V38" s="1426" t="s">
        <v>1975</v>
      </c>
      <c r="W38" s="1426" t="s">
        <v>3012</v>
      </c>
      <c r="X38" s="1426" t="s">
        <v>3014</v>
      </c>
      <c r="Y38" s="1429">
        <f t="shared" si="13"/>
        <v>42930</v>
      </c>
    </row>
    <row r="39" spans="1:25" s="1281" customFormat="1">
      <c r="A39" s="1428" t="str">
        <f t="shared" si="12"/>
        <v>2016-2017annual</v>
      </c>
      <c r="B39" s="1426"/>
      <c r="C39" s="1426">
        <v>4014425</v>
      </c>
      <c r="D39" s="1426">
        <v>33</v>
      </c>
      <c r="E39" s="1426" t="s">
        <v>2997</v>
      </c>
      <c r="F39" s="1426" t="s">
        <v>2995</v>
      </c>
      <c r="G39" s="1426" t="s">
        <v>1523</v>
      </c>
      <c r="H39" s="1426" t="s">
        <v>53</v>
      </c>
      <c r="I39" s="1426" t="s">
        <v>53</v>
      </c>
      <c r="J39" s="1426" t="s">
        <v>3002</v>
      </c>
      <c r="K39" s="1427">
        <v>23157</v>
      </c>
      <c r="L39" s="1426" t="s">
        <v>2996</v>
      </c>
      <c r="M39" s="1426" t="s">
        <v>32</v>
      </c>
      <c r="N39" s="1426">
        <v>12000</v>
      </c>
      <c r="O39" s="1426">
        <v>10000</v>
      </c>
      <c r="P39" s="830" t="str">
        <f>Cotations!Q39</f>
        <v/>
      </c>
      <c r="Q39" s="1110">
        <v>0</v>
      </c>
      <c r="R39" s="452">
        <f t="shared" si="10"/>
        <v>6</v>
      </c>
      <c r="S39" s="452">
        <f t="shared" si="11"/>
        <v>184</v>
      </c>
      <c r="T39" s="1388">
        <v>42566</v>
      </c>
      <c r="U39" s="1388">
        <v>42749</v>
      </c>
      <c r="V39" s="1426" t="s">
        <v>1975</v>
      </c>
      <c r="W39" s="1426" t="s">
        <v>3012</v>
      </c>
      <c r="X39" s="1426" t="s">
        <v>3014</v>
      </c>
      <c r="Y39" s="1429">
        <f t="shared" si="13"/>
        <v>42930</v>
      </c>
    </row>
    <row r="40" spans="1:25" s="1281" customFormat="1">
      <c r="A40" s="1428" t="str">
        <f t="shared" si="12"/>
        <v>-1-annual</v>
      </c>
      <c r="B40" s="1426"/>
      <c r="C40" s="1426">
        <v>4014425</v>
      </c>
      <c r="D40" s="1426">
        <v>33</v>
      </c>
      <c r="E40" s="1426" t="s">
        <v>2997</v>
      </c>
      <c r="F40" s="1426" t="s">
        <v>2995</v>
      </c>
      <c r="G40" s="1426" t="s">
        <v>1523</v>
      </c>
      <c r="H40" s="1426" t="s">
        <v>53</v>
      </c>
      <c r="I40" s="1426" t="s">
        <v>2998</v>
      </c>
      <c r="J40" s="1426" t="s">
        <v>3002</v>
      </c>
      <c r="K40" s="1427">
        <v>23157</v>
      </c>
      <c r="L40" s="1426" t="s">
        <v>2996</v>
      </c>
      <c r="M40" s="1426" t="s">
        <v>32</v>
      </c>
      <c r="N40" s="1426">
        <v>12000</v>
      </c>
      <c r="O40" s="1426">
        <v>2500</v>
      </c>
      <c r="P40" s="830">
        <f>Cotations!Q40</f>
        <v>12000</v>
      </c>
      <c r="Q40" s="1110">
        <v>0</v>
      </c>
      <c r="R40" s="452">
        <f t="shared" si="10"/>
        <v>6</v>
      </c>
      <c r="S40" s="452">
        <f t="shared" si="11"/>
        <v>366</v>
      </c>
      <c r="T40" s="1427">
        <v>42750</v>
      </c>
      <c r="U40" s="1426"/>
      <c r="V40" s="1426" t="s">
        <v>1975</v>
      </c>
      <c r="W40" s="1426" t="s">
        <v>3098</v>
      </c>
      <c r="X40" s="1426" t="s">
        <v>2583</v>
      </c>
      <c r="Y40" s="1429">
        <f t="shared" si="13"/>
        <v>42930</v>
      </c>
    </row>
    <row r="41" spans="1:25" s="158" customFormat="1">
      <c r="A41" s="156" t="str">
        <f t="shared" si="12"/>
        <v>-1-annual</v>
      </c>
      <c r="B41" s="1342"/>
      <c r="C41" s="1342"/>
      <c r="D41" s="1342">
        <v>135202</v>
      </c>
      <c r="E41" s="1342" t="s">
        <v>2925</v>
      </c>
      <c r="F41" s="1342" t="s">
        <v>2928</v>
      </c>
      <c r="G41" s="1342" t="s">
        <v>2929</v>
      </c>
      <c r="H41" s="1167" t="s">
        <v>2926</v>
      </c>
      <c r="I41" s="1167" t="s">
        <v>2927</v>
      </c>
      <c r="J41" s="1167" t="s">
        <v>3002</v>
      </c>
      <c r="K41" s="1108">
        <v>29104</v>
      </c>
      <c r="L41" s="1167"/>
      <c r="M41" s="1167" t="s">
        <v>32</v>
      </c>
      <c r="N41" s="1342">
        <v>4000</v>
      </c>
      <c r="O41" s="1342">
        <v>7500</v>
      </c>
      <c r="P41" s="830">
        <f>Cotations!Q41</f>
        <v>4000</v>
      </c>
      <c r="Q41" s="1110">
        <v>0</v>
      </c>
      <c r="R41" s="452">
        <f t="shared" si="10"/>
        <v>6</v>
      </c>
      <c r="S41" s="452">
        <f t="shared" si="11"/>
        <v>366</v>
      </c>
      <c r="T41" s="1343">
        <v>42750</v>
      </c>
      <c r="U41" s="1342"/>
      <c r="V41" s="1426" t="s">
        <v>1975</v>
      </c>
      <c r="W41" s="1342" t="s">
        <v>3098</v>
      </c>
      <c r="X41" s="1342" t="s">
        <v>2582</v>
      </c>
      <c r="Y41" s="576">
        <f t="shared" si="13"/>
        <v>42930</v>
      </c>
    </row>
    <row r="42" spans="1:25" s="158" customFormat="1">
      <c r="A42" s="156" t="str">
        <f t="shared" si="12"/>
        <v>-1-annual</v>
      </c>
      <c r="B42" s="1342"/>
      <c r="C42" s="1342">
        <v>5939898</v>
      </c>
      <c r="D42" s="1342">
        <v>133440</v>
      </c>
      <c r="E42" s="1342" t="s">
        <v>2937</v>
      </c>
      <c r="F42" s="1342" t="s">
        <v>2935</v>
      </c>
      <c r="G42" s="1342" t="s">
        <v>2936</v>
      </c>
      <c r="H42" s="1167" t="s">
        <v>2938</v>
      </c>
      <c r="I42" s="1167" t="s">
        <v>2939</v>
      </c>
      <c r="J42" s="1167" t="s">
        <v>3002</v>
      </c>
      <c r="K42" s="1108">
        <v>30123</v>
      </c>
      <c r="L42" s="1167"/>
      <c r="M42" s="1167" t="s">
        <v>32</v>
      </c>
      <c r="N42" s="1342">
        <v>4000</v>
      </c>
      <c r="O42" s="1342">
        <v>5000</v>
      </c>
      <c r="P42" s="830">
        <f>Cotations!Q42</f>
        <v>4000</v>
      </c>
      <c r="Q42" s="1110">
        <v>0</v>
      </c>
      <c r="R42" s="452">
        <f t="shared" si="10"/>
        <v>6</v>
      </c>
      <c r="S42" s="452">
        <f t="shared" si="11"/>
        <v>366</v>
      </c>
      <c r="T42" s="1343">
        <v>42750</v>
      </c>
      <c r="U42" s="1342"/>
      <c r="V42" s="1426" t="s">
        <v>1975</v>
      </c>
      <c r="W42" s="1342" t="s">
        <v>3098</v>
      </c>
      <c r="X42" s="1342" t="s">
        <v>2582</v>
      </c>
      <c r="Y42" s="576">
        <f t="shared" si="13"/>
        <v>42930</v>
      </c>
    </row>
    <row r="43" spans="1:25" s="158" customFormat="1">
      <c r="A43" s="156" t="str">
        <f t="shared" si="12"/>
        <v>-1-annual</v>
      </c>
      <c r="B43" s="1342"/>
      <c r="C43" s="1342">
        <v>5115732</v>
      </c>
      <c r="D43" s="1342">
        <v>133586</v>
      </c>
      <c r="E43" s="1342" t="s">
        <v>2943</v>
      </c>
      <c r="F43" s="1342" t="s">
        <v>2940</v>
      </c>
      <c r="G43" s="1342" t="s">
        <v>2941</v>
      </c>
      <c r="H43" s="1167" t="s">
        <v>2944</v>
      </c>
      <c r="I43" s="1167" t="s">
        <v>2945</v>
      </c>
      <c r="J43" s="1167" t="s">
        <v>3002</v>
      </c>
      <c r="K43" s="1108">
        <v>28337</v>
      </c>
      <c r="L43" s="1167"/>
      <c r="M43" s="1167" t="s">
        <v>32</v>
      </c>
      <c r="N43" s="1342">
        <v>7000</v>
      </c>
      <c r="O43" s="1342">
        <v>5000</v>
      </c>
      <c r="P43" s="830">
        <f>Cotations!Q43</f>
        <v>7000</v>
      </c>
      <c r="Q43" s="1110">
        <v>0</v>
      </c>
      <c r="R43" s="452">
        <f t="shared" si="10"/>
        <v>6</v>
      </c>
      <c r="S43" s="452">
        <f t="shared" si="11"/>
        <v>366</v>
      </c>
      <c r="T43" s="1343">
        <v>42750</v>
      </c>
      <c r="U43" s="1342"/>
      <c r="V43" s="1426" t="s">
        <v>1975</v>
      </c>
      <c r="W43" s="1342" t="s">
        <v>3098</v>
      </c>
      <c r="X43" s="1342" t="s">
        <v>2582</v>
      </c>
      <c r="Y43" s="576">
        <f t="shared" si="13"/>
        <v>42930</v>
      </c>
    </row>
    <row r="44" spans="1:25" s="158" customFormat="1">
      <c r="A44" s="156" t="str">
        <f t="shared" si="12"/>
        <v>-1-annual</v>
      </c>
      <c r="B44" s="1342"/>
      <c r="C44" s="1342"/>
      <c r="D44" s="1342">
        <v>135203</v>
      </c>
      <c r="E44" s="1342" t="s">
        <v>2917</v>
      </c>
      <c r="F44" s="1342" t="s">
        <v>2946</v>
      </c>
      <c r="G44" s="1342" t="s">
        <v>978</v>
      </c>
      <c r="H44" s="1167" t="s">
        <v>2947</v>
      </c>
      <c r="I44" s="1167" t="s">
        <v>2038</v>
      </c>
      <c r="J44" s="1167" t="s">
        <v>3000</v>
      </c>
      <c r="K44" s="1108">
        <v>32484</v>
      </c>
      <c r="L44" s="1167"/>
      <c r="M44" s="1167" t="s">
        <v>32</v>
      </c>
      <c r="N44" s="1342">
        <v>3000</v>
      </c>
      <c r="O44" s="1342">
        <v>6000</v>
      </c>
      <c r="P44" s="830">
        <f>Cotations!Q44</f>
        <v>3000</v>
      </c>
      <c r="Q44" s="1110">
        <v>0</v>
      </c>
      <c r="R44" s="452">
        <f t="shared" si="10"/>
        <v>6</v>
      </c>
      <c r="S44" s="452">
        <f t="shared" si="11"/>
        <v>366</v>
      </c>
      <c r="T44" s="1343">
        <v>42750</v>
      </c>
      <c r="U44" s="1342"/>
      <c r="V44" s="1426" t="s">
        <v>1975</v>
      </c>
      <c r="W44" s="1342" t="s">
        <v>3098</v>
      </c>
      <c r="X44" s="1342" t="s">
        <v>2582</v>
      </c>
      <c r="Y44" s="576">
        <f t="shared" si="13"/>
        <v>42930</v>
      </c>
    </row>
    <row r="45" spans="1:25" s="158" customFormat="1">
      <c r="A45" s="156" t="str">
        <f t="shared" si="12"/>
        <v>-1-annual</v>
      </c>
      <c r="B45" s="1342"/>
      <c r="C45" s="1342">
        <v>5147767</v>
      </c>
      <c r="D45" s="1342">
        <v>130254</v>
      </c>
      <c r="E45" s="1342" t="s">
        <v>2954</v>
      </c>
      <c r="F45" s="1342" t="s">
        <v>2952</v>
      </c>
      <c r="G45" s="1342" t="s">
        <v>2953</v>
      </c>
      <c r="H45" s="1167" t="s">
        <v>1124</v>
      </c>
      <c r="I45" s="1167" t="s">
        <v>2919</v>
      </c>
      <c r="J45" s="1167" t="s">
        <v>3002</v>
      </c>
      <c r="K45" s="1108">
        <v>32017</v>
      </c>
      <c r="L45" s="1167"/>
      <c r="M45" s="1167" t="s">
        <v>32</v>
      </c>
      <c r="N45" s="1342">
        <v>3500</v>
      </c>
      <c r="O45" s="1342">
        <v>2500</v>
      </c>
      <c r="P45" s="830">
        <f>Cotations!Q45</f>
        <v>3500</v>
      </c>
      <c r="Q45" s="1110">
        <v>0</v>
      </c>
      <c r="R45" s="452">
        <f t="shared" si="10"/>
        <v>6</v>
      </c>
      <c r="S45" s="452">
        <f t="shared" si="11"/>
        <v>366</v>
      </c>
      <c r="T45" s="1343">
        <v>42750</v>
      </c>
      <c r="U45" s="1342"/>
      <c r="V45" s="1426" t="s">
        <v>1975</v>
      </c>
      <c r="W45" s="1342" t="s">
        <v>3098</v>
      </c>
      <c r="X45" s="1342" t="s">
        <v>2582</v>
      </c>
      <c r="Y45" s="576">
        <f t="shared" si="13"/>
        <v>42930</v>
      </c>
    </row>
    <row r="46" spans="1:25" s="158" customFormat="1">
      <c r="A46" s="156" t="str">
        <f t="shared" si="12"/>
        <v>-1-annual</v>
      </c>
      <c r="B46" s="1342"/>
      <c r="C46" s="1342">
        <v>5934982</v>
      </c>
      <c r="D46" s="1342">
        <v>133442</v>
      </c>
      <c r="E46" s="1342" t="s">
        <v>2943</v>
      </c>
      <c r="F46" s="1342" t="s">
        <v>2959</v>
      </c>
      <c r="G46" s="1342" t="s">
        <v>2960</v>
      </c>
      <c r="H46" s="1167" t="s">
        <v>2944</v>
      </c>
      <c r="I46" s="1167" t="s">
        <v>2945</v>
      </c>
      <c r="J46" s="1167" t="s">
        <v>3002</v>
      </c>
      <c r="K46" s="1108">
        <v>26888</v>
      </c>
      <c r="L46" s="1167"/>
      <c r="M46" s="1167" t="s">
        <v>32</v>
      </c>
      <c r="N46" s="1342">
        <v>6000</v>
      </c>
      <c r="O46" s="1342">
        <v>5000</v>
      </c>
      <c r="P46" s="830">
        <f>Cotations!Q46</f>
        <v>6000</v>
      </c>
      <c r="Q46" s="1110">
        <v>0</v>
      </c>
      <c r="R46" s="452">
        <f t="shared" si="10"/>
        <v>6</v>
      </c>
      <c r="S46" s="452">
        <f t="shared" si="11"/>
        <v>366</v>
      </c>
      <c r="T46" s="1343">
        <v>42750</v>
      </c>
      <c r="U46" s="1342"/>
      <c r="V46" s="1426" t="s">
        <v>1975</v>
      </c>
      <c r="W46" s="1342" t="s">
        <v>3098</v>
      </c>
      <c r="X46" s="1342" t="s">
        <v>2582</v>
      </c>
      <c r="Y46" s="576">
        <f t="shared" si="13"/>
        <v>42930</v>
      </c>
    </row>
    <row r="47" spans="1:25" s="158" customFormat="1">
      <c r="A47" s="156" t="str">
        <f t="shared" si="12"/>
        <v>-1-annual</v>
      </c>
      <c r="B47" s="1342"/>
      <c r="C47" s="1342"/>
      <c r="D47" s="1342">
        <v>135200</v>
      </c>
      <c r="E47" s="1342" t="s">
        <v>2962</v>
      </c>
      <c r="F47" s="1342" t="s">
        <v>2961</v>
      </c>
      <c r="G47" s="1342" t="s">
        <v>776</v>
      </c>
      <c r="H47" s="1167" t="s">
        <v>1521</v>
      </c>
      <c r="I47" s="1167" t="s">
        <v>2963</v>
      </c>
      <c r="J47" s="1167" t="s">
        <v>3002</v>
      </c>
      <c r="K47" s="1108">
        <v>33165</v>
      </c>
      <c r="L47" s="1167"/>
      <c r="M47" s="1167" t="s">
        <v>32</v>
      </c>
      <c r="N47" s="1342">
        <v>3500</v>
      </c>
      <c r="O47" s="1342">
        <v>6000</v>
      </c>
      <c r="P47" s="830">
        <f>Cotations!Q47</f>
        <v>3500</v>
      </c>
      <c r="Q47" s="1110">
        <v>0</v>
      </c>
      <c r="R47" s="452">
        <f t="shared" si="10"/>
        <v>6</v>
      </c>
      <c r="S47" s="452">
        <f t="shared" si="11"/>
        <v>366</v>
      </c>
      <c r="T47" s="1343">
        <v>42750</v>
      </c>
      <c r="U47" s="1342"/>
      <c r="V47" s="1426" t="s">
        <v>1975</v>
      </c>
      <c r="W47" s="1342" t="s">
        <v>3098</v>
      </c>
      <c r="X47" s="1342" t="s">
        <v>2582</v>
      </c>
      <c r="Y47" s="576">
        <f t="shared" si="13"/>
        <v>42930</v>
      </c>
    </row>
    <row r="48" spans="1:25" s="158" customFormat="1">
      <c r="A48" s="156" t="str">
        <f t="shared" ref="A48:A57" si="14">IF(D48="","",IF(U48="",$W$3&amp;V48,YEAR(T48)&amp;"-"&amp;YEAR(Y48)&amp;V48))</f>
        <v>-1-annual</v>
      </c>
      <c r="B48" s="1342"/>
      <c r="C48" s="1342"/>
      <c r="D48" s="1342">
        <v>135199</v>
      </c>
      <c r="E48" s="1342" t="s">
        <v>2966</v>
      </c>
      <c r="F48" s="1342" t="s">
        <v>2964</v>
      </c>
      <c r="G48" s="1342" t="s">
        <v>2965</v>
      </c>
      <c r="H48" s="1167" t="s">
        <v>1521</v>
      </c>
      <c r="I48" s="1167" t="s">
        <v>2963</v>
      </c>
      <c r="J48" s="1167" t="s">
        <v>3002</v>
      </c>
      <c r="K48" s="1108">
        <v>29133</v>
      </c>
      <c r="L48" s="1167"/>
      <c r="M48" s="1167" t="s">
        <v>32</v>
      </c>
      <c r="N48" s="1342">
        <v>7000</v>
      </c>
      <c r="O48" s="1342">
        <v>12000</v>
      </c>
      <c r="P48" s="830">
        <f>Cotations!Q48</f>
        <v>7000</v>
      </c>
      <c r="Q48" s="1110">
        <v>0</v>
      </c>
      <c r="R48" s="452">
        <f t="shared" si="10"/>
        <v>6</v>
      </c>
      <c r="S48" s="452">
        <f t="shared" si="11"/>
        <v>366</v>
      </c>
      <c r="T48" s="1343">
        <v>42750</v>
      </c>
      <c r="U48" s="1342"/>
      <c r="V48" s="1426" t="s">
        <v>1975</v>
      </c>
      <c r="W48" s="1342" t="s">
        <v>3098</v>
      </c>
      <c r="X48" s="1342" t="s">
        <v>2582</v>
      </c>
      <c r="Y48" s="576">
        <f t="shared" ref="Y48:Y57" si="15">IF(T48="","",IF(U48="",DATERENOUV,IF(DATERENOUVMOINS365&gt;=U48,DATERENOUVMOINS365,DATERENOUV)))</f>
        <v>42930</v>
      </c>
    </row>
    <row r="49" spans="1:25" s="158" customFormat="1">
      <c r="A49" s="156" t="str">
        <f t="shared" si="14"/>
        <v>-1-annual</v>
      </c>
      <c r="B49" s="1342"/>
      <c r="C49" s="1342"/>
      <c r="D49" s="1342">
        <v>135201</v>
      </c>
      <c r="E49" s="1342" t="s">
        <v>2974</v>
      </c>
      <c r="F49" s="1342" t="s">
        <v>2972</v>
      </c>
      <c r="G49" s="1342" t="s">
        <v>2973</v>
      </c>
      <c r="H49" s="1167" t="s">
        <v>1521</v>
      </c>
      <c r="I49" s="1167" t="s">
        <v>2963</v>
      </c>
      <c r="J49" s="1167" t="s">
        <v>3002</v>
      </c>
      <c r="K49" s="1108">
        <v>29363</v>
      </c>
      <c r="L49" s="1167"/>
      <c r="M49" s="1167" t="s">
        <v>32</v>
      </c>
      <c r="N49" s="1342">
        <v>3000</v>
      </c>
      <c r="O49" s="1342">
        <v>12000</v>
      </c>
      <c r="P49" s="830">
        <f>Cotations!Q49</f>
        <v>3000</v>
      </c>
      <c r="Q49" s="1110">
        <v>0</v>
      </c>
      <c r="R49" s="452">
        <f t="shared" si="10"/>
        <v>6</v>
      </c>
      <c r="S49" s="452">
        <f t="shared" si="11"/>
        <v>366</v>
      </c>
      <c r="T49" s="1343">
        <v>42750</v>
      </c>
      <c r="U49" s="1342"/>
      <c r="V49" s="1426" t="s">
        <v>1975</v>
      </c>
      <c r="W49" s="1342" t="s">
        <v>3098</v>
      </c>
      <c r="X49" s="1342" t="s">
        <v>2582</v>
      </c>
      <c r="Y49" s="576">
        <f t="shared" si="15"/>
        <v>42930</v>
      </c>
    </row>
    <row r="50" spans="1:25" s="1127" customFormat="1">
      <c r="A50" s="654" t="str">
        <f t="shared" si="14"/>
        <v>-1-seasonal</v>
      </c>
      <c r="B50" s="1167"/>
      <c r="C50" s="1167"/>
      <c r="D50" s="1167" t="s">
        <v>3084</v>
      </c>
      <c r="E50" s="1167"/>
      <c r="F50" s="1167"/>
      <c r="G50" s="1167"/>
      <c r="H50" s="1167"/>
      <c r="I50" s="1167"/>
      <c r="J50" s="1167"/>
      <c r="K50" s="1108"/>
      <c r="L50" s="1167"/>
      <c r="M50" s="1167" t="s">
        <v>32</v>
      </c>
      <c r="N50" s="1167">
        <v>2500</v>
      </c>
      <c r="O50" s="1167">
        <v>4000</v>
      </c>
      <c r="P50" s="830">
        <f>Cotations!Q50</f>
        <v>2500</v>
      </c>
      <c r="Q50" s="1110">
        <v>0</v>
      </c>
      <c r="R50" s="452">
        <f t="shared" si="10"/>
        <v>5</v>
      </c>
      <c r="S50" s="452">
        <f t="shared" si="11"/>
        <v>366</v>
      </c>
      <c r="T50" s="1343">
        <v>42781</v>
      </c>
      <c r="U50" s="1390"/>
      <c r="V50" s="1167" t="s">
        <v>1978</v>
      </c>
      <c r="W50" s="1342" t="s">
        <v>3098</v>
      </c>
      <c r="X50" s="1342" t="s">
        <v>2582</v>
      </c>
      <c r="Y50" s="658">
        <f t="shared" si="15"/>
        <v>42930</v>
      </c>
    </row>
    <row r="51" spans="1:25" s="1127" customFormat="1">
      <c r="A51" s="654" t="str">
        <f t="shared" si="14"/>
        <v>-1-seasonal</v>
      </c>
      <c r="B51" s="1167"/>
      <c r="C51" s="1167"/>
      <c r="D51" s="1167" t="s">
        <v>3085</v>
      </c>
      <c r="E51" s="1167"/>
      <c r="F51" s="1167"/>
      <c r="G51" s="1167"/>
      <c r="H51" s="1167"/>
      <c r="I51" s="1167"/>
      <c r="J51" s="1167"/>
      <c r="K51" s="1108"/>
      <c r="L51" s="1167"/>
      <c r="M51" s="1167" t="s">
        <v>32</v>
      </c>
      <c r="N51" s="1167">
        <v>2500</v>
      </c>
      <c r="O51" s="1167">
        <v>2200</v>
      </c>
      <c r="P51" s="830">
        <f>Cotations!Q51</f>
        <v>2500</v>
      </c>
      <c r="Q51" s="1110">
        <v>0</v>
      </c>
      <c r="R51" s="452">
        <f t="shared" ref="R51:R52" si="16">IF(T51="","",IF(U51="",(DATEDIF(T51,Y51,"M")+1),(DATEDIF(T51,U51,"M")+1)))</f>
        <v>5</v>
      </c>
      <c r="S51" s="452">
        <f t="shared" ref="S51:S52" si="17">IF(T51="","",DATEDIF(T51,IF(U51="",T51+365,U51),"D")+1)</f>
        <v>366</v>
      </c>
      <c r="T51" s="1343">
        <v>42781</v>
      </c>
      <c r="U51" s="1390"/>
      <c r="V51" s="1167" t="s">
        <v>1978</v>
      </c>
      <c r="W51" s="1342" t="s">
        <v>3098</v>
      </c>
      <c r="X51" s="1342" t="s">
        <v>2582</v>
      </c>
      <c r="Y51" s="658">
        <f t="shared" si="15"/>
        <v>42930</v>
      </c>
    </row>
    <row r="52" spans="1:25" s="1127" customFormat="1">
      <c r="A52" s="654" t="str">
        <f t="shared" si="14"/>
        <v>-1-seasonal</v>
      </c>
      <c r="B52" s="1167"/>
      <c r="C52" s="1167"/>
      <c r="D52" s="1167" t="s">
        <v>3086</v>
      </c>
      <c r="E52" s="1167"/>
      <c r="F52" s="1167"/>
      <c r="G52" s="1167"/>
      <c r="H52" s="1167"/>
      <c r="I52" s="1167"/>
      <c r="J52" s="1167"/>
      <c r="K52" s="1108"/>
      <c r="L52" s="1167"/>
      <c r="M52" s="1167" t="s">
        <v>32</v>
      </c>
      <c r="N52" s="1167">
        <v>2500</v>
      </c>
      <c r="O52" s="1167">
        <v>2200</v>
      </c>
      <c r="P52" s="830">
        <f>Cotations!Q52</f>
        <v>2500</v>
      </c>
      <c r="Q52" s="1090">
        <v>0</v>
      </c>
      <c r="R52" s="452">
        <f t="shared" si="16"/>
        <v>5</v>
      </c>
      <c r="S52" s="452">
        <f t="shared" si="17"/>
        <v>366</v>
      </c>
      <c r="T52" s="1343">
        <v>42781</v>
      </c>
      <c r="U52" s="1390"/>
      <c r="V52" s="1167" t="s">
        <v>1978</v>
      </c>
      <c r="W52" s="1342" t="s">
        <v>3098</v>
      </c>
      <c r="X52" s="1342" t="s">
        <v>2582</v>
      </c>
      <c r="Y52" s="658">
        <f t="shared" si="15"/>
        <v>42930</v>
      </c>
    </row>
    <row r="53" spans="1:25" s="1127" customFormat="1">
      <c r="A53" s="654" t="str">
        <f t="shared" si="14"/>
        <v/>
      </c>
      <c r="B53" s="1167"/>
      <c r="C53" s="1167"/>
      <c r="D53" s="1167"/>
      <c r="E53" s="1167"/>
      <c r="F53" s="1167"/>
      <c r="G53" s="1167"/>
      <c r="H53" s="1167"/>
      <c r="I53" s="1167"/>
      <c r="J53" s="1167"/>
      <c r="K53" s="1108"/>
      <c r="L53" s="1167"/>
      <c r="M53" s="1167"/>
      <c r="N53" s="1167"/>
      <c r="O53" s="1167">
        <v>2500</v>
      </c>
      <c r="P53" s="830" t="str">
        <f>Cotations!Q53</f>
        <v/>
      </c>
      <c r="Q53" s="1111">
        <v>0</v>
      </c>
      <c r="R53" s="452" t="str">
        <f t="shared" ref="R53:R105" si="18">IF(T53="","",IF(U53="",(DATEDIF(T53,Y53,"M")+1),(DATEDIF(T53,U53,"M")+1)))</f>
        <v/>
      </c>
      <c r="S53" s="452" t="str">
        <f t="shared" ref="S53:S105" si="19">IF(T53="","",DATEDIF(T53,IF(U53="",T53+365,U53),"D")+1)</f>
        <v/>
      </c>
      <c r="T53" s="1343"/>
      <c r="U53" s="1390"/>
      <c r="V53" s="1167"/>
      <c r="W53" s="1342"/>
      <c r="X53" s="1342"/>
      <c r="Y53" s="658" t="str">
        <f t="shared" si="15"/>
        <v/>
      </c>
    </row>
    <row r="54" spans="1:25" s="1127" customFormat="1">
      <c r="A54" s="654" t="str">
        <f t="shared" si="14"/>
        <v/>
      </c>
      <c r="B54" s="1167"/>
      <c r="C54" s="1167"/>
      <c r="D54" s="1167"/>
      <c r="E54" s="1167"/>
      <c r="F54" s="1167"/>
      <c r="G54" s="1167"/>
      <c r="H54" s="1167"/>
      <c r="I54" s="1167"/>
      <c r="J54" s="1167"/>
      <c r="K54" s="1108"/>
      <c r="L54" s="1167"/>
      <c r="M54" s="1167"/>
      <c r="N54" s="1167"/>
      <c r="O54" s="1167">
        <v>4000</v>
      </c>
      <c r="P54" s="830" t="str">
        <f>Cotations!Q54</f>
        <v/>
      </c>
      <c r="Q54" s="1090">
        <v>0</v>
      </c>
      <c r="R54" s="452" t="str">
        <f t="shared" si="18"/>
        <v/>
      </c>
      <c r="S54" s="452" t="str">
        <f t="shared" si="19"/>
        <v/>
      </c>
      <c r="T54" s="1343"/>
      <c r="U54" s="1390"/>
      <c r="V54" s="1167"/>
      <c r="W54" s="1342"/>
      <c r="X54" s="1342"/>
      <c r="Y54" s="658" t="str">
        <f t="shared" si="15"/>
        <v/>
      </c>
    </row>
    <row r="55" spans="1:25" s="1127" customFormat="1">
      <c r="A55" s="654" t="str">
        <f t="shared" si="14"/>
        <v/>
      </c>
      <c r="B55" s="1167"/>
      <c r="C55" s="1167"/>
      <c r="D55" s="1167"/>
      <c r="E55" s="1167"/>
      <c r="F55" s="1167"/>
      <c r="G55" s="1167"/>
      <c r="H55" s="1167"/>
      <c r="I55" s="1167"/>
      <c r="J55" s="1167"/>
      <c r="K55" s="1108"/>
      <c r="L55" s="1167"/>
      <c r="M55" s="1167"/>
      <c r="N55" s="1167"/>
      <c r="O55" s="1167">
        <v>9000</v>
      </c>
      <c r="P55" s="830" t="str">
        <f>Cotations!Q55</f>
        <v/>
      </c>
      <c r="Q55" s="1111">
        <v>0</v>
      </c>
      <c r="R55" s="452" t="str">
        <f t="shared" si="18"/>
        <v/>
      </c>
      <c r="S55" s="452" t="str">
        <f t="shared" si="19"/>
        <v/>
      </c>
      <c r="T55" s="1343"/>
      <c r="U55" s="1390"/>
      <c r="V55" s="1167"/>
      <c r="W55" s="1167"/>
      <c r="X55" s="1167"/>
      <c r="Y55" s="658" t="str">
        <f t="shared" si="15"/>
        <v/>
      </c>
    </row>
    <row r="56" spans="1:25" s="1127" customFormat="1">
      <c r="A56" s="654" t="str">
        <f t="shared" si="14"/>
        <v/>
      </c>
      <c r="B56" s="1167"/>
      <c r="C56" s="1167"/>
      <c r="D56" s="1167"/>
      <c r="E56" s="1167"/>
      <c r="F56" s="1167"/>
      <c r="G56" s="1167"/>
      <c r="H56" s="1167"/>
      <c r="I56" s="1167"/>
      <c r="J56" s="1167"/>
      <c r="K56" s="1108"/>
      <c r="L56" s="1167"/>
      <c r="M56" s="1167"/>
      <c r="N56" s="1167"/>
      <c r="O56" s="1167">
        <v>2200</v>
      </c>
      <c r="P56" s="830" t="str">
        <f>Cotations!Q56</f>
        <v/>
      </c>
      <c r="Q56" s="1110">
        <v>0</v>
      </c>
      <c r="R56" s="452" t="str">
        <f t="shared" si="18"/>
        <v/>
      </c>
      <c r="S56" s="452" t="str">
        <f t="shared" si="19"/>
        <v/>
      </c>
      <c r="T56" s="1390"/>
      <c r="U56" s="1390"/>
      <c r="V56" s="1167"/>
      <c r="W56" s="1167"/>
      <c r="X56" s="1167"/>
      <c r="Y56" s="658" t="str">
        <f t="shared" si="15"/>
        <v/>
      </c>
    </row>
    <row r="57" spans="1:25" s="1127" customFormat="1">
      <c r="A57" s="654" t="str">
        <f t="shared" si="14"/>
        <v/>
      </c>
      <c r="B57" s="1399"/>
      <c r="C57" s="1399"/>
      <c r="D57" s="1399"/>
      <c r="E57" s="1399"/>
      <c r="F57" s="1399"/>
      <c r="G57" s="1399"/>
      <c r="H57" s="1399"/>
      <c r="I57" s="1399"/>
      <c r="J57" s="1399"/>
      <c r="K57" s="1400"/>
      <c r="L57" s="1399"/>
      <c r="M57" s="1399"/>
      <c r="N57" s="1399"/>
      <c r="O57" s="1399">
        <v>2500</v>
      </c>
      <c r="P57" s="830" t="str">
        <f>Cotations!Q57</f>
        <v/>
      </c>
      <c r="Q57" s="1090">
        <v>0</v>
      </c>
      <c r="R57" s="452" t="str">
        <f t="shared" si="18"/>
        <v/>
      </c>
      <c r="S57" s="452" t="str">
        <f t="shared" si="19"/>
        <v/>
      </c>
      <c r="T57" s="1401"/>
      <c r="U57" s="1401"/>
      <c r="V57" s="1399"/>
      <c r="W57" s="1399"/>
      <c r="X57" s="1399"/>
      <c r="Y57" s="658" t="str">
        <f t="shared" si="15"/>
        <v/>
      </c>
    </row>
    <row r="58" spans="1:25" s="1127" customFormat="1">
      <c r="A58" s="654" t="str">
        <f t="shared" ref="A58:A78" si="20">IF(D58="","",IF(U58="",$W$3&amp;V58,YEAR(T58)&amp;"-"&amp;YEAR(Y58)&amp;V58))</f>
        <v/>
      </c>
      <c r="B58" s="1167"/>
      <c r="C58" s="1167"/>
      <c r="D58" s="1167"/>
      <c r="E58" s="1167"/>
      <c r="F58" s="1167"/>
      <c r="G58" s="1167"/>
      <c r="H58" s="1167"/>
      <c r="I58" s="1167"/>
      <c r="J58" s="1167"/>
      <c r="K58" s="1108"/>
      <c r="L58" s="1167"/>
      <c r="M58" s="1167"/>
      <c r="N58" s="1167"/>
      <c r="O58" s="1167">
        <v>2200</v>
      </c>
      <c r="P58" s="830" t="str">
        <f>Cotations!Q58</f>
        <v/>
      </c>
      <c r="Q58" s="1111">
        <v>0</v>
      </c>
      <c r="R58" s="452" t="str">
        <f t="shared" si="18"/>
        <v/>
      </c>
      <c r="S58" s="452" t="str">
        <f t="shared" si="19"/>
        <v/>
      </c>
      <c r="T58" s="1390"/>
      <c r="U58" s="1390"/>
      <c r="V58" s="1391"/>
      <c r="W58" s="1391"/>
      <c r="X58" s="1167"/>
      <c r="Y58" s="658" t="str">
        <f t="shared" ref="Y58:Y77" si="21">IF(T58="","",IF(U58="",DATERENOUV,IF(DATERENOUVMOINS365&gt;=U58,DATERENOUVMOINS365,DATERENOUV)))</f>
        <v/>
      </c>
    </row>
    <row r="59" spans="1:25" s="1127" customFormat="1">
      <c r="A59" s="654" t="str">
        <f t="shared" si="20"/>
        <v/>
      </c>
      <c r="B59" s="1167"/>
      <c r="C59" s="1167"/>
      <c r="D59" s="1167"/>
      <c r="E59" s="1167"/>
      <c r="F59" s="1167"/>
      <c r="G59" s="1167"/>
      <c r="H59" s="1167"/>
      <c r="I59" s="1167"/>
      <c r="J59" s="1167"/>
      <c r="K59" s="1108"/>
      <c r="L59" s="1167"/>
      <c r="M59" s="1167"/>
      <c r="N59" s="1167"/>
      <c r="O59" s="1167">
        <v>4500</v>
      </c>
      <c r="P59" s="830" t="str">
        <f>Cotations!Q59</f>
        <v/>
      </c>
      <c r="Q59" s="1090">
        <v>0</v>
      </c>
      <c r="R59" s="452" t="str">
        <f t="shared" si="18"/>
        <v/>
      </c>
      <c r="S59" s="452" t="str">
        <f t="shared" si="19"/>
        <v/>
      </c>
      <c r="T59" s="1390"/>
      <c r="U59" s="1390"/>
      <c r="V59" s="1391"/>
      <c r="W59" s="1391"/>
      <c r="X59" s="1167"/>
      <c r="Y59" s="658" t="str">
        <f t="shared" si="21"/>
        <v/>
      </c>
    </row>
    <row r="60" spans="1:25" s="1127" customFormat="1">
      <c r="A60" s="654" t="str">
        <f t="shared" si="20"/>
        <v/>
      </c>
      <c r="B60" s="1167"/>
      <c r="C60" s="1167"/>
      <c r="D60" s="1167"/>
      <c r="E60" s="1167"/>
      <c r="F60" s="1167"/>
      <c r="G60" s="1167"/>
      <c r="H60" s="1167"/>
      <c r="I60" s="1167"/>
      <c r="J60" s="1167"/>
      <c r="K60" s="1108"/>
      <c r="L60" s="1167"/>
      <c r="M60" s="1167"/>
      <c r="N60" s="1167"/>
      <c r="O60" s="1167">
        <v>2500</v>
      </c>
      <c r="P60" s="830" t="str">
        <f>Cotations!Q60</f>
        <v/>
      </c>
      <c r="Q60" s="1111">
        <v>0</v>
      </c>
      <c r="R60" s="452" t="str">
        <f t="shared" si="18"/>
        <v/>
      </c>
      <c r="S60" s="452" t="str">
        <f t="shared" si="19"/>
        <v/>
      </c>
      <c r="T60" s="1390"/>
      <c r="U60" s="1390"/>
      <c r="V60" s="1391"/>
      <c r="W60" s="1391"/>
      <c r="X60" s="1167"/>
      <c r="Y60" s="658" t="str">
        <f t="shared" si="21"/>
        <v/>
      </c>
    </row>
    <row r="61" spans="1:25" s="1127" customFormat="1">
      <c r="A61" s="654" t="str">
        <f t="shared" si="20"/>
        <v/>
      </c>
      <c r="B61" s="1167"/>
      <c r="C61" s="1167"/>
      <c r="D61" s="1167"/>
      <c r="E61" s="1167"/>
      <c r="F61" s="1167"/>
      <c r="G61" s="1167"/>
      <c r="H61" s="1167"/>
      <c r="I61" s="1167"/>
      <c r="J61" s="1167"/>
      <c r="K61" s="1108"/>
      <c r="L61" s="1167"/>
      <c r="M61" s="1167"/>
      <c r="N61" s="1167"/>
      <c r="O61" s="1167">
        <v>5000</v>
      </c>
      <c r="P61" s="830" t="str">
        <f>Cotations!Q61</f>
        <v/>
      </c>
      <c r="Q61" s="1110">
        <v>0</v>
      </c>
      <c r="R61" s="452" t="str">
        <f t="shared" si="18"/>
        <v/>
      </c>
      <c r="S61" s="452" t="str">
        <f t="shared" si="19"/>
        <v/>
      </c>
      <c r="T61" s="1390"/>
      <c r="U61" s="1390"/>
      <c r="V61" s="1391"/>
      <c r="W61" s="1391"/>
      <c r="X61" s="1167"/>
      <c r="Y61" s="658" t="str">
        <f t="shared" si="21"/>
        <v/>
      </c>
    </row>
    <row r="62" spans="1:25" s="1127" customFormat="1">
      <c r="A62" s="654" t="str">
        <f t="shared" si="20"/>
        <v/>
      </c>
      <c r="B62" s="1167"/>
      <c r="C62" s="1167"/>
      <c r="D62" s="1167"/>
      <c r="E62" s="1167"/>
      <c r="F62" s="1167"/>
      <c r="G62" s="1167"/>
      <c r="H62" s="1167"/>
      <c r="I62" s="1167"/>
      <c r="J62" s="1167"/>
      <c r="K62" s="1108"/>
      <c r="L62" s="1167"/>
      <c r="M62" s="1167"/>
      <c r="N62" s="1167"/>
      <c r="O62" s="1167">
        <v>4500</v>
      </c>
      <c r="P62" s="830" t="str">
        <f>Cotations!Q62</f>
        <v/>
      </c>
      <c r="Q62" s="1090">
        <v>0</v>
      </c>
      <c r="R62" s="452" t="str">
        <f t="shared" si="18"/>
        <v/>
      </c>
      <c r="S62" s="452" t="str">
        <f t="shared" si="19"/>
        <v/>
      </c>
      <c r="T62" s="1390"/>
      <c r="U62" s="1390"/>
      <c r="V62" s="1391"/>
      <c r="W62" s="1391"/>
      <c r="X62" s="1167"/>
      <c r="Y62" s="658" t="str">
        <f t="shared" si="21"/>
        <v/>
      </c>
    </row>
    <row r="63" spans="1:25" s="1127" customFormat="1">
      <c r="A63" s="654" t="str">
        <f t="shared" si="20"/>
        <v/>
      </c>
      <c r="B63" s="1167"/>
      <c r="C63" s="1167"/>
      <c r="D63" s="1167"/>
      <c r="E63" s="1167"/>
      <c r="F63" s="1167"/>
      <c r="G63" s="1167"/>
      <c r="H63" s="1167"/>
      <c r="I63" s="1167"/>
      <c r="J63" s="1167"/>
      <c r="K63" s="1108"/>
      <c r="L63" s="1167"/>
      <c r="M63" s="1167"/>
      <c r="N63" s="1167"/>
      <c r="O63" s="1167">
        <v>3500</v>
      </c>
      <c r="P63" s="830" t="str">
        <f>Cotations!Q63</f>
        <v/>
      </c>
      <c r="Q63" s="1111">
        <v>0</v>
      </c>
      <c r="R63" s="452" t="str">
        <f t="shared" si="18"/>
        <v/>
      </c>
      <c r="S63" s="452" t="str">
        <f t="shared" si="19"/>
        <v/>
      </c>
      <c r="T63" s="1390"/>
      <c r="U63" s="1390"/>
      <c r="V63" s="1391"/>
      <c r="W63" s="1391"/>
      <c r="X63" s="1167"/>
      <c r="Y63" s="658" t="str">
        <f t="shared" si="21"/>
        <v/>
      </c>
    </row>
    <row r="64" spans="1:25" s="1127" customFormat="1">
      <c r="A64" s="654" t="str">
        <f t="shared" si="20"/>
        <v/>
      </c>
      <c r="B64" s="1167"/>
      <c r="C64" s="1167"/>
      <c r="D64" s="1167"/>
      <c r="E64" s="1167"/>
      <c r="F64" s="1167"/>
      <c r="G64" s="1167"/>
      <c r="H64" s="1167"/>
      <c r="I64" s="1167"/>
      <c r="J64" s="1167"/>
      <c r="K64" s="1108"/>
      <c r="L64" s="1167"/>
      <c r="M64" s="1167"/>
      <c r="N64" s="1167"/>
      <c r="O64" s="1167">
        <v>2500</v>
      </c>
      <c r="P64" s="830" t="str">
        <f>Cotations!Q64</f>
        <v/>
      </c>
      <c r="Q64" s="1090">
        <v>0</v>
      </c>
      <c r="R64" s="452" t="str">
        <f t="shared" si="18"/>
        <v/>
      </c>
      <c r="S64" s="452" t="str">
        <f t="shared" si="19"/>
        <v/>
      </c>
      <c r="T64" s="1390"/>
      <c r="U64" s="1390"/>
      <c r="V64" s="1391"/>
      <c r="W64" s="1391"/>
      <c r="X64" s="1167"/>
      <c r="Y64" s="658" t="str">
        <f t="shared" si="21"/>
        <v/>
      </c>
    </row>
    <row r="65" spans="1:25" s="1127" customFormat="1">
      <c r="A65" s="654" t="str">
        <f t="shared" si="20"/>
        <v/>
      </c>
      <c r="B65" s="1167"/>
      <c r="C65" s="1167"/>
      <c r="D65" s="1167"/>
      <c r="E65" s="1167"/>
      <c r="F65" s="1167"/>
      <c r="G65" s="1167"/>
      <c r="H65" s="1167"/>
      <c r="I65" s="1167"/>
      <c r="J65" s="1167"/>
      <c r="K65" s="1108"/>
      <c r="L65" s="1167"/>
      <c r="M65" s="1167"/>
      <c r="N65" s="1167"/>
      <c r="O65" s="1167">
        <v>2750</v>
      </c>
      <c r="P65" s="830" t="str">
        <f>Cotations!Q65</f>
        <v/>
      </c>
      <c r="Q65" s="1111">
        <v>0</v>
      </c>
      <c r="R65" s="452" t="str">
        <f t="shared" si="18"/>
        <v/>
      </c>
      <c r="S65" s="452" t="str">
        <f t="shared" si="19"/>
        <v/>
      </c>
      <c r="T65" s="1390"/>
      <c r="U65" s="1390"/>
      <c r="V65" s="1391"/>
      <c r="W65" s="1391"/>
      <c r="X65" s="1167"/>
      <c r="Y65" s="658" t="str">
        <f t="shared" si="21"/>
        <v/>
      </c>
    </row>
    <row r="66" spans="1:25" s="1127" customFormat="1">
      <c r="A66" s="654" t="str">
        <f t="shared" si="20"/>
        <v/>
      </c>
      <c r="B66" s="1167"/>
      <c r="C66" s="1167"/>
      <c r="D66" s="1167"/>
      <c r="E66" s="1167"/>
      <c r="F66" s="1167"/>
      <c r="G66" s="1167"/>
      <c r="H66" s="1167"/>
      <c r="I66" s="1167"/>
      <c r="J66" s="1167"/>
      <c r="K66" s="1108"/>
      <c r="L66" s="1167"/>
      <c r="M66" s="1167"/>
      <c r="N66" s="1167"/>
      <c r="O66" s="1167">
        <v>1666</v>
      </c>
      <c r="P66" s="830" t="str">
        <f>Cotations!Q66</f>
        <v/>
      </c>
      <c r="Q66" s="1110">
        <v>0</v>
      </c>
      <c r="R66" s="452" t="str">
        <f t="shared" si="18"/>
        <v/>
      </c>
      <c r="S66" s="452" t="str">
        <f t="shared" si="19"/>
        <v/>
      </c>
      <c r="T66" s="1390"/>
      <c r="U66" s="1390"/>
      <c r="V66" s="1391"/>
      <c r="W66" s="1391"/>
      <c r="X66" s="1167"/>
      <c r="Y66" s="658" t="str">
        <f t="shared" si="21"/>
        <v/>
      </c>
    </row>
    <row r="67" spans="1:25" s="1127" customFormat="1">
      <c r="A67" s="654" t="str">
        <f t="shared" si="20"/>
        <v/>
      </c>
      <c r="B67" s="1167"/>
      <c r="C67" s="1167"/>
      <c r="D67" s="1167"/>
      <c r="E67" s="1167"/>
      <c r="F67" s="1167"/>
      <c r="G67" s="1167"/>
      <c r="H67" s="1167"/>
      <c r="I67" s="1167"/>
      <c r="J67" s="1167"/>
      <c r="K67" s="1108"/>
      <c r="L67" s="1167"/>
      <c r="M67" s="1167"/>
      <c r="N67" s="1167"/>
      <c r="O67" s="1167">
        <v>2000</v>
      </c>
      <c r="P67" s="830" t="str">
        <f>Cotations!Q67</f>
        <v/>
      </c>
      <c r="Q67" s="1090">
        <v>0</v>
      </c>
      <c r="R67" s="452" t="str">
        <f t="shared" si="18"/>
        <v/>
      </c>
      <c r="S67" s="452" t="str">
        <f t="shared" si="19"/>
        <v/>
      </c>
      <c r="T67" s="1390"/>
      <c r="U67" s="1390"/>
      <c r="V67" s="1391"/>
      <c r="W67" s="1391"/>
      <c r="X67" s="1167"/>
      <c r="Y67" s="658" t="str">
        <f t="shared" si="21"/>
        <v/>
      </c>
    </row>
    <row r="68" spans="1:25" s="1127" customFormat="1">
      <c r="A68" s="654" t="str">
        <f t="shared" si="20"/>
        <v/>
      </c>
      <c r="B68" s="1167"/>
      <c r="C68" s="1167"/>
      <c r="D68" s="1167"/>
      <c r="E68" s="1167"/>
      <c r="F68" s="1167"/>
      <c r="G68" s="1167"/>
      <c r="H68" s="1167"/>
      <c r="I68" s="1167"/>
      <c r="J68" s="1167"/>
      <c r="K68" s="1108"/>
      <c r="L68" s="1167"/>
      <c r="M68" s="1167"/>
      <c r="N68" s="1167"/>
      <c r="O68" s="1167">
        <v>2500</v>
      </c>
      <c r="P68" s="830" t="str">
        <f>Cotations!Q68</f>
        <v/>
      </c>
      <c r="Q68" s="1111">
        <v>0</v>
      </c>
      <c r="R68" s="452" t="str">
        <f t="shared" si="18"/>
        <v/>
      </c>
      <c r="S68" s="452" t="str">
        <f t="shared" si="19"/>
        <v/>
      </c>
      <c r="T68" s="1390"/>
      <c r="U68" s="1390"/>
      <c r="V68" s="1391"/>
      <c r="W68" s="1391"/>
      <c r="X68" s="1167"/>
      <c r="Y68" s="658" t="str">
        <f t="shared" si="21"/>
        <v/>
      </c>
    </row>
    <row r="69" spans="1:25" s="1127" customFormat="1">
      <c r="A69" s="654" t="str">
        <f t="shared" si="20"/>
        <v/>
      </c>
      <c r="B69" s="1167"/>
      <c r="C69" s="1167"/>
      <c r="D69" s="1167"/>
      <c r="E69" s="1167"/>
      <c r="F69" s="1167"/>
      <c r="G69" s="1167"/>
      <c r="H69" s="1167"/>
      <c r="I69" s="1167"/>
      <c r="J69" s="1167"/>
      <c r="K69" s="1108"/>
      <c r="L69" s="1167"/>
      <c r="M69" s="1167"/>
      <c r="N69" s="1167"/>
      <c r="O69" s="1167">
        <v>3500</v>
      </c>
      <c r="P69" s="830" t="str">
        <f>Cotations!Q69</f>
        <v/>
      </c>
      <c r="Q69" s="1090">
        <v>0</v>
      </c>
      <c r="R69" s="452" t="str">
        <f t="shared" si="18"/>
        <v/>
      </c>
      <c r="S69" s="452" t="str">
        <f t="shared" si="19"/>
        <v/>
      </c>
      <c r="T69" s="1390"/>
      <c r="U69" s="1390"/>
      <c r="V69" s="1391"/>
      <c r="W69" s="1391"/>
      <c r="X69" s="1167"/>
      <c r="Y69" s="658" t="str">
        <f t="shared" si="21"/>
        <v/>
      </c>
    </row>
    <row r="70" spans="1:25" s="1127" customFormat="1">
      <c r="A70" s="654" t="str">
        <f t="shared" si="20"/>
        <v/>
      </c>
      <c r="B70" s="1167"/>
      <c r="C70" s="1167"/>
      <c r="D70" s="1167"/>
      <c r="E70" s="1167"/>
      <c r="F70" s="1167"/>
      <c r="G70" s="1167"/>
      <c r="H70" s="1167"/>
      <c r="I70" s="1167"/>
      <c r="J70" s="1167"/>
      <c r="K70" s="1108"/>
      <c r="L70" s="1167"/>
      <c r="M70" s="1167"/>
      <c r="N70" s="1167"/>
      <c r="O70" s="1167">
        <v>2500</v>
      </c>
      <c r="P70" s="830" t="str">
        <f>Cotations!Q70</f>
        <v/>
      </c>
      <c r="Q70" s="1111">
        <v>0</v>
      </c>
      <c r="R70" s="452" t="str">
        <f t="shared" si="18"/>
        <v/>
      </c>
      <c r="S70" s="452" t="str">
        <f t="shared" si="19"/>
        <v/>
      </c>
      <c r="T70" s="1390"/>
      <c r="U70" s="1390"/>
      <c r="V70" s="1391"/>
      <c r="W70" s="1391"/>
      <c r="X70" s="1167"/>
      <c r="Y70" s="658" t="str">
        <f t="shared" si="21"/>
        <v/>
      </c>
    </row>
    <row r="71" spans="1:25" s="1127" customFormat="1">
      <c r="A71" s="654" t="str">
        <f t="shared" si="20"/>
        <v/>
      </c>
      <c r="B71" s="1167"/>
      <c r="C71" s="1167"/>
      <c r="D71" s="1167"/>
      <c r="E71" s="1167"/>
      <c r="F71" s="1167"/>
      <c r="G71" s="1167"/>
      <c r="H71" s="1167"/>
      <c r="I71" s="1167"/>
      <c r="J71" s="1167"/>
      <c r="K71" s="1108"/>
      <c r="L71" s="1167"/>
      <c r="M71" s="1167"/>
      <c r="N71" s="1167"/>
      <c r="O71" s="1167">
        <v>6000</v>
      </c>
      <c r="P71" s="830" t="str">
        <f>Cotations!Q71</f>
        <v/>
      </c>
      <c r="Q71" s="1110">
        <v>0</v>
      </c>
      <c r="R71" s="452" t="str">
        <f t="shared" si="18"/>
        <v/>
      </c>
      <c r="S71" s="452" t="str">
        <f t="shared" si="19"/>
        <v/>
      </c>
      <c r="T71" s="1390"/>
      <c r="U71" s="1390"/>
      <c r="V71" s="1391"/>
      <c r="W71" s="1391"/>
      <c r="X71" s="1167"/>
      <c r="Y71" s="658" t="str">
        <f t="shared" si="21"/>
        <v/>
      </c>
    </row>
    <row r="72" spans="1:25" s="1127" customFormat="1">
      <c r="A72" s="654" t="str">
        <f t="shared" si="20"/>
        <v/>
      </c>
      <c r="B72" s="1167"/>
      <c r="C72" s="1167"/>
      <c r="D72" s="1167"/>
      <c r="E72" s="1167"/>
      <c r="F72" s="1167"/>
      <c r="G72" s="1167"/>
      <c r="H72" s="1167"/>
      <c r="I72" s="1167"/>
      <c r="J72" s="1167"/>
      <c r="K72" s="1108"/>
      <c r="L72" s="1167"/>
      <c r="M72" s="1167"/>
      <c r="N72" s="1167"/>
      <c r="O72" s="1167">
        <v>4500</v>
      </c>
      <c r="P72" s="830" t="str">
        <f>Cotations!Q72</f>
        <v/>
      </c>
      <c r="Q72" s="1090">
        <v>0</v>
      </c>
      <c r="R72" s="452" t="str">
        <f t="shared" si="18"/>
        <v/>
      </c>
      <c r="S72" s="452" t="str">
        <f t="shared" si="19"/>
        <v/>
      </c>
      <c r="T72" s="1390"/>
      <c r="U72" s="1390"/>
      <c r="V72" s="1391"/>
      <c r="W72" s="1391"/>
      <c r="X72" s="1167"/>
      <c r="Y72" s="658" t="str">
        <f t="shared" si="21"/>
        <v/>
      </c>
    </row>
    <row r="73" spans="1:25" s="1127" customFormat="1">
      <c r="A73" s="654" t="str">
        <f t="shared" si="20"/>
        <v/>
      </c>
      <c r="B73" s="1167"/>
      <c r="C73" s="1167"/>
      <c r="D73" s="1167"/>
      <c r="E73" s="1167"/>
      <c r="F73" s="1167"/>
      <c r="G73" s="1167"/>
      <c r="H73" s="1167"/>
      <c r="I73" s="1167"/>
      <c r="J73" s="1167"/>
      <c r="K73" s="1108"/>
      <c r="L73" s="1167"/>
      <c r="M73" s="1167"/>
      <c r="N73" s="1167"/>
      <c r="O73" s="1167">
        <v>9000</v>
      </c>
      <c r="P73" s="830" t="str">
        <f>Cotations!Q73</f>
        <v/>
      </c>
      <c r="Q73" s="1111">
        <v>0</v>
      </c>
      <c r="R73" s="452" t="str">
        <f t="shared" si="18"/>
        <v/>
      </c>
      <c r="S73" s="452" t="str">
        <f t="shared" si="19"/>
        <v/>
      </c>
      <c r="T73" s="1390"/>
      <c r="U73" s="1390"/>
      <c r="V73" s="1391"/>
      <c r="W73" s="1391"/>
      <c r="X73" s="1167"/>
      <c r="Y73" s="658" t="str">
        <f t="shared" si="21"/>
        <v/>
      </c>
    </row>
    <row r="74" spans="1:25" s="1127" customFormat="1">
      <c r="A74" s="654" t="str">
        <f t="shared" si="20"/>
        <v/>
      </c>
      <c r="B74" s="1167"/>
      <c r="C74" s="1167"/>
      <c r="D74" s="1167"/>
      <c r="E74" s="1167"/>
      <c r="F74" s="1167"/>
      <c r="G74" s="1167"/>
      <c r="H74" s="1167"/>
      <c r="I74" s="1167"/>
      <c r="J74" s="1167"/>
      <c r="K74" s="1108"/>
      <c r="L74" s="1167"/>
      <c r="M74" s="1167"/>
      <c r="N74" s="1167"/>
      <c r="O74" s="1167">
        <v>9000</v>
      </c>
      <c r="P74" s="830" t="str">
        <f>Cotations!Q74</f>
        <v/>
      </c>
      <c r="Q74" s="1090">
        <v>0</v>
      </c>
      <c r="R74" s="452" t="str">
        <f t="shared" si="18"/>
        <v/>
      </c>
      <c r="S74" s="452" t="str">
        <f t="shared" si="19"/>
        <v/>
      </c>
      <c r="T74" s="1390"/>
      <c r="U74" s="1390"/>
      <c r="V74" s="1391"/>
      <c r="W74" s="1391"/>
      <c r="X74" s="1167"/>
      <c r="Y74" s="658" t="str">
        <f t="shared" si="21"/>
        <v/>
      </c>
    </row>
    <row r="75" spans="1:25" s="1127" customFormat="1">
      <c r="A75" s="654" t="str">
        <f t="shared" si="20"/>
        <v/>
      </c>
      <c r="B75" s="1167"/>
      <c r="C75" s="1167"/>
      <c r="D75" s="1167"/>
      <c r="E75" s="1167"/>
      <c r="F75" s="1167"/>
      <c r="G75" s="1167"/>
      <c r="H75" s="1167"/>
      <c r="I75" s="1167"/>
      <c r="J75" s="1167"/>
      <c r="K75" s="1108"/>
      <c r="L75" s="1167"/>
      <c r="M75" s="1167"/>
      <c r="N75" s="1167"/>
      <c r="O75" s="1167">
        <v>5000</v>
      </c>
      <c r="P75" s="830" t="str">
        <f>Cotations!Q75</f>
        <v/>
      </c>
      <c r="Q75" s="1111">
        <v>0</v>
      </c>
      <c r="R75" s="452" t="str">
        <f t="shared" si="18"/>
        <v/>
      </c>
      <c r="S75" s="452" t="str">
        <f t="shared" si="19"/>
        <v/>
      </c>
      <c r="T75" s="1390"/>
      <c r="U75" s="1390"/>
      <c r="V75" s="1391"/>
      <c r="W75" s="1391"/>
      <c r="X75" s="1167"/>
      <c r="Y75" s="658" t="str">
        <f t="shared" si="21"/>
        <v/>
      </c>
    </row>
    <row r="76" spans="1:25" s="1127" customFormat="1">
      <c r="A76" s="654" t="str">
        <f t="shared" si="20"/>
        <v/>
      </c>
      <c r="B76" s="1167"/>
      <c r="C76" s="1167"/>
      <c r="D76" s="1167"/>
      <c r="E76" s="1167"/>
      <c r="F76" s="1167"/>
      <c r="G76" s="1167"/>
      <c r="H76" s="1167"/>
      <c r="I76" s="1167"/>
      <c r="J76" s="1167"/>
      <c r="K76" s="1108"/>
      <c r="L76" s="1167"/>
      <c r="M76" s="1167"/>
      <c r="N76" s="1167"/>
      <c r="O76" s="1167">
        <v>5000</v>
      </c>
      <c r="P76" s="830" t="str">
        <f>Cotations!Q76</f>
        <v/>
      </c>
      <c r="Q76" s="1110">
        <v>0</v>
      </c>
      <c r="R76" s="452" t="str">
        <f t="shared" si="18"/>
        <v/>
      </c>
      <c r="S76" s="452" t="str">
        <f t="shared" si="19"/>
        <v/>
      </c>
      <c r="T76" s="1390"/>
      <c r="U76" s="1390"/>
      <c r="V76" s="1391"/>
      <c r="W76" s="1391"/>
      <c r="X76" s="1167"/>
      <c r="Y76" s="658" t="str">
        <f t="shared" si="21"/>
        <v/>
      </c>
    </row>
    <row r="77" spans="1:25">
      <c r="A77" s="156" t="str">
        <f t="shared" si="20"/>
        <v/>
      </c>
      <c r="B77" s="1167"/>
      <c r="C77" s="1167"/>
      <c r="D77" s="1167"/>
      <c r="E77" s="1167"/>
      <c r="F77" s="1167"/>
      <c r="G77" s="1167"/>
      <c r="H77" s="1167"/>
      <c r="I77" s="1167"/>
      <c r="J77" s="1167"/>
      <c r="K77" s="1108"/>
      <c r="L77" s="1167"/>
      <c r="M77" s="1167"/>
      <c r="N77" s="1167"/>
      <c r="O77" s="1167">
        <v>4500</v>
      </c>
      <c r="P77" s="830" t="str">
        <f>Cotations!Q77</f>
        <v/>
      </c>
      <c r="Q77" s="1090">
        <v>0</v>
      </c>
      <c r="R77" s="452" t="str">
        <f t="shared" si="18"/>
        <v/>
      </c>
      <c r="S77" s="452" t="str">
        <f t="shared" si="19"/>
        <v/>
      </c>
      <c r="T77" s="1390"/>
      <c r="U77" s="1390"/>
      <c r="V77" s="1391"/>
      <c r="W77" s="1391"/>
      <c r="X77" s="1167"/>
      <c r="Y77" s="587" t="str">
        <f t="shared" si="21"/>
        <v/>
      </c>
    </row>
    <row r="78" spans="1:25">
      <c r="A78" s="156" t="str">
        <f t="shared" si="20"/>
        <v/>
      </c>
      <c r="B78" s="1167"/>
      <c r="C78" s="1167"/>
      <c r="D78" s="1167"/>
      <c r="E78" s="1167"/>
      <c r="F78" s="1167"/>
      <c r="G78" s="1167"/>
      <c r="H78" s="1167"/>
      <c r="I78" s="1167"/>
      <c r="J78" s="1167"/>
      <c r="K78" s="1108"/>
      <c r="L78" s="1167"/>
      <c r="M78" s="1167"/>
      <c r="N78" s="1167"/>
      <c r="O78" s="1167">
        <v>2500</v>
      </c>
      <c r="P78" s="830" t="str">
        <f>Cotations!Q78</f>
        <v/>
      </c>
      <c r="Q78" s="1111">
        <v>0</v>
      </c>
      <c r="R78" s="452" t="str">
        <f t="shared" si="18"/>
        <v/>
      </c>
      <c r="S78" s="452" t="str">
        <f t="shared" si="19"/>
        <v/>
      </c>
      <c r="T78" s="1390"/>
      <c r="U78" s="1390"/>
      <c r="V78" s="1391"/>
      <c r="W78" s="1391"/>
      <c r="X78" s="1167"/>
      <c r="Y78" s="587" t="str">
        <f t="shared" ref="Y78:Y104" si="22">IF(T78="","",IF(U78="",DATERENOUV,IF(DATERENOUVMOINS365&gt;=U78,DATERENOUVMOINS365,DATERENOUV)))</f>
        <v/>
      </c>
    </row>
    <row r="79" spans="1:25">
      <c r="A79" s="156" t="str">
        <f t="shared" ref="A79:A88" si="23">IF(D79="","",IF(U79="",$W$3&amp;V79,YEAR(T79)&amp;"-"&amp;YEAR(Y79)&amp;V79))</f>
        <v/>
      </c>
      <c r="B79" s="1167"/>
      <c r="C79" s="1167"/>
      <c r="D79" s="1167"/>
      <c r="E79" s="1167"/>
      <c r="F79" s="1167"/>
      <c r="G79" s="1167"/>
      <c r="H79" s="1167"/>
      <c r="I79" s="1167"/>
      <c r="J79" s="1167"/>
      <c r="K79" s="1108"/>
      <c r="L79" s="1167"/>
      <c r="M79" s="1167"/>
      <c r="N79" s="1167"/>
      <c r="O79" s="1167">
        <v>5000</v>
      </c>
      <c r="P79" s="830" t="str">
        <f>Cotations!Q79</f>
        <v/>
      </c>
      <c r="Q79" s="1090">
        <v>0</v>
      </c>
      <c r="R79" s="452" t="str">
        <f t="shared" si="18"/>
        <v/>
      </c>
      <c r="S79" s="452" t="str">
        <f t="shared" si="19"/>
        <v/>
      </c>
      <c r="T79" s="1390"/>
      <c r="U79" s="1390"/>
      <c r="V79" s="1391"/>
      <c r="W79" s="1391"/>
      <c r="X79" s="1167"/>
      <c r="Y79" s="587" t="str">
        <f t="shared" si="22"/>
        <v/>
      </c>
    </row>
    <row r="80" spans="1:25">
      <c r="A80" s="156" t="str">
        <f t="shared" si="23"/>
        <v/>
      </c>
      <c r="B80" s="1167"/>
      <c r="C80" s="1167"/>
      <c r="D80" s="1167"/>
      <c r="E80" s="1167"/>
      <c r="F80" s="1167"/>
      <c r="G80" s="1167"/>
      <c r="H80" s="1167"/>
      <c r="I80" s="1167"/>
      <c r="J80" s="1167"/>
      <c r="K80" s="1108"/>
      <c r="L80" s="1167"/>
      <c r="M80" s="1167"/>
      <c r="N80" s="1167"/>
      <c r="O80" s="1167">
        <v>2200</v>
      </c>
      <c r="P80" s="830" t="str">
        <f>Cotations!Q80</f>
        <v/>
      </c>
      <c r="Q80" s="1111">
        <v>0</v>
      </c>
      <c r="R80" s="452" t="str">
        <f t="shared" si="18"/>
        <v/>
      </c>
      <c r="S80" s="452" t="str">
        <f t="shared" si="19"/>
        <v/>
      </c>
      <c r="T80" s="1390"/>
      <c r="U80" s="1390"/>
      <c r="V80" s="1391"/>
      <c r="W80" s="1391"/>
      <c r="X80" s="1167"/>
      <c r="Y80" s="587" t="str">
        <f t="shared" si="22"/>
        <v/>
      </c>
    </row>
    <row r="81" spans="1:25">
      <c r="A81" s="156" t="str">
        <f t="shared" si="23"/>
        <v/>
      </c>
      <c r="B81" s="1167"/>
      <c r="C81" s="1167"/>
      <c r="D81" s="1167"/>
      <c r="E81" s="1167"/>
      <c r="F81" s="1167"/>
      <c r="G81" s="1167"/>
      <c r="H81" s="1167"/>
      <c r="I81" s="1167"/>
      <c r="J81" s="1167"/>
      <c r="K81" s="1108"/>
      <c r="L81" s="1167"/>
      <c r="M81" s="1167"/>
      <c r="N81" s="1167"/>
      <c r="O81" s="1167">
        <v>9000</v>
      </c>
      <c r="P81" s="830" t="str">
        <f>Cotations!Q81</f>
        <v/>
      </c>
      <c r="Q81" s="1110">
        <v>0</v>
      </c>
      <c r="R81" s="452" t="str">
        <f t="shared" si="18"/>
        <v/>
      </c>
      <c r="S81" s="452" t="str">
        <f t="shared" si="19"/>
        <v/>
      </c>
      <c r="T81" s="1390"/>
      <c r="U81" s="1390"/>
      <c r="V81" s="1391"/>
      <c r="W81" s="1391"/>
      <c r="X81" s="1167"/>
      <c r="Y81" s="658" t="str">
        <f t="shared" si="22"/>
        <v/>
      </c>
    </row>
    <row r="82" spans="1:25">
      <c r="A82" s="156" t="str">
        <f t="shared" si="23"/>
        <v/>
      </c>
      <c r="B82" s="1167"/>
      <c r="C82" s="1167"/>
      <c r="D82" s="1167"/>
      <c r="E82" s="1167"/>
      <c r="F82" s="1167"/>
      <c r="G82" s="1167"/>
      <c r="H82" s="1167"/>
      <c r="I82" s="1167"/>
      <c r="J82" s="1167"/>
      <c r="K82" s="1108"/>
      <c r="L82" s="1167"/>
      <c r="M82" s="1167"/>
      <c r="N82" s="1167"/>
      <c r="O82" s="1167">
        <v>4500</v>
      </c>
      <c r="P82" s="830" t="str">
        <f>Cotations!Q82</f>
        <v/>
      </c>
      <c r="Q82" s="1090">
        <v>0</v>
      </c>
      <c r="R82" s="452" t="str">
        <f t="shared" si="18"/>
        <v/>
      </c>
      <c r="S82" s="452" t="str">
        <f t="shared" si="19"/>
        <v/>
      </c>
      <c r="T82" s="1390"/>
      <c r="U82" s="1390"/>
      <c r="V82" s="1391"/>
      <c r="W82" s="1391"/>
      <c r="X82" s="1167"/>
      <c r="Y82" s="658" t="str">
        <f t="shared" si="22"/>
        <v/>
      </c>
    </row>
    <row r="83" spans="1:25">
      <c r="A83" s="156" t="str">
        <f t="shared" si="23"/>
        <v/>
      </c>
      <c r="B83" s="1167"/>
      <c r="C83" s="1167"/>
      <c r="D83" s="1167"/>
      <c r="E83" s="1167"/>
      <c r="F83" s="1167"/>
      <c r="G83" s="1167"/>
      <c r="H83" s="1167"/>
      <c r="I83" s="1167"/>
      <c r="J83" s="1167"/>
      <c r="K83" s="1108"/>
      <c r="L83" s="1167"/>
      <c r="M83" s="1167"/>
      <c r="N83" s="1167"/>
      <c r="O83" s="1167">
        <v>5000</v>
      </c>
      <c r="P83" s="830" t="str">
        <f>Cotations!Q83</f>
        <v/>
      </c>
      <c r="Q83" s="1111">
        <v>0</v>
      </c>
      <c r="R83" s="452" t="str">
        <f t="shared" si="18"/>
        <v/>
      </c>
      <c r="S83" s="452" t="str">
        <f t="shared" si="19"/>
        <v/>
      </c>
      <c r="T83" s="1390"/>
      <c r="U83" s="1390"/>
      <c r="V83" s="1391"/>
      <c r="W83" s="1391"/>
      <c r="X83" s="1167"/>
      <c r="Y83" s="658" t="str">
        <f t="shared" si="22"/>
        <v/>
      </c>
    </row>
    <row r="84" spans="1:25">
      <c r="A84" s="156" t="str">
        <f t="shared" si="23"/>
        <v/>
      </c>
      <c r="B84" s="1167"/>
      <c r="C84" s="1167"/>
      <c r="D84" s="1167"/>
      <c r="E84" s="1167"/>
      <c r="F84" s="1167"/>
      <c r="G84" s="1167"/>
      <c r="H84" s="1167"/>
      <c r="I84" s="1167"/>
      <c r="J84" s="1167"/>
      <c r="K84" s="1108"/>
      <c r="L84" s="1167"/>
      <c r="M84" s="1167"/>
      <c r="N84" s="1167"/>
      <c r="O84" s="1167">
        <v>5000</v>
      </c>
      <c r="P84" s="830" t="str">
        <f>Cotations!Q84</f>
        <v/>
      </c>
      <c r="Q84" s="1090">
        <v>0</v>
      </c>
      <c r="R84" s="452" t="str">
        <f t="shared" si="18"/>
        <v/>
      </c>
      <c r="S84" s="452" t="str">
        <f t="shared" si="19"/>
        <v/>
      </c>
      <c r="T84" s="1390"/>
      <c r="U84" s="1390"/>
      <c r="V84" s="1391"/>
      <c r="W84" s="1391"/>
      <c r="X84" s="1167"/>
      <c r="Y84" s="658" t="str">
        <f t="shared" si="22"/>
        <v/>
      </c>
    </row>
    <row r="85" spans="1:25">
      <c r="A85" s="156" t="str">
        <f t="shared" si="23"/>
        <v/>
      </c>
      <c r="B85" s="1167"/>
      <c r="C85" s="1167"/>
      <c r="D85" s="1167"/>
      <c r="E85" s="1167"/>
      <c r="F85" s="1167"/>
      <c r="G85" s="1167"/>
      <c r="H85" s="1167"/>
      <c r="I85" s="1167"/>
      <c r="J85" s="1167"/>
      <c r="K85" s="1108"/>
      <c r="L85" s="1167"/>
      <c r="M85" s="1167"/>
      <c r="N85" s="1167"/>
      <c r="O85" s="1167">
        <v>3500</v>
      </c>
      <c r="P85" s="830" t="str">
        <f>Cotations!Q85</f>
        <v/>
      </c>
      <c r="Q85" s="1111">
        <v>0</v>
      </c>
      <c r="R85" s="452" t="str">
        <f t="shared" si="18"/>
        <v/>
      </c>
      <c r="S85" s="452" t="str">
        <f t="shared" si="19"/>
        <v/>
      </c>
      <c r="T85" s="1390"/>
      <c r="U85" s="1390"/>
      <c r="V85" s="1391"/>
      <c r="W85" s="1391"/>
      <c r="X85" s="1167"/>
      <c r="Y85" s="658" t="str">
        <f t="shared" si="22"/>
        <v/>
      </c>
    </row>
    <row r="86" spans="1:25">
      <c r="A86" s="156" t="str">
        <f t="shared" si="23"/>
        <v/>
      </c>
      <c r="B86" s="1167"/>
      <c r="C86" s="1167"/>
      <c r="D86" s="1167"/>
      <c r="E86" s="1167"/>
      <c r="F86" s="1167"/>
      <c r="G86" s="1167"/>
      <c r="H86" s="1167"/>
      <c r="I86" s="1167"/>
      <c r="J86" s="1167"/>
      <c r="K86" s="1108"/>
      <c r="L86" s="1167"/>
      <c r="M86" s="1167"/>
      <c r="N86" s="1167"/>
      <c r="O86" s="1167">
        <v>2500</v>
      </c>
      <c r="P86" s="830" t="str">
        <f>Cotations!Q86</f>
        <v/>
      </c>
      <c r="Q86" s="1110">
        <v>0</v>
      </c>
      <c r="R86" s="452" t="str">
        <f t="shared" si="18"/>
        <v/>
      </c>
      <c r="S86" s="452" t="str">
        <f t="shared" si="19"/>
        <v/>
      </c>
      <c r="T86" s="1390"/>
      <c r="U86" s="1390"/>
      <c r="V86" s="1391"/>
      <c r="W86" s="1391"/>
      <c r="X86" s="1167"/>
      <c r="Y86" s="658" t="str">
        <f t="shared" si="22"/>
        <v/>
      </c>
    </row>
    <row r="87" spans="1:25">
      <c r="A87" s="156" t="str">
        <f t="shared" si="23"/>
        <v/>
      </c>
      <c r="B87" s="1167"/>
      <c r="C87" s="1167"/>
      <c r="D87" s="1167"/>
      <c r="E87" s="1167"/>
      <c r="F87" s="1167"/>
      <c r="G87" s="1167"/>
      <c r="H87" s="1167"/>
      <c r="I87" s="1167"/>
      <c r="J87" s="1167"/>
      <c r="K87" s="1108"/>
      <c r="L87" s="1167"/>
      <c r="M87" s="1167"/>
      <c r="N87" s="1167"/>
      <c r="O87" s="1167">
        <v>5000</v>
      </c>
      <c r="P87" s="830" t="str">
        <f>Cotations!Q87</f>
        <v/>
      </c>
      <c r="Q87" s="1090">
        <v>0</v>
      </c>
      <c r="R87" s="452" t="str">
        <f t="shared" si="18"/>
        <v/>
      </c>
      <c r="S87" s="452" t="str">
        <f t="shared" si="19"/>
        <v/>
      </c>
      <c r="T87" s="1390"/>
      <c r="U87" s="1390"/>
      <c r="V87" s="1391"/>
      <c r="W87" s="1391"/>
      <c r="X87" s="1167"/>
      <c r="Y87" s="658" t="str">
        <f t="shared" si="22"/>
        <v/>
      </c>
    </row>
    <row r="88" spans="1:25">
      <c r="A88" s="156" t="str">
        <f t="shared" si="23"/>
        <v/>
      </c>
      <c r="B88" s="1167"/>
      <c r="C88" s="1167"/>
      <c r="D88" s="1167"/>
      <c r="E88" s="1167"/>
      <c r="F88" s="1167"/>
      <c r="G88" s="1167"/>
      <c r="H88" s="1167"/>
      <c r="I88" s="1167"/>
      <c r="J88" s="1167"/>
      <c r="K88" s="1108"/>
      <c r="L88" s="1167"/>
      <c r="M88" s="1167"/>
      <c r="N88" s="1167"/>
      <c r="O88" s="1167">
        <v>5000</v>
      </c>
      <c r="P88" s="830" t="str">
        <f>Cotations!Q88</f>
        <v/>
      </c>
      <c r="Q88" s="1111">
        <v>0</v>
      </c>
      <c r="R88" s="452" t="str">
        <f t="shared" si="18"/>
        <v/>
      </c>
      <c r="S88" s="452" t="str">
        <f t="shared" si="19"/>
        <v/>
      </c>
      <c r="T88" s="1390"/>
      <c r="U88" s="1390"/>
      <c r="V88" s="1391"/>
      <c r="W88" s="1391"/>
      <c r="X88" s="1167"/>
      <c r="Y88" s="658" t="str">
        <f t="shared" si="22"/>
        <v/>
      </c>
    </row>
    <row r="89" spans="1:25">
      <c r="B89" s="1167"/>
      <c r="C89" s="1167"/>
      <c r="D89" s="1167"/>
      <c r="E89" s="1167"/>
      <c r="F89" s="1167"/>
      <c r="G89" s="1167"/>
      <c r="H89" s="1167"/>
      <c r="I89" s="1167"/>
      <c r="J89" s="1167"/>
      <c r="K89" s="1108"/>
      <c r="L89" s="1167"/>
      <c r="M89" s="1167"/>
      <c r="N89" s="1167"/>
      <c r="O89" s="1167">
        <v>1666</v>
      </c>
      <c r="P89" s="830" t="str">
        <f>Cotations!Q89</f>
        <v/>
      </c>
      <c r="Q89" s="1090">
        <v>0</v>
      </c>
      <c r="R89" s="452" t="str">
        <f t="shared" si="18"/>
        <v/>
      </c>
      <c r="S89" s="452" t="str">
        <f t="shared" si="19"/>
        <v/>
      </c>
      <c r="T89" s="1390"/>
      <c r="U89" s="1390"/>
      <c r="V89" s="1391"/>
      <c r="W89" s="1391"/>
      <c r="X89" s="1167"/>
      <c r="Y89" s="658" t="str">
        <f t="shared" si="22"/>
        <v/>
      </c>
    </row>
    <row r="90" spans="1:25">
      <c r="B90" s="1167"/>
      <c r="C90" s="1167"/>
      <c r="D90" s="1167"/>
      <c r="E90" s="1167"/>
      <c r="F90" s="1167"/>
      <c r="G90" s="1167"/>
      <c r="H90" s="1167"/>
      <c r="I90" s="1167"/>
      <c r="J90" s="1167"/>
      <c r="K90" s="1108"/>
      <c r="L90" s="1167"/>
      <c r="M90" s="1167"/>
      <c r="N90" s="1167"/>
      <c r="O90" s="1167">
        <v>9000</v>
      </c>
      <c r="P90" s="830" t="str">
        <f>Cotations!Q90</f>
        <v/>
      </c>
      <c r="Q90" s="1111">
        <v>0</v>
      </c>
      <c r="R90" s="452" t="str">
        <f t="shared" si="18"/>
        <v/>
      </c>
      <c r="S90" s="452" t="str">
        <f t="shared" si="19"/>
        <v/>
      </c>
      <c r="T90" s="1390"/>
      <c r="U90" s="1390"/>
      <c r="V90" s="1391"/>
      <c r="W90" s="1391"/>
      <c r="X90" s="1167"/>
      <c r="Y90" s="658" t="str">
        <f t="shared" si="22"/>
        <v/>
      </c>
    </row>
    <row r="91" spans="1:25">
      <c r="B91" s="1167"/>
      <c r="C91" s="1167"/>
      <c r="D91" s="1167"/>
      <c r="E91" s="1167"/>
      <c r="F91" s="1167"/>
      <c r="G91" s="1167"/>
      <c r="H91" s="1167"/>
      <c r="I91" s="1167"/>
      <c r="J91" s="1167"/>
      <c r="K91" s="1108"/>
      <c r="L91" s="1167"/>
      <c r="M91" s="1167"/>
      <c r="N91" s="1167"/>
      <c r="O91" s="1167">
        <v>9000</v>
      </c>
      <c r="P91" s="830" t="str">
        <f>Cotations!Q91</f>
        <v/>
      </c>
      <c r="Q91" s="1110">
        <v>0</v>
      </c>
      <c r="R91" s="452" t="str">
        <f t="shared" si="18"/>
        <v/>
      </c>
      <c r="S91" s="452" t="str">
        <f t="shared" si="19"/>
        <v/>
      </c>
      <c r="T91" s="1390"/>
      <c r="U91" s="1390"/>
      <c r="V91" s="1391"/>
      <c r="W91" s="1391"/>
      <c r="X91" s="1167"/>
      <c r="Y91" s="658" t="str">
        <f t="shared" si="22"/>
        <v/>
      </c>
    </row>
    <row r="92" spans="1:25">
      <c r="B92" s="1167"/>
      <c r="C92" s="1167"/>
      <c r="D92" s="1167"/>
      <c r="E92" s="1167"/>
      <c r="F92" s="1167"/>
      <c r="G92" s="1167"/>
      <c r="H92" s="1167"/>
      <c r="I92" s="1167"/>
      <c r="J92" s="1167"/>
      <c r="K92" s="1108"/>
      <c r="L92" s="1167"/>
      <c r="M92" s="1167"/>
      <c r="N92" s="1167"/>
      <c r="O92" s="1167">
        <v>2750</v>
      </c>
      <c r="P92" s="830" t="str">
        <f>Cotations!Q92</f>
        <v/>
      </c>
      <c r="Q92" s="1090">
        <v>0</v>
      </c>
      <c r="R92" s="452" t="str">
        <f t="shared" si="18"/>
        <v/>
      </c>
      <c r="S92" s="452" t="str">
        <f t="shared" si="19"/>
        <v/>
      </c>
      <c r="T92" s="1390"/>
      <c r="U92" s="1390"/>
      <c r="V92" s="1391"/>
      <c r="W92" s="1391"/>
      <c r="X92" s="1167"/>
      <c r="Y92" s="658" t="str">
        <f t="shared" si="22"/>
        <v/>
      </c>
    </row>
    <row r="93" spans="1:25">
      <c r="B93" s="1167"/>
      <c r="C93" s="1167"/>
      <c r="D93" s="1167"/>
      <c r="E93" s="1167"/>
      <c r="F93" s="1167"/>
      <c r="G93" s="1167"/>
      <c r="H93" s="1167"/>
      <c r="I93" s="1167"/>
      <c r="J93" s="1167"/>
      <c r="K93" s="1108"/>
      <c r="L93" s="1167"/>
      <c r="M93" s="1167"/>
      <c r="N93" s="1167"/>
      <c r="O93" s="1167">
        <v>10000</v>
      </c>
      <c r="P93" s="830" t="str">
        <f>Cotations!Q93</f>
        <v/>
      </c>
      <c r="Q93" s="1111">
        <v>0</v>
      </c>
      <c r="R93" s="452" t="str">
        <f t="shared" si="18"/>
        <v/>
      </c>
      <c r="S93" s="452" t="str">
        <f t="shared" si="19"/>
        <v/>
      </c>
      <c r="T93" s="1390"/>
      <c r="U93" s="1390"/>
      <c r="V93" s="1391"/>
      <c r="W93" s="1391"/>
      <c r="X93" s="1167"/>
      <c r="Y93" s="658" t="str">
        <f t="shared" si="22"/>
        <v/>
      </c>
    </row>
    <row r="94" spans="1:25">
      <c r="B94" s="1167"/>
      <c r="C94" s="1167"/>
      <c r="D94" s="1167"/>
      <c r="E94" s="1167"/>
      <c r="F94" s="1167"/>
      <c r="G94" s="1167"/>
      <c r="H94" s="1167"/>
      <c r="I94" s="1167"/>
      <c r="J94" s="1167"/>
      <c r="K94" s="1108"/>
      <c r="L94" s="1167"/>
      <c r="M94" s="1167"/>
      <c r="N94" s="1167"/>
      <c r="O94" s="1167">
        <v>10000</v>
      </c>
      <c r="P94" s="830" t="str">
        <f>Cotations!Q94</f>
        <v/>
      </c>
      <c r="Q94" s="1090">
        <v>0</v>
      </c>
      <c r="R94" s="452" t="str">
        <f t="shared" si="18"/>
        <v/>
      </c>
      <c r="S94" s="452" t="str">
        <f t="shared" si="19"/>
        <v/>
      </c>
      <c r="T94" s="1390"/>
      <c r="U94" s="1390"/>
      <c r="V94" s="1391"/>
      <c r="W94" s="1391"/>
      <c r="X94" s="1167"/>
      <c r="Y94" s="658" t="str">
        <f t="shared" si="22"/>
        <v/>
      </c>
    </row>
    <row r="95" spans="1:25">
      <c r="B95" s="1167"/>
      <c r="C95" s="1167"/>
      <c r="D95" s="1167"/>
      <c r="E95" s="1167"/>
      <c r="F95" s="1167"/>
      <c r="G95" s="1167"/>
      <c r="H95" s="1167"/>
      <c r="I95" s="1167"/>
      <c r="J95" s="1167"/>
      <c r="K95" s="1108"/>
      <c r="L95" s="1167"/>
      <c r="M95" s="1167"/>
      <c r="N95" s="1167"/>
      <c r="O95" s="1167">
        <v>5000</v>
      </c>
      <c r="P95" s="830" t="str">
        <f>Cotations!Q95</f>
        <v/>
      </c>
      <c r="Q95" s="1111">
        <v>0</v>
      </c>
      <c r="R95" s="452" t="str">
        <f t="shared" si="18"/>
        <v/>
      </c>
      <c r="S95" s="452" t="str">
        <f t="shared" si="19"/>
        <v/>
      </c>
      <c r="T95" s="1390"/>
      <c r="U95" s="1390"/>
      <c r="V95" s="1391"/>
      <c r="W95" s="1391"/>
      <c r="X95" s="1167"/>
      <c r="Y95" s="658" t="str">
        <f t="shared" si="22"/>
        <v/>
      </c>
    </row>
    <row r="96" spans="1:25">
      <c r="B96" s="1167"/>
      <c r="C96" s="1167"/>
      <c r="D96" s="1167"/>
      <c r="E96" s="1167"/>
      <c r="F96" s="1167"/>
      <c r="G96" s="1167"/>
      <c r="H96" s="1167"/>
      <c r="I96" s="1167"/>
      <c r="J96" s="1167"/>
      <c r="K96" s="1108"/>
      <c r="L96" s="1167"/>
      <c r="M96" s="1167"/>
      <c r="N96" s="1167"/>
      <c r="O96" s="1167">
        <v>7500</v>
      </c>
      <c r="P96" s="830" t="str">
        <f>Cotations!Q96</f>
        <v/>
      </c>
      <c r="Q96" s="1110">
        <v>0</v>
      </c>
      <c r="R96" s="452" t="str">
        <f t="shared" si="18"/>
        <v/>
      </c>
      <c r="S96" s="452" t="str">
        <f t="shared" si="19"/>
        <v/>
      </c>
      <c r="T96" s="1390"/>
      <c r="U96" s="1390"/>
      <c r="V96" s="1391"/>
      <c r="W96" s="1391"/>
      <c r="X96" s="1167"/>
      <c r="Y96" s="658" t="str">
        <f t="shared" si="22"/>
        <v/>
      </c>
    </row>
    <row r="97" spans="1:25">
      <c r="B97" s="1167"/>
      <c r="C97" s="1167"/>
      <c r="D97" s="1167"/>
      <c r="E97" s="1167"/>
      <c r="F97" s="1167"/>
      <c r="G97" s="1167"/>
      <c r="H97" s="1167"/>
      <c r="I97" s="1167"/>
      <c r="J97" s="1167"/>
      <c r="K97" s="1108"/>
      <c r="L97" s="1167"/>
      <c r="M97" s="1167"/>
      <c r="N97" s="1167"/>
      <c r="O97" s="1167">
        <v>7500</v>
      </c>
      <c r="P97" s="830" t="str">
        <f>Cotations!Q97</f>
        <v/>
      </c>
      <c r="Q97" s="1090">
        <v>0</v>
      </c>
      <c r="R97" s="452" t="str">
        <f t="shared" si="18"/>
        <v/>
      </c>
      <c r="S97" s="452" t="str">
        <f t="shared" si="19"/>
        <v/>
      </c>
      <c r="T97" s="1390"/>
      <c r="U97" s="1390"/>
      <c r="V97" s="1391"/>
      <c r="W97" s="1391"/>
      <c r="X97" s="1167"/>
      <c r="Y97" s="648" t="str">
        <f t="shared" si="22"/>
        <v/>
      </c>
    </row>
    <row r="98" spans="1:25">
      <c r="A98" s="661"/>
      <c r="B98" s="1167"/>
      <c r="C98" s="1167"/>
      <c r="D98" s="1167"/>
      <c r="E98" s="1167"/>
      <c r="F98" s="1167"/>
      <c r="G98" s="1167"/>
      <c r="H98" s="1167"/>
      <c r="I98" s="1167"/>
      <c r="J98" s="1167"/>
      <c r="K98" s="1108"/>
      <c r="L98" s="1167"/>
      <c r="M98" s="1167"/>
      <c r="N98" s="1167"/>
      <c r="O98" s="1167">
        <v>6000</v>
      </c>
      <c r="P98" s="830" t="str">
        <f>Cotations!Q98</f>
        <v/>
      </c>
      <c r="Q98" s="1111">
        <v>0</v>
      </c>
      <c r="R98" s="452" t="str">
        <f t="shared" si="18"/>
        <v/>
      </c>
      <c r="S98" s="452" t="str">
        <f t="shared" si="19"/>
        <v/>
      </c>
      <c r="T98" s="1390"/>
      <c r="U98" s="1390"/>
      <c r="V98" s="1391"/>
      <c r="W98" s="1391"/>
      <c r="X98" s="1167"/>
      <c r="Y98" s="658" t="str">
        <f t="shared" si="22"/>
        <v/>
      </c>
    </row>
    <row r="99" spans="1:25">
      <c r="A99" s="661"/>
      <c r="B99" s="1167"/>
      <c r="C99" s="1167"/>
      <c r="D99" s="1167"/>
      <c r="E99" s="1167"/>
      <c r="F99" s="1167"/>
      <c r="G99" s="1167"/>
      <c r="H99" s="1167"/>
      <c r="I99" s="1167"/>
      <c r="J99" s="1167"/>
      <c r="K99" s="1108"/>
      <c r="L99" s="1167"/>
      <c r="M99" s="1167"/>
      <c r="N99" s="1167"/>
      <c r="O99" s="1167">
        <v>6000</v>
      </c>
      <c r="P99" s="830" t="str">
        <f>Cotations!Q99</f>
        <v/>
      </c>
      <c r="Q99" s="1090">
        <v>0</v>
      </c>
      <c r="R99" s="452" t="str">
        <f t="shared" si="18"/>
        <v/>
      </c>
      <c r="S99" s="452" t="str">
        <f t="shared" si="19"/>
        <v/>
      </c>
      <c r="T99" s="1390"/>
      <c r="U99" s="1390"/>
      <c r="V99" s="1391"/>
      <c r="W99" s="1391"/>
      <c r="X99" s="1167"/>
      <c r="Y99" s="658" t="str">
        <f t="shared" si="22"/>
        <v/>
      </c>
    </row>
    <row r="100" spans="1:25">
      <c r="A100" s="661"/>
      <c r="B100" s="1167"/>
      <c r="C100" s="1167"/>
      <c r="D100" s="1167"/>
      <c r="E100" s="1167"/>
      <c r="F100" s="1167"/>
      <c r="G100" s="1167"/>
      <c r="H100" s="1167"/>
      <c r="I100" s="1167"/>
      <c r="J100" s="1167"/>
      <c r="K100" s="1108"/>
      <c r="L100" s="1167"/>
      <c r="M100" s="1167"/>
      <c r="N100" s="1167"/>
      <c r="O100" s="1167">
        <v>4500</v>
      </c>
      <c r="P100" s="830" t="str">
        <f>Cotations!Q100</f>
        <v/>
      </c>
      <c r="Q100" s="1111">
        <v>0</v>
      </c>
      <c r="R100" s="452" t="str">
        <f t="shared" si="18"/>
        <v/>
      </c>
      <c r="S100" s="452" t="str">
        <f t="shared" si="19"/>
        <v/>
      </c>
      <c r="T100" s="1390"/>
      <c r="U100" s="1390"/>
      <c r="V100" s="1391"/>
      <c r="W100" s="1391"/>
      <c r="X100" s="1167"/>
      <c r="Y100" s="658" t="str">
        <f t="shared" si="22"/>
        <v/>
      </c>
    </row>
    <row r="101" spans="1:25">
      <c r="A101" s="661"/>
      <c r="B101" s="1167"/>
      <c r="C101" s="1167"/>
      <c r="D101" s="1167"/>
      <c r="E101" s="1167"/>
      <c r="F101" s="1167"/>
      <c r="G101" s="1167"/>
      <c r="H101" s="1167"/>
      <c r="I101" s="1167"/>
      <c r="J101" s="1167"/>
      <c r="K101" s="1108"/>
      <c r="L101" s="1167"/>
      <c r="M101" s="1167"/>
      <c r="N101" s="1167"/>
      <c r="O101" s="1167">
        <v>6000</v>
      </c>
      <c r="P101" s="830" t="str">
        <f>Cotations!Q101</f>
        <v/>
      </c>
      <c r="Q101" s="1110">
        <v>0</v>
      </c>
      <c r="R101" s="452" t="str">
        <f t="shared" si="18"/>
        <v/>
      </c>
      <c r="S101" s="452" t="str">
        <f t="shared" si="19"/>
        <v/>
      </c>
      <c r="T101" s="1390"/>
      <c r="U101" s="1390"/>
      <c r="V101" s="1391"/>
      <c r="W101" s="1391"/>
      <c r="X101" s="1167"/>
      <c r="Y101" s="658" t="str">
        <f t="shared" si="22"/>
        <v/>
      </c>
    </row>
    <row r="102" spans="1:25">
      <c r="A102" s="661"/>
      <c r="B102" s="1167"/>
      <c r="C102" s="1167"/>
      <c r="D102" s="1167"/>
      <c r="E102" s="1167"/>
      <c r="F102" s="1167"/>
      <c r="G102" s="1167"/>
      <c r="H102" s="1167"/>
      <c r="I102" s="1167"/>
      <c r="J102" s="1167"/>
      <c r="K102" s="1108"/>
      <c r="L102" s="1167"/>
      <c r="M102" s="1167"/>
      <c r="N102" s="1167"/>
      <c r="O102" s="1167">
        <v>6000</v>
      </c>
      <c r="P102" s="830" t="str">
        <f>Cotations!Q102</f>
        <v/>
      </c>
      <c r="Q102" s="1090">
        <v>0</v>
      </c>
      <c r="R102" s="452" t="str">
        <f t="shared" si="18"/>
        <v/>
      </c>
      <c r="S102" s="452" t="str">
        <f t="shared" si="19"/>
        <v/>
      </c>
      <c r="T102" s="1390"/>
      <c r="U102" s="1390"/>
      <c r="V102" s="1391"/>
      <c r="W102" s="1391"/>
      <c r="X102" s="1167"/>
      <c r="Y102" s="648" t="str">
        <f t="shared" si="22"/>
        <v/>
      </c>
    </row>
    <row r="103" spans="1:25">
      <c r="A103" s="661"/>
      <c r="B103" s="1167"/>
      <c r="C103" s="1167"/>
      <c r="D103" s="1167"/>
      <c r="E103" s="1167"/>
      <c r="F103" s="1167"/>
      <c r="G103" s="1167"/>
      <c r="H103" s="1167"/>
      <c r="I103" s="1167"/>
      <c r="J103" s="1167"/>
      <c r="K103" s="1108"/>
      <c r="L103" s="1167"/>
      <c r="M103" s="1167"/>
      <c r="N103" s="1167"/>
      <c r="O103" s="1167">
        <v>12000</v>
      </c>
      <c r="P103" s="830" t="str">
        <f>Cotations!Q103</f>
        <v/>
      </c>
      <c r="Q103" s="1111">
        <v>0</v>
      </c>
      <c r="R103" s="452" t="str">
        <f t="shared" si="18"/>
        <v/>
      </c>
      <c r="S103" s="452" t="str">
        <f t="shared" si="19"/>
        <v/>
      </c>
      <c r="T103" s="1390"/>
      <c r="U103" s="1390"/>
      <c r="V103" s="1391"/>
      <c r="W103" s="1391"/>
      <c r="X103" s="1167"/>
      <c r="Y103" s="658" t="str">
        <f t="shared" si="22"/>
        <v/>
      </c>
    </row>
    <row r="104" spans="1:25">
      <c r="B104" s="1167"/>
      <c r="C104" s="1167"/>
      <c r="D104" s="1167"/>
      <c r="E104" s="1167"/>
      <c r="F104" s="1167"/>
      <c r="G104" s="1167"/>
      <c r="H104" s="1167"/>
      <c r="I104" s="1167"/>
      <c r="J104" s="1167"/>
      <c r="K104" s="1108"/>
      <c r="L104" s="1167"/>
      <c r="M104" s="1167"/>
      <c r="N104" s="1167"/>
      <c r="O104" s="1167">
        <v>6000</v>
      </c>
      <c r="P104" s="830" t="str">
        <f>Cotations!Q104</f>
        <v/>
      </c>
      <c r="Q104" s="1090">
        <v>0</v>
      </c>
      <c r="R104" s="452" t="str">
        <f t="shared" si="18"/>
        <v/>
      </c>
      <c r="S104" s="452" t="str">
        <f t="shared" si="19"/>
        <v/>
      </c>
      <c r="T104" s="1388"/>
      <c r="U104" s="1388"/>
      <c r="V104" s="1389"/>
      <c r="W104" s="1391"/>
      <c r="X104" s="1167"/>
      <c r="Y104" s="658" t="str">
        <f t="shared" si="22"/>
        <v/>
      </c>
    </row>
    <row r="105" spans="1:25">
      <c r="P105" s="830" t="str">
        <f>Cotations!Q105</f>
        <v/>
      </c>
      <c r="Q105" s="1111">
        <v>0</v>
      </c>
      <c r="R105" s="452" t="str">
        <f t="shared" si="18"/>
        <v/>
      </c>
      <c r="S105" s="452" t="str">
        <f t="shared" si="19"/>
        <v/>
      </c>
    </row>
  </sheetData>
  <autoFilter ref="A14:Y103">
    <filterColumn colId="17" showButton="0"/>
  </autoFilter>
  <sortState ref="A15:Y24">
    <sortCondition ref="F15:F24"/>
  </sortState>
  <mergeCells count="28">
    <mergeCell ref="Q1:R1"/>
    <mergeCell ref="E3:F3"/>
    <mergeCell ref="G3:I3"/>
    <mergeCell ref="N3:R3"/>
    <mergeCell ref="E2:F2"/>
    <mergeCell ref="G2:I2"/>
    <mergeCell ref="E1:F1"/>
    <mergeCell ref="J1:K1"/>
    <mergeCell ref="M1:N1"/>
    <mergeCell ref="M2:R2"/>
    <mergeCell ref="L7:L9"/>
    <mergeCell ref="N7:V7"/>
    <mergeCell ref="E8:F8"/>
    <mergeCell ref="N8:V8"/>
    <mergeCell ref="E9:G11"/>
    <mergeCell ref="E4:F4"/>
    <mergeCell ref="H4:I4"/>
    <mergeCell ref="L4:L6"/>
    <mergeCell ref="N4:V4"/>
    <mergeCell ref="E5:I5"/>
    <mergeCell ref="J5:K5"/>
    <mergeCell ref="N5:V5"/>
    <mergeCell ref="R14:S14"/>
    <mergeCell ref="N6:V6"/>
    <mergeCell ref="N9:V9"/>
    <mergeCell ref="T10:U11"/>
    <mergeCell ref="U3:V3"/>
    <mergeCell ref="S3:T3"/>
  </mergeCells>
  <pageMargins left="0.7" right="0.7" top="0.75" bottom="0.75" header="0.3" footer="0.3"/>
  <pageSetup paperSize="9" scale="43" orientation="landscape" r:id="rId1"/>
  <rowBreaks count="1" manualBreakCount="1">
    <brk id="39" min="1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00B0F0"/>
  </sheetPr>
  <dimension ref="A1:DU104"/>
  <sheetViews>
    <sheetView topLeftCell="A10" workbookViewId="0">
      <selection activeCell="AG51" sqref="AG51"/>
    </sheetView>
  </sheetViews>
  <sheetFormatPr baseColWidth="10" defaultColWidth="11.42578125" defaultRowHeight="15"/>
  <cols>
    <col min="1" max="1" width="11.5703125" customWidth="1"/>
    <col min="2" max="2" width="14.5703125" customWidth="1"/>
    <col min="4" max="4" width="17.85546875" customWidth="1"/>
    <col min="7" max="7" width="11.5703125" customWidth="1"/>
    <col min="47" max="47" width="16.7109375" customWidth="1"/>
    <col min="79" max="79" width="31.42578125" customWidth="1"/>
  </cols>
  <sheetData>
    <row r="1" spans="1:125" s="375" customFormat="1">
      <c r="A1" s="375" t="s">
        <v>2170</v>
      </c>
      <c r="B1" s="1">
        <v>42425.578865740739</v>
      </c>
      <c r="D1" s="375" t="s">
        <v>2171</v>
      </c>
    </row>
    <row r="2" spans="1:125" s="375" customFormat="1">
      <c r="D2" s="375" t="s">
        <v>2172</v>
      </c>
    </row>
    <row r="3" spans="1:125" s="375" customFormat="1"/>
    <row r="10" spans="1:125" s="375" customFormat="1"/>
    <row r="11" spans="1:125" s="287" customFormat="1">
      <c r="X11" s="1095"/>
      <c r="Y11" s="1095"/>
      <c r="Z11" s="1095"/>
    </row>
    <row r="12" spans="1:125" s="375" customFormat="1">
      <c r="A12" s="375" t="s">
        <v>11</v>
      </c>
      <c r="AD12" s="375" t="s">
        <v>2173</v>
      </c>
    </row>
    <row r="13" spans="1:125" s="375" customFormat="1">
      <c r="T13" s="458">
        <f>SUM(T15:T60)</f>
        <v>4315</v>
      </c>
      <c r="U13" s="375">
        <f>SUM(U15:U60)</f>
        <v>153</v>
      </c>
      <c r="AA13" s="939">
        <f>SUM(AA15:AA120)</f>
        <v>0</v>
      </c>
      <c r="AD13" s="375" t="s">
        <v>3</v>
      </c>
      <c r="AL13" s="375" t="s">
        <v>5</v>
      </c>
      <c r="AT13" s="375" t="s">
        <v>6</v>
      </c>
      <c r="BB13" s="375" t="s">
        <v>8</v>
      </c>
      <c r="BJ13" s="375" t="s">
        <v>9</v>
      </c>
      <c r="BR13" s="375" t="s">
        <v>10</v>
      </c>
      <c r="BZ13" s="375" t="s">
        <v>40</v>
      </c>
      <c r="CH13" s="375" t="s">
        <v>41</v>
      </c>
      <c r="CP13" s="580" t="s">
        <v>6</v>
      </c>
      <c r="CQ13" s="580"/>
      <c r="CR13" s="580"/>
      <c r="CS13" s="580"/>
      <c r="CT13" s="580"/>
      <c r="CU13" s="580"/>
      <c r="CV13" s="580"/>
      <c r="CW13" s="580"/>
      <c r="CX13" s="580" t="s">
        <v>9</v>
      </c>
      <c r="CY13" s="580"/>
      <c r="CZ13" s="580"/>
      <c r="DA13" s="580"/>
      <c r="DB13" s="580"/>
      <c r="DC13" s="580"/>
      <c r="DD13" s="580"/>
      <c r="DE13" s="580"/>
      <c r="DF13" s="831" t="s">
        <v>2630</v>
      </c>
      <c r="DG13" s="831"/>
      <c r="DH13" s="831"/>
      <c r="DI13" s="831"/>
      <c r="DJ13" s="831"/>
      <c r="DK13" s="831"/>
      <c r="DL13" s="831"/>
      <c r="DM13" s="831"/>
      <c r="DN13" s="877" t="s">
        <v>2684</v>
      </c>
      <c r="DO13" s="877"/>
      <c r="DP13" s="877"/>
      <c r="DQ13" s="877"/>
      <c r="DR13" s="877"/>
      <c r="DS13" s="877"/>
      <c r="DT13" s="877"/>
      <c r="DU13" s="877"/>
    </row>
    <row r="14" spans="1:125" s="375" customFormat="1">
      <c r="A14" s="375" t="s">
        <v>2174</v>
      </c>
      <c r="B14" s="375" t="s">
        <v>14</v>
      </c>
      <c r="C14" s="375" t="s">
        <v>2175</v>
      </c>
      <c r="D14" s="375" t="s">
        <v>2176</v>
      </c>
      <c r="E14" s="375" t="s">
        <v>2177</v>
      </c>
      <c r="F14" s="375" t="s">
        <v>2178</v>
      </c>
      <c r="G14" s="375" t="s">
        <v>2179</v>
      </c>
      <c r="H14" s="375" t="s">
        <v>15</v>
      </c>
      <c r="I14" s="375" t="s">
        <v>2180</v>
      </c>
      <c r="J14" s="375" t="s">
        <v>16</v>
      </c>
      <c r="K14" s="375" t="s">
        <v>17</v>
      </c>
      <c r="L14" s="375" t="s">
        <v>18</v>
      </c>
      <c r="M14" s="375" t="s">
        <v>19</v>
      </c>
      <c r="N14" s="375" t="s">
        <v>580</v>
      </c>
      <c r="O14" s="375" t="s">
        <v>2181</v>
      </c>
      <c r="P14" s="375" t="s">
        <v>93</v>
      </c>
      <c r="Q14" s="375" t="s">
        <v>2182</v>
      </c>
      <c r="R14" s="375" t="s">
        <v>2183</v>
      </c>
      <c r="S14" s="375" t="s">
        <v>13</v>
      </c>
      <c r="T14" s="375" t="s">
        <v>2184</v>
      </c>
      <c r="U14" s="375" t="s">
        <v>2185</v>
      </c>
      <c r="V14" s="375" t="s">
        <v>2186</v>
      </c>
      <c r="W14" s="375" t="s">
        <v>2187</v>
      </c>
      <c r="X14" s="375" t="s">
        <v>2188</v>
      </c>
      <c r="Y14" s="375" t="s">
        <v>2189</v>
      </c>
      <c r="Z14" s="375" t="s">
        <v>94</v>
      </c>
      <c r="AA14" s="375" t="s">
        <v>2190</v>
      </c>
      <c r="AB14" s="375" t="s">
        <v>2191</v>
      </c>
      <c r="AC14" s="375" t="s">
        <v>2192</v>
      </c>
      <c r="AD14" s="375" t="s">
        <v>2193</v>
      </c>
      <c r="AE14" s="375" t="s">
        <v>20</v>
      </c>
      <c r="AF14" s="375" t="s">
        <v>21</v>
      </c>
      <c r="AG14" s="375" t="s">
        <v>33</v>
      </c>
      <c r="AH14" s="375" t="s">
        <v>2194</v>
      </c>
      <c r="AI14" s="375" t="s">
        <v>2107</v>
      </c>
      <c r="AJ14" s="375" t="s">
        <v>22</v>
      </c>
      <c r="AK14" s="375" t="s">
        <v>2195</v>
      </c>
      <c r="AL14" s="375" t="s">
        <v>2193</v>
      </c>
      <c r="AM14" s="375" t="s">
        <v>20</v>
      </c>
      <c r="AN14" s="375" t="s">
        <v>21</v>
      </c>
      <c r="AO14" s="375" t="s">
        <v>33</v>
      </c>
      <c r="AP14" s="375" t="s">
        <v>2194</v>
      </c>
      <c r="AQ14" s="375" t="s">
        <v>2107</v>
      </c>
      <c r="AR14" s="375" t="s">
        <v>22</v>
      </c>
      <c r="AS14" s="375" t="s">
        <v>2195</v>
      </c>
      <c r="AT14" s="375" t="s">
        <v>2193</v>
      </c>
      <c r="AU14" s="375" t="s">
        <v>20</v>
      </c>
      <c r="AV14" s="375" t="s">
        <v>21</v>
      </c>
      <c r="AW14" s="375" t="s">
        <v>33</v>
      </c>
      <c r="AX14" s="375" t="s">
        <v>2194</v>
      </c>
      <c r="AY14" s="375" t="s">
        <v>2107</v>
      </c>
      <c r="AZ14" s="375" t="s">
        <v>22</v>
      </c>
      <c r="BA14" s="375" t="s">
        <v>2195</v>
      </c>
      <c r="BB14" s="375" t="s">
        <v>2193</v>
      </c>
      <c r="BC14" s="375" t="s">
        <v>20</v>
      </c>
      <c r="BD14" s="375" t="s">
        <v>21</v>
      </c>
      <c r="BE14" s="375" t="s">
        <v>33</v>
      </c>
      <c r="BF14" s="375" t="s">
        <v>2194</v>
      </c>
      <c r="BG14" s="375" t="s">
        <v>2107</v>
      </c>
      <c r="BH14" s="375" t="s">
        <v>22</v>
      </c>
      <c r="BI14" s="375" t="s">
        <v>2195</v>
      </c>
      <c r="BJ14" s="375" t="s">
        <v>2193</v>
      </c>
      <c r="BK14" s="375" t="s">
        <v>20</v>
      </c>
      <c r="BL14" s="375" t="s">
        <v>21</v>
      </c>
      <c r="BM14" s="375" t="s">
        <v>33</v>
      </c>
      <c r="BN14" s="375" t="s">
        <v>2194</v>
      </c>
      <c r="BO14" s="375" t="s">
        <v>2107</v>
      </c>
      <c r="BP14" s="375" t="s">
        <v>22</v>
      </c>
      <c r="BQ14" s="375" t="s">
        <v>2195</v>
      </c>
      <c r="BR14" s="375" t="s">
        <v>2193</v>
      </c>
      <c r="BS14" s="375" t="s">
        <v>20</v>
      </c>
      <c r="BT14" s="375" t="s">
        <v>21</v>
      </c>
      <c r="BU14" s="375" t="s">
        <v>33</v>
      </c>
      <c r="BV14" s="375" t="s">
        <v>2194</v>
      </c>
      <c r="BW14" s="375" t="s">
        <v>2107</v>
      </c>
      <c r="BX14" s="375" t="s">
        <v>22</v>
      </c>
      <c r="BY14" s="375" t="s">
        <v>2195</v>
      </c>
      <c r="BZ14" s="375" t="s">
        <v>2193</v>
      </c>
      <c r="CA14" s="375" t="s">
        <v>20</v>
      </c>
      <c r="CB14" s="375" t="s">
        <v>21</v>
      </c>
      <c r="CC14" s="375" t="s">
        <v>33</v>
      </c>
      <c r="CD14" s="375" t="s">
        <v>2194</v>
      </c>
      <c r="CE14" s="375" t="s">
        <v>2107</v>
      </c>
      <c r="CF14" s="375" t="s">
        <v>22</v>
      </c>
      <c r="CG14" s="375" t="s">
        <v>2195</v>
      </c>
      <c r="CH14" s="375" t="s">
        <v>2193</v>
      </c>
      <c r="CI14" s="375" t="s">
        <v>20</v>
      </c>
      <c r="CJ14" s="375" t="s">
        <v>21</v>
      </c>
      <c r="CK14" s="375" t="s">
        <v>33</v>
      </c>
      <c r="CL14" s="375" t="s">
        <v>2194</v>
      </c>
      <c r="CM14" s="375" t="s">
        <v>2107</v>
      </c>
      <c r="CN14" s="375" t="s">
        <v>22</v>
      </c>
      <c r="CO14" s="375" t="s">
        <v>2195</v>
      </c>
      <c r="CP14" s="580" t="s">
        <v>2193</v>
      </c>
      <c r="CQ14" s="580" t="s">
        <v>20</v>
      </c>
      <c r="CR14" s="580" t="s">
        <v>21</v>
      </c>
      <c r="CS14" s="580" t="s">
        <v>33</v>
      </c>
      <c r="CT14" s="580" t="s">
        <v>2194</v>
      </c>
      <c r="CU14" s="580" t="s">
        <v>2107</v>
      </c>
      <c r="CV14" s="580" t="s">
        <v>22</v>
      </c>
      <c r="CW14" s="580" t="s">
        <v>2195</v>
      </c>
      <c r="CX14" s="580" t="s">
        <v>2193</v>
      </c>
      <c r="CY14" s="580" t="s">
        <v>20</v>
      </c>
      <c r="CZ14" s="580" t="s">
        <v>21</v>
      </c>
      <c r="DA14" s="580" t="s">
        <v>33</v>
      </c>
      <c r="DB14" s="580" t="s">
        <v>2194</v>
      </c>
      <c r="DC14" s="580" t="s">
        <v>2107</v>
      </c>
      <c r="DD14" s="580" t="s">
        <v>22</v>
      </c>
      <c r="DE14" s="580" t="s">
        <v>2195</v>
      </c>
      <c r="DF14" s="831" t="s">
        <v>2193</v>
      </c>
      <c r="DG14" s="831" t="s">
        <v>20</v>
      </c>
      <c r="DH14" s="831" t="s">
        <v>21</v>
      </c>
      <c r="DI14" s="831" t="s">
        <v>33</v>
      </c>
      <c r="DJ14" s="831" t="s">
        <v>2194</v>
      </c>
      <c r="DK14" s="831" t="s">
        <v>2107</v>
      </c>
      <c r="DL14" s="831" t="s">
        <v>22</v>
      </c>
      <c r="DM14" s="831" t="s">
        <v>2195</v>
      </c>
      <c r="DN14" s="877" t="s">
        <v>2193</v>
      </c>
      <c r="DO14" s="877" t="s">
        <v>20</v>
      </c>
      <c r="DP14" s="877" t="s">
        <v>21</v>
      </c>
      <c r="DQ14" s="877" t="s">
        <v>33</v>
      </c>
      <c r="DR14" s="877" t="s">
        <v>2194</v>
      </c>
      <c r="DS14" s="877" t="s">
        <v>2107</v>
      </c>
      <c r="DT14" s="877" t="s">
        <v>22</v>
      </c>
      <c r="DU14" s="877" t="s">
        <v>2195</v>
      </c>
    </row>
    <row r="15" spans="1:125" s="1150" customFormat="1">
      <c r="A15" s="1150" t="s">
        <v>2895</v>
      </c>
      <c r="B15" s="1150">
        <v>12522</v>
      </c>
      <c r="C15" s="1153">
        <v>41760</v>
      </c>
      <c r="D15" s="1153">
        <v>42930</v>
      </c>
      <c r="F15" s="1424">
        <v>42566</v>
      </c>
      <c r="G15" s="1424">
        <v>42749</v>
      </c>
      <c r="H15" s="1150">
        <v>134003</v>
      </c>
      <c r="I15" s="1150">
        <v>5985997</v>
      </c>
      <c r="J15" s="1150" t="s">
        <v>2913</v>
      </c>
      <c r="K15" s="1150" t="s">
        <v>2914</v>
      </c>
      <c r="L15" s="1150" t="s">
        <v>2915</v>
      </c>
      <c r="M15" s="1153">
        <v>34443</v>
      </c>
      <c r="O15" s="1150" t="s">
        <v>2916</v>
      </c>
      <c r="P15" s="1150" t="s">
        <v>2917</v>
      </c>
      <c r="Q15" s="1150">
        <v>2500</v>
      </c>
      <c r="R15" s="1150" t="s">
        <v>32</v>
      </c>
      <c r="S15" s="1150" t="s">
        <v>12</v>
      </c>
      <c r="T15" s="1150">
        <v>110</v>
      </c>
      <c r="U15" s="1150">
        <v>4</v>
      </c>
      <c r="V15" s="1150" t="s">
        <v>2169</v>
      </c>
      <c r="W15" s="1150" t="s">
        <v>2169</v>
      </c>
      <c r="X15" s="1153">
        <v>42566</v>
      </c>
      <c r="Y15" s="1153">
        <v>42675</v>
      </c>
      <c r="Z15" s="1150" t="s">
        <v>2918</v>
      </c>
      <c r="AA15" s="1150">
        <v>0</v>
      </c>
      <c r="AB15" s="1150" t="s">
        <v>1124</v>
      </c>
      <c r="AC15" s="1150" t="s">
        <v>2919</v>
      </c>
      <c r="AD15" s="1150" t="s">
        <v>4</v>
      </c>
      <c r="AE15" s="1150" t="s">
        <v>2920</v>
      </c>
      <c r="AF15" s="1150" t="s">
        <v>2910</v>
      </c>
      <c r="AG15" s="1150" t="s">
        <v>32</v>
      </c>
      <c r="AH15" s="1150" t="s">
        <v>2918</v>
      </c>
      <c r="AI15" s="1150" t="s">
        <v>2918</v>
      </c>
      <c r="AJ15" s="1150">
        <v>100000</v>
      </c>
      <c r="AK15" s="1150">
        <v>426.77890000000002</v>
      </c>
      <c r="AL15" s="1150" t="s">
        <v>4</v>
      </c>
      <c r="AM15" s="1150" t="s">
        <v>2920</v>
      </c>
      <c r="AN15" s="1150" t="s">
        <v>2910</v>
      </c>
      <c r="AO15" s="1150" t="s">
        <v>32</v>
      </c>
      <c r="AP15" s="1150" t="s">
        <v>2918</v>
      </c>
      <c r="AQ15" s="1150" t="s">
        <v>2918</v>
      </c>
      <c r="AR15" s="1150">
        <v>12500</v>
      </c>
      <c r="AS15" s="1150">
        <v>95.192400000000006</v>
      </c>
      <c r="AT15" s="1150" t="s">
        <v>7</v>
      </c>
      <c r="AU15" s="1150" t="s">
        <v>88</v>
      </c>
      <c r="AV15" s="1150">
        <v>240303</v>
      </c>
      <c r="AW15" s="1150" t="s">
        <v>32</v>
      </c>
      <c r="AX15" s="1150" t="s">
        <v>2918</v>
      </c>
      <c r="AY15" s="1150" t="s">
        <v>2918</v>
      </c>
      <c r="AZ15" s="1150">
        <v>90000</v>
      </c>
      <c r="BA15" s="1421">
        <v>5.0100000000000003E-4</v>
      </c>
      <c r="BB15" s="1150" t="s">
        <v>7</v>
      </c>
      <c r="BC15" s="1150" t="s">
        <v>88</v>
      </c>
      <c r="BD15" s="1150">
        <v>240303</v>
      </c>
      <c r="BE15" s="1150" t="s">
        <v>32</v>
      </c>
      <c r="BF15" s="1150" t="s">
        <v>2918</v>
      </c>
      <c r="BG15" s="1150" t="s">
        <v>2918</v>
      </c>
      <c r="BH15" s="1150">
        <v>90000</v>
      </c>
      <c r="BI15" s="1421">
        <v>1.253E-3</v>
      </c>
      <c r="BJ15" s="1150" t="s">
        <v>7</v>
      </c>
      <c r="BK15" s="1150" t="s">
        <v>88</v>
      </c>
      <c r="BL15" s="1150">
        <v>240303</v>
      </c>
      <c r="BM15" s="1150" t="s">
        <v>32</v>
      </c>
      <c r="BN15" s="1150" t="s">
        <v>2918</v>
      </c>
      <c r="BO15" s="1150" t="s">
        <v>2918</v>
      </c>
      <c r="BP15" s="1150">
        <v>90000</v>
      </c>
      <c r="BQ15" s="1421">
        <v>6.1899999999999998E-4</v>
      </c>
      <c r="BR15" s="1150" t="s">
        <v>7</v>
      </c>
      <c r="BS15" s="1150" t="s">
        <v>88</v>
      </c>
      <c r="BT15" s="1150">
        <v>240303</v>
      </c>
      <c r="BU15" s="1150" t="s">
        <v>32</v>
      </c>
      <c r="BV15" s="1150" t="s">
        <v>2918</v>
      </c>
      <c r="BW15" s="1150" t="s">
        <v>2918</v>
      </c>
      <c r="BX15" s="1150">
        <v>90000</v>
      </c>
      <c r="BY15" s="1421">
        <v>1.4890000000000001E-3</v>
      </c>
      <c r="BZ15" s="1150" t="s">
        <v>7</v>
      </c>
      <c r="CA15" s="1150" t="s">
        <v>88</v>
      </c>
      <c r="CB15" s="1150">
        <v>240303</v>
      </c>
      <c r="CC15" s="1150" t="s">
        <v>32</v>
      </c>
      <c r="CD15" s="1150">
        <v>7</v>
      </c>
      <c r="CE15" s="1150">
        <v>365</v>
      </c>
      <c r="CF15" s="1150">
        <v>30000</v>
      </c>
      <c r="CG15" s="1421">
        <v>5.8830000000000002E-3</v>
      </c>
      <c r="CH15" s="1150" t="s">
        <v>7</v>
      </c>
      <c r="CI15" s="1150" t="s">
        <v>88</v>
      </c>
      <c r="CJ15" s="1150">
        <v>240303</v>
      </c>
      <c r="CK15" s="1150" t="s">
        <v>32</v>
      </c>
      <c r="CL15" s="1150">
        <v>7</v>
      </c>
      <c r="CM15" s="1150">
        <v>365</v>
      </c>
      <c r="CN15" s="1150">
        <v>30000</v>
      </c>
      <c r="CO15" s="1421">
        <v>1.1757E-2</v>
      </c>
    </row>
    <row r="16" spans="1:125" s="1150" customFormat="1">
      <c r="A16" s="1150" t="s">
        <v>2895</v>
      </c>
      <c r="B16" s="1150">
        <v>12522</v>
      </c>
      <c r="C16" s="1153">
        <v>41760</v>
      </c>
      <c r="D16" s="1153">
        <v>42930</v>
      </c>
      <c r="F16" s="1424">
        <v>42566</v>
      </c>
      <c r="G16" s="1424">
        <v>42749</v>
      </c>
      <c r="H16" s="1150">
        <v>130179</v>
      </c>
      <c r="I16" s="1150">
        <v>5143322</v>
      </c>
      <c r="J16" s="1150" t="s">
        <v>2921</v>
      </c>
      <c r="K16" s="1150" t="s">
        <v>2922</v>
      </c>
      <c r="L16" s="1150" t="s">
        <v>2923</v>
      </c>
      <c r="M16" s="1153">
        <v>31417</v>
      </c>
      <c r="N16" s="1150" t="s">
        <v>2924</v>
      </c>
      <c r="O16" s="1150" t="s">
        <v>2916</v>
      </c>
      <c r="P16" s="1150" t="s">
        <v>2925</v>
      </c>
      <c r="Q16" s="1150">
        <v>4000</v>
      </c>
      <c r="R16" s="1150" t="s">
        <v>32</v>
      </c>
      <c r="S16" s="1150" t="s">
        <v>12</v>
      </c>
      <c r="T16" s="1150">
        <v>110</v>
      </c>
      <c r="U16" s="1150">
        <v>4</v>
      </c>
      <c r="V16" s="1150" t="s">
        <v>2169</v>
      </c>
      <c r="W16" s="1150" t="s">
        <v>2169</v>
      </c>
      <c r="X16" s="1153">
        <v>42566</v>
      </c>
      <c r="Y16" s="1153">
        <v>42675</v>
      </c>
      <c r="Z16" s="1150" t="s">
        <v>2918</v>
      </c>
      <c r="AA16" s="1150">
        <v>0</v>
      </c>
      <c r="AB16" s="1150" t="s">
        <v>2926</v>
      </c>
      <c r="AC16" s="1150" t="s">
        <v>2927</v>
      </c>
      <c r="AD16" s="1150" t="s">
        <v>4</v>
      </c>
      <c r="AE16" s="1150" t="s">
        <v>2920</v>
      </c>
      <c r="AF16" s="1150" t="s">
        <v>2910</v>
      </c>
      <c r="AG16" s="1150" t="s">
        <v>32</v>
      </c>
      <c r="AH16" s="1150" t="s">
        <v>2918</v>
      </c>
      <c r="AI16" s="1150" t="s">
        <v>2918</v>
      </c>
      <c r="AJ16" s="1150">
        <v>100000</v>
      </c>
      <c r="AK16" s="1150">
        <v>426.77890000000002</v>
      </c>
      <c r="AL16" s="1150" t="s">
        <v>4</v>
      </c>
      <c r="AM16" s="1150" t="s">
        <v>2920</v>
      </c>
      <c r="AN16" s="1150" t="s">
        <v>2910</v>
      </c>
      <c r="AO16" s="1150" t="s">
        <v>32</v>
      </c>
      <c r="AP16" s="1150" t="s">
        <v>2918</v>
      </c>
      <c r="AQ16" s="1150" t="s">
        <v>2918</v>
      </c>
      <c r="AR16" s="1150">
        <v>12500</v>
      </c>
      <c r="AS16" s="1150">
        <v>95.192400000000006</v>
      </c>
      <c r="AT16" s="1150" t="s">
        <v>7</v>
      </c>
      <c r="AU16" s="1150" t="s">
        <v>88</v>
      </c>
      <c r="AV16" s="1150">
        <v>240303</v>
      </c>
      <c r="AW16" s="1150" t="s">
        <v>32</v>
      </c>
      <c r="AX16" s="1150" t="s">
        <v>2918</v>
      </c>
      <c r="AY16" s="1150" t="s">
        <v>2918</v>
      </c>
      <c r="AZ16" s="1150">
        <v>144000</v>
      </c>
      <c r="BA16" s="1421">
        <v>5.0100000000000003E-4</v>
      </c>
      <c r="BB16" s="1150" t="s">
        <v>7</v>
      </c>
      <c r="BC16" s="1150" t="s">
        <v>88</v>
      </c>
      <c r="BD16" s="1150">
        <v>240303</v>
      </c>
      <c r="BE16" s="1150" t="s">
        <v>32</v>
      </c>
      <c r="BF16" s="1150" t="s">
        <v>2918</v>
      </c>
      <c r="BG16" s="1150" t="s">
        <v>2918</v>
      </c>
      <c r="BH16" s="1150">
        <v>144000</v>
      </c>
      <c r="BI16" s="1421">
        <v>1.253E-3</v>
      </c>
      <c r="BJ16" s="1150" t="s">
        <v>7</v>
      </c>
      <c r="BK16" s="1150" t="s">
        <v>88</v>
      </c>
      <c r="BL16" s="1150">
        <v>240303</v>
      </c>
      <c r="BM16" s="1150" t="s">
        <v>32</v>
      </c>
      <c r="BN16" s="1150" t="s">
        <v>2918</v>
      </c>
      <c r="BO16" s="1150" t="s">
        <v>2918</v>
      </c>
      <c r="BP16" s="1150">
        <v>144000</v>
      </c>
      <c r="BQ16" s="1421">
        <v>6.1899999999999998E-4</v>
      </c>
      <c r="BR16" s="1150" t="s">
        <v>7</v>
      </c>
      <c r="BS16" s="1150" t="s">
        <v>88</v>
      </c>
      <c r="BT16" s="1150">
        <v>240303</v>
      </c>
      <c r="BU16" s="1150" t="s">
        <v>32</v>
      </c>
      <c r="BV16" s="1150" t="s">
        <v>2918</v>
      </c>
      <c r="BW16" s="1150" t="s">
        <v>2918</v>
      </c>
      <c r="BX16" s="1150">
        <v>144000</v>
      </c>
      <c r="BY16" s="1421">
        <v>1.4890000000000001E-3</v>
      </c>
      <c r="BZ16" s="1150" t="s">
        <v>7</v>
      </c>
      <c r="CA16" s="1150" t="s">
        <v>88</v>
      </c>
      <c r="CB16" s="1150">
        <v>240303</v>
      </c>
      <c r="CC16" s="1150" t="s">
        <v>32</v>
      </c>
      <c r="CD16" s="1150">
        <v>7</v>
      </c>
      <c r="CE16" s="1150">
        <v>365</v>
      </c>
      <c r="CF16" s="1150">
        <v>48000</v>
      </c>
      <c r="CG16" s="1421">
        <v>5.8830000000000002E-3</v>
      </c>
      <c r="CH16" s="1150" t="s">
        <v>7</v>
      </c>
      <c r="CI16" s="1150" t="s">
        <v>88</v>
      </c>
      <c r="CJ16" s="1150">
        <v>240303</v>
      </c>
      <c r="CK16" s="1150" t="s">
        <v>32</v>
      </c>
      <c r="CL16" s="1150">
        <v>7</v>
      </c>
      <c r="CM16" s="1150">
        <v>365</v>
      </c>
      <c r="CN16" s="1150">
        <v>48000</v>
      </c>
      <c r="CO16" s="1421">
        <v>1.1757E-2</v>
      </c>
    </row>
    <row r="17" spans="1:93" s="1150" customFormat="1">
      <c r="A17" s="1150" t="s">
        <v>2895</v>
      </c>
      <c r="B17" s="1150">
        <v>12522</v>
      </c>
      <c r="C17" s="1153">
        <v>41760</v>
      </c>
      <c r="D17" s="1153">
        <v>42930</v>
      </c>
      <c r="F17" s="1424">
        <v>42566</v>
      </c>
      <c r="G17" s="1424">
        <v>42749</v>
      </c>
      <c r="H17" s="1150">
        <v>135202</v>
      </c>
      <c r="J17" s="1150" t="s">
        <v>2921</v>
      </c>
      <c r="K17" s="1150" t="s">
        <v>2928</v>
      </c>
      <c r="L17" s="1150" t="s">
        <v>2929</v>
      </c>
      <c r="M17" s="1153">
        <v>29104</v>
      </c>
      <c r="O17" s="1150" t="s">
        <v>2916</v>
      </c>
      <c r="P17" s="1150" t="s">
        <v>2925</v>
      </c>
      <c r="Q17" s="1150">
        <v>4000</v>
      </c>
      <c r="R17" s="1150" t="s">
        <v>32</v>
      </c>
      <c r="S17" s="1150" t="s">
        <v>12</v>
      </c>
      <c r="T17" s="1150">
        <v>75</v>
      </c>
      <c r="U17" s="1150">
        <v>3</v>
      </c>
      <c r="V17" s="1150" t="s">
        <v>2169</v>
      </c>
      <c r="W17" s="1150" t="s">
        <v>2169</v>
      </c>
      <c r="X17" s="1153">
        <v>42675</v>
      </c>
      <c r="Y17" s="1153">
        <v>42749</v>
      </c>
      <c r="Z17" s="1150" t="s">
        <v>2918</v>
      </c>
      <c r="AA17" s="1150">
        <v>0</v>
      </c>
      <c r="AB17" s="1150" t="s">
        <v>2926</v>
      </c>
      <c r="AC17" s="1150" t="s">
        <v>2927</v>
      </c>
      <c r="AD17" s="1150" t="s">
        <v>4</v>
      </c>
      <c r="AE17" s="1150" t="s">
        <v>2920</v>
      </c>
      <c r="AF17" s="1150" t="s">
        <v>2910</v>
      </c>
      <c r="AG17" s="1150" t="s">
        <v>32</v>
      </c>
      <c r="AH17" s="1150" t="s">
        <v>2918</v>
      </c>
      <c r="AI17" s="1150" t="s">
        <v>2918</v>
      </c>
      <c r="AJ17" s="1150">
        <v>100000</v>
      </c>
      <c r="AK17" s="1150">
        <v>426.77890000000002</v>
      </c>
      <c r="AL17" s="1150" t="s">
        <v>4</v>
      </c>
      <c r="AM17" s="1150" t="s">
        <v>2920</v>
      </c>
      <c r="AN17" s="1150" t="s">
        <v>2910</v>
      </c>
      <c r="AO17" s="1150" t="s">
        <v>32</v>
      </c>
      <c r="AP17" s="1150" t="s">
        <v>2918</v>
      </c>
      <c r="AQ17" s="1150" t="s">
        <v>2918</v>
      </c>
      <c r="AR17" s="1150">
        <v>12500</v>
      </c>
      <c r="AS17" s="1150">
        <v>95.192400000000006</v>
      </c>
      <c r="AT17" s="1150" t="s">
        <v>7</v>
      </c>
      <c r="AU17" s="1150" t="s">
        <v>88</v>
      </c>
      <c r="AV17" s="1150">
        <v>240303</v>
      </c>
      <c r="AW17" s="1150" t="s">
        <v>32</v>
      </c>
      <c r="AX17" s="1150" t="s">
        <v>2918</v>
      </c>
      <c r="AY17" s="1150" t="s">
        <v>2918</v>
      </c>
      <c r="AZ17" s="1150">
        <v>144000</v>
      </c>
      <c r="BA17" s="1421">
        <v>5.0100000000000003E-4</v>
      </c>
      <c r="BB17" s="1150" t="s">
        <v>7</v>
      </c>
      <c r="BC17" s="1150" t="s">
        <v>88</v>
      </c>
      <c r="BD17" s="1150">
        <v>240303</v>
      </c>
      <c r="BE17" s="1150" t="s">
        <v>32</v>
      </c>
      <c r="BF17" s="1150" t="s">
        <v>2918</v>
      </c>
      <c r="BG17" s="1150" t="s">
        <v>2918</v>
      </c>
      <c r="BH17" s="1150">
        <v>144000</v>
      </c>
      <c r="BI17" s="1421">
        <v>1.253E-3</v>
      </c>
      <c r="BJ17" s="1150" t="s">
        <v>7</v>
      </c>
      <c r="BK17" s="1150" t="s">
        <v>88</v>
      </c>
      <c r="BL17" s="1150">
        <v>240303</v>
      </c>
      <c r="BM17" s="1150" t="s">
        <v>32</v>
      </c>
      <c r="BN17" s="1150" t="s">
        <v>2918</v>
      </c>
      <c r="BO17" s="1150" t="s">
        <v>2918</v>
      </c>
      <c r="BP17" s="1150">
        <v>144000</v>
      </c>
      <c r="BQ17" s="1421">
        <v>6.1899999999999998E-4</v>
      </c>
      <c r="BR17" s="1150" t="s">
        <v>7</v>
      </c>
      <c r="BS17" s="1150" t="s">
        <v>88</v>
      </c>
      <c r="BT17" s="1150">
        <v>240303</v>
      </c>
      <c r="BU17" s="1150" t="s">
        <v>32</v>
      </c>
      <c r="BV17" s="1150" t="s">
        <v>2918</v>
      </c>
      <c r="BW17" s="1150" t="s">
        <v>2918</v>
      </c>
      <c r="BX17" s="1150">
        <v>144000</v>
      </c>
      <c r="BY17" s="1421">
        <v>1.4890000000000001E-3</v>
      </c>
      <c r="BZ17" s="1150" t="s">
        <v>7</v>
      </c>
      <c r="CA17" s="1150" t="s">
        <v>88</v>
      </c>
      <c r="CB17" s="1150">
        <v>240303</v>
      </c>
      <c r="CC17" s="1150" t="s">
        <v>32</v>
      </c>
      <c r="CD17" s="1150">
        <v>7</v>
      </c>
      <c r="CE17" s="1150">
        <v>365</v>
      </c>
      <c r="CF17" s="1150">
        <v>48000</v>
      </c>
      <c r="CG17" s="1421">
        <v>5.8830000000000002E-3</v>
      </c>
      <c r="CH17" s="1150" t="s">
        <v>7</v>
      </c>
      <c r="CI17" s="1150" t="s">
        <v>88</v>
      </c>
      <c r="CJ17" s="1150">
        <v>240303</v>
      </c>
      <c r="CK17" s="1150" t="s">
        <v>32</v>
      </c>
      <c r="CL17" s="1150">
        <v>7</v>
      </c>
      <c r="CM17" s="1150">
        <v>365</v>
      </c>
      <c r="CN17" s="1150">
        <v>48000</v>
      </c>
      <c r="CO17" s="1421">
        <v>1.1757E-2</v>
      </c>
    </row>
    <row r="18" spans="1:93" s="1150" customFormat="1">
      <c r="A18" s="1150" t="s">
        <v>2895</v>
      </c>
      <c r="B18" s="1150">
        <v>12522</v>
      </c>
      <c r="C18" s="1153">
        <v>41760</v>
      </c>
      <c r="D18" s="1153">
        <v>42930</v>
      </c>
      <c r="F18" s="1424">
        <v>42566</v>
      </c>
      <c r="G18" s="1424">
        <v>42749</v>
      </c>
      <c r="H18" s="1150">
        <v>133999</v>
      </c>
      <c r="I18" s="1150">
        <v>5986812</v>
      </c>
      <c r="J18" s="1150" t="s">
        <v>2921</v>
      </c>
      <c r="K18" s="1150" t="s">
        <v>2930</v>
      </c>
      <c r="L18" s="1150" t="s">
        <v>2931</v>
      </c>
      <c r="M18" s="1153">
        <v>32970</v>
      </c>
      <c r="O18" s="1150" t="s">
        <v>2916</v>
      </c>
      <c r="P18" s="1150" t="s">
        <v>2932</v>
      </c>
      <c r="Q18" s="1150">
        <v>2500</v>
      </c>
      <c r="R18" s="1150" t="s">
        <v>32</v>
      </c>
      <c r="S18" s="1150" t="s">
        <v>12</v>
      </c>
      <c r="T18" s="1150">
        <v>110</v>
      </c>
      <c r="U18" s="1150">
        <v>4</v>
      </c>
      <c r="V18" s="1150" t="s">
        <v>2169</v>
      </c>
      <c r="W18" s="1150" t="s">
        <v>2169</v>
      </c>
      <c r="X18" s="1153">
        <v>42566</v>
      </c>
      <c r="Y18" s="1153">
        <v>42675</v>
      </c>
      <c r="Z18" s="1150" t="s">
        <v>2918</v>
      </c>
      <c r="AA18" s="1150">
        <v>0</v>
      </c>
      <c r="AB18" s="1150" t="s">
        <v>2933</v>
      </c>
      <c r="AC18" s="1150" t="s">
        <v>2934</v>
      </c>
      <c r="AD18" s="1150" t="s">
        <v>4</v>
      </c>
      <c r="AE18" s="1150" t="s">
        <v>2920</v>
      </c>
      <c r="AF18" s="1150" t="s">
        <v>2910</v>
      </c>
      <c r="AG18" s="1150" t="s">
        <v>32</v>
      </c>
      <c r="AH18" s="1150" t="s">
        <v>2918</v>
      </c>
      <c r="AI18" s="1150" t="s">
        <v>2918</v>
      </c>
      <c r="AJ18" s="1150">
        <v>100000</v>
      </c>
      <c r="AK18" s="1150">
        <v>426.77890000000002</v>
      </c>
      <c r="AL18" s="1150" t="s">
        <v>4</v>
      </c>
      <c r="AM18" s="1150" t="s">
        <v>2920</v>
      </c>
      <c r="AN18" s="1150" t="s">
        <v>2910</v>
      </c>
      <c r="AO18" s="1150" t="s">
        <v>32</v>
      </c>
      <c r="AP18" s="1150" t="s">
        <v>2918</v>
      </c>
      <c r="AQ18" s="1150" t="s">
        <v>2918</v>
      </c>
      <c r="AR18" s="1150">
        <v>12500</v>
      </c>
      <c r="AS18" s="1150">
        <v>95.192400000000006</v>
      </c>
      <c r="AT18" s="1150" t="s">
        <v>7</v>
      </c>
      <c r="AU18" s="1150" t="s">
        <v>88</v>
      </c>
      <c r="AV18" s="1150">
        <v>240303</v>
      </c>
      <c r="AW18" s="1150" t="s">
        <v>32</v>
      </c>
      <c r="AX18" s="1150" t="s">
        <v>2918</v>
      </c>
      <c r="AY18" s="1150" t="s">
        <v>2918</v>
      </c>
      <c r="AZ18" s="1150">
        <v>90000</v>
      </c>
      <c r="BA18" s="1421">
        <v>5.0100000000000003E-4</v>
      </c>
      <c r="BB18" s="1150" t="s">
        <v>7</v>
      </c>
      <c r="BC18" s="1150" t="s">
        <v>88</v>
      </c>
      <c r="BD18" s="1150">
        <v>240303</v>
      </c>
      <c r="BE18" s="1150" t="s">
        <v>32</v>
      </c>
      <c r="BF18" s="1150" t="s">
        <v>2918</v>
      </c>
      <c r="BG18" s="1150" t="s">
        <v>2918</v>
      </c>
      <c r="BH18" s="1150">
        <v>90000</v>
      </c>
      <c r="BI18" s="1421">
        <v>1.253E-3</v>
      </c>
      <c r="BJ18" s="1150" t="s">
        <v>7</v>
      </c>
      <c r="BK18" s="1150" t="s">
        <v>88</v>
      </c>
      <c r="BL18" s="1150">
        <v>240303</v>
      </c>
      <c r="BM18" s="1150" t="s">
        <v>32</v>
      </c>
      <c r="BN18" s="1150" t="s">
        <v>2918</v>
      </c>
      <c r="BO18" s="1150" t="s">
        <v>2918</v>
      </c>
      <c r="BP18" s="1150">
        <v>90000</v>
      </c>
      <c r="BQ18" s="1421">
        <v>6.1899999999999998E-4</v>
      </c>
      <c r="BR18" s="1150" t="s">
        <v>7</v>
      </c>
      <c r="BS18" s="1150" t="s">
        <v>88</v>
      </c>
      <c r="BT18" s="1150">
        <v>240303</v>
      </c>
      <c r="BU18" s="1150" t="s">
        <v>32</v>
      </c>
      <c r="BV18" s="1150" t="s">
        <v>2918</v>
      </c>
      <c r="BW18" s="1150" t="s">
        <v>2918</v>
      </c>
      <c r="BX18" s="1150">
        <v>90000</v>
      </c>
      <c r="BY18" s="1421">
        <v>1.4890000000000001E-3</v>
      </c>
      <c r="BZ18" s="1150" t="s">
        <v>7</v>
      </c>
      <c r="CA18" s="1150" t="s">
        <v>88</v>
      </c>
      <c r="CB18" s="1150">
        <v>240303</v>
      </c>
      <c r="CC18" s="1150" t="s">
        <v>32</v>
      </c>
      <c r="CD18" s="1150">
        <v>7</v>
      </c>
      <c r="CE18" s="1150">
        <v>365</v>
      </c>
      <c r="CF18" s="1150">
        <v>30000</v>
      </c>
      <c r="CG18" s="1421">
        <v>5.8830000000000002E-3</v>
      </c>
      <c r="CH18" s="1150" t="s">
        <v>7</v>
      </c>
      <c r="CI18" s="1150" t="s">
        <v>88</v>
      </c>
      <c r="CJ18" s="1150">
        <v>240303</v>
      </c>
      <c r="CK18" s="1150" t="s">
        <v>32</v>
      </c>
      <c r="CL18" s="1150">
        <v>7</v>
      </c>
      <c r="CM18" s="1150">
        <v>365</v>
      </c>
      <c r="CN18" s="1150">
        <v>30000</v>
      </c>
      <c r="CO18" s="1421">
        <v>1.1757E-2</v>
      </c>
    </row>
    <row r="19" spans="1:93" s="1150" customFormat="1">
      <c r="A19" s="1150" t="s">
        <v>2895</v>
      </c>
      <c r="B19" s="1150">
        <v>12522</v>
      </c>
      <c r="C19" s="1153">
        <v>41760</v>
      </c>
      <c r="D19" s="1153">
        <v>42930</v>
      </c>
      <c r="F19" s="1424">
        <v>42566</v>
      </c>
      <c r="G19" s="1424">
        <v>42749</v>
      </c>
      <c r="H19" s="1150">
        <v>133440</v>
      </c>
      <c r="I19" s="1150">
        <v>5939898</v>
      </c>
      <c r="J19" s="1150" t="s">
        <v>2921</v>
      </c>
      <c r="K19" s="1150" t="s">
        <v>2935</v>
      </c>
      <c r="L19" s="1150" t="s">
        <v>2936</v>
      </c>
      <c r="M19" s="1153">
        <v>30123</v>
      </c>
      <c r="O19" s="1150" t="s">
        <v>2916</v>
      </c>
      <c r="P19" s="1150" t="s">
        <v>2937</v>
      </c>
      <c r="Q19" s="1150">
        <v>4000</v>
      </c>
      <c r="R19" s="1150" t="s">
        <v>32</v>
      </c>
      <c r="S19" s="1150" t="s">
        <v>12</v>
      </c>
      <c r="T19" s="1150">
        <v>75</v>
      </c>
      <c r="U19" s="1150">
        <v>3</v>
      </c>
      <c r="V19" s="1150" t="s">
        <v>2169</v>
      </c>
      <c r="W19" s="1150" t="s">
        <v>2169</v>
      </c>
      <c r="X19" s="1153">
        <v>42675</v>
      </c>
      <c r="Y19" s="1153">
        <v>42749</v>
      </c>
      <c r="Z19" s="1150" t="s">
        <v>2918</v>
      </c>
      <c r="AA19" s="1150">
        <v>0</v>
      </c>
      <c r="AB19" s="1150" t="s">
        <v>2938</v>
      </c>
      <c r="AC19" s="1150" t="s">
        <v>2939</v>
      </c>
      <c r="AD19" s="1150" t="s">
        <v>4</v>
      </c>
      <c r="AE19" s="1150" t="s">
        <v>2920</v>
      </c>
      <c r="AF19" s="1150" t="s">
        <v>2910</v>
      </c>
      <c r="AG19" s="1150" t="s">
        <v>32</v>
      </c>
      <c r="AH19" s="1150" t="s">
        <v>2918</v>
      </c>
      <c r="AI19" s="1150" t="s">
        <v>2918</v>
      </c>
      <c r="AJ19" s="1150">
        <v>100000</v>
      </c>
      <c r="AK19" s="1150">
        <v>426.77890000000002</v>
      </c>
      <c r="AL19" s="1150" t="s">
        <v>4</v>
      </c>
      <c r="AM19" s="1150" t="s">
        <v>2920</v>
      </c>
      <c r="AN19" s="1150" t="s">
        <v>2910</v>
      </c>
      <c r="AO19" s="1150" t="s">
        <v>32</v>
      </c>
      <c r="AP19" s="1150" t="s">
        <v>2918</v>
      </c>
      <c r="AQ19" s="1150" t="s">
        <v>2918</v>
      </c>
      <c r="AR19" s="1150">
        <v>12500</v>
      </c>
      <c r="AS19" s="1150">
        <v>95.192400000000006</v>
      </c>
      <c r="AT19" s="1150" t="s">
        <v>7</v>
      </c>
      <c r="AU19" s="1150" t="s">
        <v>88</v>
      </c>
      <c r="AV19" s="1150">
        <v>240303</v>
      </c>
      <c r="AW19" s="1150" t="s">
        <v>32</v>
      </c>
      <c r="AX19" s="1150" t="s">
        <v>2918</v>
      </c>
      <c r="AY19" s="1150" t="s">
        <v>2918</v>
      </c>
      <c r="AZ19" s="1150">
        <v>144000</v>
      </c>
      <c r="BA19" s="1421">
        <v>5.0100000000000003E-4</v>
      </c>
      <c r="BB19" s="1150" t="s">
        <v>7</v>
      </c>
      <c r="BC19" s="1150" t="s">
        <v>88</v>
      </c>
      <c r="BD19" s="1150">
        <v>240303</v>
      </c>
      <c r="BE19" s="1150" t="s">
        <v>32</v>
      </c>
      <c r="BF19" s="1150" t="s">
        <v>2918</v>
      </c>
      <c r="BG19" s="1150" t="s">
        <v>2918</v>
      </c>
      <c r="BH19" s="1150">
        <v>144000</v>
      </c>
      <c r="BI19" s="1421">
        <v>1.253E-3</v>
      </c>
      <c r="BJ19" s="1150" t="s">
        <v>7</v>
      </c>
      <c r="BK19" s="1150" t="s">
        <v>88</v>
      </c>
      <c r="BL19" s="1150">
        <v>240303</v>
      </c>
      <c r="BM19" s="1150" t="s">
        <v>32</v>
      </c>
      <c r="BN19" s="1150" t="s">
        <v>2918</v>
      </c>
      <c r="BO19" s="1150" t="s">
        <v>2918</v>
      </c>
      <c r="BP19" s="1150">
        <v>144000</v>
      </c>
      <c r="BQ19" s="1421">
        <v>6.1899999999999998E-4</v>
      </c>
      <c r="BR19" s="1150" t="s">
        <v>7</v>
      </c>
      <c r="BS19" s="1150" t="s">
        <v>88</v>
      </c>
      <c r="BT19" s="1150">
        <v>240303</v>
      </c>
      <c r="BU19" s="1150" t="s">
        <v>32</v>
      </c>
      <c r="BV19" s="1150" t="s">
        <v>2918</v>
      </c>
      <c r="BW19" s="1150" t="s">
        <v>2918</v>
      </c>
      <c r="BX19" s="1150">
        <v>144000</v>
      </c>
      <c r="BY19" s="1421">
        <v>1.4890000000000001E-3</v>
      </c>
      <c r="BZ19" s="1150" t="s">
        <v>7</v>
      </c>
      <c r="CA19" s="1150" t="s">
        <v>88</v>
      </c>
      <c r="CB19" s="1150">
        <v>240303</v>
      </c>
      <c r="CC19" s="1150" t="s">
        <v>32</v>
      </c>
      <c r="CD19" s="1150">
        <v>7</v>
      </c>
      <c r="CE19" s="1150">
        <v>365</v>
      </c>
      <c r="CF19" s="1150">
        <v>48000</v>
      </c>
      <c r="CG19" s="1421">
        <v>5.8830000000000002E-3</v>
      </c>
      <c r="CH19" s="1150" t="s">
        <v>7</v>
      </c>
      <c r="CI19" s="1150" t="s">
        <v>88</v>
      </c>
      <c r="CJ19" s="1150">
        <v>240303</v>
      </c>
      <c r="CK19" s="1150" t="s">
        <v>32</v>
      </c>
      <c r="CL19" s="1150">
        <v>7</v>
      </c>
      <c r="CM19" s="1150">
        <v>365</v>
      </c>
      <c r="CN19" s="1150">
        <v>48000</v>
      </c>
      <c r="CO19" s="1421">
        <v>1.1757E-2</v>
      </c>
    </row>
    <row r="20" spans="1:93" s="1150" customFormat="1">
      <c r="A20" s="1150" t="s">
        <v>2895</v>
      </c>
      <c r="B20" s="1150">
        <v>12522</v>
      </c>
      <c r="C20" s="1153">
        <v>41760</v>
      </c>
      <c r="D20" s="1153">
        <v>42930</v>
      </c>
      <c r="F20" s="1424">
        <v>42566</v>
      </c>
      <c r="G20" s="1424">
        <v>42749</v>
      </c>
      <c r="H20" s="1150">
        <v>133586</v>
      </c>
      <c r="I20" s="1150">
        <v>5115732</v>
      </c>
      <c r="J20" s="1150" t="s">
        <v>2921</v>
      </c>
      <c r="K20" s="1150" t="s">
        <v>2940</v>
      </c>
      <c r="L20" s="1150" t="s">
        <v>2941</v>
      </c>
      <c r="M20" s="1153">
        <v>28337</v>
      </c>
      <c r="O20" s="1150" t="s">
        <v>2942</v>
      </c>
      <c r="P20" s="1150" t="s">
        <v>2943</v>
      </c>
      <c r="Q20" s="1150">
        <v>7000</v>
      </c>
      <c r="R20" s="1150" t="s">
        <v>32</v>
      </c>
      <c r="S20" s="1150" t="s">
        <v>12</v>
      </c>
      <c r="T20" s="1150">
        <v>75</v>
      </c>
      <c r="U20" s="1150">
        <v>3</v>
      </c>
      <c r="V20" s="1150" t="s">
        <v>2169</v>
      </c>
      <c r="W20" s="1150" t="s">
        <v>2169</v>
      </c>
      <c r="X20" s="1153">
        <v>42675</v>
      </c>
      <c r="Y20" s="1153">
        <v>42749</v>
      </c>
      <c r="Z20" s="1150" t="s">
        <v>2918</v>
      </c>
      <c r="AA20" s="1150">
        <v>0</v>
      </c>
      <c r="AB20" s="1150" t="s">
        <v>2944</v>
      </c>
      <c r="AC20" s="1150" t="s">
        <v>2945</v>
      </c>
      <c r="AD20" s="1150" t="s">
        <v>4</v>
      </c>
      <c r="AE20" s="1150" t="s">
        <v>2920</v>
      </c>
      <c r="AF20" s="1150" t="s">
        <v>2910</v>
      </c>
      <c r="AG20" s="1150" t="s">
        <v>32</v>
      </c>
      <c r="AH20" s="1150" t="s">
        <v>2918</v>
      </c>
      <c r="AI20" s="1150" t="s">
        <v>2918</v>
      </c>
      <c r="AJ20" s="1150">
        <v>100000</v>
      </c>
      <c r="AK20" s="1150">
        <v>426.77890000000002</v>
      </c>
      <c r="AL20" s="1150" t="s">
        <v>4</v>
      </c>
      <c r="AM20" s="1150" t="s">
        <v>2920</v>
      </c>
      <c r="AN20" s="1150" t="s">
        <v>2910</v>
      </c>
      <c r="AO20" s="1150" t="s">
        <v>32</v>
      </c>
      <c r="AP20" s="1150" t="s">
        <v>2918</v>
      </c>
      <c r="AQ20" s="1150" t="s">
        <v>2918</v>
      </c>
      <c r="AR20" s="1150">
        <v>12500</v>
      </c>
      <c r="AS20" s="1150">
        <v>95.192400000000006</v>
      </c>
      <c r="AT20" s="1150" t="s">
        <v>7</v>
      </c>
      <c r="AU20" s="1150" t="s">
        <v>88</v>
      </c>
      <c r="AV20" s="1150">
        <v>240303</v>
      </c>
      <c r="AW20" s="1150" t="s">
        <v>32</v>
      </c>
      <c r="AX20" s="1150" t="s">
        <v>2918</v>
      </c>
      <c r="AY20" s="1150" t="s">
        <v>2918</v>
      </c>
      <c r="AZ20" s="1150">
        <v>252000</v>
      </c>
      <c r="BA20" s="1421">
        <v>5.0100000000000003E-4</v>
      </c>
      <c r="BB20" s="1150" t="s">
        <v>7</v>
      </c>
      <c r="BC20" s="1150" t="s">
        <v>88</v>
      </c>
      <c r="BD20" s="1150">
        <v>240303</v>
      </c>
      <c r="BE20" s="1150" t="s">
        <v>32</v>
      </c>
      <c r="BF20" s="1150" t="s">
        <v>2918</v>
      </c>
      <c r="BG20" s="1150" t="s">
        <v>2918</v>
      </c>
      <c r="BH20" s="1150">
        <v>252000</v>
      </c>
      <c r="BI20" s="1421">
        <v>1.253E-3</v>
      </c>
      <c r="BJ20" s="1150" t="s">
        <v>7</v>
      </c>
      <c r="BK20" s="1150" t="s">
        <v>88</v>
      </c>
      <c r="BL20" s="1150">
        <v>240303</v>
      </c>
      <c r="BM20" s="1150" t="s">
        <v>32</v>
      </c>
      <c r="BN20" s="1150" t="s">
        <v>2918</v>
      </c>
      <c r="BO20" s="1150" t="s">
        <v>2918</v>
      </c>
      <c r="BP20" s="1150">
        <v>252000</v>
      </c>
      <c r="BQ20" s="1421">
        <v>6.1899999999999998E-4</v>
      </c>
      <c r="BR20" s="1150" t="s">
        <v>7</v>
      </c>
      <c r="BS20" s="1150" t="s">
        <v>88</v>
      </c>
      <c r="BT20" s="1150">
        <v>240303</v>
      </c>
      <c r="BU20" s="1150" t="s">
        <v>32</v>
      </c>
      <c r="BV20" s="1150" t="s">
        <v>2918</v>
      </c>
      <c r="BW20" s="1150" t="s">
        <v>2918</v>
      </c>
      <c r="BX20" s="1150">
        <v>252000</v>
      </c>
      <c r="BY20" s="1421">
        <v>1.4890000000000001E-3</v>
      </c>
      <c r="BZ20" s="1150" t="s">
        <v>7</v>
      </c>
      <c r="CA20" s="1150" t="s">
        <v>88</v>
      </c>
      <c r="CB20" s="1150">
        <v>240303</v>
      </c>
      <c r="CC20" s="1150" t="s">
        <v>32</v>
      </c>
      <c r="CD20" s="1150">
        <v>7</v>
      </c>
      <c r="CE20" s="1150">
        <v>365</v>
      </c>
      <c r="CF20" s="1150">
        <v>84000</v>
      </c>
      <c r="CG20" s="1421">
        <v>5.8830000000000002E-3</v>
      </c>
      <c r="CH20" s="1150" t="s">
        <v>7</v>
      </c>
      <c r="CI20" s="1150" t="s">
        <v>88</v>
      </c>
      <c r="CJ20" s="1150">
        <v>240303</v>
      </c>
      <c r="CK20" s="1150" t="s">
        <v>32</v>
      </c>
      <c r="CL20" s="1150">
        <v>7</v>
      </c>
      <c r="CM20" s="1150">
        <v>365</v>
      </c>
      <c r="CN20" s="1150">
        <v>84000</v>
      </c>
      <c r="CO20" s="1421">
        <v>1.1757E-2</v>
      </c>
    </row>
    <row r="21" spans="1:93" s="1150" customFormat="1">
      <c r="A21" s="1150" t="s">
        <v>2895</v>
      </c>
      <c r="B21" s="1150">
        <v>12522</v>
      </c>
      <c r="C21" s="1153">
        <v>41760</v>
      </c>
      <c r="D21" s="1153">
        <v>42930</v>
      </c>
      <c r="F21" s="1424">
        <v>42566</v>
      </c>
      <c r="G21" s="1424">
        <v>42749</v>
      </c>
      <c r="H21" s="1150">
        <v>135203</v>
      </c>
      <c r="J21" s="1150" t="s">
        <v>2913</v>
      </c>
      <c r="K21" s="1150" t="s">
        <v>2946</v>
      </c>
      <c r="L21" s="1150" t="s">
        <v>978</v>
      </c>
      <c r="M21" s="1153">
        <v>32484</v>
      </c>
      <c r="O21" s="1150" t="s">
        <v>2916</v>
      </c>
      <c r="P21" s="1150" t="s">
        <v>2917</v>
      </c>
      <c r="Q21" s="1150">
        <v>3000</v>
      </c>
      <c r="R21" s="1150" t="s">
        <v>32</v>
      </c>
      <c r="S21" s="1150" t="s">
        <v>12</v>
      </c>
      <c r="T21" s="1150">
        <v>75</v>
      </c>
      <c r="U21" s="1150">
        <v>3</v>
      </c>
      <c r="V21" s="1150" t="s">
        <v>2169</v>
      </c>
      <c r="W21" s="1150" t="s">
        <v>2169</v>
      </c>
      <c r="X21" s="1153">
        <v>42675</v>
      </c>
      <c r="Y21" s="1153">
        <v>42749</v>
      </c>
      <c r="Z21" s="1150" t="s">
        <v>2918</v>
      </c>
      <c r="AA21" s="1150">
        <v>0</v>
      </c>
      <c r="AB21" s="1150" t="s">
        <v>2947</v>
      </c>
      <c r="AC21" s="1150" t="s">
        <v>2038</v>
      </c>
      <c r="AD21" s="1150" t="s">
        <v>4</v>
      </c>
      <c r="AE21" s="1150" t="s">
        <v>2920</v>
      </c>
      <c r="AF21" s="1150" t="s">
        <v>2910</v>
      </c>
      <c r="AG21" s="1150" t="s">
        <v>32</v>
      </c>
      <c r="AH21" s="1150" t="s">
        <v>2918</v>
      </c>
      <c r="AI21" s="1150" t="s">
        <v>2918</v>
      </c>
      <c r="AJ21" s="1150">
        <v>100000</v>
      </c>
      <c r="AK21" s="1150">
        <v>426.77890000000002</v>
      </c>
      <c r="AL21" s="1150" t="s">
        <v>4</v>
      </c>
      <c r="AM21" s="1150" t="s">
        <v>2920</v>
      </c>
      <c r="AN21" s="1150" t="s">
        <v>2910</v>
      </c>
      <c r="AO21" s="1150" t="s">
        <v>32</v>
      </c>
      <c r="AP21" s="1150" t="s">
        <v>2918</v>
      </c>
      <c r="AQ21" s="1150" t="s">
        <v>2918</v>
      </c>
      <c r="AR21" s="1150">
        <v>12500</v>
      </c>
      <c r="AS21" s="1150">
        <v>95.192400000000006</v>
      </c>
      <c r="AT21" s="1150" t="s">
        <v>7</v>
      </c>
      <c r="AU21" s="1150" t="s">
        <v>88</v>
      </c>
      <c r="AV21" s="1150">
        <v>240303</v>
      </c>
      <c r="AW21" s="1150" t="s">
        <v>32</v>
      </c>
      <c r="AX21" s="1150" t="s">
        <v>2918</v>
      </c>
      <c r="AY21" s="1150" t="s">
        <v>2918</v>
      </c>
      <c r="AZ21" s="1150">
        <v>108000</v>
      </c>
      <c r="BA21" s="1421">
        <v>5.0100000000000003E-4</v>
      </c>
      <c r="BB21" s="1150" t="s">
        <v>7</v>
      </c>
      <c r="BC21" s="1150" t="s">
        <v>88</v>
      </c>
      <c r="BD21" s="1150">
        <v>240303</v>
      </c>
      <c r="BE21" s="1150" t="s">
        <v>32</v>
      </c>
      <c r="BF21" s="1150" t="s">
        <v>2918</v>
      </c>
      <c r="BG21" s="1150" t="s">
        <v>2918</v>
      </c>
      <c r="BH21" s="1150">
        <v>108000</v>
      </c>
      <c r="BI21" s="1421">
        <v>1.253E-3</v>
      </c>
      <c r="BJ21" s="1150" t="s">
        <v>7</v>
      </c>
      <c r="BK21" s="1150" t="s">
        <v>88</v>
      </c>
      <c r="BL21" s="1150">
        <v>240303</v>
      </c>
      <c r="BM21" s="1150" t="s">
        <v>32</v>
      </c>
      <c r="BN21" s="1150" t="s">
        <v>2918</v>
      </c>
      <c r="BO21" s="1150" t="s">
        <v>2918</v>
      </c>
      <c r="BP21" s="1150">
        <v>108000</v>
      </c>
      <c r="BQ21" s="1421">
        <v>6.1899999999999998E-4</v>
      </c>
      <c r="BR21" s="1150" t="s">
        <v>7</v>
      </c>
      <c r="BS21" s="1150" t="s">
        <v>88</v>
      </c>
      <c r="BT21" s="1150">
        <v>240303</v>
      </c>
      <c r="BU21" s="1150" t="s">
        <v>32</v>
      </c>
      <c r="BV21" s="1150" t="s">
        <v>2918</v>
      </c>
      <c r="BW21" s="1150" t="s">
        <v>2918</v>
      </c>
      <c r="BX21" s="1150">
        <v>108000</v>
      </c>
      <c r="BY21" s="1421">
        <v>1.4890000000000001E-3</v>
      </c>
      <c r="BZ21" s="1150" t="s">
        <v>7</v>
      </c>
      <c r="CA21" s="1150" t="s">
        <v>88</v>
      </c>
      <c r="CB21" s="1150">
        <v>240303</v>
      </c>
      <c r="CC21" s="1150" t="s">
        <v>32</v>
      </c>
      <c r="CD21" s="1150">
        <v>7</v>
      </c>
      <c r="CE21" s="1150">
        <v>365</v>
      </c>
      <c r="CF21" s="1150">
        <v>36000</v>
      </c>
      <c r="CG21" s="1421">
        <v>5.8830000000000002E-3</v>
      </c>
      <c r="CH21" s="1150" t="s">
        <v>7</v>
      </c>
      <c r="CI21" s="1150" t="s">
        <v>88</v>
      </c>
      <c r="CJ21" s="1150">
        <v>240303</v>
      </c>
      <c r="CK21" s="1150" t="s">
        <v>32</v>
      </c>
      <c r="CL21" s="1150">
        <v>7</v>
      </c>
      <c r="CM21" s="1150">
        <v>365</v>
      </c>
      <c r="CN21" s="1150">
        <v>36000</v>
      </c>
      <c r="CO21" s="1421">
        <v>1.1757E-2</v>
      </c>
    </row>
    <row r="22" spans="1:93" s="1150" customFormat="1">
      <c r="A22" s="1150" t="s">
        <v>2895</v>
      </c>
      <c r="B22" s="1150">
        <v>12522</v>
      </c>
      <c r="C22" s="1153">
        <v>41760</v>
      </c>
      <c r="D22" s="1153">
        <v>42930</v>
      </c>
      <c r="F22" s="1424">
        <v>42566</v>
      </c>
      <c r="G22" s="1424">
        <v>42749</v>
      </c>
      <c r="H22" s="1150">
        <v>134000</v>
      </c>
      <c r="I22" s="1150">
        <v>6020317</v>
      </c>
      <c r="J22" s="1150" t="s">
        <v>2913</v>
      </c>
      <c r="K22" s="1150" t="s">
        <v>2948</v>
      </c>
      <c r="L22" s="1150" t="s">
        <v>2949</v>
      </c>
      <c r="M22" s="1153">
        <v>28591</v>
      </c>
      <c r="N22" s="1150" t="s">
        <v>2950</v>
      </c>
      <c r="O22" s="1150" t="s">
        <v>2942</v>
      </c>
      <c r="P22" s="1150" t="s">
        <v>2951</v>
      </c>
      <c r="Q22" s="1150">
        <v>5500</v>
      </c>
      <c r="R22" s="1150" t="s">
        <v>32</v>
      </c>
      <c r="S22" s="1150" t="s">
        <v>12</v>
      </c>
      <c r="T22" s="1150">
        <v>110</v>
      </c>
      <c r="U22" s="1150">
        <v>4</v>
      </c>
      <c r="V22" s="1150" t="s">
        <v>2169</v>
      </c>
      <c r="W22" s="1150" t="s">
        <v>2169</v>
      </c>
      <c r="X22" s="1153">
        <v>42566</v>
      </c>
      <c r="Y22" s="1153">
        <v>42675</v>
      </c>
      <c r="Z22" s="1150" t="s">
        <v>2918</v>
      </c>
      <c r="AA22" s="1150">
        <v>0</v>
      </c>
      <c r="AB22" s="1150" t="s">
        <v>2947</v>
      </c>
      <c r="AC22" s="1150" t="s">
        <v>2038</v>
      </c>
      <c r="AD22" s="1150" t="s">
        <v>4</v>
      </c>
      <c r="AE22" s="1150" t="s">
        <v>2920</v>
      </c>
      <c r="AF22" s="1150" t="s">
        <v>2910</v>
      </c>
      <c r="AG22" s="1150" t="s">
        <v>32</v>
      </c>
      <c r="AH22" s="1150" t="s">
        <v>2918</v>
      </c>
      <c r="AI22" s="1150" t="s">
        <v>2918</v>
      </c>
      <c r="AJ22" s="1150">
        <v>100000</v>
      </c>
      <c r="AK22" s="1150">
        <v>426.77890000000002</v>
      </c>
      <c r="AL22" s="1150" t="s">
        <v>4</v>
      </c>
      <c r="AM22" s="1150" t="s">
        <v>2920</v>
      </c>
      <c r="AN22" s="1150" t="s">
        <v>2910</v>
      </c>
      <c r="AO22" s="1150" t="s">
        <v>32</v>
      </c>
      <c r="AP22" s="1150" t="s">
        <v>2918</v>
      </c>
      <c r="AQ22" s="1150" t="s">
        <v>2918</v>
      </c>
      <c r="AR22" s="1150">
        <v>12500</v>
      </c>
      <c r="AS22" s="1150">
        <v>95.192400000000006</v>
      </c>
      <c r="AT22" s="1150" t="s">
        <v>7</v>
      </c>
      <c r="AU22" s="1150" t="s">
        <v>88</v>
      </c>
      <c r="AV22" s="1150">
        <v>240303</v>
      </c>
      <c r="AW22" s="1150" t="s">
        <v>32</v>
      </c>
      <c r="AX22" s="1150" t="s">
        <v>2918</v>
      </c>
      <c r="AY22" s="1150" t="s">
        <v>2918</v>
      </c>
      <c r="AZ22" s="1150">
        <v>198000</v>
      </c>
      <c r="BA22" s="1421">
        <v>5.0100000000000003E-4</v>
      </c>
      <c r="BB22" s="1150" t="s">
        <v>7</v>
      </c>
      <c r="BC22" s="1150" t="s">
        <v>88</v>
      </c>
      <c r="BD22" s="1150">
        <v>240303</v>
      </c>
      <c r="BE22" s="1150" t="s">
        <v>32</v>
      </c>
      <c r="BF22" s="1150" t="s">
        <v>2918</v>
      </c>
      <c r="BG22" s="1150" t="s">
        <v>2918</v>
      </c>
      <c r="BH22" s="1150">
        <v>198000</v>
      </c>
      <c r="BI22" s="1421">
        <v>1.253E-3</v>
      </c>
      <c r="BJ22" s="1150" t="s">
        <v>7</v>
      </c>
      <c r="BK22" s="1150" t="s">
        <v>88</v>
      </c>
      <c r="BL22" s="1150">
        <v>240303</v>
      </c>
      <c r="BM22" s="1150" t="s">
        <v>32</v>
      </c>
      <c r="BN22" s="1150" t="s">
        <v>2918</v>
      </c>
      <c r="BO22" s="1150" t="s">
        <v>2918</v>
      </c>
      <c r="BP22" s="1150">
        <v>198000</v>
      </c>
      <c r="BQ22" s="1421">
        <v>6.1899999999999998E-4</v>
      </c>
      <c r="BR22" s="1150" t="s">
        <v>7</v>
      </c>
      <c r="BS22" s="1150" t="s">
        <v>88</v>
      </c>
      <c r="BT22" s="1150">
        <v>240303</v>
      </c>
      <c r="BU22" s="1150" t="s">
        <v>32</v>
      </c>
      <c r="BV22" s="1150" t="s">
        <v>2918</v>
      </c>
      <c r="BW22" s="1150" t="s">
        <v>2918</v>
      </c>
      <c r="BX22" s="1150">
        <v>198000</v>
      </c>
      <c r="BY22" s="1421">
        <v>1.4890000000000001E-3</v>
      </c>
      <c r="BZ22" s="1150" t="s">
        <v>7</v>
      </c>
      <c r="CA22" s="1150" t="s">
        <v>88</v>
      </c>
      <c r="CB22" s="1150">
        <v>240303</v>
      </c>
      <c r="CC22" s="1150" t="s">
        <v>32</v>
      </c>
      <c r="CD22" s="1150">
        <v>7</v>
      </c>
      <c r="CE22" s="1150">
        <v>365</v>
      </c>
      <c r="CF22" s="1150">
        <v>66000</v>
      </c>
      <c r="CG22" s="1421">
        <v>5.8830000000000002E-3</v>
      </c>
      <c r="CH22" s="1150" t="s">
        <v>7</v>
      </c>
      <c r="CI22" s="1150" t="s">
        <v>88</v>
      </c>
      <c r="CJ22" s="1150">
        <v>240303</v>
      </c>
      <c r="CK22" s="1150" t="s">
        <v>32</v>
      </c>
      <c r="CL22" s="1150">
        <v>7</v>
      </c>
      <c r="CM22" s="1150">
        <v>365</v>
      </c>
      <c r="CN22" s="1150">
        <v>66000</v>
      </c>
      <c r="CO22" s="1421">
        <v>1.1757E-2</v>
      </c>
    </row>
    <row r="23" spans="1:93" s="1150" customFormat="1">
      <c r="A23" s="1150" t="s">
        <v>2895</v>
      </c>
      <c r="B23" s="1150">
        <v>12522</v>
      </c>
      <c r="C23" s="1153">
        <v>41760</v>
      </c>
      <c r="D23" s="1153">
        <v>42930</v>
      </c>
      <c r="F23" s="1424">
        <v>42566</v>
      </c>
      <c r="G23" s="1424">
        <v>42749</v>
      </c>
      <c r="H23" s="1150">
        <v>130254</v>
      </c>
      <c r="I23" s="1150">
        <v>5147767</v>
      </c>
      <c r="J23" s="1150" t="s">
        <v>2921</v>
      </c>
      <c r="K23" s="1150" t="s">
        <v>2952</v>
      </c>
      <c r="L23" s="1150" t="s">
        <v>2953</v>
      </c>
      <c r="M23" s="1153">
        <v>32017</v>
      </c>
      <c r="O23" s="1150" t="s">
        <v>2942</v>
      </c>
      <c r="P23" s="1150" t="s">
        <v>2954</v>
      </c>
      <c r="Q23" s="1150">
        <v>7000</v>
      </c>
      <c r="R23" s="1150" t="s">
        <v>32</v>
      </c>
      <c r="S23" s="1150" t="s">
        <v>12</v>
      </c>
      <c r="T23" s="1150">
        <v>109</v>
      </c>
      <c r="U23" s="1150">
        <v>4</v>
      </c>
      <c r="V23" s="1150" t="s">
        <v>2169</v>
      </c>
      <c r="W23" s="1150" t="s">
        <v>2169</v>
      </c>
      <c r="X23" s="1153">
        <v>42566</v>
      </c>
      <c r="Y23" s="1153">
        <v>42674</v>
      </c>
      <c r="Z23" s="1150" t="s">
        <v>2918</v>
      </c>
      <c r="AA23" s="1150">
        <v>0</v>
      </c>
      <c r="AB23" s="1150" t="s">
        <v>1124</v>
      </c>
      <c r="AC23" s="1150" t="s">
        <v>2919</v>
      </c>
      <c r="AD23" s="1150" t="s">
        <v>4</v>
      </c>
      <c r="AE23" s="1150" t="s">
        <v>2920</v>
      </c>
      <c r="AF23" s="1150" t="s">
        <v>2910</v>
      </c>
      <c r="AG23" s="1150" t="s">
        <v>32</v>
      </c>
      <c r="AH23" s="1150" t="s">
        <v>2918</v>
      </c>
      <c r="AI23" s="1150" t="s">
        <v>2918</v>
      </c>
      <c r="AJ23" s="1150">
        <v>100000</v>
      </c>
      <c r="AK23" s="1150">
        <v>426.77890000000002</v>
      </c>
      <c r="AL23" s="1150" t="s">
        <v>4</v>
      </c>
      <c r="AM23" s="1150" t="s">
        <v>2920</v>
      </c>
      <c r="AN23" s="1150" t="s">
        <v>2910</v>
      </c>
      <c r="AO23" s="1150" t="s">
        <v>32</v>
      </c>
      <c r="AP23" s="1150" t="s">
        <v>2918</v>
      </c>
      <c r="AQ23" s="1150" t="s">
        <v>2918</v>
      </c>
      <c r="AR23" s="1150">
        <v>12500</v>
      </c>
      <c r="AS23" s="1150">
        <v>95.192400000000006</v>
      </c>
      <c r="AT23" s="1150" t="s">
        <v>7</v>
      </c>
      <c r="AU23" s="1150" t="s">
        <v>88</v>
      </c>
      <c r="AV23" s="1150">
        <v>240303</v>
      </c>
      <c r="AW23" s="1150" t="s">
        <v>32</v>
      </c>
      <c r="AX23" s="1150" t="s">
        <v>2918</v>
      </c>
      <c r="AY23" s="1150" t="s">
        <v>2918</v>
      </c>
      <c r="AZ23" s="1150">
        <v>252000</v>
      </c>
      <c r="BA23" s="1421">
        <v>5.0100000000000003E-4</v>
      </c>
      <c r="BB23" s="1150" t="s">
        <v>7</v>
      </c>
      <c r="BC23" s="1150" t="s">
        <v>88</v>
      </c>
      <c r="BD23" s="1150">
        <v>240303</v>
      </c>
      <c r="BE23" s="1150" t="s">
        <v>32</v>
      </c>
      <c r="BF23" s="1150" t="s">
        <v>2918</v>
      </c>
      <c r="BG23" s="1150" t="s">
        <v>2918</v>
      </c>
      <c r="BH23" s="1150">
        <v>252000</v>
      </c>
      <c r="BI23" s="1421">
        <v>1.253E-3</v>
      </c>
      <c r="BJ23" s="1150" t="s">
        <v>7</v>
      </c>
      <c r="BK23" s="1150" t="s">
        <v>88</v>
      </c>
      <c r="BL23" s="1150">
        <v>240303</v>
      </c>
      <c r="BM23" s="1150" t="s">
        <v>32</v>
      </c>
      <c r="BN23" s="1150" t="s">
        <v>2918</v>
      </c>
      <c r="BO23" s="1150" t="s">
        <v>2918</v>
      </c>
      <c r="BP23" s="1150">
        <v>252000</v>
      </c>
      <c r="BQ23" s="1421">
        <v>6.1899999999999998E-4</v>
      </c>
      <c r="BR23" s="1150" t="s">
        <v>7</v>
      </c>
      <c r="BS23" s="1150" t="s">
        <v>88</v>
      </c>
      <c r="BT23" s="1150">
        <v>240303</v>
      </c>
      <c r="BU23" s="1150" t="s">
        <v>32</v>
      </c>
      <c r="BV23" s="1150" t="s">
        <v>2918</v>
      </c>
      <c r="BW23" s="1150" t="s">
        <v>2918</v>
      </c>
      <c r="BX23" s="1150">
        <v>252000</v>
      </c>
      <c r="BY23" s="1421">
        <v>1.4890000000000001E-3</v>
      </c>
      <c r="BZ23" s="1150" t="s">
        <v>7</v>
      </c>
      <c r="CA23" s="1150" t="s">
        <v>88</v>
      </c>
      <c r="CB23" s="1150">
        <v>240303</v>
      </c>
      <c r="CC23" s="1150" t="s">
        <v>32</v>
      </c>
      <c r="CD23" s="1150">
        <v>7</v>
      </c>
      <c r="CE23" s="1150">
        <v>365</v>
      </c>
      <c r="CF23" s="1150">
        <v>84000</v>
      </c>
      <c r="CG23" s="1421">
        <v>5.8830000000000002E-3</v>
      </c>
      <c r="CH23" s="1150" t="s">
        <v>7</v>
      </c>
      <c r="CI23" s="1150" t="s">
        <v>88</v>
      </c>
      <c r="CJ23" s="1150">
        <v>240303</v>
      </c>
      <c r="CK23" s="1150" t="s">
        <v>32</v>
      </c>
      <c r="CL23" s="1150">
        <v>7</v>
      </c>
      <c r="CM23" s="1150">
        <v>365</v>
      </c>
      <c r="CN23" s="1150">
        <v>84000</v>
      </c>
      <c r="CO23" s="1421">
        <v>1.1757E-2</v>
      </c>
    </row>
    <row r="24" spans="1:93" s="1150" customFormat="1">
      <c r="A24" s="1150" t="s">
        <v>2895</v>
      </c>
      <c r="B24" s="1150">
        <v>12522</v>
      </c>
      <c r="C24" s="1153">
        <v>41760</v>
      </c>
      <c r="D24" s="1153">
        <v>42930</v>
      </c>
      <c r="F24" s="1424">
        <v>42566</v>
      </c>
      <c r="G24" s="1424">
        <v>42749</v>
      </c>
      <c r="H24" s="1150">
        <v>130254</v>
      </c>
      <c r="I24" s="1150">
        <v>5147767</v>
      </c>
      <c r="J24" s="1150" t="s">
        <v>2921</v>
      </c>
      <c r="K24" s="1150" t="s">
        <v>2952</v>
      </c>
      <c r="L24" s="1150" t="s">
        <v>2953</v>
      </c>
      <c r="M24" s="1153">
        <v>32017</v>
      </c>
      <c r="O24" s="1150" t="s">
        <v>2942</v>
      </c>
      <c r="P24" s="1150" t="s">
        <v>2954</v>
      </c>
      <c r="Q24" s="1150">
        <v>3500</v>
      </c>
      <c r="R24" s="1150" t="s">
        <v>32</v>
      </c>
      <c r="S24" s="1150" t="s">
        <v>12</v>
      </c>
      <c r="T24" s="1150">
        <v>75</v>
      </c>
      <c r="U24" s="1150">
        <v>3</v>
      </c>
      <c r="V24" s="1150" t="s">
        <v>2169</v>
      </c>
      <c r="W24" s="1150" t="s">
        <v>2169</v>
      </c>
      <c r="X24" s="1153">
        <v>42675</v>
      </c>
      <c r="Y24" s="1153">
        <v>42749</v>
      </c>
      <c r="Z24" s="1150" t="s">
        <v>2918</v>
      </c>
      <c r="AA24" s="1150">
        <v>0</v>
      </c>
      <c r="AB24" s="1150" t="s">
        <v>1124</v>
      </c>
      <c r="AC24" s="1150" t="s">
        <v>2919</v>
      </c>
      <c r="AD24" s="1150" t="s">
        <v>4</v>
      </c>
      <c r="AE24" s="1150" t="s">
        <v>2920</v>
      </c>
      <c r="AF24" s="1150" t="s">
        <v>2910</v>
      </c>
      <c r="AG24" s="1150" t="s">
        <v>32</v>
      </c>
      <c r="AH24" s="1150" t="s">
        <v>2918</v>
      </c>
      <c r="AI24" s="1150" t="s">
        <v>2918</v>
      </c>
      <c r="AJ24" s="1150">
        <v>100000</v>
      </c>
      <c r="AK24" s="1150">
        <v>426.77890000000002</v>
      </c>
      <c r="AL24" s="1150" t="s">
        <v>4</v>
      </c>
      <c r="AM24" s="1150" t="s">
        <v>2920</v>
      </c>
      <c r="AN24" s="1150" t="s">
        <v>2910</v>
      </c>
      <c r="AO24" s="1150" t="s">
        <v>32</v>
      </c>
      <c r="AP24" s="1150" t="s">
        <v>2918</v>
      </c>
      <c r="AQ24" s="1150" t="s">
        <v>2918</v>
      </c>
      <c r="AR24" s="1150">
        <v>12500</v>
      </c>
      <c r="AS24" s="1150">
        <v>95.192400000000006</v>
      </c>
      <c r="AT24" s="1150" t="s">
        <v>7</v>
      </c>
      <c r="AU24" s="1150" t="s">
        <v>88</v>
      </c>
      <c r="AV24" s="1150">
        <v>240303</v>
      </c>
      <c r="AW24" s="1150" t="s">
        <v>32</v>
      </c>
      <c r="AX24" s="1150" t="s">
        <v>2918</v>
      </c>
      <c r="AY24" s="1150" t="s">
        <v>2918</v>
      </c>
      <c r="AZ24" s="1150">
        <v>126000</v>
      </c>
      <c r="BA24" s="1421">
        <v>5.0100000000000003E-4</v>
      </c>
      <c r="BB24" s="1150" t="s">
        <v>7</v>
      </c>
      <c r="BC24" s="1150" t="s">
        <v>88</v>
      </c>
      <c r="BD24" s="1150">
        <v>240303</v>
      </c>
      <c r="BE24" s="1150" t="s">
        <v>32</v>
      </c>
      <c r="BF24" s="1150" t="s">
        <v>2918</v>
      </c>
      <c r="BG24" s="1150" t="s">
        <v>2918</v>
      </c>
      <c r="BH24" s="1150">
        <v>126000</v>
      </c>
      <c r="BI24" s="1421">
        <v>1.253E-3</v>
      </c>
      <c r="BJ24" s="1150" t="s">
        <v>7</v>
      </c>
      <c r="BK24" s="1150" t="s">
        <v>88</v>
      </c>
      <c r="BL24" s="1150">
        <v>240303</v>
      </c>
      <c r="BM24" s="1150" t="s">
        <v>32</v>
      </c>
      <c r="BN24" s="1150" t="s">
        <v>2918</v>
      </c>
      <c r="BO24" s="1150" t="s">
        <v>2918</v>
      </c>
      <c r="BP24" s="1150">
        <v>126000</v>
      </c>
      <c r="BQ24" s="1421">
        <v>6.1899999999999998E-4</v>
      </c>
      <c r="BR24" s="1150" t="s">
        <v>7</v>
      </c>
      <c r="BS24" s="1150" t="s">
        <v>88</v>
      </c>
      <c r="BT24" s="1150">
        <v>240303</v>
      </c>
      <c r="BU24" s="1150" t="s">
        <v>32</v>
      </c>
      <c r="BV24" s="1150" t="s">
        <v>2918</v>
      </c>
      <c r="BW24" s="1150" t="s">
        <v>2918</v>
      </c>
      <c r="BX24" s="1150">
        <v>126000</v>
      </c>
      <c r="BY24" s="1421">
        <v>1.4890000000000001E-3</v>
      </c>
      <c r="BZ24" s="1150" t="s">
        <v>7</v>
      </c>
      <c r="CA24" s="1150" t="s">
        <v>88</v>
      </c>
      <c r="CB24" s="1150">
        <v>240303</v>
      </c>
      <c r="CC24" s="1150" t="s">
        <v>32</v>
      </c>
      <c r="CD24" s="1150">
        <v>7</v>
      </c>
      <c r="CE24" s="1150">
        <v>365</v>
      </c>
      <c r="CF24" s="1150">
        <v>42000</v>
      </c>
      <c r="CG24" s="1421">
        <v>5.8830000000000002E-3</v>
      </c>
      <c r="CH24" s="1150" t="s">
        <v>7</v>
      </c>
      <c r="CI24" s="1150" t="s">
        <v>88</v>
      </c>
      <c r="CJ24" s="1150">
        <v>240303</v>
      </c>
      <c r="CK24" s="1150" t="s">
        <v>32</v>
      </c>
      <c r="CL24" s="1150">
        <v>7</v>
      </c>
      <c r="CM24" s="1150">
        <v>365</v>
      </c>
      <c r="CN24" s="1150">
        <v>42000</v>
      </c>
      <c r="CO24" s="1421">
        <v>1.1757E-2</v>
      </c>
    </row>
    <row r="25" spans="1:93" s="1150" customFormat="1">
      <c r="A25" s="1150" t="s">
        <v>2895</v>
      </c>
      <c r="B25" s="1150">
        <v>12522</v>
      </c>
      <c r="C25" s="1153">
        <v>41760</v>
      </c>
      <c r="D25" s="1153">
        <v>42930</v>
      </c>
      <c r="F25" s="1424">
        <v>42566</v>
      </c>
      <c r="G25" s="1424">
        <v>42749</v>
      </c>
      <c r="H25" s="1150">
        <v>132892</v>
      </c>
      <c r="I25" s="1150">
        <v>5625896</v>
      </c>
      <c r="J25" s="1150" t="s">
        <v>2921</v>
      </c>
      <c r="K25" s="1150" t="s">
        <v>2955</v>
      </c>
      <c r="L25" s="1150" t="s">
        <v>2956</v>
      </c>
      <c r="M25" s="1153">
        <v>28560</v>
      </c>
      <c r="O25" s="1150" t="s">
        <v>2916</v>
      </c>
      <c r="P25" s="1150" t="s">
        <v>2957</v>
      </c>
      <c r="Q25" s="1150">
        <v>3500</v>
      </c>
      <c r="R25" s="1150" t="s">
        <v>32</v>
      </c>
      <c r="S25" s="1150" t="s">
        <v>12</v>
      </c>
      <c r="T25" s="1150">
        <v>110</v>
      </c>
      <c r="U25" s="1150">
        <v>4</v>
      </c>
      <c r="V25" s="1150" t="s">
        <v>2169</v>
      </c>
      <c r="W25" s="1150" t="s">
        <v>2169</v>
      </c>
      <c r="X25" s="1153">
        <v>42566</v>
      </c>
      <c r="Y25" s="1153">
        <v>42675</v>
      </c>
      <c r="Z25" s="1150" t="s">
        <v>2918</v>
      </c>
      <c r="AA25" s="1150">
        <v>0</v>
      </c>
      <c r="AB25" s="1150" t="s">
        <v>2958</v>
      </c>
      <c r="AC25" s="1150" t="s">
        <v>2958</v>
      </c>
      <c r="AD25" s="1150" t="s">
        <v>4</v>
      </c>
      <c r="AE25" s="1150" t="s">
        <v>2920</v>
      </c>
      <c r="AF25" s="1150" t="s">
        <v>2910</v>
      </c>
      <c r="AG25" s="1150" t="s">
        <v>32</v>
      </c>
      <c r="AH25" s="1150" t="s">
        <v>2918</v>
      </c>
      <c r="AI25" s="1150" t="s">
        <v>2918</v>
      </c>
      <c r="AJ25" s="1150">
        <v>100000</v>
      </c>
      <c r="AK25" s="1150">
        <v>426.77890000000002</v>
      </c>
      <c r="AL25" s="1150" t="s">
        <v>4</v>
      </c>
      <c r="AM25" s="1150" t="s">
        <v>2920</v>
      </c>
      <c r="AN25" s="1150" t="s">
        <v>2910</v>
      </c>
      <c r="AO25" s="1150" t="s">
        <v>32</v>
      </c>
      <c r="AP25" s="1150" t="s">
        <v>2918</v>
      </c>
      <c r="AQ25" s="1150" t="s">
        <v>2918</v>
      </c>
      <c r="AR25" s="1150">
        <v>12500</v>
      </c>
      <c r="AS25" s="1150">
        <v>95.192400000000006</v>
      </c>
      <c r="AT25" s="1150" t="s">
        <v>7</v>
      </c>
      <c r="AU25" s="1150" t="s">
        <v>88</v>
      </c>
      <c r="AV25" s="1150">
        <v>240303</v>
      </c>
      <c r="AW25" s="1150" t="s">
        <v>32</v>
      </c>
      <c r="AX25" s="1150" t="s">
        <v>2918</v>
      </c>
      <c r="AY25" s="1150" t="s">
        <v>2918</v>
      </c>
      <c r="AZ25" s="1150">
        <v>126000</v>
      </c>
      <c r="BA25" s="1421">
        <v>5.0100000000000003E-4</v>
      </c>
      <c r="BB25" s="1150" t="s">
        <v>7</v>
      </c>
      <c r="BC25" s="1150" t="s">
        <v>88</v>
      </c>
      <c r="BD25" s="1150">
        <v>240303</v>
      </c>
      <c r="BE25" s="1150" t="s">
        <v>32</v>
      </c>
      <c r="BF25" s="1150" t="s">
        <v>2918</v>
      </c>
      <c r="BG25" s="1150" t="s">
        <v>2918</v>
      </c>
      <c r="BH25" s="1150">
        <v>126000</v>
      </c>
      <c r="BI25" s="1421">
        <v>1.253E-3</v>
      </c>
      <c r="BJ25" s="1150" t="s">
        <v>7</v>
      </c>
      <c r="BK25" s="1150" t="s">
        <v>88</v>
      </c>
      <c r="BL25" s="1150">
        <v>240303</v>
      </c>
      <c r="BM25" s="1150" t="s">
        <v>32</v>
      </c>
      <c r="BN25" s="1150" t="s">
        <v>2918</v>
      </c>
      <c r="BO25" s="1150" t="s">
        <v>2918</v>
      </c>
      <c r="BP25" s="1150">
        <v>126000</v>
      </c>
      <c r="BQ25" s="1421">
        <v>6.1899999999999998E-4</v>
      </c>
      <c r="BR25" s="1150" t="s">
        <v>7</v>
      </c>
      <c r="BS25" s="1150" t="s">
        <v>88</v>
      </c>
      <c r="BT25" s="1150">
        <v>240303</v>
      </c>
      <c r="BU25" s="1150" t="s">
        <v>32</v>
      </c>
      <c r="BV25" s="1150" t="s">
        <v>2918</v>
      </c>
      <c r="BW25" s="1150" t="s">
        <v>2918</v>
      </c>
      <c r="BX25" s="1150">
        <v>126000</v>
      </c>
      <c r="BY25" s="1421">
        <v>1.4890000000000001E-3</v>
      </c>
      <c r="BZ25" s="1150" t="s">
        <v>7</v>
      </c>
      <c r="CA25" s="1150" t="s">
        <v>88</v>
      </c>
      <c r="CB25" s="1150">
        <v>240303</v>
      </c>
      <c r="CC25" s="1150" t="s">
        <v>32</v>
      </c>
      <c r="CD25" s="1150">
        <v>7</v>
      </c>
      <c r="CE25" s="1150">
        <v>365</v>
      </c>
      <c r="CF25" s="1150">
        <v>42000</v>
      </c>
      <c r="CG25" s="1421">
        <v>5.8830000000000002E-3</v>
      </c>
      <c r="CH25" s="1150" t="s">
        <v>7</v>
      </c>
      <c r="CI25" s="1150" t="s">
        <v>88</v>
      </c>
      <c r="CJ25" s="1150">
        <v>240303</v>
      </c>
      <c r="CK25" s="1150" t="s">
        <v>32</v>
      </c>
      <c r="CL25" s="1150">
        <v>7</v>
      </c>
      <c r="CM25" s="1150">
        <v>365</v>
      </c>
      <c r="CN25" s="1150">
        <v>42000</v>
      </c>
      <c r="CO25" s="1421">
        <v>1.1757E-2</v>
      </c>
    </row>
    <row r="26" spans="1:93" s="1150" customFormat="1">
      <c r="A26" s="1150" t="s">
        <v>2895</v>
      </c>
      <c r="B26" s="1150">
        <v>12522</v>
      </c>
      <c r="C26" s="1153">
        <v>41760</v>
      </c>
      <c r="D26" s="1153">
        <v>42930</v>
      </c>
      <c r="F26" s="1424">
        <v>42566</v>
      </c>
      <c r="G26" s="1424">
        <v>42749</v>
      </c>
      <c r="H26" s="1150">
        <v>133442</v>
      </c>
      <c r="I26" s="1150">
        <v>5934982</v>
      </c>
      <c r="J26" s="1150" t="s">
        <v>2921</v>
      </c>
      <c r="K26" s="1150" t="s">
        <v>2959</v>
      </c>
      <c r="L26" s="1150" t="s">
        <v>2960</v>
      </c>
      <c r="M26" s="1153">
        <v>26888</v>
      </c>
      <c r="O26" s="1150" t="s">
        <v>2942</v>
      </c>
      <c r="P26" s="1150" t="s">
        <v>2943</v>
      </c>
      <c r="Q26" s="1150">
        <v>6000</v>
      </c>
      <c r="R26" s="1150" t="s">
        <v>32</v>
      </c>
      <c r="S26" s="1150" t="s">
        <v>12</v>
      </c>
      <c r="T26" s="1150">
        <v>75</v>
      </c>
      <c r="U26" s="1150">
        <v>3</v>
      </c>
      <c r="V26" s="1150" t="s">
        <v>2169</v>
      </c>
      <c r="W26" s="1150" t="s">
        <v>2169</v>
      </c>
      <c r="X26" s="1153">
        <v>42675</v>
      </c>
      <c r="Y26" s="1153">
        <v>42749</v>
      </c>
      <c r="Z26" s="1150" t="s">
        <v>2918</v>
      </c>
      <c r="AA26" s="1150">
        <v>0</v>
      </c>
      <c r="AB26" s="1150" t="s">
        <v>2944</v>
      </c>
      <c r="AC26" s="1150" t="s">
        <v>2945</v>
      </c>
      <c r="AD26" s="1150" t="s">
        <v>4</v>
      </c>
      <c r="AE26" s="1150" t="s">
        <v>2920</v>
      </c>
      <c r="AF26" s="1150" t="s">
        <v>2910</v>
      </c>
      <c r="AG26" s="1150" t="s">
        <v>32</v>
      </c>
      <c r="AH26" s="1150" t="s">
        <v>2918</v>
      </c>
      <c r="AI26" s="1150" t="s">
        <v>2918</v>
      </c>
      <c r="AJ26" s="1150">
        <v>100000</v>
      </c>
      <c r="AK26" s="1150">
        <v>426.77890000000002</v>
      </c>
      <c r="AL26" s="1150" t="s">
        <v>4</v>
      </c>
      <c r="AM26" s="1150" t="s">
        <v>2920</v>
      </c>
      <c r="AN26" s="1150" t="s">
        <v>2910</v>
      </c>
      <c r="AO26" s="1150" t="s">
        <v>32</v>
      </c>
      <c r="AP26" s="1150" t="s">
        <v>2918</v>
      </c>
      <c r="AQ26" s="1150" t="s">
        <v>2918</v>
      </c>
      <c r="AR26" s="1150">
        <v>12500</v>
      </c>
      <c r="AS26" s="1150">
        <v>95.192400000000006</v>
      </c>
      <c r="AT26" s="1150" t="s">
        <v>7</v>
      </c>
      <c r="AU26" s="1150" t="s">
        <v>88</v>
      </c>
      <c r="AV26" s="1150">
        <v>240303</v>
      </c>
      <c r="AW26" s="1150" t="s">
        <v>32</v>
      </c>
      <c r="AX26" s="1150" t="s">
        <v>2918</v>
      </c>
      <c r="AY26" s="1150" t="s">
        <v>2918</v>
      </c>
      <c r="AZ26" s="1150">
        <v>216000</v>
      </c>
      <c r="BA26" s="1421">
        <v>5.0100000000000003E-4</v>
      </c>
      <c r="BB26" s="1150" t="s">
        <v>7</v>
      </c>
      <c r="BC26" s="1150" t="s">
        <v>88</v>
      </c>
      <c r="BD26" s="1150">
        <v>240303</v>
      </c>
      <c r="BE26" s="1150" t="s">
        <v>32</v>
      </c>
      <c r="BF26" s="1150" t="s">
        <v>2918</v>
      </c>
      <c r="BG26" s="1150" t="s">
        <v>2918</v>
      </c>
      <c r="BH26" s="1150">
        <v>216000</v>
      </c>
      <c r="BI26" s="1421">
        <v>1.253E-3</v>
      </c>
      <c r="BJ26" s="1150" t="s">
        <v>7</v>
      </c>
      <c r="BK26" s="1150" t="s">
        <v>88</v>
      </c>
      <c r="BL26" s="1150">
        <v>240303</v>
      </c>
      <c r="BM26" s="1150" t="s">
        <v>32</v>
      </c>
      <c r="BN26" s="1150" t="s">
        <v>2918</v>
      </c>
      <c r="BO26" s="1150" t="s">
        <v>2918</v>
      </c>
      <c r="BP26" s="1150">
        <v>216000</v>
      </c>
      <c r="BQ26" s="1421">
        <v>6.1899999999999998E-4</v>
      </c>
      <c r="BR26" s="1150" t="s">
        <v>7</v>
      </c>
      <c r="BS26" s="1150" t="s">
        <v>88</v>
      </c>
      <c r="BT26" s="1150">
        <v>240303</v>
      </c>
      <c r="BU26" s="1150" t="s">
        <v>32</v>
      </c>
      <c r="BV26" s="1150" t="s">
        <v>2918</v>
      </c>
      <c r="BW26" s="1150" t="s">
        <v>2918</v>
      </c>
      <c r="BX26" s="1150">
        <v>216000</v>
      </c>
      <c r="BY26" s="1421">
        <v>1.4890000000000001E-3</v>
      </c>
      <c r="BZ26" s="1150" t="s">
        <v>7</v>
      </c>
      <c r="CA26" s="1150" t="s">
        <v>88</v>
      </c>
      <c r="CB26" s="1150">
        <v>240303</v>
      </c>
      <c r="CC26" s="1150" t="s">
        <v>32</v>
      </c>
      <c r="CD26" s="1150">
        <v>7</v>
      </c>
      <c r="CE26" s="1150">
        <v>365</v>
      </c>
      <c r="CF26" s="1150">
        <v>72000</v>
      </c>
      <c r="CG26" s="1421">
        <v>5.8830000000000002E-3</v>
      </c>
      <c r="CH26" s="1150" t="s">
        <v>7</v>
      </c>
      <c r="CI26" s="1150" t="s">
        <v>88</v>
      </c>
      <c r="CJ26" s="1150">
        <v>240303</v>
      </c>
      <c r="CK26" s="1150" t="s">
        <v>32</v>
      </c>
      <c r="CL26" s="1150">
        <v>7</v>
      </c>
      <c r="CM26" s="1150">
        <v>365</v>
      </c>
      <c r="CN26" s="1150">
        <v>72000</v>
      </c>
      <c r="CO26" s="1421">
        <v>1.1757E-2</v>
      </c>
    </row>
    <row r="27" spans="1:93" s="1150" customFormat="1">
      <c r="A27" s="1150" t="s">
        <v>2895</v>
      </c>
      <c r="B27" s="1150">
        <v>12522</v>
      </c>
      <c r="C27" s="1153">
        <v>41760</v>
      </c>
      <c r="D27" s="1153">
        <v>42930</v>
      </c>
      <c r="F27" s="1424">
        <v>42566</v>
      </c>
      <c r="G27" s="1424">
        <v>42749</v>
      </c>
      <c r="H27" s="1150">
        <v>135200</v>
      </c>
      <c r="J27" s="1150" t="s">
        <v>2921</v>
      </c>
      <c r="K27" s="1150" t="s">
        <v>2961</v>
      </c>
      <c r="L27" s="1150" t="s">
        <v>776</v>
      </c>
      <c r="M27" s="1153">
        <v>33165</v>
      </c>
      <c r="O27" s="1150" t="s">
        <v>2916</v>
      </c>
      <c r="P27" s="1150" t="s">
        <v>2962</v>
      </c>
      <c r="Q27" s="1150">
        <v>3500</v>
      </c>
      <c r="R27" s="1150" t="s">
        <v>32</v>
      </c>
      <c r="S27" s="1150" t="s">
        <v>12</v>
      </c>
      <c r="T27" s="1150">
        <v>75</v>
      </c>
      <c r="U27" s="1150">
        <v>3</v>
      </c>
      <c r="V27" s="1150" t="s">
        <v>2169</v>
      </c>
      <c r="W27" s="1150" t="s">
        <v>2169</v>
      </c>
      <c r="X27" s="1153">
        <v>42675</v>
      </c>
      <c r="Y27" s="1153">
        <v>42749</v>
      </c>
      <c r="Z27" s="1150" t="s">
        <v>2918</v>
      </c>
      <c r="AA27" s="1150">
        <v>0</v>
      </c>
      <c r="AB27" s="1150" t="s">
        <v>1521</v>
      </c>
      <c r="AC27" s="1150" t="s">
        <v>2963</v>
      </c>
      <c r="AD27" s="1150" t="s">
        <v>4</v>
      </c>
      <c r="AE27" s="1150" t="s">
        <v>2920</v>
      </c>
      <c r="AF27" s="1150" t="s">
        <v>2910</v>
      </c>
      <c r="AG27" s="1150" t="s">
        <v>32</v>
      </c>
      <c r="AH27" s="1150" t="s">
        <v>2918</v>
      </c>
      <c r="AI27" s="1150" t="s">
        <v>2918</v>
      </c>
      <c r="AJ27" s="1150">
        <v>100000</v>
      </c>
      <c r="AK27" s="1150">
        <v>426.77890000000002</v>
      </c>
      <c r="AL27" s="1150" t="s">
        <v>4</v>
      </c>
      <c r="AM27" s="1150" t="s">
        <v>2920</v>
      </c>
      <c r="AN27" s="1150" t="s">
        <v>2910</v>
      </c>
      <c r="AO27" s="1150" t="s">
        <v>32</v>
      </c>
      <c r="AP27" s="1150" t="s">
        <v>2918</v>
      </c>
      <c r="AQ27" s="1150" t="s">
        <v>2918</v>
      </c>
      <c r="AR27" s="1150">
        <v>12500</v>
      </c>
      <c r="AS27" s="1150">
        <v>95.192400000000006</v>
      </c>
      <c r="AT27" s="1150" t="s">
        <v>7</v>
      </c>
      <c r="AU27" s="1150" t="s">
        <v>88</v>
      </c>
      <c r="AV27" s="1150">
        <v>240303</v>
      </c>
      <c r="AW27" s="1150" t="s">
        <v>32</v>
      </c>
      <c r="AX27" s="1150" t="s">
        <v>2918</v>
      </c>
      <c r="AY27" s="1150" t="s">
        <v>2918</v>
      </c>
      <c r="AZ27" s="1150">
        <v>126000</v>
      </c>
      <c r="BA27" s="1421">
        <v>5.0100000000000003E-4</v>
      </c>
      <c r="BB27" s="1150" t="s">
        <v>7</v>
      </c>
      <c r="BC27" s="1150" t="s">
        <v>88</v>
      </c>
      <c r="BD27" s="1150">
        <v>240303</v>
      </c>
      <c r="BE27" s="1150" t="s">
        <v>32</v>
      </c>
      <c r="BF27" s="1150" t="s">
        <v>2918</v>
      </c>
      <c r="BG27" s="1150" t="s">
        <v>2918</v>
      </c>
      <c r="BH27" s="1150">
        <v>126000</v>
      </c>
      <c r="BI27" s="1421">
        <v>1.253E-3</v>
      </c>
      <c r="BJ27" s="1150" t="s">
        <v>7</v>
      </c>
      <c r="BK27" s="1150" t="s">
        <v>88</v>
      </c>
      <c r="BL27" s="1150">
        <v>240303</v>
      </c>
      <c r="BM27" s="1150" t="s">
        <v>32</v>
      </c>
      <c r="BN27" s="1150" t="s">
        <v>2918</v>
      </c>
      <c r="BO27" s="1150" t="s">
        <v>2918</v>
      </c>
      <c r="BP27" s="1150">
        <v>126000</v>
      </c>
      <c r="BQ27" s="1421">
        <v>6.1899999999999998E-4</v>
      </c>
      <c r="BR27" s="1150" t="s">
        <v>7</v>
      </c>
      <c r="BS27" s="1150" t="s">
        <v>88</v>
      </c>
      <c r="BT27" s="1150">
        <v>240303</v>
      </c>
      <c r="BU27" s="1150" t="s">
        <v>32</v>
      </c>
      <c r="BV27" s="1150" t="s">
        <v>2918</v>
      </c>
      <c r="BW27" s="1150" t="s">
        <v>2918</v>
      </c>
      <c r="BX27" s="1150">
        <v>126000</v>
      </c>
      <c r="BY27" s="1421">
        <v>1.4890000000000001E-3</v>
      </c>
      <c r="BZ27" s="1150" t="s">
        <v>7</v>
      </c>
      <c r="CA27" s="1150" t="s">
        <v>88</v>
      </c>
      <c r="CB27" s="1150">
        <v>240303</v>
      </c>
      <c r="CC27" s="1150" t="s">
        <v>32</v>
      </c>
      <c r="CD27" s="1150">
        <v>7</v>
      </c>
      <c r="CE27" s="1150">
        <v>365</v>
      </c>
      <c r="CF27" s="1150">
        <v>42000</v>
      </c>
      <c r="CG27" s="1421">
        <v>5.8830000000000002E-3</v>
      </c>
      <c r="CH27" s="1150" t="s">
        <v>7</v>
      </c>
      <c r="CI27" s="1150" t="s">
        <v>88</v>
      </c>
      <c r="CJ27" s="1150">
        <v>240303</v>
      </c>
      <c r="CK27" s="1150" t="s">
        <v>32</v>
      </c>
      <c r="CL27" s="1150">
        <v>7</v>
      </c>
      <c r="CM27" s="1150">
        <v>365</v>
      </c>
      <c r="CN27" s="1150">
        <v>42000</v>
      </c>
      <c r="CO27" s="1421">
        <v>1.1757E-2</v>
      </c>
    </row>
    <row r="28" spans="1:93" s="1150" customFormat="1">
      <c r="A28" s="1150" t="s">
        <v>2895</v>
      </c>
      <c r="B28" s="1150">
        <v>12522</v>
      </c>
      <c r="C28" s="1153">
        <v>41760</v>
      </c>
      <c r="D28" s="1153">
        <v>42930</v>
      </c>
      <c r="F28" s="1424">
        <v>42566</v>
      </c>
      <c r="G28" s="1424">
        <v>42749</v>
      </c>
      <c r="H28" s="1150">
        <v>135199</v>
      </c>
      <c r="J28" s="1150" t="s">
        <v>2921</v>
      </c>
      <c r="K28" s="1150" t="s">
        <v>2964</v>
      </c>
      <c r="L28" s="1150" t="s">
        <v>2965</v>
      </c>
      <c r="M28" s="1153">
        <v>29133</v>
      </c>
      <c r="O28" s="1150" t="s">
        <v>2942</v>
      </c>
      <c r="P28" s="1150" t="s">
        <v>2966</v>
      </c>
      <c r="Q28" s="1150">
        <v>7000</v>
      </c>
      <c r="R28" s="1150" t="s">
        <v>32</v>
      </c>
      <c r="S28" s="1150" t="s">
        <v>12</v>
      </c>
      <c r="T28" s="1150">
        <v>75</v>
      </c>
      <c r="U28" s="1150">
        <v>3</v>
      </c>
      <c r="V28" s="1150" t="s">
        <v>2169</v>
      </c>
      <c r="W28" s="1150" t="s">
        <v>2169</v>
      </c>
      <c r="X28" s="1153">
        <v>42675</v>
      </c>
      <c r="Y28" s="1153">
        <v>42749</v>
      </c>
      <c r="Z28" s="1150" t="s">
        <v>2918</v>
      </c>
      <c r="AA28" s="1150">
        <v>0</v>
      </c>
      <c r="AB28" s="1150" t="s">
        <v>1521</v>
      </c>
      <c r="AC28" s="1150" t="s">
        <v>2963</v>
      </c>
      <c r="AD28" s="1150" t="s">
        <v>4</v>
      </c>
      <c r="AE28" s="1150" t="s">
        <v>2920</v>
      </c>
      <c r="AF28" s="1150" t="s">
        <v>2910</v>
      </c>
      <c r="AG28" s="1150" t="s">
        <v>32</v>
      </c>
      <c r="AH28" s="1150" t="s">
        <v>2918</v>
      </c>
      <c r="AI28" s="1150" t="s">
        <v>2918</v>
      </c>
      <c r="AJ28" s="1150">
        <v>100000</v>
      </c>
      <c r="AK28" s="1150">
        <v>426.77890000000002</v>
      </c>
      <c r="AL28" s="1150" t="s">
        <v>4</v>
      </c>
      <c r="AM28" s="1150" t="s">
        <v>2920</v>
      </c>
      <c r="AN28" s="1150" t="s">
        <v>2910</v>
      </c>
      <c r="AO28" s="1150" t="s">
        <v>32</v>
      </c>
      <c r="AP28" s="1150" t="s">
        <v>2918</v>
      </c>
      <c r="AQ28" s="1150" t="s">
        <v>2918</v>
      </c>
      <c r="AR28" s="1150">
        <v>12500</v>
      </c>
      <c r="AS28" s="1150">
        <v>95.192400000000006</v>
      </c>
      <c r="AT28" s="1150" t="s">
        <v>7</v>
      </c>
      <c r="AU28" s="1150" t="s">
        <v>88</v>
      </c>
      <c r="AV28" s="1150">
        <v>240303</v>
      </c>
      <c r="AW28" s="1150" t="s">
        <v>32</v>
      </c>
      <c r="AX28" s="1150" t="s">
        <v>2918</v>
      </c>
      <c r="AY28" s="1150" t="s">
        <v>2918</v>
      </c>
      <c r="AZ28" s="1150">
        <v>252000</v>
      </c>
      <c r="BA28" s="1421">
        <v>5.0100000000000003E-4</v>
      </c>
      <c r="BB28" s="1150" t="s">
        <v>7</v>
      </c>
      <c r="BC28" s="1150" t="s">
        <v>88</v>
      </c>
      <c r="BD28" s="1150">
        <v>240303</v>
      </c>
      <c r="BE28" s="1150" t="s">
        <v>32</v>
      </c>
      <c r="BF28" s="1150" t="s">
        <v>2918</v>
      </c>
      <c r="BG28" s="1150" t="s">
        <v>2918</v>
      </c>
      <c r="BH28" s="1150">
        <v>252000</v>
      </c>
      <c r="BI28" s="1421">
        <v>1.253E-3</v>
      </c>
      <c r="BJ28" s="1150" t="s">
        <v>7</v>
      </c>
      <c r="BK28" s="1150" t="s">
        <v>88</v>
      </c>
      <c r="BL28" s="1150">
        <v>240303</v>
      </c>
      <c r="BM28" s="1150" t="s">
        <v>32</v>
      </c>
      <c r="BN28" s="1150" t="s">
        <v>2918</v>
      </c>
      <c r="BO28" s="1150" t="s">
        <v>2918</v>
      </c>
      <c r="BP28" s="1150">
        <v>252000</v>
      </c>
      <c r="BQ28" s="1421">
        <v>6.1899999999999998E-4</v>
      </c>
      <c r="BR28" s="1150" t="s">
        <v>7</v>
      </c>
      <c r="BS28" s="1150" t="s">
        <v>88</v>
      </c>
      <c r="BT28" s="1150">
        <v>240303</v>
      </c>
      <c r="BU28" s="1150" t="s">
        <v>32</v>
      </c>
      <c r="BV28" s="1150" t="s">
        <v>2918</v>
      </c>
      <c r="BW28" s="1150" t="s">
        <v>2918</v>
      </c>
      <c r="BX28" s="1150">
        <v>252000</v>
      </c>
      <c r="BY28" s="1421">
        <v>1.4890000000000001E-3</v>
      </c>
      <c r="BZ28" s="1150" t="s">
        <v>7</v>
      </c>
      <c r="CA28" s="1150" t="s">
        <v>88</v>
      </c>
      <c r="CB28" s="1150">
        <v>240303</v>
      </c>
      <c r="CC28" s="1150" t="s">
        <v>32</v>
      </c>
      <c r="CD28" s="1150">
        <v>7</v>
      </c>
      <c r="CE28" s="1150">
        <v>365</v>
      </c>
      <c r="CF28" s="1150">
        <v>84000</v>
      </c>
      <c r="CG28" s="1421">
        <v>5.8830000000000002E-3</v>
      </c>
      <c r="CH28" s="1150" t="s">
        <v>7</v>
      </c>
      <c r="CI28" s="1150" t="s">
        <v>88</v>
      </c>
      <c r="CJ28" s="1150">
        <v>240303</v>
      </c>
      <c r="CK28" s="1150" t="s">
        <v>32</v>
      </c>
      <c r="CL28" s="1150">
        <v>7</v>
      </c>
      <c r="CM28" s="1150">
        <v>365</v>
      </c>
      <c r="CN28" s="1150">
        <v>84000</v>
      </c>
      <c r="CO28" s="1421">
        <v>1.1757E-2</v>
      </c>
    </row>
    <row r="29" spans="1:93" s="1150" customFormat="1">
      <c r="A29" s="1150" t="s">
        <v>2895</v>
      </c>
      <c r="B29" s="1150">
        <v>12522</v>
      </c>
      <c r="C29" s="1153">
        <v>41760</v>
      </c>
      <c r="D29" s="1153">
        <v>42930</v>
      </c>
      <c r="F29" s="1424">
        <v>42566</v>
      </c>
      <c r="G29" s="1424">
        <v>42749</v>
      </c>
      <c r="H29" s="1150">
        <v>134150</v>
      </c>
      <c r="I29" s="1150">
        <v>6005180</v>
      </c>
      <c r="J29" s="1150" t="s">
        <v>2921</v>
      </c>
      <c r="K29" s="1150" t="s">
        <v>2967</v>
      </c>
      <c r="L29" s="1150" t="s">
        <v>2968</v>
      </c>
      <c r="M29" s="1153">
        <v>33554</v>
      </c>
      <c r="O29" s="1150" t="s">
        <v>2916</v>
      </c>
      <c r="P29" s="1150" t="s">
        <v>2969</v>
      </c>
      <c r="Q29" s="1150">
        <v>2500</v>
      </c>
      <c r="R29" s="1150" t="s">
        <v>32</v>
      </c>
      <c r="S29" s="1150" t="s">
        <v>12</v>
      </c>
      <c r="T29" s="1150">
        <v>110</v>
      </c>
      <c r="U29" s="1150">
        <v>4</v>
      </c>
      <c r="V29" s="1150" t="s">
        <v>2169</v>
      </c>
      <c r="W29" s="1150" t="s">
        <v>2169</v>
      </c>
      <c r="X29" s="1153">
        <v>42566</v>
      </c>
      <c r="Y29" s="1153">
        <v>42675</v>
      </c>
      <c r="Z29" s="1150" t="s">
        <v>2918</v>
      </c>
      <c r="AA29" s="1150">
        <v>0</v>
      </c>
      <c r="AB29" s="1150" t="s">
        <v>2970</v>
      </c>
      <c r="AC29" s="1150" t="s">
        <v>2971</v>
      </c>
      <c r="AD29" s="1150" t="s">
        <v>4</v>
      </c>
      <c r="AE29" s="1150" t="s">
        <v>2920</v>
      </c>
      <c r="AF29" s="1150" t="s">
        <v>2910</v>
      </c>
      <c r="AG29" s="1150" t="s">
        <v>32</v>
      </c>
      <c r="AH29" s="1150" t="s">
        <v>2918</v>
      </c>
      <c r="AI29" s="1150" t="s">
        <v>2918</v>
      </c>
      <c r="AJ29" s="1150">
        <v>100000</v>
      </c>
      <c r="AK29" s="1150">
        <v>426.77890000000002</v>
      </c>
      <c r="AL29" s="1150" t="s">
        <v>4</v>
      </c>
      <c r="AM29" s="1150" t="s">
        <v>2920</v>
      </c>
      <c r="AN29" s="1150" t="s">
        <v>2910</v>
      </c>
      <c r="AO29" s="1150" t="s">
        <v>32</v>
      </c>
      <c r="AP29" s="1150" t="s">
        <v>2918</v>
      </c>
      <c r="AQ29" s="1150" t="s">
        <v>2918</v>
      </c>
      <c r="AR29" s="1150">
        <v>12500</v>
      </c>
      <c r="AS29" s="1150">
        <v>95.192400000000006</v>
      </c>
      <c r="AT29" s="1150" t="s">
        <v>7</v>
      </c>
      <c r="AU29" s="1150" t="s">
        <v>88</v>
      </c>
      <c r="AV29" s="1150">
        <v>240303</v>
      </c>
      <c r="AW29" s="1150" t="s">
        <v>32</v>
      </c>
      <c r="AX29" s="1150" t="s">
        <v>2918</v>
      </c>
      <c r="AY29" s="1150" t="s">
        <v>2918</v>
      </c>
      <c r="AZ29" s="1150">
        <v>90000</v>
      </c>
      <c r="BA29" s="1421">
        <v>5.0100000000000003E-4</v>
      </c>
      <c r="BB29" s="1150" t="s">
        <v>7</v>
      </c>
      <c r="BC29" s="1150" t="s">
        <v>88</v>
      </c>
      <c r="BD29" s="1150">
        <v>240303</v>
      </c>
      <c r="BE29" s="1150" t="s">
        <v>32</v>
      </c>
      <c r="BF29" s="1150" t="s">
        <v>2918</v>
      </c>
      <c r="BG29" s="1150" t="s">
        <v>2918</v>
      </c>
      <c r="BH29" s="1150">
        <v>90000</v>
      </c>
      <c r="BI29" s="1421">
        <v>1.253E-3</v>
      </c>
      <c r="BJ29" s="1150" t="s">
        <v>7</v>
      </c>
      <c r="BK29" s="1150" t="s">
        <v>88</v>
      </c>
      <c r="BL29" s="1150">
        <v>240303</v>
      </c>
      <c r="BM29" s="1150" t="s">
        <v>32</v>
      </c>
      <c r="BN29" s="1150" t="s">
        <v>2918</v>
      </c>
      <c r="BO29" s="1150" t="s">
        <v>2918</v>
      </c>
      <c r="BP29" s="1150">
        <v>90000</v>
      </c>
      <c r="BQ29" s="1421">
        <v>6.1899999999999998E-4</v>
      </c>
      <c r="BR29" s="1150" t="s">
        <v>7</v>
      </c>
      <c r="BS29" s="1150" t="s">
        <v>88</v>
      </c>
      <c r="BT29" s="1150">
        <v>240303</v>
      </c>
      <c r="BU29" s="1150" t="s">
        <v>32</v>
      </c>
      <c r="BV29" s="1150" t="s">
        <v>2918</v>
      </c>
      <c r="BW29" s="1150" t="s">
        <v>2918</v>
      </c>
      <c r="BX29" s="1150">
        <v>90000</v>
      </c>
      <c r="BY29" s="1421">
        <v>1.4890000000000001E-3</v>
      </c>
      <c r="BZ29" s="1150" t="s">
        <v>7</v>
      </c>
      <c r="CA29" s="1150" t="s">
        <v>88</v>
      </c>
      <c r="CB29" s="1150">
        <v>240303</v>
      </c>
      <c r="CC29" s="1150" t="s">
        <v>32</v>
      </c>
      <c r="CD29" s="1150">
        <v>7</v>
      </c>
      <c r="CE29" s="1150">
        <v>365</v>
      </c>
      <c r="CF29" s="1150">
        <v>30000</v>
      </c>
      <c r="CG29" s="1421">
        <v>5.8830000000000002E-3</v>
      </c>
      <c r="CH29" s="1150" t="s">
        <v>7</v>
      </c>
      <c r="CI29" s="1150" t="s">
        <v>88</v>
      </c>
      <c r="CJ29" s="1150">
        <v>240303</v>
      </c>
      <c r="CK29" s="1150" t="s">
        <v>32</v>
      </c>
      <c r="CL29" s="1150">
        <v>7</v>
      </c>
      <c r="CM29" s="1150">
        <v>365</v>
      </c>
      <c r="CN29" s="1150">
        <v>30000</v>
      </c>
      <c r="CO29" s="1421">
        <v>1.1757E-2</v>
      </c>
    </row>
    <row r="30" spans="1:93" s="1150" customFormat="1">
      <c r="A30" s="1150" t="s">
        <v>2895</v>
      </c>
      <c r="B30" s="1150">
        <v>12522</v>
      </c>
      <c r="C30" s="1153">
        <v>41760</v>
      </c>
      <c r="D30" s="1153">
        <v>42930</v>
      </c>
      <c r="F30" s="1424">
        <v>42566</v>
      </c>
      <c r="G30" s="1424">
        <v>42749</v>
      </c>
      <c r="H30" s="1150">
        <v>135201</v>
      </c>
      <c r="J30" s="1150" t="s">
        <v>2921</v>
      </c>
      <c r="K30" s="1150" t="s">
        <v>2972</v>
      </c>
      <c r="L30" s="1150" t="s">
        <v>2973</v>
      </c>
      <c r="M30" s="1153">
        <v>29363</v>
      </c>
      <c r="O30" s="1150" t="s">
        <v>2916</v>
      </c>
      <c r="P30" s="1150" t="s">
        <v>2974</v>
      </c>
      <c r="Q30" s="1150">
        <v>3000</v>
      </c>
      <c r="R30" s="1150" t="s">
        <v>32</v>
      </c>
      <c r="S30" s="1150" t="s">
        <v>12</v>
      </c>
      <c r="T30" s="1150">
        <v>75</v>
      </c>
      <c r="U30" s="1150">
        <v>3</v>
      </c>
      <c r="V30" s="1150" t="s">
        <v>2169</v>
      </c>
      <c r="W30" s="1150" t="s">
        <v>2169</v>
      </c>
      <c r="X30" s="1153">
        <v>42675</v>
      </c>
      <c r="Y30" s="1153">
        <v>42749</v>
      </c>
      <c r="Z30" s="1150" t="s">
        <v>2918</v>
      </c>
      <c r="AA30" s="1150">
        <v>0</v>
      </c>
      <c r="AB30" s="1150" t="s">
        <v>1521</v>
      </c>
      <c r="AC30" s="1150" t="s">
        <v>2963</v>
      </c>
      <c r="AD30" s="1150" t="s">
        <v>4</v>
      </c>
      <c r="AE30" s="1150" t="s">
        <v>2920</v>
      </c>
      <c r="AF30" s="1150" t="s">
        <v>2910</v>
      </c>
      <c r="AG30" s="1150" t="s">
        <v>32</v>
      </c>
      <c r="AH30" s="1150" t="s">
        <v>2918</v>
      </c>
      <c r="AI30" s="1150" t="s">
        <v>2918</v>
      </c>
      <c r="AJ30" s="1150">
        <v>100000</v>
      </c>
      <c r="AK30" s="1150">
        <v>426.77890000000002</v>
      </c>
      <c r="AL30" s="1150" t="s">
        <v>4</v>
      </c>
      <c r="AM30" s="1150" t="s">
        <v>2920</v>
      </c>
      <c r="AN30" s="1150" t="s">
        <v>2910</v>
      </c>
      <c r="AO30" s="1150" t="s">
        <v>32</v>
      </c>
      <c r="AP30" s="1150" t="s">
        <v>2918</v>
      </c>
      <c r="AQ30" s="1150" t="s">
        <v>2918</v>
      </c>
      <c r="AR30" s="1150">
        <v>12500</v>
      </c>
      <c r="AS30" s="1150">
        <v>95.192400000000006</v>
      </c>
      <c r="AT30" s="1150" t="s">
        <v>7</v>
      </c>
      <c r="AU30" s="1150" t="s">
        <v>88</v>
      </c>
      <c r="AV30" s="1150">
        <v>240303</v>
      </c>
      <c r="AW30" s="1150" t="s">
        <v>32</v>
      </c>
      <c r="AX30" s="1150" t="s">
        <v>2918</v>
      </c>
      <c r="AY30" s="1150" t="s">
        <v>2918</v>
      </c>
      <c r="AZ30" s="1150">
        <v>108000</v>
      </c>
      <c r="BA30" s="1421">
        <v>5.0100000000000003E-4</v>
      </c>
      <c r="BB30" s="1150" t="s">
        <v>7</v>
      </c>
      <c r="BC30" s="1150" t="s">
        <v>88</v>
      </c>
      <c r="BD30" s="1150">
        <v>240303</v>
      </c>
      <c r="BE30" s="1150" t="s">
        <v>32</v>
      </c>
      <c r="BF30" s="1150" t="s">
        <v>2918</v>
      </c>
      <c r="BG30" s="1150" t="s">
        <v>2918</v>
      </c>
      <c r="BH30" s="1150">
        <v>108000</v>
      </c>
      <c r="BI30" s="1421">
        <v>1.253E-3</v>
      </c>
      <c r="BJ30" s="1150" t="s">
        <v>7</v>
      </c>
      <c r="BK30" s="1150" t="s">
        <v>88</v>
      </c>
      <c r="BL30" s="1150">
        <v>240303</v>
      </c>
      <c r="BM30" s="1150" t="s">
        <v>32</v>
      </c>
      <c r="BN30" s="1150" t="s">
        <v>2918</v>
      </c>
      <c r="BO30" s="1150" t="s">
        <v>2918</v>
      </c>
      <c r="BP30" s="1150">
        <v>108000</v>
      </c>
      <c r="BQ30" s="1421">
        <v>6.1899999999999998E-4</v>
      </c>
      <c r="BR30" s="1150" t="s">
        <v>7</v>
      </c>
      <c r="BS30" s="1150" t="s">
        <v>88</v>
      </c>
      <c r="BT30" s="1150">
        <v>240303</v>
      </c>
      <c r="BU30" s="1150" t="s">
        <v>32</v>
      </c>
      <c r="BV30" s="1150" t="s">
        <v>2918</v>
      </c>
      <c r="BW30" s="1150" t="s">
        <v>2918</v>
      </c>
      <c r="BX30" s="1150">
        <v>108000</v>
      </c>
      <c r="BY30" s="1421">
        <v>1.4890000000000001E-3</v>
      </c>
      <c r="BZ30" s="1150" t="s">
        <v>7</v>
      </c>
      <c r="CA30" s="1150" t="s">
        <v>88</v>
      </c>
      <c r="CB30" s="1150">
        <v>240303</v>
      </c>
      <c r="CC30" s="1150" t="s">
        <v>32</v>
      </c>
      <c r="CD30" s="1150">
        <v>7</v>
      </c>
      <c r="CE30" s="1150">
        <v>365</v>
      </c>
      <c r="CF30" s="1150">
        <v>36000</v>
      </c>
      <c r="CG30" s="1421">
        <v>5.8830000000000002E-3</v>
      </c>
      <c r="CH30" s="1150" t="s">
        <v>7</v>
      </c>
      <c r="CI30" s="1150" t="s">
        <v>88</v>
      </c>
      <c r="CJ30" s="1150">
        <v>240303</v>
      </c>
      <c r="CK30" s="1150" t="s">
        <v>32</v>
      </c>
      <c r="CL30" s="1150">
        <v>7</v>
      </c>
      <c r="CM30" s="1150">
        <v>365</v>
      </c>
      <c r="CN30" s="1150">
        <v>36000</v>
      </c>
      <c r="CO30" s="1421">
        <v>1.1757E-2</v>
      </c>
    </row>
    <row r="31" spans="1:93" s="1150" customFormat="1">
      <c r="A31" s="1150" t="s">
        <v>2895</v>
      </c>
      <c r="B31" s="1150">
        <v>12522</v>
      </c>
      <c r="C31" s="1153">
        <v>41760</v>
      </c>
      <c r="D31" s="1153">
        <v>42930</v>
      </c>
      <c r="F31" s="1424">
        <v>42566</v>
      </c>
      <c r="G31" s="1424">
        <v>42749</v>
      </c>
      <c r="H31" s="1150">
        <v>133998</v>
      </c>
      <c r="I31" s="1150">
        <v>5991471</v>
      </c>
      <c r="J31" s="1150" t="s">
        <v>2921</v>
      </c>
      <c r="K31" s="1150" t="s">
        <v>2975</v>
      </c>
      <c r="L31" s="1150" t="s">
        <v>2976</v>
      </c>
      <c r="M31" s="1153">
        <v>32440</v>
      </c>
      <c r="O31" s="1150" t="s">
        <v>2916</v>
      </c>
      <c r="P31" s="1150" t="s">
        <v>2977</v>
      </c>
      <c r="Q31" s="1150">
        <v>2500</v>
      </c>
      <c r="R31" s="1150" t="s">
        <v>32</v>
      </c>
      <c r="S31" s="1150" t="s">
        <v>12</v>
      </c>
      <c r="T31" s="1150">
        <v>110</v>
      </c>
      <c r="U31" s="1150">
        <v>4</v>
      </c>
      <c r="V31" s="1150" t="s">
        <v>2169</v>
      </c>
      <c r="W31" s="1150" t="s">
        <v>2169</v>
      </c>
      <c r="X31" s="1153">
        <v>42566</v>
      </c>
      <c r="Y31" s="1153">
        <v>42675</v>
      </c>
      <c r="Z31" s="1150" t="s">
        <v>2918</v>
      </c>
      <c r="AA31" s="1150">
        <v>0</v>
      </c>
      <c r="AB31" s="1150" t="s">
        <v>2947</v>
      </c>
      <c r="AC31" s="1150" t="s">
        <v>2038</v>
      </c>
      <c r="AD31" s="1150" t="s">
        <v>4</v>
      </c>
      <c r="AE31" s="1150" t="s">
        <v>2920</v>
      </c>
      <c r="AF31" s="1150" t="s">
        <v>2910</v>
      </c>
      <c r="AG31" s="1150" t="s">
        <v>32</v>
      </c>
      <c r="AH31" s="1150" t="s">
        <v>2918</v>
      </c>
      <c r="AI31" s="1150" t="s">
        <v>2918</v>
      </c>
      <c r="AJ31" s="1150">
        <v>100000</v>
      </c>
      <c r="AK31" s="1150">
        <v>426.77890000000002</v>
      </c>
      <c r="AL31" s="1150" t="s">
        <v>4</v>
      </c>
      <c r="AM31" s="1150" t="s">
        <v>2920</v>
      </c>
      <c r="AN31" s="1150" t="s">
        <v>2910</v>
      </c>
      <c r="AO31" s="1150" t="s">
        <v>32</v>
      </c>
      <c r="AP31" s="1150" t="s">
        <v>2918</v>
      </c>
      <c r="AQ31" s="1150" t="s">
        <v>2918</v>
      </c>
      <c r="AR31" s="1150">
        <v>12500</v>
      </c>
      <c r="AS31" s="1150">
        <v>95.192400000000006</v>
      </c>
      <c r="AT31" s="1150" t="s">
        <v>7</v>
      </c>
      <c r="AU31" s="1150" t="s">
        <v>88</v>
      </c>
      <c r="AV31" s="1150">
        <v>240303</v>
      </c>
      <c r="AW31" s="1150" t="s">
        <v>32</v>
      </c>
      <c r="AX31" s="1150" t="s">
        <v>2918</v>
      </c>
      <c r="AY31" s="1150" t="s">
        <v>2918</v>
      </c>
      <c r="AZ31" s="1150">
        <v>90000</v>
      </c>
      <c r="BA31" s="1421">
        <v>5.0100000000000003E-4</v>
      </c>
      <c r="BB31" s="1150" t="s">
        <v>7</v>
      </c>
      <c r="BC31" s="1150" t="s">
        <v>88</v>
      </c>
      <c r="BD31" s="1150">
        <v>240303</v>
      </c>
      <c r="BE31" s="1150" t="s">
        <v>32</v>
      </c>
      <c r="BF31" s="1150" t="s">
        <v>2918</v>
      </c>
      <c r="BG31" s="1150" t="s">
        <v>2918</v>
      </c>
      <c r="BH31" s="1150">
        <v>90000</v>
      </c>
      <c r="BI31" s="1421">
        <v>1.253E-3</v>
      </c>
      <c r="BJ31" s="1150" t="s">
        <v>7</v>
      </c>
      <c r="BK31" s="1150" t="s">
        <v>88</v>
      </c>
      <c r="BL31" s="1150">
        <v>240303</v>
      </c>
      <c r="BM31" s="1150" t="s">
        <v>32</v>
      </c>
      <c r="BN31" s="1150" t="s">
        <v>2918</v>
      </c>
      <c r="BO31" s="1150" t="s">
        <v>2918</v>
      </c>
      <c r="BP31" s="1150">
        <v>90000</v>
      </c>
      <c r="BQ31" s="1421">
        <v>6.1899999999999998E-4</v>
      </c>
      <c r="BR31" s="1150" t="s">
        <v>7</v>
      </c>
      <c r="BS31" s="1150" t="s">
        <v>88</v>
      </c>
      <c r="BT31" s="1150">
        <v>240303</v>
      </c>
      <c r="BU31" s="1150" t="s">
        <v>32</v>
      </c>
      <c r="BV31" s="1150" t="s">
        <v>2918</v>
      </c>
      <c r="BW31" s="1150" t="s">
        <v>2918</v>
      </c>
      <c r="BX31" s="1150">
        <v>90000</v>
      </c>
      <c r="BY31" s="1421">
        <v>1.4890000000000001E-3</v>
      </c>
      <c r="BZ31" s="1150" t="s">
        <v>7</v>
      </c>
      <c r="CA31" s="1150" t="s">
        <v>88</v>
      </c>
      <c r="CB31" s="1150">
        <v>240303</v>
      </c>
      <c r="CC31" s="1150" t="s">
        <v>32</v>
      </c>
      <c r="CD31" s="1150">
        <v>7</v>
      </c>
      <c r="CE31" s="1150">
        <v>365</v>
      </c>
      <c r="CF31" s="1150">
        <v>30000</v>
      </c>
      <c r="CG31" s="1421">
        <v>5.8830000000000002E-3</v>
      </c>
      <c r="CH31" s="1150" t="s">
        <v>7</v>
      </c>
      <c r="CI31" s="1150" t="s">
        <v>88</v>
      </c>
      <c r="CJ31" s="1150">
        <v>240303</v>
      </c>
      <c r="CK31" s="1150" t="s">
        <v>32</v>
      </c>
      <c r="CL31" s="1150">
        <v>7</v>
      </c>
      <c r="CM31" s="1150">
        <v>365</v>
      </c>
      <c r="CN31" s="1150">
        <v>30000</v>
      </c>
      <c r="CO31" s="1421">
        <v>1.1757E-2</v>
      </c>
    </row>
    <row r="32" spans="1:93" s="1150" customFormat="1">
      <c r="A32" s="1150" t="s">
        <v>2895</v>
      </c>
      <c r="B32" s="1150">
        <v>12522</v>
      </c>
      <c r="C32" s="1153">
        <v>41760</v>
      </c>
      <c r="D32" s="1153">
        <v>42930</v>
      </c>
      <c r="F32" s="1424">
        <v>42566</v>
      </c>
      <c r="G32" s="1424">
        <v>42749</v>
      </c>
      <c r="H32" s="1150">
        <v>134001</v>
      </c>
      <c r="I32" s="1150">
        <v>5991494</v>
      </c>
      <c r="J32" s="1150" t="s">
        <v>2913</v>
      </c>
      <c r="K32" s="1150" t="s">
        <v>2978</v>
      </c>
      <c r="L32" s="1150" t="s">
        <v>2979</v>
      </c>
      <c r="M32" s="1153">
        <v>32558</v>
      </c>
      <c r="O32" s="1150" t="s">
        <v>2916</v>
      </c>
      <c r="P32" s="1150" t="s">
        <v>2980</v>
      </c>
      <c r="Q32" s="1150">
        <v>3000</v>
      </c>
      <c r="R32" s="1150" t="s">
        <v>32</v>
      </c>
      <c r="S32" s="1150" t="s">
        <v>12</v>
      </c>
      <c r="T32" s="1150">
        <v>110</v>
      </c>
      <c r="U32" s="1150">
        <v>4</v>
      </c>
      <c r="V32" s="1150" t="s">
        <v>2169</v>
      </c>
      <c r="W32" s="1150" t="s">
        <v>2169</v>
      </c>
      <c r="X32" s="1153">
        <v>42566</v>
      </c>
      <c r="Y32" s="1153">
        <v>42675</v>
      </c>
      <c r="Z32" s="1150" t="s">
        <v>2918</v>
      </c>
      <c r="AA32" s="1150">
        <v>0</v>
      </c>
      <c r="AB32" s="1150" t="s">
        <v>2981</v>
      </c>
      <c r="AC32" s="1150" t="s">
        <v>2982</v>
      </c>
      <c r="AD32" s="1150" t="s">
        <v>4</v>
      </c>
      <c r="AE32" s="1150" t="s">
        <v>2920</v>
      </c>
      <c r="AF32" s="1150" t="s">
        <v>2910</v>
      </c>
      <c r="AG32" s="1150" t="s">
        <v>32</v>
      </c>
      <c r="AH32" s="1150" t="s">
        <v>2918</v>
      </c>
      <c r="AI32" s="1150" t="s">
        <v>2918</v>
      </c>
      <c r="AJ32" s="1150">
        <v>100000</v>
      </c>
      <c r="AK32" s="1150">
        <v>426.77890000000002</v>
      </c>
      <c r="AL32" s="1150" t="s">
        <v>4</v>
      </c>
      <c r="AM32" s="1150" t="s">
        <v>2920</v>
      </c>
      <c r="AN32" s="1150" t="s">
        <v>2910</v>
      </c>
      <c r="AO32" s="1150" t="s">
        <v>32</v>
      </c>
      <c r="AP32" s="1150" t="s">
        <v>2918</v>
      </c>
      <c r="AQ32" s="1150" t="s">
        <v>2918</v>
      </c>
      <c r="AR32" s="1150">
        <v>12500</v>
      </c>
      <c r="AS32" s="1150">
        <v>95.192400000000006</v>
      </c>
      <c r="AT32" s="1150" t="s">
        <v>7</v>
      </c>
      <c r="AU32" s="1150" t="s">
        <v>88</v>
      </c>
      <c r="AV32" s="1150">
        <v>240303</v>
      </c>
      <c r="AW32" s="1150" t="s">
        <v>32</v>
      </c>
      <c r="AX32" s="1150" t="s">
        <v>2918</v>
      </c>
      <c r="AY32" s="1150" t="s">
        <v>2918</v>
      </c>
      <c r="AZ32" s="1150">
        <v>108000</v>
      </c>
      <c r="BA32" s="1421">
        <v>5.0100000000000003E-4</v>
      </c>
      <c r="BB32" s="1150" t="s">
        <v>7</v>
      </c>
      <c r="BC32" s="1150" t="s">
        <v>88</v>
      </c>
      <c r="BD32" s="1150">
        <v>240303</v>
      </c>
      <c r="BE32" s="1150" t="s">
        <v>32</v>
      </c>
      <c r="BF32" s="1150" t="s">
        <v>2918</v>
      </c>
      <c r="BG32" s="1150" t="s">
        <v>2918</v>
      </c>
      <c r="BH32" s="1150">
        <v>108000</v>
      </c>
      <c r="BI32" s="1421">
        <v>1.253E-3</v>
      </c>
      <c r="BJ32" s="1150" t="s">
        <v>7</v>
      </c>
      <c r="BK32" s="1150" t="s">
        <v>88</v>
      </c>
      <c r="BL32" s="1150">
        <v>240303</v>
      </c>
      <c r="BM32" s="1150" t="s">
        <v>32</v>
      </c>
      <c r="BN32" s="1150" t="s">
        <v>2918</v>
      </c>
      <c r="BO32" s="1150" t="s">
        <v>2918</v>
      </c>
      <c r="BP32" s="1150">
        <v>108000</v>
      </c>
      <c r="BQ32" s="1421">
        <v>6.1899999999999998E-4</v>
      </c>
      <c r="BR32" s="1150" t="s">
        <v>7</v>
      </c>
      <c r="BS32" s="1150" t="s">
        <v>88</v>
      </c>
      <c r="BT32" s="1150">
        <v>240303</v>
      </c>
      <c r="BU32" s="1150" t="s">
        <v>32</v>
      </c>
      <c r="BV32" s="1150" t="s">
        <v>2918</v>
      </c>
      <c r="BW32" s="1150" t="s">
        <v>2918</v>
      </c>
      <c r="BX32" s="1150">
        <v>108000</v>
      </c>
      <c r="BY32" s="1421">
        <v>1.4890000000000001E-3</v>
      </c>
      <c r="BZ32" s="1150" t="s">
        <v>7</v>
      </c>
      <c r="CA32" s="1150" t="s">
        <v>88</v>
      </c>
      <c r="CB32" s="1150">
        <v>240303</v>
      </c>
      <c r="CC32" s="1150" t="s">
        <v>32</v>
      </c>
      <c r="CD32" s="1150">
        <v>7</v>
      </c>
      <c r="CE32" s="1150">
        <v>365</v>
      </c>
      <c r="CF32" s="1150">
        <v>36000</v>
      </c>
      <c r="CG32" s="1421">
        <v>5.8830000000000002E-3</v>
      </c>
      <c r="CH32" s="1150" t="s">
        <v>7</v>
      </c>
      <c r="CI32" s="1150" t="s">
        <v>88</v>
      </c>
      <c r="CJ32" s="1150">
        <v>240303</v>
      </c>
      <c r="CK32" s="1150" t="s">
        <v>32</v>
      </c>
      <c r="CL32" s="1150">
        <v>7</v>
      </c>
      <c r="CM32" s="1150">
        <v>365</v>
      </c>
      <c r="CN32" s="1150">
        <v>36000</v>
      </c>
      <c r="CO32" s="1421">
        <v>1.1757E-2</v>
      </c>
    </row>
    <row r="33" spans="1:93" s="1150" customFormat="1">
      <c r="A33" s="1150" t="s">
        <v>2895</v>
      </c>
      <c r="B33" s="1150">
        <v>12522</v>
      </c>
      <c r="C33" s="1153">
        <v>41760</v>
      </c>
      <c r="D33" s="1153">
        <v>42930</v>
      </c>
      <c r="F33" s="1424">
        <v>42566</v>
      </c>
      <c r="G33" s="1424">
        <v>42749</v>
      </c>
      <c r="H33" s="1150">
        <v>134232</v>
      </c>
      <c r="I33" s="1150">
        <v>5987220</v>
      </c>
      <c r="J33" s="1150" t="s">
        <v>2913</v>
      </c>
      <c r="K33" s="1150" t="s">
        <v>2983</v>
      </c>
      <c r="L33" s="1150" t="s">
        <v>2984</v>
      </c>
      <c r="M33" s="1153">
        <v>34111</v>
      </c>
      <c r="N33" s="1150" t="s">
        <v>2985</v>
      </c>
      <c r="O33" s="1150" t="s">
        <v>2916</v>
      </c>
      <c r="P33" s="1150" t="s">
        <v>2917</v>
      </c>
      <c r="Q33" s="1150">
        <v>2500</v>
      </c>
      <c r="R33" s="1150" t="s">
        <v>32</v>
      </c>
      <c r="S33" s="1150" t="s">
        <v>12</v>
      </c>
      <c r="T33" s="1150">
        <v>110</v>
      </c>
      <c r="U33" s="1150">
        <v>4</v>
      </c>
      <c r="V33" s="1150" t="s">
        <v>2169</v>
      </c>
      <c r="W33" s="1150" t="s">
        <v>2169</v>
      </c>
      <c r="X33" s="1153">
        <v>42566</v>
      </c>
      <c r="Y33" s="1153">
        <v>42675</v>
      </c>
      <c r="Z33" s="1150" t="s">
        <v>2918</v>
      </c>
      <c r="AA33" s="1150">
        <v>0</v>
      </c>
      <c r="AB33" s="1150" t="s">
        <v>2986</v>
      </c>
      <c r="AC33" s="1150" t="s">
        <v>2987</v>
      </c>
      <c r="AD33" s="1150" t="s">
        <v>4</v>
      </c>
      <c r="AE33" s="1150" t="s">
        <v>2920</v>
      </c>
      <c r="AF33" s="1150" t="s">
        <v>2910</v>
      </c>
      <c r="AG33" s="1150" t="s">
        <v>32</v>
      </c>
      <c r="AH33" s="1150" t="s">
        <v>2918</v>
      </c>
      <c r="AI33" s="1150" t="s">
        <v>2918</v>
      </c>
      <c r="AJ33" s="1150">
        <v>100000</v>
      </c>
      <c r="AK33" s="1150">
        <v>426.77890000000002</v>
      </c>
      <c r="AL33" s="1150" t="s">
        <v>4</v>
      </c>
      <c r="AM33" s="1150" t="s">
        <v>2920</v>
      </c>
      <c r="AN33" s="1150" t="s">
        <v>2910</v>
      </c>
      <c r="AO33" s="1150" t="s">
        <v>32</v>
      </c>
      <c r="AP33" s="1150" t="s">
        <v>2918</v>
      </c>
      <c r="AQ33" s="1150" t="s">
        <v>2918</v>
      </c>
      <c r="AR33" s="1150">
        <v>12500</v>
      </c>
      <c r="AS33" s="1150">
        <v>95.192400000000006</v>
      </c>
      <c r="AT33" s="1150" t="s">
        <v>7</v>
      </c>
      <c r="AU33" s="1150" t="s">
        <v>88</v>
      </c>
      <c r="AV33" s="1150">
        <v>240303</v>
      </c>
      <c r="AW33" s="1150" t="s">
        <v>32</v>
      </c>
      <c r="AX33" s="1150" t="s">
        <v>2918</v>
      </c>
      <c r="AY33" s="1150" t="s">
        <v>2918</v>
      </c>
      <c r="AZ33" s="1150">
        <v>90000</v>
      </c>
      <c r="BA33" s="1421">
        <v>5.0100000000000003E-4</v>
      </c>
      <c r="BB33" s="1150" t="s">
        <v>7</v>
      </c>
      <c r="BC33" s="1150" t="s">
        <v>88</v>
      </c>
      <c r="BD33" s="1150">
        <v>240303</v>
      </c>
      <c r="BE33" s="1150" t="s">
        <v>32</v>
      </c>
      <c r="BF33" s="1150" t="s">
        <v>2918</v>
      </c>
      <c r="BG33" s="1150" t="s">
        <v>2918</v>
      </c>
      <c r="BH33" s="1150">
        <v>90000</v>
      </c>
      <c r="BI33" s="1421">
        <v>1.253E-3</v>
      </c>
      <c r="BJ33" s="1150" t="s">
        <v>7</v>
      </c>
      <c r="BK33" s="1150" t="s">
        <v>88</v>
      </c>
      <c r="BL33" s="1150">
        <v>240303</v>
      </c>
      <c r="BM33" s="1150" t="s">
        <v>32</v>
      </c>
      <c r="BN33" s="1150" t="s">
        <v>2918</v>
      </c>
      <c r="BO33" s="1150" t="s">
        <v>2918</v>
      </c>
      <c r="BP33" s="1150">
        <v>90000</v>
      </c>
      <c r="BQ33" s="1421">
        <v>6.1899999999999998E-4</v>
      </c>
      <c r="BR33" s="1150" t="s">
        <v>7</v>
      </c>
      <c r="BS33" s="1150" t="s">
        <v>88</v>
      </c>
      <c r="BT33" s="1150">
        <v>240303</v>
      </c>
      <c r="BU33" s="1150" t="s">
        <v>32</v>
      </c>
      <c r="BV33" s="1150" t="s">
        <v>2918</v>
      </c>
      <c r="BW33" s="1150" t="s">
        <v>2918</v>
      </c>
      <c r="BX33" s="1150">
        <v>90000</v>
      </c>
      <c r="BY33" s="1421">
        <v>1.4890000000000001E-3</v>
      </c>
      <c r="BZ33" s="1150" t="s">
        <v>7</v>
      </c>
      <c r="CA33" s="1150" t="s">
        <v>88</v>
      </c>
      <c r="CB33" s="1150">
        <v>240303</v>
      </c>
      <c r="CC33" s="1150" t="s">
        <v>32</v>
      </c>
      <c r="CD33" s="1150">
        <v>7</v>
      </c>
      <c r="CE33" s="1150">
        <v>365</v>
      </c>
      <c r="CF33" s="1150">
        <v>30000</v>
      </c>
      <c r="CG33" s="1421">
        <v>5.8830000000000002E-3</v>
      </c>
      <c r="CH33" s="1150" t="s">
        <v>7</v>
      </c>
      <c r="CI33" s="1150" t="s">
        <v>88</v>
      </c>
      <c r="CJ33" s="1150">
        <v>240303</v>
      </c>
      <c r="CK33" s="1150" t="s">
        <v>32</v>
      </c>
      <c r="CL33" s="1150">
        <v>7</v>
      </c>
      <c r="CM33" s="1150">
        <v>365</v>
      </c>
      <c r="CN33" s="1150">
        <v>30000</v>
      </c>
      <c r="CO33" s="1421">
        <v>1.1757E-2</v>
      </c>
    </row>
    <row r="34" spans="1:93" s="1281" customFormat="1">
      <c r="A34" s="1281" t="s">
        <v>2895</v>
      </c>
      <c r="B34" s="1281">
        <v>12522</v>
      </c>
      <c r="C34" s="1422">
        <v>41760</v>
      </c>
      <c r="D34" s="1422">
        <v>42930</v>
      </c>
      <c r="F34" s="1425">
        <v>42566</v>
      </c>
      <c r="G34" s="1425">
        <v>42749</v>
      </c>
      <c r="H34" s="1281">
        <v>133440</v>
      </c>
      <c r="I34" s="1281">
        <v>5939898</v>
      </c>
      <c r="J34" s="1281" t="s">
        <v>2921</v>
      </c>
      <c r="K34" s="1281" t="s">
        <v>2935</v>
      </c>
      <c r="L34" s="1281" t="s">
        <v>2936</v>
      </c>
      <c r="M34" s="1422">
        <v>30123</v>
      </c>
      <c r="O34" s="1281" t="s">
        <v>2916</v>
      </c>
      <c r="P34" s="1281" t="s">
        <v>2937</v>
      </c>
      <c r="Q34" s="1281">
        <v>4000</v>
      </c>
      <c r="R34" s="1281" t="s">
        <v>32</v>
      </c>
      <c r="S34" s="1281" t="s">
        <v>12</v>
      </c>
      <c r="T34" s="1281">
        <v>109</v>
      </c>
      <c r="U34" s="1281">
        <v>4</v>
      </c>
      <c r="V34" s="1281" t="s">
        <v>2169</v>
      </c>
      <c r="W34" s="1281" t="s">
        <v>2169</v>
      </c>
      <c r="X34" s="1422">
        <v>42566</v>
      </c>
      <c r="Y34" s="1422">
        <v>42674</v>
      </c>
      <c r="Z34" s="1281" t="s">
        <v>2918</v>
      </c>
      <c r="AA34" s="1281">
        <v>0</v>
      </c>
      <c r="AB34" s="1281" t="s">
        <v>2938</v>
      </c>
      <c r="AC34" s="1281" t="s">
        <v>2939</v>
      </c>
      <c r="AD34" s="1281" t="s">
        <v>4</v>
      </c>
      <c r="AE34" s="1281" t="s">
        <v>2988</v>
      </c>
      <c r="AF34" s="1281" t="s">
        <v>2902</v>
      </c>
      <c r="AG34" s="1281" t="s">
        <v>32</v>
      </c>
      <c r="AH34" s="1281" t="s">
        <v>2918</v>
      </c>
      <c r="AI34" s="1281" t="s">
        <v>2918</v>
      </c>
      <c r="AJ34" s="1281">
        <v>500000</v>
      </c>
      <c r="AK34" s="1281">
        <v>871.00959999999998</v>
      </c>
      <c r="AL34" s="1281" t="s">
        <v>4</v>
      </c>
      <c r="AM34" s="1281" t="s">
        <v>2988</v>
      </c>
      <c r="AN34" s="1281" t="s">
        <v>2902</v>
      </c>
      <c r="AO34" s="1281" t="s">
        <v>32</v>
      </c>
      <c r="AP34" s="1281" t="s">
        <v>2918</v>
      </c>
      <c r="AQ34" s="1281" t="s">
        <v>2918</v>
      </c>
      <c r="AR34" s="1281">
        <v>25000</v>
      </c>
      <c r="AS34" s="1281">
        <v>142.7885</v>
      </c>
      <c r="AT34" s="1281" t="s">
        <v>7</v>
      </c>
      <c r="AU34" s="1281" t="s">
        <v>88</v>
      </c>
      <c r="AV34" s="1281">
        <v>240303</v>
      </c>
      <c r="AW34" s="1281" t="s">
        <v>32</v>
      </c>
      <c r="AX34" s="1281" t="s">
        <v>2918</v>
      </c>
      <c r="AY34" s="1281" t="s">
        <v>2918</v>
      </c>
      <c r="AZ34" s="1281">
        <v>144000</v>
      </c>
      <c r="BA34" s="1423">
        <v>5.0100000000000003E-4</v>
      </c>
      <c r="BB34" s="1281" t="s">
        <v>7</v>
      </c>
      <c r="BC34" s="1281" t="s">
        <v>88</v>
      </c>
      <c r="BD34" s="1281">
        <v>240303</v>
      </c>
      <c r="BE34" s="1281" t="s">
        <v>32</v>
      </c>
      <c r="BF34" s="1281" t="s">
        <v>2918</v>
      </c>
      <c r="BG34" s="1281" t="s">
        <v>2918</v>
      </c>
      <c r="BH34" s="1281">
        <v>144000</v>
      </c>
      <c r="BI34" s="1423">
        <v>1.253E-3</v>
      </c>
      <c r="BJ34" s="1281" t="s">
        <v>7</v>
      </c>
      <c r="BK34" s="1281" t="s">
        <v>88</v>
      </c>
      <c r="BL34" s="1281">
        <v>240303</v>
      </c>
      <c r="BM34" s="1281" t="s">
        <v>32</v>
      </c>
      <c r="BN34" s="1281" t="s">
        <v>2918</v>
      </c>
      <c r="BO34" s="1281" t="s">
        <v>2918</v>
      </c>
      <c r="BP34" s="1281">
        <v>144000</v>
      </c>
      <c r="BQ34" s="1423">
        <v>6.1899999999999998E-4</v>
      </c>
      <c r="BR34" s="1281" t="s">
        <v>7</v>
      </c>
      <c r="BS34" s="1281" t="s">
        <v>88</v>
      </c>
      <c r="BT34" s="1281">
        <v>240303</v>
      </c>
      <c r="BU34" s="1281" t="s">
        <v>32</v>
      </c>
      <c r="BV34" s="1281" t="s">
        <v>2918</v>
      </c>
      <c r="BW34" s="1281" t="s">
        <v>2918</v>
      </c>
      <c r="BX34" s="1281">
        <v>144000</v>
      </c>
      <c r="BY34" s="1423">
        <v>1.4890000000000001E-3</v>
      </c>
      <c r="BZ34" s="1281" t="s">
        <v>7</v>
      </c>
      <c r="CA34" s="1281" t="s">
        <v>88</v>
      </c>
      <c r="CB34" s="1281">
        <v>240303</v>
      </c>
      <c r="CC34" s="1281" t="s">
        <v>32</v>
      </c>
      <c r="CD34" s="1281">
        <v>7</v>
      </c>
      <c r="CE34" s="1281">
        <v>365</v>
      </c>
      <c r="CF34" s="1281">
        <v>48000</v>
      </c>
      <c r="CG34" s="1423">
        <v>5.8830000000000002E-3</v>
      </c>
      <c r="CH34" s="1281" t="s">
        <v>7</v>
      </c>
      <c r="CI34" s="1281" t="s">
        <v>88</v>
      </c>
      <c r="CJ34" s="1281">
        <v>240303</v>
      </c>
      <c r="CK34" s="1281" t="s">
        <v>32</v>
      </c>
      <c r="CL34" s="1281">
        <v>7</v>
      </c>
      <c r="CM34" s="1281">
        <v>365</v>
      </c>
      <c r="CN34" s="1281">
        <v>48000</v>
      </c>
      <c r="CO34" s="1423">
        <v>1.1757E-2</v>
      </c>
    </row>
    <row r="35" spans="1:93" s="1281" customFormat="1">
      <c r="A35" s="1281" t="s">
        <v>2895</v>
      </c>
      <c r="B35" s="1281">
        <v>12522</v>
      </c>
      <c r="C35" s="1422">
        <v>41760</v>
      </c>
      <c r="D35" s="1422">
        <v>42930</v>
      </c>
      <c r="F35" s="1425">
        <v>42566</v>
      </c>
      <c r="G35" s="1425">
        <v>42749</v>
      </c>
      <c r="H35" s="1281">
        <v>133586</v>
      </c>
      <c r="I35" s="1281">
        <v>5115732</v>
      </c>
      <c r="J35" s="1281" t="s">
        <v>2921</v>
      </c>
      <c r="K35" s="1281" t="s">
        <v>2940</v>
      </c>
      <c r="L35" s="1281" t="s">
        <v>2941</v>
      </c>
      <c r="M35" s="1422">
        <v>28337</v>
      </c>
      <c r="O35" s="1281" t="s">
        <v>2942</v>
      </c>
      <c r="P35" s="1281" t="s">
        <v>2943</v>
      </c>
      <c r="Q35" s="1281">
        <v>7000</v>
      </c>
      <c r="R35" s="1281" t="s">
        <v>32</v>
      </c>
      <c r="S35" s="1281" t="s">
        <v>12</v>
      </c>
      <c r="T35" s="1281">
        <v>109</v>
      </c>
      <c r="U35" s="1281">
        <v>4</v>
      </c>
      <c r="V35" s="1281" t="s">
        <v>2169</v>
      </c>
      <c r="W35" s="1281" t="s">
        <v>2169</v>
      </c>
      <c r="X35" s="1422">
        <v>42566</v>
      </c>
      <c r="Y35" s="1422">
        <v>42674</v>
      </c>
      <c r="Z35" s="1281" t="s">
        <v>2918</v>
      </c>
      <c r="AA35" s="1281">
        <v>0</v>
      </c>
      <c r="AB35" s="1281" t="s">
        <v>2944</v>
      </c>
      <c r="AC35" s="1281" t="s">
        <v>2945</v>
      </c>
      <c r="AD35" s="1281" t="s">
        <v>4</v>
      </c>
      <c r="AE35" s="1281" t="s">
        <v>2988</v>
      </c>
      <c r="AF35" s="1281" t="s">
        <v>2902</v>
      </c>
      <c r="AG35" s="1281" t="s">
        <v>32</v>
      </c>
      <c r="AH35" s="1281" t="s">
        <v>2918</v>
      </c>
      <c r="AI35" s="1281" t="s">
        <v>2918</v>
      </c>
      <c r="AJ35" s="1281">
        <v>500000</v>
      </c>
      <c r="AK35" s="1281">
        <v>871.00959999999998</v>
      </c>
      <c r="AL35" s="1281" t="s">
        <v>4</v>
      </c>
      <c r="AM35" s="1281" t="s">
        <v>2988</v>
      </c>
      <c r="AN35" s="1281" t="s">
        <v>2902</v>
      </c>
      <c r="AO35" s="1281" t="s">
        <v>32</v>
      </c>
      <c r="AP35" s="1281" t="s">
        <v>2918</v>
      </c>
      <c r="AQ35" s="1281" t="s">
        <v>2918</v>
      </c>
      <c r="AR35" s="1281">
        <v>25000</v>
      </c>
      <c r="AS35" s="1281">
        <v>142.7885</v>
      </c>
      <c r="AT35" s="1281" t="s">
        <v>7</v>
      </c>
      <c r="AU35" s="1281" t="s">
        <v>88</v>
      </c>
      <c r="AV35" s="1281">
        <v>240303</v>
      </c>
      <c r="AW35" s="1281" t="s">
        <v>32</v>
      </c>
      <c r="AX35" s="1281" t="s">
        <v>2918</v>
      </c>
      <c r="AY35" s="1281" t="s">
        <v>2918</v>
      </c>
      <c r="AZ35" s="1281">
        <v>252000</v>
      </c>
      <c r="BA35" s="1423">
        <v>5.0100000000000003E-4</v>
      </c>
      <c r="BB35" s="1281" t="s">
        <v>7</v>
      </c>
      <c r="BC35" s="1281" t="s">
        <v>88</v>
      </c>
      <c r="BD35" s="1281">
        <v>240303</v>
      </c>
      <c r="BE35" s="1281" t="s">
        <v>32</v>
      </c>
      <c r="BF35" s="1281" t="s">
        <v>2918</v>
      </c>
      <c r="BG35" s="1281" t="s">
        <v>2918</v>
      </c>
      <c r="BH35" s="1281">
        <v>252000</v>
      </c>
      <c r="BI35" s="1423">
        <v>1.253E-3</v>
      </c>
      <c r="BJ35" s="1281" t="s">
        <v>7</v>
      </c>
      <c r="BK35" s="1281" t="s">
        <v>88</v>
      </c>
      <c r="BL35" s="1281">
        <v>240303</v>
      </c>
      <c r="BM35" s="1281" t="s">
        <v>32</v>
      </c>
      <c r="BN35" s="1281" t="s">
        <v>2918</v>
      </c>
      <c r="BO35" s="1281" t="s">
        <v>2918</v>
      </c>
      <c r="BP35" s="1281">
        <v>252000</v>
      </c>
      <c r="BQ35" s="1423">
        <v>6.1899999999999998E-4</v>
      </c>
      <c r="BR35" s="1281" t="s">
        <v>7</v>
      </c>
      <c r="BS35" s="1281" t="s">
        <v>88</v>
      </c>
      <c r="BT35" s="1281">
        <v>240303</v>
      </c>
      <c r="BU35" s="1281" t="s">
        <v>32</v>
      </c>
      <c r="BV35" s="1281" t="s">
        <v>2918</v>
      </c>
      <c r="BW35" s="1281" t="s">
        <v>2918</v>
      </c>
      <c r="BX35" s="1281">
        <v>252000</v>
      </c>
      <c r="BY35" s="1423">
        <v>1.4890000000000001E-3</v>
      </c>
      <c r="BZ35" s="1281" t="s">
        <v>7</v>
      </c>
      <c r="CA35" s="1281" t="s">
        <v>88</v>
      </c>
      <c r="CB35" s="1281">
        <v>240303</v>
      </c>
      <c r="CC35" s="1281" t="s">
        <v>32</v>
      </c>
      <c r="CD35" s="1281">
        <v>7</v>
      </c>
      <c r="CE35" s="1281">
        <v>365</v>
      </c>
      <c r="CF35" s="1281">
        <v>84000</v>
      </c>
      <c r="CG35" s="1423">
        <v>5.8830000000000002E-3</v>
      </c>
      <c r="CH35" s="1281" t="s">
        <v>7</v>
      </c>
      <c r="CI35" s="1281" t="s">
        <v>88</v>
      </c>
      <c r="CJ35" s="1281">
        <v>240303</v>
      </c>
      <c r="CK35" s="1281" t="s">
        <v>32</v>
      </c>
      <c r="CL35" s="1281">
        <v>7</v>
      </c>
      <c r="CM35" s="1281">
        <v>365</v>
      </c>
      <c r="CN35" s="1281">
        <v>84000</v>
      </c>
      <c r="CO35" s="1423">
        <v>1.1757E-2</v>
      </c>
    </row>
    <row r="36" spans="1:93" s="1281" customFormat="1">
      <c r="A36" s="1281" t="s">
        <v>2895</v>
      </c>
      <c r="B36" s="1281">
        <v>12522</v>
      </c>
      <c r="C36" s="1422">
        <v>41760</v>
      </c>
      <c r="D36" s="1422">
        <v>42930</v>
      </c>
      <c r="F36" s="1425">
        <v>42566</v>
      </c>
      <c r="G36" s="1425">
        <v>42749</v>
      </c>
      <c r="H36" s="1281">
        <v>133442</v>
      </c>
      <c r="I36" s="1281">
        <v>5934982</v>
      </c>
      <c r="J36" s="1281" t="s">
        <v>2921</v>
      </c>
      <c r="K36" s="1281" t="s">
        <v>2959</v>
      </c>
      <c r="L36" s="1281" t="s">
        <v>2960</v>
      </c>
      <c r="M36" s="1422">
        <v>26888</v>
      </c>
      <c r="O36" s="1281" t="s">
        <v>2942</v>
      </c>
      <c r="P36" s="1281" t="s">
        <v>2943</v>
      </c>
      <c r="Q36" s="1281">
        <v>6000</v>
      </c>
      <c r="R36" s="1281" t="s">
        <v>32</v>
      </c>
      <c r="S36" s="1281" t="s">
        <v>12</v>
      </c>
      <c r="T36" s="1281">
        <v>109</v>
      </c>
      <c r="U36" s="1281">
        <v>4</v>
      </c>
      <c r="V36" s="1281" t="s">
        <v>2169</v>
      </c>
      <c r="W36" s="1281" t="s">
        <v>2169</v>
      </c>
      <c r="X36" s="1422">
        <v>42566</v>
      </c>
      <c r="Y36" s="1422">
        <v>42674</v>
      </c>
      <c r="Z36" s="1281" t="s">
        <v>2918</v>
      </c>
      <c r="AA36" s="1281">
        <v>0</v>
      </c>
      <c r="AB36" s="1281" t="s">
        <v>2944</v>
      </c>
      <c r="AC36" s="1281" t="s">
        <v>2945</v>
      </c>
      <c r="AD36" s="1281" t="s">
        <v>4</v>
      </c>
      <c r="AE36" s="1281" t="s">
        <v>2988</v>
      </c>
      <c r="AF36" s="1281" t="s">
        <v>2902</v>
      </c>
      <c r="AG36" s="1281" t="s">
        <v>32</v>
      </c>
      <c r="AH36" s="1281" t="s">
        <v>2918</v>
      </c>
      <c r="AI36" s="1281" t="s">
        <v>2918</v>
      </c>
      <c r="AJ36" s="1281">
        <v>500000</v>
      </c>
      <c r="AK36" s="1281">
        <v>871.00959999999998</v>
      </c>
      <c r="AL36" s="1281" t="s">
        <v>4</v>
      </c>
      <c r="AM36" s="1281" t="s">
        <v>2988</v>
      </c>
      <c r="AN36" s="1281" t="s">
        <v>2902</v>
      </c>
      <c r="AO36" s="1281" t="s">
        <v>32</v>
      </c>
      <c r="AP36" s="1281" t="s">
        <v>2918</v>
      </c>
      <c r="AQ36" s="1281" t="s">
        <v>2918</v>
      </c>
      <c r="AR36" s="1281">
        <v>25000</v>
      </c>
      <c r="AS36" s="1281">
        <v>142.7885</v>
      </c>
      <c r="AT36" s="1281" t="s">
        <v>7</v>
      </c>
      <c r="AU36" s="1281" t="s">
        <v>88</v>
      </c>
      <c r="AV36" s="1281">
        <v>240303</v>
      </c>
      <c r="AW36" s="1281" t="s">
        <v>32</v>
      </c>
      <c r="AX36" s="1281" t="s">
        <v>2918</v>
      </c>
      <c r="AY36" s="1281" t="s">
        <v>2918</v>
      </c>
      <c r="AZ36" s="1281">
        <v>216000</v>
      </c>
      <c r="BA36" s="1423">
        <v>5.0100000000000003E-4</v>
      </c>
      <c r="BB36" s="1281" t="s">
        <v>7</v>
      </c>
      <c r="BC36" s="1281" t="s">
        <v>88</v>
      </c>
      <c r="BD36" s="1281">
        <v>240303</v>
      </c>
      <c r="BE36" s="1281" t="s">
        <v>32</v>
      </c>
      <c r="BF36" s="1281" t="s">
        <v>2918</v>
      </c>
      <c r="BG36" s="1281" t="s">
        <v>2918</v>
      </c>
      <c r="BH36" s="1281">
        <v>216000</v>
      </c>
      <c r="BI36" s="1423">
        <v>1.253E-3</v>
      </c>
      <c r="BJ36" s="1281" t="s">
        <v>7</v>
      </c>
      <c r="BK36" s="1281" t="s">
        <v>88</v>
      </c>
      <c r="BL36" s="1281">
        <v>240303</v>
      </c>
      <c r="BM36" s="1281" t="s">
        <v>32</v>
      </c>
      <c r="BN36" s="1281" t="s">
        <v>2918</v>
      </c>
      <c r="BO36" s="1281" t="s">
        <v>2918</v>
      </c>
      <c r="BP36" s="1281">
        <v>216000</v>
      </c>
      <c r="BQ36" s="1423">
        <v>6.1899999999999998E-4</v>
      </c>
      <c r="BR36" s="1281" t="s">
        <v>7</v>
      </c>
      <c r="BS36" s="1281" t="s">
        <v>88</v>
      </c>
      <c r="BT36" s="1281">
        <v>240303</v>
      </c>
      <c r="BU36" s="1281" t="s">
        <v>32</v>
      </c>
      <c r="BV36" s="1281" t="s">
        <v>2918</v>
      </c>
      <c r="BW36" s="1281" t="s">
        <v>2918</v>
      </c>
      <c r="BX36" s="1281">
        <v>216000</v>
      </c>
      <c r="BY36" s="1423">
        <v>1.4890000000000001E-3</v>
      </c>
      <c r="BZ36" s="1281" t="s">
        <v>7</v>
      </c>
      <c r="CA36" s="1281" t="s">
        <v>88</v>
      </c>
      <c r="CB36" s="1281">
        <v>240303</v>
      </c>
      <c r="CC36" s="1281" t="s">
        <v>32</v>
      </c>
      <c r="CD36" s="1281">
        <v>7</v>
      </c>
      <c r="CE36" s="1281">
        <v>365</v>
      </c>
      <c r="CF36" s="1281">
        <v>72000</v>
      </c>
      <c r="CG36" s="1423">
        <v>5.8830000000000002E-3</v>
      </c>
      <c r="CH36" s="1281" t="s">
        <v>7</v>
      </c>
      <c r="CI36" s="1281" t="s">
        <v>88</v>
      </c>
      <c r="CJ36" s="1281">
        <v>240303</v>
      </c>
      <c r="CK36" s="1281" t="s">
        <v>32</v>
      </c>
      <c r="CL36" s="1281">
        <v>7</v>
      </c>
      <c r="CM36" s="1281">
        <v>365</v>
      </c>
      <c r="CN36" s="1281">
        <v>72000</v>
      </c>
      <c r="CO36" s="1423">
        <v>1.1757E-2</v>
      </c>
    </row>
    <row r="37" spans="1:93" s="1281" customFormat="1">
      <c r="A37" s="1281" t="s">
        <v>2895</v>
      </c>
      <c r="B37" s="1281">
        <v>12522</v>
      </c>
      <c r="C37" s="1422">
        <v>41760</v>
      </c>
      <c r="D37" s="1422">
        <v>42930</v>
      </c>
      <c r="F37" s="1425">
        <v>42566</v>
      </c>
      <c r="G37" s="1425">
        <v>42749</v>
      </c>
      <c r="H37" s="1281">
        <v>132192</v>
      </c>
      <c r="I37" s="1281">
        <v>5539382</v>
      </c>
      <c r="J37" s="1281" t="s">
        <v>2921</v>
      </c>
      <c r="K37" s="1281" t="s">
        <v>2989</v>
      </c>
      <c r="L37" s="1281" t="s">
        <v>2990</v>
      </c>
      <c r="M37" s="1422">
        <v>29938</v>
      </c>
      <c r="N37" s="1281" t="s">
        <v>2991</v>
      </c>
      <c r="O37" s="1281" t="s">
        <v>2942</v>
      </c>
      <c r="P37" s="1281" t="s">
        <v>2992</v>
      </c>
      <c r="Q37" s="1281">
        <v>8000</v>
      </c>
      <c r="R37" s="1281" t="s">
        <v>32</v>
      </c>
      <c r="S37" s="1281" t="s">
        <v>12</v>
      </c>
      <c r="T37" s="1281">
        <v>110</v>
      </c>
      <c r="U37" s="1281">
        <v>4</v>
      </c>
      <c r="V37" s="1281" t="s">
        <v>2169</v>
      </c>
      <c r="W37" s="1281" t="s">
        <v>2169</v>
      </c>
      <c r="X37" s="1422">
        <v>42566</v>
      </c>
      <c r="Y37" s="1422">
        <v>42675</v>
      </c>
      <c r="Z37" s="1281" t="s">
        <v>2918</v>
      </c>
      <c r="AA37" s="1281">
        <v>0</v>
      </c>
      <c r="AB37" s="1281" t="s">
        <v>2958</v>
      </c>
      <c r="AC37" s="1281" t="s">
        <v>2958</v>
      </c>
      <c r="AD37" s="1281" t="s">
        <v>4</v>
      </c>
      <c r="AE37" s="1281" t="s">
        <v>2988</v>
      </c>
      <c r="AF37" s="1281" t="s">
        <v>2902</v>
      </c>
      <c r="AG37" s="1281" t="s">
        <v>32</v>
      </c>
      <c r="AH37" s="1281" t="s">
        <v>2918</v>
      </c>
      <c r="AI37" s="1281" t="s">
        <v>2918</v>
      </c>
      <c r="AJ37" s="1281">
        <v>500000</v>
      </c>
      <c r="AK37" s="1281">
        <v>871.00959999999998</v>
      </c>
      <c r="AL37" s="1281" t="s">
        <v>4</v>
      </c>
      <c r="AM37" s="1281" t="s">
        <v>2988</v>
      </c>
      <c r="AN37" s="1281" t="s">
        <v>2902</v>
      </c>
      <c r="AO37" s="1281" t="s">
        <v>32</v>
      </c>
      <c r="AP37" s="1281" t="s">
        <v>2918</v>
      </c>
      <c r="AQ37" s="1281" t="s">
        <v>2918</v>
      </c>
      <c r="AR37" s="1281">
        <v>25000</v>
      </c>
      <c r="AS37" s="1281">
        <v>142.7885</v>
      </c>
      <c r="AT37" s="1281" t="s">
        <v>7</v>
      </c>
      <c r="AU37" s="1281" t="s">
        <v>88</v>
      </c>
      <c r="AV37" s="1281">
        <v>240303</v>
      </c>
      <c r="AW37" s="1281" t="s">
        <v>32</v>
      </c>
      <c r="AX37" s="1281" t="s">
        <v>2918</v>
      </c>
      <c r="AY37" s="1281" t="s">
        <v>2918</v>
      </c>
      <c r="AZ37" s="1281">
        <v>288000</v>
      </c>
      <c r="BA37" s="1423">
        <v>5.0100000000000003E-4</v>
      </c>
      <c r="BB37" s="1281" t="s">
        <v>7</v>
      </c>
      <c r="BC37" s="1281" t="s">
        <v>88</v>
      </c>
      <c r="BD37" s="1281">
        <v>240303</v>
      </c>
      <c r="BE37" s="1281" t="s">
        <v>32</v>
      </c>
      <c r="BF37" s="1281" t="s">
        <v>2918</v>
      </c>
      <c r="BG37" s="1281" t="s">
        <v>2918</v>
      </c>
      <c r="BH37" s="1281">
        <v>288000</v>
      </c>
      <c r="BI37" s="1423">
        <v>1.253E-3</v>
      </c>
      <c r="BJ37" s="1281" t="s">
        <v>7</v>
      </c>
      <c r="BK37" s="1281" t="s">
        <v>88</v>
      </c>
      <c r="BL37" s="1281">
        <v>240303</v>
      </c>
      <c r="BM37" s="1281" t="s">
        <v>32</v>
      </c>
      <c r="BN37" s="1281" t="s">
        <v>2918</v>
      </c>
      <c r="BO37" s="1281" t="s">
        <v>2918</v>
      </c>
      <c r="BP37" s="1281">
        <v>288000</v>
      </c>
      <c r="BQ37" s="1423">
        <v>6.1899999999999998E-4</v>
      </c>
      <c r="BR37" s="1281" t="s">
        <v>7</v>
      </c>
      <c r="BS37" s="1281" t="s">
        <v>88</v>
      </c>
      <c r="BT37" s="1281">
        <v>240303</v>
      </c>
      <c r="BU37" s="1281" t="s">
        <v>32</v>
      </c>
      <c r="BV37" s="1281" t="s">
        <v>2918</v>
      </c>
      <c r="BW37" s="1281" t="s">
        <v>2918</v>
      </c>
      <c r="BX37" s="1281">
        <v>288000</v>
      </c>
      <c r="BY37" s="1423">
        <v>1.4890000000000001E-3</v>
      </c>
      <c r="BZ37" s="1281" t="s">
        <v>7</v>
      </c>
      <c r="CA37" s="1281" t="s">
        <v>88</v>
      </c>
      <c r="CB37" s="1281">
        <v>240303</v>
      </c>
      <c r="CC37" s="1281" t="s">
        <v>32</v>
      </c>
      <c r="CD37" s="1281">
        <v>7</v>
      </c>
      <c r="CE37" s="1281">
        <v>365</v>
      </c>
      <c r="CF37" s="1281">
        <v>96000</v>
      </c>
      <c r="CG37" s="1423">
        <v>5.8830000000000002E-3</v>
      </c>
      <c r="CH37" s="1281" t="s">
        <v>7</v>
      </c>
      <c r="CI37" s="1281" t="s">
        <v>88</v>
      </c>
      <c r="CJ37" s="1281">
        <v>240303</v>
      </c>
      <c r="CK37" s="1281" t="s">
        <v>32</v>
      </c>
      <c r="CL37" s="1281">
        <v>7</v>
      </c>
      <c r="CM37" s="1281">
        <v>365</v>
      </c>
      <c r="CN37" s="1281">
        <v>96000</v>
      </c>
      <c r="CO37" s="1423">
        <v>1.1757E-2</v>
      </c>
    </row>
    <row r="38" spans="1:93" s="1281" customFormat="1">
      <c r="A38" s="1281" t="s">
        <v>2895</v>
      </c>
      <c r="B38" s="1281">
        <v>12522</v>
      </c>
      <c r="C38" s="1422">
        <v>41760</v>
      </c>
      <c r="D38" s="1422">
        <v>42930</v>
      </c>
      <c r="F38" s="1425">
        <v>42566</v>
      </c>
      <c r="G38" s="1425">
        <v>42749</v>
      </c>
      <c r="H38" s="1281">
        <v>133338</v>
      </c>
      <c r="I38" s="1281">
        <v>5891299</v>
      </c>
      <c r="J38" s="1281" t="s">
        <v>2921</v>
      </c>
      <c r="K38" s="1281" t="s">
        <v>2993</v>
      </c>
      <c r="L38" s="1281" t="s">
        <v>2994</v>
      </c>
      <c r="M38" s="1422">
        <v>25958</v>
      </c>
      <c r="O38" s="1281" t="s">
        <v>2942</v>
      </c>
      <c r="P38" s="1281" t="s">
        <v>2966</v>
      </c>
      <c r="Q38" s="1281">
        <v>6000</v>
      </c>
      <c r="R38" s="1281" t="s">
        <v>32</v>
      </c>
      <c r="S38" s="1281" t="s">
        <v>12</v>
      </c>
      <c r="T38" s="1281">
        <v>110</v>
      </c>
      <c r="U38" s="1281">
        <v>4</v>
      </c>
      <c r="V38" s="1281" t="s">
        <v>2169</v>
      </c>
      <c r="W38" s="1281" t="s">
        <v>2169</v>
      </c>
      <c r="X38" s="1422">
        <v>42566</v>
      </c>
      <c r="Y38" s="1422">
        <v>42675</v>
      </c>
      <c r="Z38" s="1281" t="s">
        <v>2918</v>
      </c>
      <c r="AA38" s="1281">
        <v>0</v>
      </c>
      <c r="AB38" s="1281" t="s">
        <v>2944</v>
      </c>
      <c r="AC38" s="1281" t="s">
        <v>2945</v>
      </c>
      <c r="AD38" s="1281" t="s">
        <v>4</v>
      </c>
      <c r="AE38" s="1281" t="s">
        <v>2988</v>
      </c>
      <c r="AF38" s="1281" t="s">
        <v>2902</v>
      </c>
      <c r="AG38" s="1281" t="s">
        <v>32</v>
      </c>
      <c r="AH38" s="1281" t="s">
        <v>2918</v>
      </c>
      <c r="AI38" s="1281" t="s">
        <v>2918</v>
      </c>
      <c r="AJ38" s="1281">
        <v>500000</v>
      </c>
      <c r="AK38" s="1281">
        <v>871.00959999999998</v>
      </c>
      <c r="AL38" s="1281" t="s">
        <v>4</v>
      </c>
      <c r="AM38" s="1281" t="s">
        <v>2988</v>
      </c>
      <c r="AN38" s="1281" t="s">
        <v>2902</v>
      </c>
      <c r="AO38" s="1281" t="s">
        <v>32</v>
      </c>
      <c r="AP38" s="1281" t="s">
        <v>2918</v>
      </c>
      <c r="AQ38" s="1281" t="s">
        <v>2918</v>
      </c>
      <c r="AR38" s="1281">
        <v>25000</v>
      </c>
      <c r="AS38" s="1281">
        <v>142.7885</v>
      </c>
      <c r="AT38" s="1281" t="s">
        <v>7</v>
      </c>
      <c r="AU38" s="1281" t="s">
        <v>88</v>
      </c>
      <c r="AV38" s="1281">
        <v>240303</v>
      </c>
      <c r="AW38" s="1281" t="s">
        <v>32</v>
      </c>
      <c r="AX38" s="1281" t="s">
        <v>2918</v>
      </c>
      <c r="AY38" s="1281" t="s">
        <v>2918</v>
      </c>
      <c r="AZ38" s="1281">
        <v>216000</v>
      </c>
      <c r="BA38" s="1423">
        <v>5.0100000000000003E-4</v>
      </c>
      <c r="BB38" s="1281" t="s">
        <v>7</v>
      </c>
      <c r="BC38" s="1281" t="s">
        <v>88</v>
      </c>
      <c r="BD38" s="1281">
        <v>240303</v>
      </c>
      <c r="BE38" s="1281" t="s">
        <v>32</v>
      </c>
      <c r="BF38" s="1281" t="s">
        <v>2918</v>
      </c>
      <c r="BG38" s="1281" t="s">
        <v>2918</v>
      </c>
      <c r="BH38" s="1281">
        <v>216000</v>
      </c>
      <c r="BI38" s="1423">
        <v>1.253E-3</v>
      </c>
      <c r="BJ38" s="1281" t="s">
        <v>7</v>
      </c>
      <c r="BK38" s="1281" t="s">
        <v>88</v>
      </c>
      <c r="BL38" s="1281">
        <v>240303</v>
      </c>
      <c r="BM38" s="1281" t="s">
        <v>32</v>
      </c>
      <c r="BN38" s="1281" t="s">
        <v>2918</v>
      </c>
      <c r="BO38" s="1281" t="s">
        <v>2918</v>
      </c>
      <c r="BP38" s="1281">
        <v>216000</v>
      </c>
      <c r="BQ38" s="1423">
        <v>6.1899999999999998E-4</v>
      </c>
      <c r="BR38" s="1281" t="s">
        <v>7</v>
      </c>
      <c r="BS38" s="1281" t="s">
        <v>88</v>
      </c>
      <c r="BT38" s="1281">
        <v>240303</v>
      </c>
      <c r="BU38" s="1281" t="s">
        <v>32</v>
      </c>
      <c r="BV38" s="1281" t="s">
        <v>2918</v>
      </c>
      <c r="BW38" s="1281" t="s">
        <v>2918</v>
      </c>
      <c r="BX38" s="1281">
        <v>216000</v>
      </c>
      <c r="BY38" s="1423">
        <v>1.4890000000000001E-3</v>
      </c>
      <c r="BZ38" s="1281" t="s">
        <v>7</v>
      </c>
      <c r="CA38" s="1281" t="s">
        <v>88</v>
      </c>
      <c r="CB38" s="1281">
        <v>240303</v>
      </c>
      <c r="CC38" s="1281" t="s">
        <v>32</v>
      </c>
      <c r="CD38" s="1281">
        <v>7</v>
      </c>
      <c r="CE38" s="1281">
        <v>365</v>
      </c>
      <c r="CF38" s="1281">
        <v>72000</v>
      </c>
      <c r="CG38" s="1423">
        <v>5.8830000000000002E-3</v>
      </c>
      <c r="CH38" s="1281" t="s">
        <v>7</v>
      </c>
      <c r="CI38" s="1281" t="s">
        <v>88</v>
      </c>
      <c r="CJ38" s="1281">
        <v>240303</v>
      </c>
      <c r="CK38" s="1281" t="s">
        <v>32</v>
      </c>
      <c r="CL38" s="1281">
        <v>7</v>
      </c>
      <c r="CM38" s="1281">
        <v>365</v>
      </c>
      <c r="CN38" s="1281">
        <v>72000</v>
      </c>
      <c r="CO38" s="1423">
        <v>1.1757E-2</v>
      </c>
    </row>
    <row r="39" spans="1:93" s="1281" customFormat="1">
      <c r="A39" s="1281" t="s">
        <v>2895</v>
      </c>
      <c r="B39" s="1281">
        <v>12522</v>
      </c>
      <c r="C39" s="1422">
        <v>41760</v>
      </c>
      <c r="D39" s="1422">
        <v>42930</v>
      </c>
      <c r="F39" s="1425">
        <v>42566</v>
      </c>
      <c r="G39" s="1425">
        <v>42749</v>
      </c>
      <c r="H39" s="1281">
        <v>33</v>
      </c>
      <c r="I39" s="1281">
        <v>4014425</v>
      </c>
      <c r="J39" s="1281" t="s">
        <v>2921</v>
      </c>
      <c r="K39" s="1281" t="s">
        <v>2995</v>
      </c>
      <c r="L39" s="1281" t="s">
        <v>1523</v>
      </c>
      <c r="M39" s="1422">
        <v>23157</v>
      </c>
      <c r="N39" s="1281" t="s">
        <v>2996</v>
      </c>
      <c r="O39" s="1281" t="s">
        <v>2942</v>
      </c>
      <c r="P39" s="1281" t="s">
        <v>2997</v>
      </c>
      <c r="Q39" s="1281">
        <v>12000</v>
      </c>
      <c r="R39" s="1281" t="s">
        <v>32</v>
      </c>
      <c r="S39" s="1281" t="s">
        <v>12</v>
      </c>
      <c r="T39" s="1281">
        <v>184</v>
      </c>
      <c r="U39" s="1281">
        <v>6</v>
      </c>
      <c r="V39" s="1281" t="s">
        <v>2169</v>
      </c>
      <c r="W39" s="1281" t="s">
        <v>2169</v>
      </c>
      <c r="X39" s="1422">
        <v>42566</v>
      </c>
      <c r="Y39" s="1422">
        <v>42749</v>
      </c>
      <c r="Z39" s="1281" t="s">
        <v>2918</v>
      </c>
      <c r="AA39" s="1281">
        <v>0</v>
      </c>
      <c r="AB39" s="1281" t="s">
        <v>53</v>
      </c>
      <c r="AC39" s="1281" t="s">
        <v>2998</v>
      </c>
      <c r="AD39" s="1281" t="s">
        <v>4</v>
      </c>
      <c r="AE39" s="1281" t="s">
        <v>2988</v>
      </c>
      <c r="AF39" s="1281" t="s">
        <v>2902</v>
      </c>
      <c r="AG39" s="1281" t="s">
        <v>32</v>
      </c>
      <c r="AH39" s="1281" t="s">
        <v>2918</v>
      </c>
      <c r="AI39" s="1281" t="s">
        <v>2918</v>
      </c>
      <c r="AJ39" s="1281">
        <v>500000</v>
      </c>
      <c r="AK39" s="1281">
        <v>871.00959999999998</v>
      </c>
      <c r="AL39" s="1281" t="s">
        <v>4</v>
      </c>
      <c r="AM39" s="1281" t="s">
        <v>2988</v>
      </c>
      <c r="AN39" s="1281" t="s">
        <v>2902</v>
      </c>
      <c r="AO39" s="1281" t="s">
        <v>32</v>
      </c>
      <c r="AP39" s="1281" t="s">
        <v>2918</v>
      </c>
      <c r="AQ39" s="1281" t="s">
        <v>2918</v>
      </c>
      <c r="AR39" s="1281">
        <v>25000</v>
      </c>
      <c r="AS39" s="1281">
        <v>142.7885</v>
      </c>
      <c r="AT39" s="1281" t="s">
        <v>7</v>
      </c>
      <c r="AU39" s="1281" t="s">
        <v>88</v>
      </c>
      <c r="AV39" s="1281">
        <v>240303</v>
      </c>
      <c r="AW39" s="1281" t="s">
        <v>32</v>
      </c>
      <c r="AX39" s="1281" t="s">
        <v>2918</v>
      </c>
      <c r="AY39" s="1281" t="s">
        <v>2918</v>
      </c>
      <c r="AZ39" s="1281">
        <v>432000</v>
      </c>
      <c r="BA39" s="1423">
        <v>5.0100000000000003E-4</v>
      </c>
      <c r="BB39" s="1281" t="s">
        <v>7</v>
      </c>
      <c r="BC39" s="1281" t="s">
        <v>88</v>
      </c>
      <c r="BD39" s="1281">
        <v>240303</v>
      </c>
      <c r="BE39" s="1281" t="s">
        <v>32</v>
      </c>
      <c r="BF39" s="1281" t="s">
        <v>2918</v>
      </c>
      <c r="BG39" s="1281" t="s">
        <v>2918</v>
      </c>
      <c r="BH39" s="1281">
        <v>432000</v>
      </c>
      <c r="BI39" s="1423">
        <v>1.253E-3</v>
      </c>
      <c r="BJ39" s="1281" t="s">
        <v>7</v>
      </c>
      <c r="BK39" s="1281" t="s">
        <v>88</v>
      </c>
      <c r="BL39" s="1281">
        <v>240303</v>
      </c>
      <c r="BM39" s="1281" t="s">
        <v>32</v>
      </c>
      <c r="BN39" s="1281" t="s">
        <v>2918</v>
      </c>
      <c r="BO39" s="1281" t="s">
        <v>2918</v>
      </c>
      <c r="BP39" s="1281">
        <v>432000</v>
      </c>
      <c r="BQ39" s="1423">
        <v>6.1899999999999998E-4</v>
      </c>
      <c r="BR39" s="1281" t="s">
        <v>7</v>
      </c>
      <c r="BS39" s="1281" t="s">
        <v>88</v>
      </c>
      <c r="BT39" s="1281">
        <v>240303</v>
      </c>
      <c r="BU39" s="1281" t="s">
        <v>32</v>
      </c>
      <c r="BV39" s="1281" t="s">
        <v>2918</v>
      </c>
      <c r="BW39" s="1281" t="s">
        <v>2918</v>
      </c>
      <c r="BX39" s="1281">
        <v>432000</v>
      </c>
      <c r="BY39" s="1423">
        <v>1.4890000000000001E-3</v>
      </c>
      <c r="BZ39" s="1281" t="s">
        <v>7</v>
      </c>
      <c r="CA39" s="1281" t="s">
        <v>88</v>
      </c>
      <c r="CB39" s="1281">
        <v>240303</v>
      </c>
      <c r="CC39" s="1281" t="s">
        <v>32</v>
      </c>
      <c r="CD39" s="1281">
        <v>7</v>
      </c>
      <c r="CE39" s="1281">
        <v>365</v>
      </c>
      <c r="CF39" s="1281">
        <v>144000</v>
      </c>
      <c r="CG39" s="1423">
        <v>5.8830000000000002E-3</v>
      </c>
      <c r="CH39" s="1281" t="s">
        <v>7</v>
      </c>
      <c r="CI39" s="1281" t="s">
        <v>88</v>
      </c>
      <c r="CJ39" s="1281">
        <v>240303</v>
      </c>
      <c r="CK39" s="1281" t="s">
        <v>32</v>
      </c>
      <c r="CL39" s="1281">
        <v>7</v>
      </c>
      <c r="CM39" s="1281">
        <v>365</v>
      </c>
      <c r="CN39" s="1281">
        <v>144000</v>
      </c>
      <c r="CO39" s="1423">
        <v>1.1757E-2</v>
      </c>
    </row>
    <row r="40" spans="1:93" s="1281" customFormat="1">
      <c r="A40" s="1281" t="s">
        <v>2895</v>
      </c>
      <c r="B40" s="1281">
        <v>12522</v>
      </c>
      <c r="C40" s="1422">
        <v>41760</v>
      </c>
      <c r="D40" s="1422">
        <v>42930</v>
      </c>
      <c r="F40" s="1422">
        <v>42750</v>
      </c>
      <c r="H40" s="1281">
        <v>33</v>
      </c>
      <c r="I40" s="1281">
        <v>4014425</v>
      </c>
      <c r="J40" s="1281" t="s">
        <v>2921</v>
      </c>
      <c r="K40" s="1281" t="s">
        <v>2995</v>
      </c>
      <c r="L40" s="1281" t="s">
        <v>1523</v>
      </c>
      <c r="M40" s="1422">
        <v>23157</v>
      </c>
      <c r="N40" s="1281" t="s">
        <v>2996</v>
      </c>
      <c r="O40" s="1281" t="s">
        <v>2942</v>
      </c>
      <c r="P40" s="1281" t="s">
        <v>2997</v>
      </c>
      <c r="Q40" s="1281">
        <v>12000</v>
      </c>
      <c r="R40" s="1281" t="s">
        <v>32</v>
      </c>
      <c r="S40" s="1281" t="s">
        <v>12</v>
      </c>
      <c r="T40" s="1281">
        <v>181</v>
      </c>
      <c r="U40" s="1281">
        <v>6</v>
      </c>
      <c r="V40" s="1281" t="s">
        <v>2169</v>
      </c>
      <c r="W40" s="1281" t="s">
        <v>2169</v>
      </c>
      <c r="X40" s="1422">
        <v>42750</v>
      </c>
      <c r="Z40" s="1281" t="s">
        <v>2918</v>
      </c>
      <c r="AA40" s="1281">
        <v>0</v>
      </c>
      <c r="AB40" s="1281" t="s">
        <v>53</v>
      </c>
      <c r="AC40" s="1281" t="s">
        <v>2998</v>
      </c>
      <c r="AD40" s="1281" t="s">
        <v>4</v>
      </c>
      <c r="AE40" s="1281" t="s">
        <v>2583</v>
      </c>
      <c r="AF40" s="1281" t="s">
        <v>2907</v>
      </c>
      <c r="AG40" s="1281" t="s">
        <v>32</v>
      </c>
      <c r="AH40" s="1281" t="s">
        <v>2918</v>
      </c>
      <c r="AI40" s="1281" t="s">
        <v>2918</v>
      </c>
      <c r="AJ40" s="1281">
        <v>500000</v>
      </c>
      <c r="AK40" s="1281">
        <v>874.0385</v>
      </c>
      <c r="AL40" s="1281" t="s">
        <v>4</v>
      </c>
      <c r="AM40" s="1281" t="s">
        <v>2583</v>
      </c>
      <c r="AN40" s="1281" t="s">
        <v>2907</v>
      </c>
      <c r="AO40" s="1281" t="s">
        <v>32</v>
      </c>
      <c r="AP40" s="1281" t="s">
        <v>2918</v>
      </c>
      <c r="AQ40" s="1281" t="s">
        <v>2918</v>
      </c>
      <c r="AR40" s="1281">
        <v>25000</v>
      </c>
      <c r="AS40" s="1281">
        <v>142.78845999999999</v>
      </c>
      <c r="AT40" s="1281" t="s">
        <v>7</v>
      </c>
      <c r="AU40" s="1281" t="s">
        <v>88</v>
      </c>
      <c r="AV40" s="1281">
        <v>240303</v>
      </c>
      <c r="AW40" s="1281" t="s">
        <v>32</v>
      </c>
      <c r="AX40" s="1281" t="s">
        <v>2918</v>
      </c>
      <c r="AY40" s="1281" t="s">
        <v>2918</v>
      </c>
      <c r="AZ40" s="1281">
        <v>432000</v>
      </c>
      <c r="BA40" s="1423">
        <v>5.0100000000000003E-4</v>
      </c>
      <c r="BB40" s="1281" t="s">
        <v>7</v>
      </c>
      <c r="BC40" s="1281" t="s">
        <v>88</v>
      </c>
      <c r="BD40" s="1281">
        <v>240303</v>
      </c>
      <c r="BE40" s="1281" t="s">
        <v>32</v>
      </c>
      <c r="BF40" s="1281" t="s">
        <v>2918</v>
      </c>
      <c r="BG40" s="1281" t="s">
        <v>2918</v>
      </c>
      <c r="BH40" s="1281">
        <v>432000</v>
      </c>
      <c r="BI40" s="1423">
        <v>1.253E-3</v>
      </c>
      <c r="BJ40" s="1281" t="s">
        <v>7</v>
      </c>
      <c r="BK40" s="1281" t="s">
        <v>88</v>
      </c>
      <c r="BL40" s="1281">
        <v>240303</v>
      </c>
      <c r="BM40" s="1281" t="s">
        <v>32</v>
      </c>
      <c r="BN40" s="1281" t="s">
        <v>2918</v>
      </c>
      <c r="BO40" s="1281" t="s">
        <v>2918</v>
      </c>
      <c r="BP40" s="1281">
        <v>432000</v>
      </c>
      <c r="BQ40" s="1423">
        <v>6.1899999999999998E-4</v>
      </c>
      <c r="BR40" s="1281" t="s">
        <v>7</v>
      </c>
      <c r="BS40" s="1281" t="s">
        <v>88</v>
      </c>
      <c r="BT40" s="1281">
        <v>240303</v>
      </c>
      <c r="BU40" s="1281" t="s">
        <v>32</v>
      </c>
      <c r="BV40" s="1281" t="s">
        <v>2918</v>
      </c>
      <c r="BW40" s="1281" t="s">
        <v>2918</v>
      </c>
      <c r="BX40" s="1281">
        <v>432000</v>
      </c>
      <c r="BY40" s="1423">
        <v>1.4890000000000001E-3</v>
      </c>
      <c r="BZ40" s="1281" t="s">
        <v>7</v>
      </c>
      <c r="CA40" s="1281" t="s">
        <v>88</v>
      </c>
      <c r="CB40" s="1281">
        <v>240303</v>
      </c>
      <c r="CC40" s="1281" t="s">
        <v>32</v>
      </c>
      <c r="CD40" s="1281">
        <v>7</v>
      </c>
      <c r="CE40" s="1281">
        <v>365</v>
      </c>
      <c r="CF40" s="1281">
        <v>144000</v>
      </c>
      <c r="CG40" s="1423">
        <v>5.8830000000000002E-3</v>
      </c>
      <c r="CH40" s="1281" t="s">
        <v>7</v>
      </c>
      <c r="CI40" s="1281" t="s">
        <v>88</v>
      </c>
      <c r="CJ40" s="1281">
        <v>240303</v>
      </c>
      <c r="CK40" s="1281" t="s">
        <v>32</v>
      </c>
      <c r="CL40" s="1281">
        <v>7</v>
      </c>
      <c r="CM40" s="1281">
        <v>365</v>
      </c>
      <c r="CN40" s="1281">
        <v>144000</v>
      </c>
      <c r="CO40" s="1423">
        <v>1.1757E-2</v>
      </c>
    </row>
    <row r="41" spans="1:93" s="1150" customFormat="1">
      <c r="A41" s="1150" t="s">
        <v>2895</v>
      </c>
      <c r="B41" s="1150">
        <v>12522</v>
      </c>
      <c r="C41" s="1153">
        <v>41760</v>
      </c>
      <c r="D41" s="1153">
        <v>42930</v>
      </c>
      <c r="F41" s="1153">
        <v>42750</v>
      </c>
      <c r="H41" s="1150">
        <v>135202</v>
      </c>
      <c r="J41" s="1150" t="s">
        <v>2921</v>
      </c>
      <c r="K41" s="1150" t="s">
        <v>2928</v>
      </c>
      <c r="L41" s="1150" t="s">
        <v>2929</v>
      </c>
      <c r="M41" s="1153">
        <v>29104</v>
      </c>
      <c r="O41" s="1150" t="s">
        <v>2916</v>
      </c>
      <c r="P41" s="1150" t="s">
        <v>2925</v>
      </c>
      <c r="Q41" s="1150">
        <v>4000</v>
      </c>
      <c r="R41" s="1150" t="s">
        <v>32</v>
      </c>
      <c r="S41" s="1150" t="s">
        <v>12</v>
      </c>
      <c r="T41" s="1150">
        <v>181</v>
      </c>
      <c r="U41" s="1150">
        <v>6</v>
      </c>
      <c r="V41" s="1150" t="s">
        <v>2169</v>
      </c>
      <c r="W41" s="1150" t="s">
        <v>2169</v>
      </c>
      <c r="X41" s="1153">
        <v>42750</v>
      </c>
      <c r="Z41" s="1150" t="s">
        <v>2918</v>
      </c>
      <c r="AA41" s="1150">
        <v>0</v>
      </c>
      <c r="AB41" s="1150" t="s">
        <v>2926</v>
      </c>
      <c r="AC41" s="1150" t="s">
        <v>2927</v>
      </c>
      <c r="AD41" s="1150" t="s">
        <v>4</v>
      </c>
      <c r="AE41" s="1150" t="s">
        <v>2582</v>
      </c>
      <c r="AF41" s="1150" t="s">
        <v>2906</v>
      </c>
      <c r="AG41" s="1150" t="s">
        <v>32</v>
      </c>
      <c r="AH41" s="1150" t="s">
        <v>2918</v>
      </c>
      <c r="AI41" s="1150" t="s">
        <v>2918</v>
      </c>
      <c r="AJ41" s="1150">
        <v>100000</v>
      </c>
      <c r="AK41" s="1150">
        <v>426.77890000000002</v>
      </c>
      <c r="AL41" s="1150" t="s">
        <v>4</v>
      </c>
      <c r="AM41" s="1150" t="s">
        <v>2582</v>
      </c>
      <c r="AN41" s="1150" t="s">
        <v>2906</v>
      </c>
      <c r="AO41" s="1150" t="s">
        <v>32</v>
      </c>
      <c r="AP41" s="1150" t="s">
        <v>2918</v>
      </c>
      <c r="AQ41" s="1150" t="s">
        <v>2918</v>
      </c>
      <c r="AR41" s="1150">
        <v>12500</v>
      </c>
      <c r="AS41" s="1150">
        <v>95.192400000000006</v>
      </c>
      <c r="AT41" s="1150" t="s">
        <v>7</v>
      </c>
      <c r="AU41" s="1150" t="s">
        <v>88</v>
      </c>
      <c r="AV41" s="1150">
        <v>240303</v>
      </c>
      <c r="AW41" s="1150" t="s">
        <v>32</v>
      </c>
      <c r="AX41" s="1150" t="s">
        <v>2918</v>
      </c>
      <c r="AY41" s="1150" t="s">
        <v>2918</v>
      </c>
      <c r="AZ41" s="1150">
        <v>144000</v>
      </c>
      <c r="BA41" s="1421">
        <v>5.0100000000000003E-4</v>
      </c>
      <c r="BB41" s="1150" t="s">
        <v>7</v>
      </c>
      <c r="BC41" s="1150" t="s">
        <v>88</v>
      </c>
      <c r="BD41" s="1150">
        <v>240303</v>
      </c>
      <c r="BE41" s="1150" t="s">
        <v>32</v>
      </c>
      <c r="BF41" s="1150" t="s">
        <v>2918</v>
      </c>
      <c r="BG41" s="1150" t="s">
        <v>2918</v>
      </c>
      <c r="BH41" s="1150">
        <v>144000</v>
      </c>
      <c r="BI41" s="1421">
        <v>1.253E-3</v>
      </c>
      <c r="BJ41" s="1150" t="s">
        <v>7</v>
      </c>
      <c r="BK41" s="1150" t="s">
        <v>88</v>
      </c>
      <c r="BL41" s="1150">
        <v>240303</v>
      </c>
      <c r="BM41" s="1150" t="s">
        <v>32</v>
      </c>
      <c r="BN41" s="1150" t="s">
        <v>2918</v>
      </c>
      <c r="BO41" s="1150" t="s">
        <v>2918</v>
      </c>
      <c r="BP41" s="1150">
        <v>144000</v>
      </c>
      <c r="BQ41" s="1421">
        <v>6.1899999999999998E-4</v>
      </c>
      <c r="BR41" s="1150" t="s">
        <v>7</v>
      </c>
      <c r="BS41" s="1150" t="s">
        <v>88</v>
      </c>
      <c r="BT41" s="1150">
        <v>240303</v>
      </c>
      <c r="BU41" s="1150" t="s">
        <v>32</v>
      </c>
      <c r="BV41" s="1150" t="s">
        <v>2918</v>
      </c>
      <c r="BW41" s="1150" t="s">
        <v>2918</v>
      </c>
      <c r="BX41" s="1150">
        <v>144000</v>
      </c>
      <c r="BY41" s="1421">
        <v>1.4890000000000001E-3</v>
      </c>
      <c r="BZ41" s="1150" t="s">
        <v>7</v>
      </c>
      <c r="CA41" s="1150" t="s">
        <v>88</v>
      </c>
      <c r="CB41" s="1150">
        <v>240303</v>
      </c>
      <c r="CC41" s="1150" t="s">
        <v>32</v>
      </c>
      <c r="CD41" s="1150">
        <v>7</v>
      </c>
      <c r="CE41" s="1150">
        <v>365</v>
      </c>
      <c r="CF41" s="1150">
        <v>48000</v>
      </c>
      <c r="CG41" s="1421">
        <v>5.8830000000000002E-3</v>
      </c>
      <c r="CH41" s="1150" t="s">
        <v>7</v>
      </c>
      <c r="CI41" s="1150" t="s">
        <v>88</v>
      </c>
      <c r="CJ41" s="1150">
        <v>240303</v>
      </c>
      <c r="CK41" s="1150" t="s">
        <v>32</v>
      </c>
      <c r="CL41" s="1150">
        <v>7</v>
      </c>
      <c r="CM41" s="1150">
        <v>365</v>
      </c>
      <c r="CN41" s="1150">
        <v>48000</v>
      </c>
      <c r="CO41" s="1421">
        <v>1.1757E-2</v>
      </c>
    </row>
    <row r="42" spans="1:93" s="1150" customFormat="1">
      <c r="A42" s="1150" t="s">
        <v>2895</v>
      </c>
      <c r="B42" s="1150">
        <v>12522</v>
      </c>
      <c r="C42" s="1153">
        <v>41760</v>
      </c>
      <c r="D42" s="1153">
        <v>42930</v>
      </c>
      <c r="F42" s="1153">
        <v>42750</v>
      </c>
      <c r="H42" s="1150">
        <v>133440</v>
      </c>
      <c r="I42" s="1150">
        <v>5939898</v>
      </c>
      <c r="J42" s="1150" t="s">
        <v>2921</v>
      </c>
      <c r="K42" s="1150" t="s">
        <v>2935</v>
      </c>
      <c r="L42" s="1150" t="s">
        <v>2936</v>
      </c>
      <c r="M42" s="1153">
        <v>30123</v>
      </c>
      <c r="O42" s="1150" t="s">
        <v>2916</v>
      </c>
      <c r="P42" s="1150" t="s">
        <v>2937</v>
      </c>
      <c r="Q42" s="1150">
        <v>4000</v>
      </c>
      <c r="R42" s="1150" t="s">
        <v>32</v>
      </c>
      <c r="S42" s="1150" t="s">
        <v>12</v>
      </c>
      <c r="T42" s="1150">
        <v>181</v>
      </c>
      <c r="U42" s="1150">
        <v>6</v>
      </c>
      <c r="V42" s="1150" t="s">
        <v>2169</v>
      </c>
      <c r="W42" s="1150" t="s">
        <v>2169</v>
      </c>
      <c r="X42" s="1153">
        <v>42750</v>
      </c>
      <c r="Z42" s="1150" t="s">
        <v>2918</v>
      </c>
      <c r="AA42" s="1150">
        <v>0</v>
      </c>
      <c r="AB42" s="1150" t="s">
        <v>2938</v>
      </c>
      <c r="AC42" s="1150" t="s">
        <v>2939</v>
      </c>
      <c r="AD42" s="1150" t="s">
        <v>4</v>
      </c>
      <c r="AE42" s="1150" t="s">
        <v>2582</v>
      </c>
      <c r="AF42" s="1150" t="s">
        <v>2906</v>
      </c>
      <c r="AG42" s="1150" t="s">
        <v>32</v>
      </c>
      <c r="AH42" s="1150" t="s">
        <v>2918</v>
      </c>
      <c r="AI42" s="1150" t="s">
        <v>2918</v>
      </c>
      <c r="AJ42" s="1150">
        <v>100000</v>
      </c>
      <c r="AK42" s="1150">
        <v>426.77890000000002</v>
      </c>
      <c r="AL42" s="1150" t="s">
        <v>4</v>
      </c>
      <c r="AM42" s="1150" t="s">
        <v>2582</v>
      </c>
      <c r="AN42" s="1150" t="s">
        <v>2906</v>
      </c>
      <c r="AO42" s="1150" t="s">
        <v>32</v>
      </c>
      <c r="AP42" s="1150" t="s">
        <v>2918</v>
      </c>
      <c r="AQ42" s="1150" t="s">
        <v>2918</v>
      </c>
      <c r="AR42" s="1150">
        <v>12500</v>
      </c>
      <c r="AS42" s="1150">
        <v>95.192400000000006</v>
      </c>
      <c r="AT42" s="1150" t="s">
        <v>7</v>
      </c>
      <c r="AU42" s="1150" t="s">
        <v>88</v>
      </c>
      <c r="AV42" s="1150">
        <v>240303</v>
      </c>
      <c r="AW42" s="1150" t="s">
        <v>32</v>
      </c>
      <c r="AX42" s="1150" t="s">
        <v>2918</v>
      </c>
      <c r="AY42" s="1150" t="s">
        <v>2918</v>
      </c>
      <c r="AZ42" s="1150">
        <v>144000</v>
      </c>
      <c r="BA42" s="1421">
        <v>5.0100000000000003E-4</v>
      </c>
      <c r="BB42" s="1150" t="s">
        <v>7</v>
      </c>
      <c r="BC42" s="1150" t="s">
        <v>88</v>
      </c>
      <c r="BD42" s="1150">
        <v>240303</v>
      </c>
      <c r="BE42" s="1150" t="s">
        <v>32</v>
      </c>
      <c r="BF42" s="1150" t="s">
        <v>2918</v>
      </c>
      <c r="BG42" s="1150" t="s">
        <v>2918</v>
      </c>
      <c r="BH42" s="1150">
        <v>144000</v>
      </c>
      <c r="BI42" s="1421">
        <v>1.253E-3</v>
      </c>
      <c r="BJ42" s="1150" t="s">
        <v>7</v>
      </c>
      <c r="BK42" s="1150" t="s">
        <v>88</v>
      </c>
      <c r="BL42" s="1150">
        <v>240303</v>
      </c>
      <c r="BM42" s="1150" t="s">
        <v>32</v>
      </c>
      <c r="BN42" s="1150" t="s">
        <v>2918</v>
      </c>
      <c r="BO42" s="1150" t="s">
        <v>2918</v>
      </c>
      <c r="BP42" s="1150">
        <v>144000</v>
      </c>
      <c r="BQ42" s="1421">
        <v>6.1899999999999998E-4</v>
      </c>
      <c r="BR42" s="1150" t="s">
        <v>7</v>
      </c>
      <c r="BS42" s="1150" t="s">
        <v>88</v>
      </c>
      <c r="BT42" s="1150">
        <v>240303</v>
      </c>
      <c r="BU42" s="1150" t="s">
        <v>32</v>
      </c>
      <c r="BV42" s="1150" t="s">
        <v>2918</v>
      </c>
      <c r="BW42" s="1150" t="s">
        <v>2918</v>
      </c>
      <c r="BX42" s="1150">
        <v>144000</v>
      </c>
      <c r="BY42" s="1421">
        <v>1.4890000000000001E-3</v>
      </c>
      <c r="BZ42" s="1150" t="s">
        <v>7</v>
      </c>
      <c r="CA42" s="1150" t="s">
        <v>88</v>
      </c>
      <c r="CB42" s="1150">
        <v>240303</v>
      </c>
      <c r="CC42" s="1150" t="s">
        <v>32</v>
      </c>
      <c r="CD42" s="1150">
        <v>7</v>
      </c>
      <c r="CE42" s="1150">
        <v>365</v>
      </c>
      <c r="CF42" s="1150">
        <v>48000</v>
      </c>
      <c r="CG42" s="1421">
        <v>5.8830000000000002E-3</v>
      </c>
      <c r="CH42" s="1150" t="s">
        <v>7</v>
      </c>
      <c r="CI42" s="1150" t="s">
        <v>88</v>
      </c>
      <c r="CJ42" s="1150">
        <v>240303</v>
      </c>
      <c r="CK42" s="1150" t="s">
        <v>32</v>
      </c>
      <c r="CL42" s="1150">
        <v>7</v>
      </c>
      <c r="CM42" s="1150">
        <v>365</v>
      </c>
      <c r="CN42" s="1150">
        <v>48000</v>
      </c>
      <c r="CO42" s="1421">
        <v>1.1757E-2</v>
      </c>
    </row>
    <row r="43" spans="1:93" s="1150" customFormat="1">
      <c r="A43" s="1150" t="s">
        <v>2895</v>
      </c>
      <c r="B43" s="1150">
        <v>12522</v>
      </c>
      <c r="C43" s="1153">
        <v>41760</v>
      </c>
      <c r="D43" s="1153">
        <v>42930</v>
      </c>
      <c r="F43" s="1153">
        <v>42750</v>
      </c>
      <c r="H43" s="1150">
        <v>133586</v>
      </c>
      <c r="I43" s="1150">
        <v>5115732</v>
      </c>
      <c r="J43" s="1150" t="s">
        <v>2921</v>
      </c>
      <c r="K43" s="1150" t="s">
        <v>2940</v>
      </c>
      <c r="L43" s="1150" t="s">
        <v>2941</v>
      </c>
      <c r="M43" s="1153">
        <v>28337</v>
      </c>
      <c r="O43" s="1150" t="s">
        <v>2942</v>
      </c>
      <c r="P43" s="1150" t="s">
        <v>2943</v>
      </c>
      <c r="Q43" s="1150">
        <v>7000</v>
      </c>
      <c r="R43" s="1150" t="s">
        <v>32</v>
      </c>
      <c r="S43" s="1150" t="s">
        <v>12</v>
      </c>
      <c r="T43" s="1150">
        <v>181</v>
      </c>
      <c r="U43" s="1150">
        <v>6</v>
      </c>
      <c r="V43" s="1150" t="s">
        <v>2169</v>
      </c>
      <c r="W43" s="1150" t="s">
        <v>2169</v>
      </c>
      <c r="X43" s="1153">
        <v>42750</v>
      </c>
      <c r="Z43" s="1150" t="s">
        <v>2918</v>
      </c>
      <c r="AA43" s="1150">
        <v>0</v>
      </c>
      <c r="AB43" s="1150" t="s">
        <v>2944</v>
      </c>
      <c r="AC43" s="1150" t="s">
        <v>2945</v>
      </c>
      <c r="AD43" s="1150" t="s">
        <v>4</v>
      </c>
      <c r="AE43" s="1150" t="s">
        <v>2582</v>
      </c>
      <c r="AF43" s="1150" t="s">
        <v>2906</v>
      </c>
      <c r="AG43" s="1150" t="s">
        <v>32</v>
      </c>
      <c r="AH43" s="1150" t="s">
        <v>2918</v>
      </c>
      <c r="AI43" s="1150" t="s">
        <v>2918</v>
      </c>
      <c r="AJ43" s="1150">
        <v>100000</v>
      </c>
      <c r="AK43" s="1150">
        <v>426.77890000000002</v>
      </c>
      <c r="AL43" s="1150" t="s">
        <v>4</v>
      </c>
      <c r="AM43" s="1150" t="s">
        <v>2582</v>
      </c>
      <c r="AN43" s="1150" t="s">
        <v>2906</v>
      </c>
      <c r="AO43" s="1150" t="s">
        <v>32</v>
      </c>
      <c r="AP43" s="1150" t="s">
        <v>2918</v>
      </c>
      <c r="AQ43" s="1150" t="s">
        <v>2918</v>
      </c>
      <c r="AR43" s="1150">
        <v>12500</v>
      </c>
      <c r="AS43" s="1150">
        <v>95.192400000000006</v>
      </c>
      <c r="AT43" s="1150" t="s">
        <v>7</v>
      </c>
      <c r="AU43" s="1150" t="s">
        <v>88</v>
      </c>
      <c r="AV43" s="1150">
        <v>240303</v>
      </c>
      <c r="AW43" s="1150" t="s">
        <v>32</v>
      </c>
      <c r="AX43" s="1150" t="s">
        <v>2918</v>
      </c>
      <c r="AY43" s="1150" t="s">
        <v>2918</v>
      </c>
      <c r="AZ43" s="1150">
        <v>252000</v>
      </c>
      <c r="BA43" s="1421">
        <v>5.0100000000000003E-4</v>
      </c>
      <c r="BB43" s="1150" t="s">
        <v>7</v>
      </c>
      <c r="BC43" s="1150" t="s">
        <v>88</v>
      </c>
      <c r="BD43" s="1150">
        <v>240303</v>
      </c>
      <c r="BE43" s="1150" t="s">
        <v>32</v>
      </c>
      <c r="BF43" s="1150" t="s">
        <v>2918</v>
      </c>
      <c r="BG43" s="1150" t="s">
        <v>2918</v>
      </c>
      <c r="BH43" s="1150">
        <v>252000</v>
      </c>
      <c r="BI43" s="1421">
        <v>1.253E-3</v>
      </c>
      <c r="BJ43" s="1150" t="s">
        <v>7</v>
      </c>
      <c r="BK43" s="1150" t="s">
        <v>88</v>
      </c>
      <c r="BL43" s="1150">
        <v>240303</v>
      </c>
      <c r="BM43" s="1150" t="s">
        <v>32</v>
      </c>
      <c r="BN43" s="1150" t="s">
        <v>2918</v>
      </c>
      <c r="BO43" s="1150" t="s">
        <v>2918</v>
      </c>
      <c r="BP43" s="1150">
        <v>252000</v>
      </c>
      <c r="BQ43" s="1421">
        <v>6.1899999999999998E-4</v>
      </c>
      <c r="BR43" s="1150" t="s">
        <v>7</v>
      </c>
      <c r="BS43" s="1150" t="s">
        <v>88</v>
      </c>
      <c r="BT43" s="1150">
        <v>240303</v>
      </c>
      <c r="BU43" s="1150" t="s">
        <v>32</v>
      </c>
      <c r="BV43" s="1150" t="s">
        <v>2918</v>
      </c>
      <c r="BW43" s="1150" t="s">
        <v>2918</v>
      </c>
      <c r="BX43" s="1150">
        <v>252000</v>
      </c>
      <c r="BY43" s="1421">
        <v>1.4890000000000001E-3</v>
      </c>
      <c r="BZ43" s="1150" t="s">
        <v>7</v>
      </c>
      <c r="CA43" s="1150" t="s">
        <v>88</v>
      </c>
      <c r="CB43" s="1150">
        <v>240303</v>
      </c>
      <c r="CC43" s="1150" t="s">
        <v>32</v>
      </c>
      <c r="CD43" s="1150">
        <v>7</v>
      </c>
      <c r="CE43" s="1150">
        <v>365</v>
      </c>
      <c r="CF43" s="1150">
        <v>84000</v>
      </c>
      <c r="CG43" s="1421">
        <v>5.8830000000000002E-3</v>
      </c>
      <c r="CH43" s="1150" t="s">
        <v>7</v>
      </c>
      <c r="CI43" s="1150" t="s">
        <v>88</v>
      </c>
      <c r="CJ43" s="1150">
        <v>240303</v>
      </c>
      <c r="CK43" s="1150" t="s">
        <v>32</v>
      </c>
      <c r="CL43" s="1150">
        <v>7</v>
      </c>
      <c r="CM43" s="1150">
        <v>365</v>
      </c>
      <c r="CN43" s="1150">
        <v>84000</v>
      </c>
      <c r="CO43" s="1421">
        <v>1.1757E-2</v>
      </c>
    </row>
    <row r="44" spans="1:93" s="1150" customFormat="1">
      <c r="A44" s="1150" t="s">
        <v>2895</v>
      </c>
      <c r="B44" s="1150">
        <v>12522</v>
      </c>
      <c r="C44" s="1153">
        <v>41760</v>
      </c>
      <c r="D44" s="1153">
        <v>42930</v>
      </c>
      <c r="F44" s="1153">
        <v>42750</v>
      </c>
      <c r="H44" s="1150">
        <v>135203</v>
      </c>
      <c r="J44" s="1150" t="s">
        <v>2913</v>
      </c>
      <c r="K44" s="1150" t="s">
        <v>2946</v>
      </c>
      <c r="L44" s="1150" t="s">
        <v>978</v>
      </c>
      <c r="M44" s="1153">
        <v>32484</v>
      </c>
      <c r="O44" s="1150" t="s">
        <v>2916</v>
      </c>
      <c r="P44" s="1150" t="s">
        <v>2917</v>
      </c>
      <c r="Q44" s="1150">
        <v>3000</v>
      </c>
      <c r="R44" s="1150" t="s">
        <v>32</v>
      </c>
      <c r="S44" s="1150" t="s">
        <v>12</v>
      </c>
      <c r="T44" s="1150">
        <v>181</v>
      </c>
      <c r="U44" s="1150">
        <v>6</v>
      </c>
      <c r="V44" s="1150" t="s">
        <v>2169</v>
      </c>
      <c r="W44" s="1150" t="s">
        <v>2169</v>
      </c>
      <c r="X44" s="1153">
        <v>42750</v>
      </c>
      <c r="Z44" s="1150" t="s">
        <v>2918</v>
      </c>
      <c r="AA44" s="1150">
        <v>0</v>
      </c>
      <c r="AB44" s="1150" t="s">
        <v>2947</v>
      </c>
      <c r="AC44" s="1150" t="s">
        <v>2038</v>
      </c>
      <c r="AD44" s="1150" t="s">
        <v>4</v>
      </c>
      <c r="AE44" s="1150" t="s">
        <v>2582</v>
      </c>
      <c r="AF44" s="1150" t="s">
        <v>2906</v>
      </c>
      <c r="AG44" s="1150" t="s">
        <v>32</v>
      </c>
      <c r="AH44" s="1150" t="s">
        <v>2918</v>
      </c>
      <c r="AI44" s="1150" t="s">
        <v>2918</v>
      </c>
      <c r="AJ44" s="1150">
        <v>100000</v>
      </c>
      <c r="AK44" s="1150">
        <v>426.77890000000002</v>
      </c>
      <c r="AL44" s="1150" t="s">
        <v>4</v>
      </c>
      <c r="AM44" s="1150" t="s">
        <v>2582</v>
      </c>
      <c r="AN44" s="1150" t="s">
        <v>2906</v>
      </c>
      <c r="AO44" s="1150" t="s">
        <v>32</v>
      </c>
      <c r="AP44" s="1150" t="s">
        <v>2918</v>
      </c>
      <c r="AQ44" s="1150" t="s">
        <v>2918</v>
      </c>
      <c r="AR44" s="1150">
        <v>12500</v>
      </c>
      <c r="AS44" s="1150">
        <v>95.192400000000006</v>
      </c>
      <c r="AT44" s="1150" t="s">
        <v>7</v>
      </c>
      <c r="AU44" s="1150" t="s">
        <v>88</v>
      </c>
      <c r="AV44" s="1150">
        <v>240303</v>
      </c>
      <c r="AW44" s="1150" t="s">
        <v>32</v>
      </c>
      <c r="AX44" s="1150" t="s">
        <v>2918</v>
      </c>
      <c r="AY44" s="1150" t="s">
        <v>2918</v>
      </c>
      <c r="AZ44" s="1150">
        <v>108000</v>
      </c>
      <c r="BA44" s="1421">
        <v>5.0100000000000003E-4</v>
      </c>
      <c r="BB44" s="1150" t="s">
        <v>7</v>
      </c>
      <c r="BC44" s="1150" t="s">
        <v>88</v>
      </c>
      <c r="BD44" s="1150">
        <v>240303</v>
      </c>
      <c r="BE44" s="1150" t="s">
        <v>32</v>
      </c>
      <c r="BF44" s="1150" t="s">
        <v>2918</v>
      </c>
      <c r="BG44" s="1150" t="s">
        <v>2918</v>
      </c>
      <c r="BH44" s="1150">
        <v>108000</v>
      </c>
      <c r="BI44" s="1421">
        <v>1.253E-3</v>
      </c>
      <c r="BJ44" s="1150" t="s">
        <v>7</v>
      </c>
      <c r="BK44" s="1150" t="s">
        <v>88</v>
      </c>
      <c r="BL44" s="1150">
        <v>240303</v>
      </c>
      <c r="BM44" s="1150" t="s">
        <v>32</v>
      </c>
      <c r="BN44" s="1150" t="s">
        <v>2918</v>
      </c>
      <c r="BO44" s="1150" t="s">
        <v>2918</v>
      </c>
      <c r="BP44" s="1150">
        <v>108000</v>
      </c>
      <c r="BQ44" s="1421">
        <v>6.1899999999999998E-4</v>
      </c>
      <c r="BR44" s="1150" t="s">
        <v>7</v>
      </c>
      <c r="BS44" s="1150" t="s">
        <v>88</v>
      </c>
      <c r="BT44" s="1150">
        <v>240303</v>
      </c>
      <c r="BU44" s="1150" t="s">
        <v>32</v>
      </c>
      <c r="BV44" s="1150" t="s">
        <v>2918</v>
      </c>
      <c r="BW44" s="1150" t="s">
        <v>2918</v>
      </c>
      <c r="BX44" s="1150">
        <v>108000</v>
      </c>
      <c r="BY44" s="1421">
        <v>1.4890000000000001E-3</v>
      </c>
      <c r="BZ44" s="1150" t="s">
        <v>7</v>
      </c>
      <c r="CA44" s="1150" t="s">
        <v>88</v>
      </c>
      <c r="CB44" s="1150">
        <v>240303</v>
      </c>
      <c r="CC44" s="1150" t="s">
        <v>32</v>
      </c>
      <c r="CD44" s="1150">
        <v>7</v>
      </c>
      <c r="CE44" s="1150">
        <v>365</v>
      </c>
      <c r="CF44" s="1150">
        <v>36000</v>
      </c>
      <c r="CG44" s="1421">
        <v>5.8830000000000002E-3</v>
      </c>
      <c r="CH44" s="1150" t="s">
        <v>7</v>
      </c>
      <c r="CI44" s="1150" t="s">
        <v>88</v>
      </c>
      <c r="CJ44" s="1150">
        <v>240303</v>
      </c>
      <c r="CK44" s="1150" t="s">
        <v>32</v>
      </c>
      <c r="CL44" s="1150">
        <v>7</v>
      </c>
      <c r="CM44" s="1150">
        <v>365</v>
      </c>
      <c r="CN44" s="1150">
        <v>36000</v>
      </c>
      <c r="CO44" s="1421">
        <v>1.1757E-2</v>
      </c>
    </row>
    <row r="45" spans="1:93" s="1150" customFormat="1">
      <c r="A45" s="1150" t="s">
        <v>2895</v>
      </c>
      <c r="B45" s="1150">
        <v>12522</v>
      </c>
      <c r="C45" s="1153">
        <v>41760</v>
      </c>
      <c r="D45" s="1153">
        <v>42930</v>
      </c>
      <c r="F45" s="1153">
        <v>42750</v>
      </c>
      <c r="H45" s="1150">
        <v>130254</v>
      </c>
      <c r="I45" s="1150">
        <v>5147767</v>
      </c>
      <c r="J45" s="1150" t="s">
        <v>2921</v>
      </c>
      <c r="K45" s="1150" t="s">
        <v>2952</v>
      </c>
      <c r="L45" s="1150" t="s">
        <v>2953</v>
      </c>
      <c r="M45" s="1153">
        <v>32017</v>
      </c>
      <c r="O45" s="1150" t="s">
        <v>2942</v>
      </c>
      <c r="P45" s="1150" t="s">
        <v>2954</v>
      </c>
      <c r="Q45" s="1150">
        <v>3500</v>
      </c>
      <c r="R45" s="1150" t="s">
        <v>32</v>
      </c>
      <c r="S45" s="1150" t="s">
        <v>12</v>
      </c>
      <c r="T45" s="1150">
        <v>181</v>
      </c>
      <c r="U45" s="1150">
        <v>6</v>
      </c>
      <c r="V45" s="1150" t="s">
        <v>2169</v>
      </c>
      <c r="W45" s="1150" t="s">
        <v>2169</v>
      </c>
      <c r="X45" s="1153">
        <v>42750</v>
      </c>
      <c r="Z45" s="1150" t="s">
        <v>2918</v>
      </c>
      <c r="AA45" s="1150">
        <v>0</v>
      </c>
      <c r="AB45" s="1150" t="s">
        <v>1124</v>
      </c>
      <c r="AC45" s="1150" t="s">
        <v>2919</v>
      </c>
      <c r="AD45" s="1150" t="s">
        <v>4</v>
      </c>
      <c r="AE45" s="1150" t="s">
        <v>2582</v>
      </c>
      <c r="AF45" s="1150" t="s">
        <v>2906</v>
      </c>
      <c r="AG45" s="1150" t="s">
        <v>32</v>
      </c>
      <c r="AH45" s="1150" t="s">
        <v>2918</v>
      </c>
      <c r="AI45" s="1150" t="s">
        <v>2918</v>
      </c>
      <c r="AJ45" s="1150">
        <v>100000</v>
      </c>
      <c r="AK45" s="1150">
        <v>426.77890000000002</v>
      </c>
      <c r="AL45" s="1150" t="s">
        <v>4</v>
      </c>
      <c r="AM45" s="1150" t="s">
        <v>2582</v>
      </c>
      <c r="AN45" s="1150" t="s">
        <v>2906</v>
      </c>
      <c r="AO45" s="1150" t="s">
        <v>32</v>
      </c>
      <c r="AP45" s="1150" t="s">
        <v>2918</v>
      </c>
      <c r="AQ45" s="1150" t="s">
        <v>2918</v>
      </c>
      <c r="AR45" s="1150">
        <v>12500</v>
      </c>
      <c r="AS45" s="1150">
        <v>95.192400000000006</v>
      </c>
      <c r="AT45" s="1150" t="s">
        <v>7</v>
      </c>
      <c r="AU45" s="1150" t="s">
        <v>88</v>
      </c>
      <c r="AV45" s="1150">
        <v>240303</v>
      </c>
      <c r="AW45" s="1150" t="s">
        <v>32</v>
      </c>
      <c r="AX45" s="1150" t="s">
        <v>2918</v>
      </c>
      <c r="AY45" s="1150" t="s">
        <v>2918</v>
      </c>
      <c r="AZ45" s="1150">
        <v>126000</v>
      </c>
      <c r="BA45" s="1421">
        <v>5.0100000000000003E-4</v>
      </c>
      <c r="BB45" s="1150" t="s">
        <v>7</v>
      </c>
      <c r="BC45" s="1150" t="s">
        <v>88</v>
      </c>
      <c r="BD45" s="1150">
        <v>240303</v>
      </c>
      <c r="BE45" s="1150" t="s">
        <v>32</v>
      </c>
      <c r="BF45" s="1150" t="s">
        <v>2918</v>
      </c>
      <c r="BG45" s="1150" t="s">
        <v>2918</v>
      </c>
      <c r="BH45" s="1150">
        <v>126000</v>
      </c>
      <c r="BI45" s="1421">
        <v>1.253E-3</v>
      </c>
      <c r="BJ45" s="1150" t="s">
        <v>7</v>
      </c>
      <c r="BK45" s="1150" t="s">
        <v>88</v>
      </c>
      <c r="BL45" s="1150">
        <v>240303</v>
      </c>
      <c r="BM45" s="1150" t="s">
        <v>32</v>
      </c>
      <c r="BN45" s="1150" t="s">
        <v>2918</v>
      </c>
      <c r="BO45" s="1150" t="s">
        <v>2918</v>
      </c>
      <c r="BP45" s="1150">
        <v>126000</v>
      </c>
      <c r="BQ45" s="1421">
        <v>6.1899999999999998E-4</v>
      </c>
      <c r="BR45" s="1150" t="s">
        <v>7</v>
      </c>
      <c r="BS45" s="1150" t="s">
        <v>88</v>
      </c>
      <c r="BT45" s="1150">
        <v>240303</v>
      </c>
      <c r="BU45" s="1150" t="s">
        <v>32</v>
      </c>
      <c r="BV45" s="1150" t="s">
        <v>2918</v>
      </c>
      <c r="BW45" s="1150" t="s">
        <v>2918</v>
      </c>
      <c r="BX45" s="1150">
        <v>126000</v>
      </c>
      <c r="BY45" s="1421">
        <v>1.4890000000000001E-3</v>
      </c>
      <c r="BZ45" s="1150" t="s">
        <v>7</v>
      </c>
      <c r="CA45" s="1150" t="s">
        <v>88</v>
      </c>
      <c r="CB45" s="1150">
        <v>240303</v>
      </c>
      <c r="CC45" s="1150" t="s">
        <v>32</v>
      </c>
      <c r="CD45" s="1150">
        <v>7</v>
      </c>
      <c r="CE45" s="1150">
        <v>365</v>
      </c>
      <c r="CF45" s="1150">
        <v>42000</v>
      </c>
      <c r="CG45" s="1421">
        <v>5.8830000000000002E-3</v>
      </c>
      <c r="CH45" s="1150" t="s">
        <v>7</v>
      </c>
      <c r="CI45" s="1150" t="s">
        <v>88</v>
      </c>
      <c r="CJ45" s="1150">
        <v>240303</v>
      </c>
      <c r="CK45" s="1150" t="s">
        <v>32</v>
      </c>
      <c r="CL45" s="1150">
        <v>7</v>
      </c>
      <c r="CM45" s="1150">
        <v>365</v>
      </c>
      <c r="CN45" s="1150">
        <v>42000</v>
      </c>
      <c r="CO45" s="1421">
        <v>1.1757E-2</v>
      </c>
    </row>
    <row r="46" spans="1:93" s="1150" customFormat="1">
      <c r="A46" s="1150" t="s">
        <v>2895</v>
      </c>
      <c r="B46" s="1150">
        <v>12522</v>
      </c>
      <c r="C46" s="1153">
        <v>41760</v>
      </c>
      <c r="D46" s="1153">
        <v>42930</v>
      </c>
      <c r="F46" s="1153">
        <v>42750</v>
      </c>
      <c r="H46" s="1150">
        <v>133442</v>
      </c>
      <c r="I46" s="1150">
        <v>5934982</v>
      </c>
      <c r="J46" s="1150" t="s">
        <v>2921</v>
      </c>
      <c r="K46" s="1150" t="s">
        <v>2959</v>
      </c>
      <c r="L46" s="1150" t="s">
        <v>2960</v>
      </c>
      <c r="M46" s="1153">
        <v>26888</v>
      </c>
      <c r="O46" s="1150" t="s">
        <v>2942</v>
      </c>
      <c r="P46" s="1150" t="s">
        <v>2943</v>
      </c>
      <c r="Q46" s="1150">
        <v>6000</v>
      </c>
      <c r="R46" s="1150" t="s">
        <v>32</v>
      </c>
      <c r="S46" s="1150" t="s">
        <v>12</v>
      </c>
      <c r="T46" s="1150">
        <v>181</v>
      </c>
      <c r="U46" s="1150">
        <v>6</v>
      </c>
      <c r="V46" s="1150" t="s">
        <v>2169</v>
      </c>
      <c r="W46" s="1150" t="s">
        <v>2169</v>
      </c>
      <c r="X46" s="1153">
        <v>42750</v>
      </c>
      <c r="Z46" s="1150" t="s">
        <v>2918</v>
      </c>
      <c r="AA46" s="1150">
        <v>0</v>
      </c>
      <c r="AB46" s="1150" t="s">
        <v>2944</v>
      </c>
      <c r="AC46" s="1150" t="s">
        <v>2945</v>
      </c>
      <c r="AD46" s="1150" t="s">
        <v>4</v>
      </c>
      <c r="AE46" s="1150" t="s">
        <v>2582</v>
      </c>
      <c r="AF46" s="1150" t="s">
        <v>2906</v>
      </c>
      <c r="AG46" s="1150" t="s">
        <v>32</v>
      </c>
      <c r="AH46" s="1150" t="s">
        <v>2918</v>
      </c>
      <c r="AI46" s="1150" t="s">
        <v>2918</v>
      </c>
      <c r="AJ46" s="1150">
        <v>100000</v>
      </c>
      <c r="AK46" s="1150">
        <v>426.77890000000002</v>
      </c>
      <c r="AL46" s="1150" t="s">
        <v>4</v>
      </c>
      <c r="AM46" s="1150" t="s">
        <v>2582</v>
      </c>
      <c r="AN46" s="1150" t="s">
        <v>2906</v>
      </c>
      <c r="AO46" s="1150" t="s">
        <v>32</v>
      </c>
      <c r="AP46" s="1150" t="s">
        <v>2918</v>
      </c>
      <c r="AQ46" s="1150" t="s">
        <v>2918</v>
      </c>
      <c r="AR46" s="1150">
        <v>12500</v>
      </c>
      <c r="AS46" s="1150">
        <v>95.192400000000006</v>
      </c>
      <c r="AT46" s="1150" t="s">
        <v>7</v>
      </c>
      <c r="AU46" s="1150" t="s">
        <v>88</v>
      </c>
      <c r="AV46" s="1150">
        <v>240303</v>
      </c>
      <c r="AW46" s="1150" t="s">
        <v>32</v>
      </c>
      <c r="AX46" s="1150" t="s">
        <v>2918</v>
      </c>
      <c r="AY46" s="1150" t="s">
        <v>2918</v>
      </c>
      <c r="AZ46" s="1150">
        <v>216000</v>
      </c>
      <c r="BA46" s="1421">
        <v>5.0100000000000003E-4</v>
      </c>
      <c r="BB46" s="1150" t="s">
        <v>7</v>
      </c>
      <c r="BC46" s="1150" t="s">
        <v>88</v>
      </c>
      <c r="BD46" s="1150">
        <v>240303</v>
      </c>
      <c r="BE46" s="1150" t="s">
        <v>32</v>
      </c>
      <c r="BF46" s="1150" t="s">
        <v>2918</v>
      </c>
      <c r="BG46" s="1150" t="s">
        <v>2918</v>
      </c>
      <c r="BH46" s="1150">
        <v>216000</v>
      </c>
      <c r="BI46" s="1421">
        <v>1.253E-3</v>
      </c>
      <c r="BJ46" s="1150" t="s">
        <v>7</v>
      </c>
      <c r="BK46" s="1150" t="s">
        <v>88</v>
      </c>
      <c r="BL46" s="1150">
        <v>240303</v>
      </c>
      <c r="BM46" s="1150" t="s">
        <v>32</v>
      </c>
      <c r="BN46" s="1150" t="s">
        <v>2918</v>
      </c>
      <c r="BO46" s="1150" t="s">
        <v>2918</v>
      </c>
      <c r="BP46" s="1150">
        <v>216000</v>
      </c>
      <c r="BQ46" s="1421">
        <v>6.1899999999999998E-4</v>
      </c>
      <c r="BR46" s="1150" t="s">
        <v>7</v>
      </c>
      <c r="BS46" s="1150" t="s">
        <v>88</v>
      </c>
      <c r="BT46" s="1150">
        <v>240303</v>
      </c>
      <c r="BU46" s="1150" t="s">
        <v>32</v>
      </c>
      <c r="BV46" s="1150" t="s">
        <v>2918</v>
      </c>
      <c r="BW46" s="1150" t="s">
        <v>2918</v>
      </c>
      <c r="BX46" s="1150">
        <v>216000</v>
      </c>
      <c r="BY46" s="1421">
        <v>1.4890000000000001E-3</v>
      </c>
      <c r="BZ46" s="1150" t="s">
        <v>7</v>
      </c>
      <c r="CA46" s="1150" t="s">
        <v>88</v>
      </c>
      <c r="CB46" s="1150">
        <v>240303</v>
      </c>
      <c r="CC46" s="1150" t="s">
        <v>32</v>
      </c>
      <c r="CD46" s="1150">
        <v>7</v>
      </c>
      <c r="CE46" s="1150">
        <v>365</v>
      </c>
      <c r="CF46" s="1150">
        <v>72000</v>
      </c>
      <c r="CG46" s="1421">
        <v>5.8830000000000002E-3</v>
      </c>
      <c r="CH46" s="1150" t="s">
        <v>7</v>
      </c>
      <c r="CI46" s="1150" t="s">
        <v>88</v>
      </c>
      <c r="CJ46" s="1150">
        <v>240303</v>
      </c>
      <c r="CK46" s="1150" t="s">
        <v>32</v>
      </c>
      <c r="CL46" s="1150">
        <v>7</v>
      </c>
      <c r="CM46" s="1150">
        <v>365</v>
      </c>
      <c r="CN46" s="1150">
        <v>72000</v>
      </c>
      <c r="CO46" s="1421">
        <v>1.1757E-2</v>
      </c>
    </row>
    <row r="47" spans="1:93" s="1150" customFormat="1">
      <c r="A47" s="1150" t="s">
        <v>2895</v>
      </c>
      <c r="B47" s="1150">
        <v>12522</v>
      </c>
      <c r="C47" s="1153">
        <v>41760</v>
      </c>
      <c r="D47" s="1153">
        <v>42930</v>
      </c>
      <c r="F47" s="1153">
        <v>42750</v>
      </c>
      <c r="H47" s="1150">
        <v>135200</v>
      </c>
      <c r="J47" s="1150" t="s">
        <v>2921</v>
      </c>
      <c r="K47" s="1150" t="s">
        <v>2961</v>
      </c>
      <c r="L47" s="1150" t="s">
        <v>776</v>
      </c>
      <c r="M47" s="1153">
        <v>33165</v>
      </c>
      <c r="O47" s="1150" t="s">
        <v>2916</v>
      </c>
      <c r="P47" s="1150" t="s">
        <v>2962</v>
      </c>
      <c r="Q47" s="1150">
        <v>3500</v>
      </c>
      <c r="R47" s="1150" t="s">
        <v>32</v>
      </c>
      <c r="S47" s="1150" t="s">
        <v>12</v>
      </c>
      <c r="T47" s="1150">
        <v>181</v>
      </c>
      <c r="U47" s="1150">
        <v>6</v>
      </c>
      <c r="V47" s="1150" t="s">
        <v>2169</v>
      </c>
      <c r="W47" s="1150" t="s">
        <v>2169</v>
      </c>
      <c r="X47" s="1153">
        <v>42750</v>
      </c>
      <c r="Z47" s="1150" t="s">
        <v>2918</v>
      </c>
      <c r="AA47" s="1150">
        <v>0</v>
      </c>
      <c r="AB47" s="1150" t="s">
        <v>1521</v>
      </c>
      <c r="AC47" s="1150" t="s">
        <v>2963</v>
      </c>
      <c r="AD47" s="1150" t="s">
        <v>4</v>
      </c>
      <c r="AE47" s="1150" t="s">
        <v>2582</v>
      </c>
      <c r="AF47" s="1150" t="s">
        <v>2906</v>
      </c>
      <c r="AG47" s="1150" t="s">
        <v>32</v>
      </c>
      <c r="AH47" s="1150" t="s">
        <v>2918</v>
      </c>
      <c r="AI47" s="1150" t="s">
        <v>2918</v>
      </c>
      <c r="AJ47" s="1150">
        <v>100000</v>
      </c>
      <c r="AK47" s="1150">
        <v>426.77890000000002</v>
      </c>
      <c r="AL47" s="1150" t="s">
        <v>4</v>
      </c>
      <c r="AM47" s="1150" t="s">
        <v>2582</v>
      </c>
      <c r="AN47" s="1150" t="s">
        <v>2906</v>
      </c>
      <c r="AO47" s="1150" t="s">
        <v>32</v>
      </c>
      <c r="AP47" s="1150" t="s">
        <v>2918</v>
      </c>
      <c r="AQ47" s="1150" t="s">
        <v>2918</v>
      </c>
      <c r="AR47" s="1150">
        <v>12500</v>
      </c>
      <c r="AS47" s="1150">
        <v>95.192400000000006</v>
      </c>
      <c r="AT47" s="1150" t="s">
        <v>7</v>
      </c>
      <c r="AU47" s="1150" t="s">
        <v>88</v>
      </c>
      <c r="AV47" s="1150">
        <v>240303</v>
      </c>
      <c r="AW47" s="1150" t="s">
        <v>32</v>
      </c>
      <c r="AX47" s="1150" t="s">
        <v>2918</v>
      </c>
      <c r="AY47" s="1150" t="s">
        <v>2918</v>
      </c>
      <c r="AZ47" s="1150">
        <v>126000</v>
      </c>
      <c r="BA47" s="1421">
        <v>5.0100000000000003E-4</v>
      </c>
      <c r="BB47" s="1150" t="s">
        <v>7</v>
      </c>
      <c r="BC47" s="1150" t="s">
        <v>88</v>
      </c>
      <c r="BD47" s="1150">
        <v>240303</v>
      </c>
      <c r="BE47" s="1150" t="s">
        <v>32</v>
      </c>
      <c r="BF47" s="1150" t="s">
        <v>2918</v>
      </c>
      <c r="BG47" s="1150" t="s">
        <v>2918</v>
      </c>
      <c r="BH47" s="1150">
        <v>126000</v>
      </c>
      <c r="BI47" s="1421">
        <v>1.253E-3</v>
      </c>
      <c r="BJ47" s="1150" t="s">
        <v>7</v>
      </c>
      <c r="BK47" s="1150" t="s">
        <v>88</v>
      </c>
      <c r="BL47" s="1150">
        <v>240303</v>
      </c>
      <c r="BM47" s="1150" t="s">
        <v>32</v>
      </c>
      <c r="BN47" s="1150" t="s">
        <v>2918</v>
      </c>
      <c r="BO47" s="1150" t="s">
        <v>2918</v>
      </c>
      <c r="BP47" s="1150">
        <v>126000</v>
      </c>
      <c r="BQ47" s="1421">
        <v>6.1899999999999998E-4</v>
      </c>
      <c r="BR47" s="1150" t="s">
        <v>7</v>
      </c>
      <c r="BS47" s="1150" t="s">
        <v>88</v>
      </c>
      <c r="BT47" s="1150">
        <v>240303</v>
      </c>
      <c r="BU47" s="1150" t="s">
        <v>32</v>
      </c>
      <c r="BV47" s="1150" t="s">
        <v>2918</v>
      </c>
      <c r="BW47" s="1150" t="s">
        <v>2918</v>
      </c>
      <c r="BX47" s="1150">
        <v>126000</v>
      </c>
      <c r="BY47" s="1421">
        <v>1.4890000000000001E-3</v>
      </c>
      <c r="BZ47" s="1150" t="s">
        <v>7</v>
      </c>
      <c r="CA47" s="1150" t="s">
        <v>88</v>
      </c>
      <c r="CB47" s="1150">
        <v>240303</v>
      </c>
      <c r="CC47" s="1150" t="s">
        <v>32</v>
      </c>
      <c r="CD47" s="1150">
        <v>7</v>
      </c>
      <c r="CE47" s="1150">
        <v>365</v>
      </c>
      <c r="CF47" s="1150">
        <v>42000</v>
      </c>
      <c r="CG47" s="1421">
        <v>5.8830000000000002E-3</v>
      </c>
      <c r="CH47" s="1150" t="s">
        <v>7</v>
      </c>
      <c r="CI47" s="1150" t="s">
        <v>88</v>
      </c>
      <c r="CJ47" s="1150">
        <v>240303</v>
      </c>
      <c r="CK47" s="1150" t="s">
        <v>32</v>
      </c>
      <c r="CL47" s="1150">
        <v>7</v>
      </c>
      <c r="CM47" s="1150">
        <v>365</v>
      </c>
      <c r="CN47" s="1150">
        <v>42000</v>
      </c>
      <c r="CO47" s="1421">
        <v>1.1757E-2</v>
      </c>
    </row>
    <row r="48" spans="1:93" s="1150" customFormat="1">
      <c r="A48" s="1150" t="s">
        <v>2895</v>
      </c>
      <c r="B48" s="1150">
        <v>12522</v>
      </c>
      <c r="C48" s="1153">
        <v>41760</v>
      </c>
      <c r="D48" s="1153">
        <v>42930</v>
      </c>
      <c r="F48" s="1153">
        <v>42750</v>
      </c>
      <c r="H48" s="1150">
        <v>135199</v>
      </c>
      <c r="J48" s="1150" t="s">
        <v>2921</v>
      </c>
      <c r="K48" s="1150" t="s">
        <v>2964</v>
      </c>
      <c r="L48" s="1150" t="s">
        <v>2965</v>
      </c>
      <c r="M48" s="1153">
        <v>29133</v>
      </c>
      <c r="O48" s="1150" t="s">
        <v>2942</v>
      </c>
      <c r="P48" s="1150" t="s">
        <v>2966</v>
      </c>
      <c r="Q48" s="1150">
        <v>7000</v>
      </c>
      <c r="R48" s="1150" t="s">
        <v>32</v>
      </c>
      <c r="S48" s="1150" t="s">
        <v>12</v>
      </c>
      <c r="T48" s="1150">
        <v>181</v>
      </c>
      <c r="U48" s="1150">
        <v>6</v>
      </c>
      <c r="V48" s="1150" t="s">
        <v>2169</v>
      </c>
      <c r="W48" s="1150" t="s">
        <v>2169</v>
      </c>
      <c r="X48" s="1153">
        <v>42750</v>
      </c>
      <c r="Z48" s="1150" t="s">
        <v>2918</v>
      </c>
      <c r="AA48" s="1150">
        <v>0</v>
      </c>
      <c r="AB48" s="1150" t="s">
        <v>1521</v>
      </c>
      <c r="AC48" s="1150" t="s">
        <v>2963</v>
      </c>
      <c r="AD48" s="1150" t="s">
        <v>4</v>
      </c>
      <c r="AE48" s="1150" t="s">
        <v>2582</v>
      </c>
      <c r="AF48" s="1150" t="s">
        <v>2906</v>
      </c>
      <c r="AG48" s="1150" t="s">
        <v>32</v>
      </c>
      <c r="AH48" s="1150" t="s">
        <v>2918</v>
      </c>
      <c r="AI48" s="1150" t="s">
        <v>2918</v>
      </c>
      <c r="AJ48" s="1150">
        <v>100000</v>
      </c>
      <c r="AK48" s="1150">
        <v>426.77890000000002</v>
      </c>
      <c r="AL48" s="1150" t="s">
        <v>4</v>
      </c>
      <c r="AM48" s="1150" t="s">
        <v>2582</v>
      </c>
      <c r="AN48" s="1150" t="s">
        <v>2906</v>
      </c>
      <c r="AO48" s="1150" t="s">
        <v>32</v>
      </c>
      <c r="AP48" s="1150" t="s">
        <v>2918</v>
      </c>
      <c r="AQ48" s="1150" t="s">
        <v>2918</v>
      </c>
      <c r="AR48" s="1150">
        <v>12500</v>
      </c>
      <c r="AS48" s="1150">
        <v>95.192400000000006</v>
      </c>
      <c r="AT48" s="1150" t="s">
        <v>7</v>
      </c>
      <c r="AU48" s="1150" t="s">
        <v>88</v>
      </c>
      <c r="AV48" s="1150">
        <v>240303</v>
      </c>
      <c r="AW48" s="1150" t="s">
        <v>32</v>
      </c>
      <c r="AX48" s="1150" t="s">
        <v>2918</v>
      </c>
      <c r="AY48" s="1150" t="s">
        <v>2918</v>
      </c>
      <c r="AZ48" s="1150">
        <v>252000</v>
      </c>
      <c r="BA48" s="1421">
        <v>5.0100000000000003E-4</v>
      </c>
      <c r="BB48" s="1150" t="s">
        <v>7</v>
      </c>
      <c r="BC48" s="1150" t="s">
        <v>88</v>
      </c>
      <c r="BD48" s="1150">
        <v>240303</v>
      </c>
      <c r="BE48" s="1150" t="s">
        <v>32</v>
      </c>
      <c r="BF48" s="1150" t="s">
        <v>2918</v>
      </c>
      <c r="BG48" s="1150" t="s">
        <v>2918</v>
      </c>
      <c r="BH48" s="1150">
        <v>252000</v>
      </c>
      <c r="BI48" s="1421">
        <v>1.253E-3</v>
      </c>
      <c r="BJ48" s="1150" t="s">
        <v>7</v>
      </c>
      <c r="BK48" s="1150" t="s">
        <v>88</v>
      </c>
      <c r="BL48" s="1150">
        <v>240303</v>
      </c>
      <c r="BM48" s="1150" t="s">
        <v>32</v>
      </c>
      <c r="BN48" s="1150" t="s">
        <v>2918</v>
      </c>
      <c r="BO48" s="1150" t="s">
        <v>2918</v>
      </c>
      <c r="BP48" s="1150">
        <v>252000</v>
      </c>
      <c r="BQ48" s="1421">
        <v>6.1899999999999998E-4</v>
      </c>
      <c r="BR48" s="1150" t="s">
        <v>7</v>
      </c>
      <c r="BS48" s="1150" t="s">
        <v>88</v>
      </c>
      <c r="BT48" s="1150">
        <v>240303</v>
      </c>
      <c r="BU48" s="1150" t="s">
        <v>32</v>
      </c>
      <c r="BV48" s="1150" t="s">
        <v>2918</v>
      </c>
      <c r="BW48" s="1150" t="s">
        <v>2918</v>
      </c>
      <c r="BX48" s="1150">
        <v>252000</v>
      </c>
      <c r="BY48" s="1421">
        <v>1.4890000000000001E-3</v>
      </c>
      <c r="BZ48" s="1150" t="s">
        <v>7</v>
      </c>
      <c r="CA48" s="1150" t="s">
        <v>88</v>
      </c>
      <c r="CB48" s="1150">
        <v>240303</v>
      </c>
      <c r="CC48" s="1150" t="s">
        <v>32</v>
      </c>
      <c r="CD48" s="1150">
        <v>7</v>
      </c>
      <c r="CE48" s="1150">
        <v>365</v>
      </c>
      <c r="CF48" s="1150">
        <v>84000</v>
      </c>
      <c r="CG48" s="1421">
        <v>5.8830000000000002E-3</v>
      </c>
      <c r="CH48" s="1150" t="s">
        <v>7</v>
      </c>
      <c r="CI48" s="1150" t="s">
        <v>88</v>
      </c>
      <c r="CJ48" s="1150">
        <v>240303</v>
      </c>
      <c r="CK48" s="1150" t="s">
        <v>32</v>
      </c>
      <c r="CL48" s="1150">
        <v>7</v>
      </c>
      <c r="CM48" s="1150">
        <v>365</v>
      </c>
      <c r="CN48" s="1150">
        <v>84000</v>
      </c>
      <c r="CO48" s="1421">
        <v>1.1757E-2</v>
      </c>
    </row>
    <row r="49" spans="1:93" s="1150" customFormat="1">
      <c r="A49" s="1150" t="s">
        <v>2895</v>
      </c>
      <c r="B49" s="1150">
        <v>12522</v>
      </c>
      <c r="C49" s="1153">
        <v>41760</v>
      </c>
      <c r="D49" s="1153">
        <v>42930</v>
      </c>
      <c r="F49" s="1153">
        <v>42750</v>
      </c>
      <c r="H49" s="1150">
        <v>135201</v>
      </c>
      <c r="J49" s="1150" t="s">
        <v>2921</v>
      </c>
      <c r="K49" s="1150" t="s">
        <v>2972</v>
      </c>
      <c r="L49" s="1150" t="s">
        <v>2973</v>
      </c>
      <c r="M49" s="1153">
        <v>29363</v>
      </c>
      <c r="O49" s="1150" t="s">
        <v>2916</v>
      </c>
      <c r="P49" s="1150" t="s">
        <v>2974</v>
      </c>
      <c r="Q49" s="1150">
        <v>3000</v>
      </c>
      <c r="R49" s="1150" t="s">
        <v>32</v>
      </c>
      <c r="S49" s="1150" t="s">
        <v>12</v>
      </c>
      <c r="T49" s="1150">
        <v>181</v>
      </c>
      <c r="U49" s="1150">
        <v>6</v>
      </c>
      <c r="V49" s="1150" t="s">
        <v>2169</v>
      </c>
      <c r="W49" s="1150" t="s">
        <v>2169</v>
      </c>
      <c r="X49" s="1153">
        <v>42750</v>
      </c>
      <c r="Z49" s="1150" t="s">
        <v>2918</v>
      </c>
      <c r="AA49" s="1150">
        <v>0</v>
      </c>
      <c r="AB49" s="1150" t="s">
        <v>1521</v>
      </c>
      <c r="AC49" s="1150" t="s">
        <v>2963</v>
      </c>
      <c r="AD49" s="1150" t="s">
        <v>4</v>
      </c>
      <c r="AE49" s="1150" t="s">
        <v>2582</v>
      </c>
      <c r="AF49" s="1150" t="s">
        <v>2906</v>
      </c>
      <c r="AG49" s="1150" t="s">
        <v>32</v>
      </c>
      <c r="AH49" s="1150" t="s">
        <v>2918</v>
      </c>
      <c r="AI49" s="1150" t="s">
        <v>2918</v>
      </c>
      <c r="AJ49" s="1150">
        <v>100000</v>
      </c>
      <c r="AK49" s="1150">
        <v>426.77890000000002</v>
      </c>
      <c r="AL49" s="1150" t="s">
        <v>4</v>
      </c>
      <c r="AM49" s="1150" t="s">
        <v>2582</v>
      </c>
      <c r="AN49" s="1150" t="s">
        <v>2906</v>
      </c>
      <c r="AO49" s="1150" t="s">
        <v>32</v>
      </c>
      <c r="AP49" s="1150" t="s">
        <v>2918</v>
      </c>
      <c r="AQ49" s="1150" t="s">
        <v>2918</v>
      </c>
      <c r="AR49" s="1150">
        <v>12500</v>
      </c>
      <c r="AS49" s="1150">
        <v>95.192400000000006</v>
      </c>
      <c r="AT49" s="1150" t="s">
        <v>7</v>
      </c>
      <c r="AU49" s="1150" t="s">
        <v>88</v>
      </c>
      <c r="AV49" s="1150">
        <v>240303</v>
      </c>
      <c r="AW49" s="1150" t="s">
        <v>32</v>
      </c>
      <c r="AX49" s="1150" t="s">
        <v>2918</v>
      </c>
      <c r="AY49" s="1150" t="s">
        <v>2918</v>
      </c>
      <c r="AZ49" s="1150">
        <v>108000</v>
      </c>
      <c r="BA49" s="1421">
        <v>5.0100000000000003E-4</v>
      </c>
      <c r="BB49" s="1150" t="s">
        <v>7</v>
      </c>
      <c r="BC49" s="1150" t="s">
        <v>88</v>
      </c>
      <c r="BD49" s="1150">
        <v>240303</v>
      </c>
      <c r="BE49" s="1150" t="s">
        <v>32</v>
      </c>
      <c r="BF49" s="1150" t="s">
        <v>2918</v>
      </c>
      <c r="BG49" s="1150" t="s">
        <v>2918</v>
      </c>
      <c r="BH49" s="1150">
        <v>108000</v>
      </c>
      <c r="BI49" s="1421">
        <v>1.253E-3</v>
      </c>
      <c r="BJ49" s="1150" t="s">
        <v>7</v>
      </c>
      <c r="BK49" s="1150" t="s">
        <v>88</v>
      </c>
      <c r="BL49" s="1150">
        <v>240303</v>
      </c>
      <c r="BM49" s="1150" t="s">
        <v>32</v>
      </c>
      <c r="BN49" s="1150" t="s">
        <v>2918</v>
      </c>
      <c r="BO49" s="1150" t="s">
        <v>2918</v>
      </c>
      <c r="BP49" s="1150">
        <v>108000</v>
      </c>
      <c r="BQ49" s="1421">
        <v>6.1899999999999998E-4</v>
      </c>
      <c r="BR49" s="1150" t="s">
        <v>7</v>
      </c>
      <c r="BS49" s="1150" t="s">
        <v>88</v>
      </c>
      <c r="BT49" s="1150">
        <v>240303</v>
      </c>
      <c r="BU49" s="1150" t="s">
        <v>32</v>
      </c>
      <c r="BV49" s="1150" t="s">
        <v>2918</v>
      </c>
      <c r="BW49" s="1150" t="s">
        <v>2918</v>
      </c>
      <c r="BX49" s="1150">
        <v>108000</v>
      </c>
      <c r="BY49" s="1421">
        <v>1.4890000000000001E-3</v>
      </c>
      <c r="BZ49" s="1150" t="s">
        <v>7</v>
      </c>
      <c r="CA49" s="1150" t="s">
        <v>88</v>
      </c>
      <c r="CB49" s="1150">
        <v>240303</v>
      </c>
      <c r="CC49" s="1150" t="s">
        <v>32</v>
      </c>
      <c r="CD49" s="1150">
        <v>7</v>
      </c>
      <c r="CE49" s="1150">
        <v>365</v>
      </c>
      <c r="CF49" s="1150">
        <v>36000</v>
      </c>
      <c r="CG49" s="1421">
        <v>5.8830000000000002E-3</v>
      </c>
      <c r="CH49" s="1150" t="s">
        <v>7</v>
      </c>
      <c r="CI49" s="1150" t="s">
        <v>88</v>
      </c>
      <c r="CJ49" s="1150">
        <v>240303</v>
      </c>
      <c r="CK49" s="1150" t="s">
        <v>32</v>
      </c>
      <c r="CL49" s="1150">
        <v>7</v>
      </c>
      <c r="CM49" s="1150">
        <v>365</v>
      </c>
      <c r="CN49" s="1150">
        <v>36000</v>
      </c>
      <c r="CO49" s="1421">
        <v>1.1757E-2</v>
      </c>
    </row>
    <row r="50" spans="1:93" s="1127" customFormat="1">
      <c r="C50" s="1406"/>
      <c r="D50" s="1406"/>
      <c r="F50" s="1406"/>
      <c r="G50" s="1406"/>
      <c r="M50" s="1406"/>
      <c r="X50" s="1406"/>
      <c r="Y50" s="1406"/>
      <c r="BA50" s="1407"/>
      <c r="BQ50" s="1407"/>
    </row>
    <row r="51" spans="1:93" s="1127" customFormat="1">
      <c r="C51" s="1406"/>
      <c r="D51" s="1406"/>
      <c r="F51" s="1406"/>
      <c r="G51" s="1406"/>
      <c r="M51" s="1406"/>
      <c r="X51" s="1406"/>
      <c r="Y51" s="1406"/>
      <c r="BA51" s="1407"/>
      <c r="BQ51" s="1407"/>
    </row>
    <row r="52" spans="1:93" s="1127" customFormat="1">
      <c r="C52" s="1406"/>
      <c r="D52" s="1406"/>
      <c r="F52" s="1406"/>
      <c r="G52" s="1406"/>
      <c r="M52" s="1406"/>
      <c r="X52" s="1406"/>
      <c r="Y52" s="1406"/>
      <c r="BA52" s="1407"/>
      <c r="BQ52" s="1407"/>
    </row>
    <row r="53" spans="1:93" s="1127" customFormat="1">
      <c r="C53" s="1406"/>
      <c r="D53" s="1406"/>
      <c r="F53" s="1406"/>
      <c r="G53" s="1406"/>
      <c r="M53" s="1406"/>
      <c r="X53" s="1406"/>
      <c r="Y53" s="1406"/>
      <c r="BA53" s="1407"/>
      <c r="BQ53" s="1407"/>
    </row>
    <row r="54" spans="1:93" s="1127" customFormat="1">
      <c r="C54" s="1406"/>
      <c r="D54" s="1406"/>
      <c r="F54" s="1406"/>
      <c r="G54" s="1406"/>
      <c r="M54" s="1406"/>
      <c r="X54" s="1406"/>
      <c r="Y54" s="1406"/>
      <c r="BA54" s="1407"/>
      <c r="BQ54" s="1407"/>
    </row>
    <row r="55" spans="1:93" s="1127" customFormat="1">
      <c r="C55" s="1406"/>
      <c r="D55" s="1406"/>
      <c r="F55" s="1406"/>
      <c r="G55" s="1406"/>
      <c r="M55" s="1406"/>
      <c r="X55" s="1406"/>
      <c r="Y55" s="1406"/>
      <c r="BA55" s="1407"/>
      <c r="BQ55" s="1407"/>
    </row>
    <row r="56" spans="1:93" s="1127" customFormat="1">
      <c r="C56" s="1406"/>
      <c r="D56" s="1406"/>
      <c r="F56" s="1406"/>
      <c r="G56" s="1406"/>
      <c r="M56" s="1406"/>
      <c r="X56" s="1406"/>
      <c r="Y56" s="1406"/>
      <c r="BA56" s="1407"/>
      <c r="BQ56" s="1407"/>
    </row>
    <row r="57" spans="1:93" s="1127" customFormat="1">
      <c r="C57" s="1406"/>
      <c r="D57" s="1406"/>
      <c r="F57" s="1406"/>
      <c r="G57" s="1406"/>
      <c r="M57" s="1406"/>
      <c r="X57" s="1406"/>
      <c r="Y57" s="1406"/>
      <c r="BA57" s="1407"/>
      <c r="BQ57" s="1407"/>
    </row>
    <row r="58" spans="1:93" s="1127" customFormat="1">
      <c r="C58" s="1406"/>
      <c r="D58" s="1406"/>
      <c r="F58" s="1406"/>
      <c r="G58" s="1406"/>
      <c r="M58" s="1406"/>
      <c r="X58" s="1406"/>
      <c r="Y58" s="1406"/>
      <c r="BA58" s="1407"/>
      <c r="BI58" s="1407"/>
      <c r="BQ58" s="1407"/>
      <c r="BY58" s="1407"/>
      <c r="CG58" s="1407"/>
      <c r="CO58" s="1407"/>
    </row>
    <row r="59" spans="1:93" s="1127" customFormat="1">
      <c r="C59" s="1406"/>
      <c r="D59" s="1406"/>
      <c r="F59" s="1406"/>
      <c r="G59" s="1406"/>
      <c r="M59" s="1406"/>
      <c r="X59" s="1406"/>
      <c r="Y59" s="1406"/>
      <c r="BA59" s="1407"/>
      <c r="BI59" s="1407"/>
      <c r="BQ59" s="1407"/>
      <c r="BY59" s="1407"/>
      <c r="CG59" s="1407"/>
      <c r="CO59" s="1407"/>
    </row>
    <row r="60" spans="1:93" s="1127" customFormat="1">
      <c r="C60" s="1406"/>
      <c r="D60" s="1406"/>
      <c r="F60" s="1406"/>
      <c r="G60" s="1406"/>
      <c r="M60" s="1406"/>
      <c r="X60" s="1406"/>
      <c r="Y60" s="1406"/>
      <c r="BA60" s="1407"/>
      <c r="BI60" s="1407"/>
      <c r="BQ60" s="1407"/>
      <c r="BY60" s="1407"/>
      <c r="CG60" s="1407"/>
      <c r="CO60" s="1407"/>
    </row>
    <row r="61" spans="1:93" s="1127" customFormat="1">
      <c r="C61" s="1406"/>
      <c r="D61" s="1406"/>
      <c r="F61" s="1406"/>
      <c r="G61" s="1406"/>
      <c r="M61" s="1406"/>
      <c r="X61" s="1406"/>
      <c r="Y61" s="1406"/>
      <c r="BA61" s="1407"/>
      <c r="BI61" s="1407"/>
      <c r="BQ61" s="1407"/>
      <c r="BY61" s="1407"/>
      <c r="CG61" s="1407"/>
      <c r="CO61" s="1407"/>
    </row>
    <row r="62" spans="1:93" s="1127" customFormat="1">
      <c r="C62" s="1406"/>
      <c r="D62" s="1406"/>
      <c r="F62" s="1406"/>
      <c r="G62" s="1406"/>
      <c r="M62" s="1406"/>
      <c r="X62" s="1406"/>
      <c r="Y62" s="1406"/>
      <c r="BA62" s="1407"/>
      <c r="BI62" s="1407"/>
      <c r="BQ62" s="1407"/>
      <c r="BY62" s="1407"/>
      <c r="CG62" s="1407"/>
      <c r="CO62" s="1407"/>
    </row>
    <row r="63" spans="1:93" s="1127" customFormat="1">
      <c r="C63" s="1406"/>
      <c r="D63" s="1406"/>
      <c r="F63" s="1406"/>
      <c r="G63" s="1406"/>
      <c r="M63" s="1406"/>
      <c r="X63" s="1406"/>
      <c r="Y63" s="1406"/>
      <c r="BA63" s="1407"/>
      <c r="BI63" s="1407"/>
      <c r="BQ63" s="1407"/>
      <c r="BY63" s="1407"/>
      <c r="CG63" s="1407"/>
      <c r="CO63" s="1407"/>
    </row>
    <row r="64" spans="1:93" s="1127" customFormat="1">
      <c r="C64" s="1406"/>
      <c r="D64" s="1406"/>
      <c r="F64" s="1406"/>
      <c r="G64" s="1406"/>
      <c r="M64" s="1406"/>
      <c r="X64" s="1406"/>
      <c r="Y64" s="1406"/>
      <c r="BA64" s="1407"/>
      <c r="BI64" s="1407"/>
      <c r="BQ64" s="1407"/>
      <c r="BY64" s="1407"/>
      <c r="CG64" s="1407"/>
      <c r="CO64" s="1407"/>
    </row>
    <row r="65" spans="3:93" s="1127" customFormat="1">
      <c r="C65" s="1406"/>
      <c r="D65" s="1406"/>
      <c r="F65" s="1406"/>
      <c r="G65" s="1406"/>
      <c r="M65" s="1406"/>
      <c r="X65" s="1406"/>
      <c r="Y65" s="1406"/>
      <c r="BA65" s="1407"/>
      <c r="BI65" s="1407"/>
      <c r="BQ65" s="1407"/>
      <c r="BY65" s="1407"/>
      <c r="CG65" s="1407"/>
      <c r="CO65" s="1407"/>
    </row>
    <row r="66" spans="3:93" s="1127" customFormat="1">
      <c r="C66" s="1406"/>
      <c r="D66" s="1406"/>
      <c r="F66" s="1406"/>
      <c r="G66" s="1406"/>
      <c r="M66" s="1406"/>
      <c r="X66" s="1406"/>
      <c r="Y66" s="1406"/>
      <c r="BA66" s="1407"/>
      <c r="BI66" s="1407"/>
      <c r="BQ66" s="1407"/>
      <c r="BY66" s="1407"/>
      <c r="CG66" s="1407"/>
      <c r="CO66" s="1407"/>
    </row>
    <row r="67" spans="3:93" s="1127" customFormat="1">
      <c r="C67" s="1406"/>
      <c r="D67" s="1406"/>
      <c r="F67" s="1406"/>
      <c r="G67" s="1406"/>
      <c r="M67" s="1406"/>
      <c r="X67" s="1406"/>
      <c r="Y67" s="1406"/>
      <c r="BA67" s="1407"/>
      <c r="BI67" s="1407"/>
      <c r="BQ67" s="1407"/>
      <c r="BY67" s="1407"/>
      <c r="CG67" s="1407"/>
      <c r="CO67" s="1407"/>
    </row>
    <row r="68" spans="3:93" s="1127" customFormat="1">
      <c r="C68" s="1406"/>
      <c r="D68" s="1406"/>
      <c r="F68" s="1406"/>
      <c r="G68" s="1406"/>
      <c r="M68" s="1406"/>
      <c r="X68" s="1406"/>
      <c r="Y68" s="1406"/>
      <c r="BA68" s="1407"/>
      <c r="BI68" s="1407"/>
      <c r="BQ68" s="1407"/>
      <c r="BY68" s="1407"/>
      <c r="CG68" s="1407"/>
      <c r="CO68" s="1407"/>
    </row>
    <row r="69" spans="3:93" s="1127" customFormat="1">
      <c r="C69" s="1406"/>
      <c r="D69" s="1406"/>
      <c r="F69" s="1406"/>
      <c r="G69" s="1406"/>
      <c r="M69" s="1406"/>
      <c r="X69" s="1406"/>
      <c r="Y69" s="1406"/>
      <c r="BA69" s="1407"/>
      <c r="BI69" s="1407"/>
      <c r="BQ69" s="1407"/>
      <c r="BY69" s="1407"/>
      <c r="CG69" s="1407"/>
      <c r="CO69" s="1407"/>
    </row>
    <row r="70" spans="3:93" s="1127" customFormat="1">
      <c r="C70" s="1406"/>
      <c r="D70" s="1406"/>
      <c r="F70" s="1406"/>
      <c r="G70" s="1406"/>
      <c r="M70" s="1406"/>
      <c r="X70" s="1406"/>
      <c r="Y70" s="1406"/>
      <c r="BA70" s="1407"/>
      <c r="BI70" s="1407"/>
      <c r="BQ70" s="1407"/>
      <c r="BY70" s="1407"/>
      <c r="CG70" s="1407"/>
      <c r="CO70" s="1407"/>
    </row>
    <row r="71" spans="3:93" s="1127" customFormat="1">
      <c r="C71" s="1406"/>
      <c r="D71" s="1406"/>
      <c r="F71" s="1406"/>
      <c r="G71" s="1406"/>
      <c r="M71" s="1406"/>
      <c r="X71" s="1406"/>
      <c r="Y71" s="1406"/>
      <c r="BA71" s="1407"/>
      <c r="BI71" s="1407"/>
      <c r="BQ71" s="1407"/>
      <c r="BY71" s="1407"/>
      <c r="CG71" s="1407"/>
      <c r="CO71" s="1407"/>
    </row>
    <row r="72" spans="3:93" s="1127" customFormat="1">
      <c r="C72" s="1406"/>
      <c r="D72" s="1406"/>
      <c r="F72" s="1406"/>
      <c r="G72" s="1406"/>
      <c r="M72" s="1406"/>
      <c r="X72" s="1406"/>
      <c r="Y72" s="1406"/>
      <c r="BA72" s="1407"/>
      <c r="BI72" s="1407"/>
      <c r="BQ72" s="1407"/>
      <c r="BY72" s="1407"/>
      <c r="CG72" s="1407"/>
      <c r="CO72" s="1407"/>
    </row>
    <row r="73" spans="3:93" s="1127" customFormat="1">
      <c r="C73" s="1406"/>
      <c r="D73" s="1406"/>
      <c r="F73" s="1406"/>
      <c r="G73" s="1406"/>
      <c r="M73" s="1406"/>
      <c r="X73" s="1406"/>
      <c r="Y73" s="1406"/>
      <c r="BA73" s="1407"/>
      <c r="BI73" s="1407"/>
      <c r="BQ73" s="1407"/>
      <c r="BY73" s="1407"/>
      <c r="CG73" s="1407"/>
      <c r="CO73" s="1407"/>
    </row>
    <row r="74" spans="3:93" s="1127" customFormat="1">
      <c r="C74" s="1406"/>
      <c r="D74" s="1406"/>
      <c r="F74" s="1406"/>
      <c r="G74" s="1406"/>
      <c r="M74" s="1406"/>
      <c r="X74" s="1406"/>
      <c r="Y74" s="1406"/>
      <c r="BA74" s="1407"/>
      <c r="BI74" s="1407"/>
      <c r="BQ74" s="1407"/>
      <c r="BY74" s="1407"/>
      <c r="CG74" s="1407"/>
      <c r="CO74" s="1407"/>
    </row>
    <row r="75" spans="3:93" s="1127" customFormat="1">
      <c r="C75" s="1406"/>
      <c r="D75" s="1406"/>
      <c r="F75" s="1406"/>
      <c r="G75" s="1406"/>
      <c r="M75" s="1406"/>
      <c r="X75" s="1406"/>
      <c r="Y75" s="1406"/>
      <c r="BA75" s="1407"/>
      <c r="BI75" s="1407"/>
      <c r="BQ75" s="1407"/>
      <c r="BY75" s="1407"/>
      <c r="CG75" s="1407"/>
      <c r="CO75" s="1407"/>
    </row>
    <row r="76" spans="3:93" s="1127" customFormat="1">
      <c r="C76" s="1406"/>
      <c r="D76" s="1406"/>
      <c r="F76" s="1406"/>
      <c r="G76" s="1406"/>
      <c r="M76" s="1406"/>
      <c r="X76" s="1406"/>
      <c r="Y76" s="1406"/>
      <c r="BA76" s="1407"/>
      <c r="BI76" s="1407"/>
      <c r="BQ76" s="1407"/>
      <c r="BY76" s="1407"/>
      <c r="CG76" s="1407"/>
      <c r="CO76" s="1407"/>
    </row>
    <row r="77" spans="3:93" s="1127" customFormat="1">
      <c r="C77" s="1406"/>
      <c r="D77" s="1406"/>
      <c r="F77" s="1406"/>
      <c r="G77" s="1406"/>
      <c r="M77" s="1406"/>
      <c r="X77" s="1406"/>
      <c r="Y77" s="1406"/>
      <c r="BA77" s="1407"/>
      <c r="BI77" s="1407"/>
      <c r="BQ77" s="1407"/>
      <c r="BY77" s="1407"/>
      <c r="CG77" s="1407"/>
      <c r="CO77" s="1407"/>
    </row>
    <row r="78" spans="3:93" s="1127" customFormat="1">
      <c r="C78" s="1406"/>
      <c r="D78" s="1406"/>
      <c r="F78" s="1406"/>
      <c r="G78" s="1406"/>
      <c r="M78" s="1406"/>
      <c r="X78" s="1406"/>
      <c r="Y78" s="1406"/>
      <c r="BA78" s="1407"/>
      <c r="BI78" s="1407"/>
      <c r="BQ78" s="1407"/>
      <c r="BY78" s="1407"/>
      <c r="CG78" s="1407"/>
      <c r="CO78" s="1407"/>
    </row>
    <row r="79" spans="3:93" s="1127" customFormat="1">
      <c r="C79" s="1406"/>
      <c r="D79" s="1406"/>
      <c r="F79" s="1406"/>
      <c r="G79" s="1406"/>
      <c r="M79" s="1406"/>
      <c r="X79" s="1406"/>
      <c r="Y79" s="1406"/>
      <c r="BA79" s="1407"/>
      <c r="BI79" s="1407"/>
      <c r="BQ79" s="1407"/>
      <c r="BY79" s="1407"/>
      <c r="CG79" s="1407"/>
      <c r="CO79" s="1407"/>
    </row>
    <row r="80" spans="3:93" s="1127" customFormat="1">
      <c r="C80" s="1406"/>
      <c r="D80" s="1406"/>
      <c r="F80" s="1406"/>
      <c r="G80" s="1406"/>
      <c r="M80" s="1406"/>
      <c r="X80" s="1406"/>
      <c r="Y80" s="1406"/>
      <c r="BA80" s="1407"/>
      <c r="BI80" s="1407"/>
      <c r="BQ80" s="1407"/>
      <c r="BY80" s="1407"/>
      <c r="CG80" s="1407"/>
      <c r="CO80" s="1407"/>
    </row>
    <row r="81" spans="3:93" s="1127" customFormat="1">
      <c r="C81" s="1406"/>
      <c r="D81" s="1406"/>
      <c r="F81" s="1406"/>
      <c r="G81" s="1406"/>
      <c r="M81" s="1406"/>
      <c r="X81" s="1406"/>
      <c r="Y81" s="1406"/>
      <c r="BA81" s="1407"/>
      <c r="BI81" s="1407"/>
      <c r="BQ81" s="1407"/>
      <c r="BY81" s="1407"/>
      <c r="CG81" s="1407"/>
      <c r="CO81" s="1407"/>
    </row>
    <row r="82" spans="3:93" s="1127" customFormat="1">
      <c r="C82" s="1406"/>
      <c r="D82" s="1406"/>
      <c r="F82" s="1406"/>
      <c r="G82" s="1406"/>
      <c r="M82" s="1406"/>
      <c r="X82" s="1406"/>
      <c r="Y82" s="1406"/>
      <c r="BA82" s="1407"/>
      <c r="BI82" s="1407"/>
      <c r="BQ82" s="1407"/>
      <c r="BY82" s="1407"/>
      <c r="CG82" s="1407"/>
      <c r="CO82" s="1407"/>
    </row>
    <row r="83" spans="3:93" s="1127" customFormat="1">
      <c r="C83" s="1406"/>
      <c r="D83" s="1406"/>
      <c r="F83" s="1406"/>
      <c r="G83" s="1406"/>
      <c r="M83" s="1406"/>
      <c r="X83" s="1406"/>
      <c r="Y83" s="1406"/>
      <c r="BA83" s="1407"/>
      <c r="BI83" s="1407"/>
      <c r="BQ83" s="1407"/>
      <c r="BY83" s="1407"/>
      <c r="CG83" s="1407"/>
      <c r="CO83" s="1407"/>
    </row>
    <row r="84" spans="3:93" s="1127" customFormat="1">
      <c r="C84" s="1406"/>
      <c r="D84" s="1406"/>
      <c r="F84" s="1406"/>
      <c r="G84" s="1406"/>
      <c r="M84" s="1406"/>
      <c r="X84" s="1406"/>
      <c r="Y84" s="1406"/>
      <c r="BA84" s="1407"/>
      <c r="BI84" s="1407"/>
      <c r="BQ84" s="1407"/>
      <c r="BY84" s="1407"/>
      <c r="CG84" s="1407"/>
      <c r="CO84" s="1407"/>
    </row>
    <row r="85" spans="3:93" s="1127" customFormat="1">
      <c r="C85" s="1406"/>
      <c r="D85" s="1406"/>
      <c r="F85" s="1406"/>
      <c r="G85" s="1406"/>
      <c r="M85" s="1406"/>
      <c r="X85" s="1406"/>
      <c r="Y85" s="1406"/>
      <c r="BA85" s="1407"/>
      <c r="BI85" s="1407"/>
      <c r="BQ85" s="1407"/>
      <c r="BY85" s="1407"/>
      <c r="CG85" s="1407"/>
      <c r="CO85" s="1407"/>
    </row>
    <row r="86" spans="3:93" s="1127" customFormat="1">
      <c r="C86" s="1406"/>
      <c r="D86" s="1406"/>
      <c r="F86" s="1406"/>
      <c r="G86" s="1406"/>
      <c r="M86" s="1406"/>
      <c r="X86" s="1406"/>
      <c r="Y86" s="1406"/>
      <c r="BA86" s="1407"/>
      <c r="BI86" s="1407"/>
      <c r="BQ86" s="1407"/>
      <c r="BY86" s="1407"/>
      <c r="CG86" s="1407"/>
      <c r="CO86" s="1407"/>
    </row>
    <row r="87" spans="3:93" s="1127" customFormat="1">
      <c r="C87" s="1406"/>
      <c r="D87" s="1406"/>
      <c r="F87" s="1406"/>
      <c r="G87" s="1406"/>
      <c r="M87" s="1406"/>
      <c r="X87" s="1406"/>
      <c r="Y87" s="1406"/>
      <c r="BA87" s="1407"/>
      <c r="BI87" s="1407"/>
      <c r="BQ87" s="1407"/>
      <c r="BY87" s="1407"/>
      <c r="CG87" s="1407"/>
      <c r="CO87" s="1407"/>
    </row>
    <row r="88" spans="3:93" s="1127" customFormat="1">
      <c r="C88" s="1406"/>
      <c r="D88" s="1406"/>
      <c r="F88" s="1406"/>
      <c r="G88" s="1406"/>
      <c r="M88" s="1406"/>
      <c r="X88" s="1406"/>
      <c r="Y88" s="1406"/>
      <c r="BA88" s="1407"/>
      <c r="BI88" s="1407"/>
      <c r="BQ88" s="1407"/>
      <c r="BY88" s="1407"/>
      <c r="CG88" s="1407"/>
      <c r="CO88" s="1407"/>
    </row>
    <row r="89" spans="3:93" s="1127" customFormat="1">
      <c r="C89" s="1406"/>
      <c r="D89" s="1406"/>
      <c r="F89" s="1406"/>
      <c r="G89" s="1406"/>
      <c r="M89" s="1406"/>
      <c r="X89" s="1406"/>
      <c r="Y89" s="1406"/>
      <c r="BA89" s="1407"/>
      <c r="BI89" s="1407"/>
      <c r="BQ89" s="1407"/>
      <c r="BY89" s="1407"/>
      <c r="CG89" s="1407"/>
      <c r="CO89" s="1407"/>
    </row>
    <row r="90" spans="3:93" s="1127" customFormat="1">
      <c r="C90" s="1406"/>
      <c r="D90" s="1406"/>
      <c r="F90" s="1406"/>
      <c r="G90" s="1406"/>
      <c r="M90" s="1406"/>
      <c r="X90" s="1406"/>
      <c r="Y90" s="1406"/>
      <c r="BA90" s="1407"/>
      <c r="BI90" s="1407"/>
      <c r="BQ90" s="1407"/>
      <c r="BY90" s="1407"/>
      <c r="CG90" s="1407"/>
      <c r="CO90" s="1407"/>
    </row>
    <row r="91" spans="3:93" s="1127" customFormat="1">
      <c r="C91" s="1406"/>
      <c r="D91" s="1406"/>
      <c r="F91" s="1406"/>
      <c r="G91" s="1406"/>
      <c r="M91" s="1406"/>
      <c r="X91" s="1406"/>
      <c r="Y91" s="1406"/>
      <c r="BA91" s="1407"/>
      <c r="BI91" s="1407"/>
      <c r="BQ91" s="1407"/>
      <c r="BY91" s="1407"/>
      <c r="CG91" s="1407"/>
      <c r="CO91" s="1407"/>
    </row>
    <row r="92" spans="3:93" s="1127" customFormat="1">
      <c r="C92" s="1406"/>
      <c r="D92" s="1406"/>
      <c r="F92" s="1406"/>
      <c r="G92" s="1406"/>
      <c r="M92" s="1406"/>
      <c r="X92" s="1406"/>
      <c r="Y92" s="1406"/>
      <c r="BA92" s="1407"/>
      <c r="BI92" s="1407"/>
      <c r="BQ92" s="1407"/>
      <c r="BY92" s="1407"/>
      <c r="CG92" s="1407"/>
      <c r="CO92" s="1407"/>
    </row>
    <row r="93" spans="3:93" s="1127" customFormat="1">
      <c r="C93" s="1406"/>
      <c r="D93" s="1406"/>
      <c r="F93" s="1406"/>
      <c r="G93" s="1406"/>
      <c r="M93" s="1406"/>
      <c r="X93" s="1406"/>
      <c r="Y93" s="1406"/>
      <c r="BA93" s="1407"/>
      <c r="BI93" s="1407"/>
      <c r="BQ93" s="1407"/>
      <c r="BY93" s="1407"/>
      <c r="CG93" s="1407"/>
      <c r="CO93" s="1407"/>
    </row>
    <row r="94" spans="3:93" s="1127" customFormat="1">
      <c r="C94" s="1406"/>
      <c r="D94" s="1406"/>
      <c r="F94" s="1406"/>
      <c r="G94" s="1406"/>
      <c r="M94" s="1406"/>
      <c r="X94" s="1406"/>
      <c r="Y94" s="1406"/>
      <c r="BA94" s="1407"/>
      <c r="BI94" s="1407"/>
      <c r="BQ94" s="1407"/>
      <c r="BY94" s="1407"/>
      <c r="CG94" s="1407"/>
      <c r="CO94" s="1407"/>
    </row>
    <row r="95" spans="3:93" s="1127" customFormat="1">
      <c r="C95" s="1406"/>
      <c r="D95" s="1406"/>
      <c r="F95" s="1406"/>
      <c r="G95" s="1406"/>
      <c r="M95" s="1406"/>
      <c r="X95" s="1406"/>
      <c r="Y95" s="1406"/>
      <c r="BA95" s="1407"/>
      <c r="BI95" s="1407"/>
      <c r="BQ95" s="1407"/>
      <c r="BY95" s="1407"/>
      <c r="CG95" s="1407"/>
      <c r="CO95" s="1407"/>
    </row>
    <row r="96" spans="3:93" s="1127" customFormat="1">
      <c r="C96" s="1406"/>
      <c r="D96" s="1406"/>
      <c r="F96" s="1406"/>
      <c r="G96" s="1406"/>
      <c r="M96" s="1406"/>
      <c r="X96" s="1406"/>
      <c r="Y96" s="1406"/>
      <c r="BA96" s="1407"/>
      <c r="BI96" s="1407"/>
      <c r="BQ96" s="1407"/>
      <c r="BY96" s="1407"/>
      <c r="CG96" s="1407"/>
      <c r="CO96" s="1407"/>
    </row>
    <row r="97" spans="3:93" s="1127" customFormat="1">
      <c r="C97" s="1406"/>
      <c r="D97" s="1406"/>
      <c r="F97" s="1406"/>
      <c r="G97" s="1406"/>
      <c r="M97" s="1406"/>
      <c r="X97" s="1406"/>
      <c r="Y97" s="1406"/>
      <c r="BA97" s="1407"/>
      <c r="BI97" s="1407"/>
      <c r="BQ97" s="1407"/>
      <c r="BY97" s="1407"/>
      <c r="CG97" s="1407"/>
      <c r="CO97" s="1407"/>
    </row>
    <row r="98" spans="3:93" s="1127" customFormat="1">
      <c r="C98" s="1406"/>
      <c r="D98" s="1406"/>
      <c r="F98" s="1406"/>
      <c r="G98" s="1406"/>
      <c r="M98" s="1406"/>
      <c r="X98" s="1406"/>
      <c r="Y98" s="1406"/>
      <c r="BA98" s="1407"/>
      <c r="BI98" s="1407"/>
      <c r="BQ98" s="1407"/>
      <c r="BY98" s="1407"/>
      <c r="CG98" s="1407"/>
      <c r="CO98" s="1407"/>
    </row>
    <row r="99" spans="3:93" s="1127" customFormat="1">
      <c r="C99" s="1406"/>
      <c r="D99" s="1406"/>
      <c r="F99" s="1406"/>
      <c r="G99" s="1406"/>
      <c r="M99" s="1406"/>
      <c r="X99" s="1406"/>
      <c r="Y99" s="1406"/>
      <c r="BA99" s="1407"/>
      <c r="BI99" s="1407"/>
      <c r="BQ99" s="1407"/>
      <c r="BY99" s="1407"/>
      <c r="CG99" s="1407"/>
      <c r="CO99" s="1407"/>
    </row>
    <row r="100" spans="3:93" s="1127" customFormat="1">
      <c r="C100" s="1406"/>
      <c r="D100" s="1406"/>
      <c r="F100" s="1406"/>
      <c r="G100" s="1406"/>
      <c r="M100" s="1406"/>
      <c r="X100" s="1406"/>
      <c r="Y100" s="1406"/>
      <c r="BA100" s="1407"/>
      <c r="BI100" s="1407"/>
      <c r="BQ100" s="1407"/>
      <c r="BY100" s="1407"/>
      <c r="CG100" s="1407"/>
      <c r="CO100" s="1407"/>
    </row>
    <row r="101" spans="3:93" s="1127" customFormat="1">
      <c r="C101" s="1406"/>
      <c r="D101" s="1406"/>
      <c r="F101" s="1406"/>
      <c r="G101" s="1406"/>
      <c r="M101" s="1406"/>
      <c r="X101" s="1406"/>
      <c r="Y101" s="1406"/>
      <c r="BA101" s="1407"/>
      <c r="BI101" s="1407"/>
      <c r="BQ101" s="1407"/>
      <c r="BY101" s="1407"/>
      <c r="CG101" s="1407"/>
      <c r="CO101" s="1407"/>
    </row>
    <row r="102" spans="3:93" s="1127" customFormat="1">
      <c r="C102" s="1406"/>
      <c r="D102" s="1406"/>
      <c r="F102" s="1406"/>
      <c r="G102" s="1406"/>
      <c r="M102" s="1406"/>
      <c r="X102" s="1406"/>
      <c r="Y102" s="1406"/>
      <c r="BA102" s="1407"/>
      <c r="BI102" s="1407"/>
      <c r="BQ102" s="1407"/>
      <c r="BY102" s="1407"/>
      <c r="CG102" s="1407"/>
      <c r="CO102" s="1407"/>
    </row>
    <row r="103" spans="3:93" s="1127" customFormat="1">
      <c r="C103" s="1406"/>
      <c r="D103" s="1406"/>
      <c r="F103" s="1406"/>
      <c r="G103" s="1406"/>
      <c r="M103" s="1406"/>
      <c r="X103" s="1406"/>
      <c r="Y103" s="1406"/>
      <c r="BA103" s="1407"/>
      <c r="BI103" s="1407"/>
      <c r="BQ103" s="1407"/>
      <c r="BY103" s="1407"/>
      <c r="CG103" s="1407"/>
      <c r="CO103" s="1407"/>
    </row>
    <row r="104" spans="3:93" s="1127" customFormat="1">
      <c r="C104" s="1406"/>
      <c r="D104" s="1406"/>
      <c r="F104" s="1406"/>
      <c r="G104" s="1406"/>
      <c r="M104" s="1406"/>
      <c r="X104" s="1406"/>
      <c r="Y104" s="1406"/>
      <c r="BA104" s="1407"/>
      <c r="BI104" s="1407"/>
      <c r="BQ104" s="1407"/>
      <c r="BY104" s="1407"/>
      <c r="CG104" s="1407"/>
      <c r="CO104" s="1407"/>
    </row>
  </sheetData>
  <autoFilter ref="A14:CO55"/>
  <sortState ref="A15:DU71">
    <sortCondition ref="K15:K71"/>
    <sortCondition ref="Y15:Y7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filterMode="1">
    <tabColor rgb="FFFFFF00"/>
  </sheetPr>
  <dimension ref="A1:AL122"/>
  <sheetViews>
    <sheetView showRuler="0" view="pageBreakPreview" zoomScaleSheetLayoutView="100" workbookViewId="0">
      <selection activeCell="F27" sqref="F27"/>
    </sheetView>
  </sheetViews>
  <sheetFormatPr baseColWidth="10" defaultColWidth="11.42578125" defaultRowHeight="12.75"/>
  <cols>
    <col min="1" max="1" width="10.42578125" style="3" customWidth="1"/>
    <col min="2" max="2" width="11.5703125" style="3" customWidth="1"/>
    <col min="3" max="3" width="12.140625" style="3" customWidth="1"/>
    <col min="4" max="4" width="16.85546875" style="3" customWidth="1"/>
    <col min="5" max="5" width="9.42578125" style="3" customWidth="1"/>
    <col min="6" max="6" width="9.85546875" style="3" customWidth="1"/>
    <col min="7" max="7" width="12.140625" style="3" customWidth="1"/>
    <col min="8" max="8" width="9.85546875" style="3" customWidth="1"/>
    <col min="9" max="9" width="14.42578125" style="3" customWidth="1"/>
    <col min="10" max="10" width="20" style="3" customWidth="1"/>
    <col min="11" max="11" width="9.5703125" style="3" customWidth="1"/>
    <col min="12" max="23" width="12.140625" style="3" customWidth="1"/>
    <col min="24" max="16384" width="11.42578125" style="3"/>
  </cols>
  <sheetData>
    <row r="1" spans="2:24">
      <c r="D1" s="1894" t="s">
        <v>28</v>
      </c>
      <c r="E1" s="1894"/>
      <c r="S1" s="1895">
        <f ca="1">TODAY()</f>
        <v>42783</v>
      </c>
      <c r="T1" s="1895"/>
      <c r="U1" s="1895"/>
    </row>
    <row r="2" spans="2:24" ht="13.5" thickBot="1">
      <c r="Q2" s="3" t="s">
        <v>1994</v>
      </c>
      <c r="S2" s="1896"/>
      <c r="T2" s="1896"/>
      <c r="U2" s="1896"/>
    </row>
    <row r="3" spans="2:24" ht="15.75" thickBot="1">
      <c r="C3" s="19"/>
      <c r="D3" s="19"/>
      <c r="E3" s="19"/>
      <c r="F3" s="19"/>
      <c r="G3" s="19"/>
      <c r="H3" s="19"/>
      <c r="I3" s="19"/>
      <c r="J3" s="1897" t="s">
        <v>2368</v>
      </c>
      <c r="K3" s="1898"/>
      <c r="L3" s="1898"/>
      <c r="M3" s="1898"/>
      <c r="N3" s="1898"/>
      <c r="O3" s="1898"/>
      <c r="P3" s="1898"/>
      <c r="Q3" s="783" t="s">
        <v>32</v>
      </c>
      <c r="R3" s="19"/>
      <c r="S3" s="19"/>
      <c r="T3" s="19"/>
      <c r="U3" s="19"/>
      <c r="V3" s="19"/>
      <c r="W3" s="19"/>
    </row>
    <row r="4" spans="2:24">
      <c r="C4" s="22"/>
      <c r="D4" s="22"/>
      <c r="E4" s="22"/>
      <c r="F4" s="22"/>
      <c r="G4" s="22"/>
      <c r="H4" s="22"/>
      <c r="I4" s="22"/>
      <c r="J4" s="1899" t="str">
        <f>CONCATENATE(Admin!B9," - ",Admin!E2)</f>
        <v>IDOL YACHTING LIMITED - 12522.3</v>
      </c>
      <c r="K4" s="1899"/>
      <c r="L4" s="1899"/>
      <c r="M4" s="1899"/>
      <c r="N4" s="1899"/>
      <c r="O4" s="1899"/>
      <c r="P4" s="1899"/>
      <c r="Q4" s="22"/>
      <c r="R4" s="22"/>
      <c r="S4" s="22"/>
      <c r="T4" s="22"/>
      <c r="U4" s="22"/>
      <c r="V4" s="22"/>
      <c r="W4" s="22"/>
    </row>
    <row r="5" spans="2:24" ht="9" customHeight="1"/>
    <row r="6" spans="2:24">
      <c r="I6" s="1883" t="s">
        <v>43</v>
      </c>
      <c r="J6" s="1883"/>
      <c r="K6" s="1883"/>
      <c r="L6" s="1883"/>
      <c r="M6" s="1883"/>
      <c r="N6" s="1883"/>
      <c r="O6" s="1883"/>
      <c r="P6" s="1883"/>
      <c r="Q6" s="1883"/>
      <c r="R6" s="1883"/>
      <c r="S6" s="1883"/>
    </row>
    <row r="7" spans="2:24" ht="9" customHeight="1">
      <c r="E7" s="10"/>
      <c r="F7" s="6"/>
      <c r="G7" s="7"/>
      <c r="H7" s="7"/>
      <c r="I7" s="508"/>
      <c r="J7" s="10"/>
      <c r="K7" s="10"/>
    </row>
    <row r="8" spans="2:24">
      <c r="B8" s="1901" t="s">
        <v>30</v>
      </c>
      <c r="C8" s="1901"/>
      <c r="D8" s="1901"/>
      <c r="E8" s="1901"/>
      <c r="F8" s="495"/>
      <c r="G8" s="1901" t="s">
        <v>94</v>
      </c>
      <c r="H8" s="1901"/>
      <c r="I8" s="1901"/>
      <c r="J8" s="1901"/>
      <c r="K8" s="1901"/>
      <c r="L8" s="1901"/>
      <c r="N8" s="1901" t="s">
        <v>95</v>
      </c>
      <c r="O8" s="1901"/>
      <c r="P8" s="1901"/>
      <c r="Q8" s="1901"/>
      <c r="T8" s="1901" t="s">
        <v>29</v>
      </c>
      <c r="U8" s="1901"/>
      <c r="V8" s="1901"/>
      <c r="W8" s="1901"/>
    </row>
    <row r="9" spans="2:24" ht="12" customHeight="1">
      <c r="B9" s="1900" t="str">
        <f>Admin!B9</f>
        <v>IDOL YACHTING LIMITED</v>
      </c>
      <c r="C9" s="1900"/>
      <c r="D9" s="1900"/>
      <c r="E9" s="1900"/>
      <c r="F9" s="495"/>
      <c r="G9" s="1900" t="str">
        <f>IF(Admin!B10="","",Admin!B10)</f>
        <v>Crew Employement Services Idol (a cell of Crew Employement Services PCC Ltd)</v>
      </c>
      <c r="H9" s="1900"/>
      <c r="I9" s="1900"/>
      <c r="J9" s="1900"/>
      <c r="K9" s="1900"/>
      <c r="L9" s="1900"/>
      <c r="N9" s="1900" t="str">
        <f>MAname</f>
        <v>HILL ROBINSON Limited</v>
      </c>
      <c r="O9" s="1900"/>
      <c r="P9" s="1900"/>
      <c r="Q9" s="1900"/>
      <c r="T9" s="1900" t="str">
        <f>BRname</f>
        <v>SOMECASSUR</v>
      </c>
      <c r="U9" s="1900"/>
      <c r="V9" s="1900"/>
      <c r="W9" s="1900"/>
    </row>
    <row r="10" spans="2:24">
      <c r="B10" s="1900" t="str">
        <f>Admin!C9</f>
        <v>Level 4, Suite 7; Rosa Marina Buildings</v>
      </c>
      <c r="C10" s="1900"/>
      <c r="D10" s="1900"/>
      <c r="E10" s="1900"/>
      <c r="F10" s="495"/>
      <c r="G10" s="1900" t="str">
        <f>IF(Admin!D10="","",Admin!D10)</f>
        <v/>
      </c>
      <c r="H10" s="1900"/>
      <c r="I10" s="1900"/>
      <c r="J10" s="1900"/>
      <c r="K10" s="1900"/>
      <c r="L10" s="1900"/>
      <c r="N10" s="1900" t="str">
        <f>MAaddress</f>
        <v/>
      </c>
      <c r="O10" s="1900"/>
      <c r="P10" s="1900"/>
      <c r="Q10" s="1900"/>
      <c r="T10" s="1900" t="str">
        <f>BRaddress</f>
        <v>Le Gray d’Albion, 17 Boulevard de la Croisette</v>
      </c>
      <c r="U10" s="1900"/>
      <c r="V10" s="1900"/>
      <c r="W10" s="1900"/>
    </row>
    <row r="11" spans="2:24">
      <c r="B11" s="507" t="str">
        <f>IF(Admin!H9="","",Admin!H9)</f>
        <v>PTA 9041</v>
      </c>
      <c r="C11" s="1900" t="str">
        <f>IF(Admin!I9="","",Admin!I9)</f>
        <v>Pieta</v>
      </c>
      <c r="D11" s="1900"/>
      <c r="E11" s="1900"/>
      <c r="F11" s="495"/>
      <c r="G11" s="507" t="str">
        <f>IF(Admin!H10="","",Admin!H10)</f>
        <v/>
      </c>
      <c r="H11" s="507"/>
      <c r="I11" s="1900" t="s">
        <v>2231</v>
      </c>
      <c r="J11" s="1900"/>
      <c r="K11" s="1900"/>
      <c r="L11" s="1900"/>
      <c r="N11" s="507" t="str">
        <f>MApostalcode</f>
        <v/>
      </c>
      <c r="O11" s="1900" t="str">
        <f>MAcity</f>
        <v/>
      </c>
      <c r="P11" s="1900"/>
      <c r="Q11" s="1900"/>
      <c r="T11" s="507" t="str">
        <f>BRpostalcode</f>
        <v>F-06400</v>
      </c>
      <c r="U11" s="1900" t="str">
        <f>BRcity</f>
        <v>Cannes</v>
      </c>
      <c r="V11" s="1900"/>
      <c r="W11" s="1900"/>
    </row>
    <row r="12" spans="2:24">
      <c r="B12" s="1887" t="str">
        <f>IF(Admin!L9="","",Admin!L9)</f>
        <v>Malta</v>
      </c>
      <c r="C12" s="1887"/>
      <c r="D12" s="1887"/>
      <c r="E12" s="1887"/>
      <c r="F12" s="495"/>
      <c r="G12" s="1887" t="str">
        <f>IF(Admin!L10="","",Admin!L10)</f>
        <v/>
      </c>
      <c r="H12" s="1887"/>
      <c r="I12" s="1887"/>
      <c r="J12" s="1887"/>
      <c r="K12" s="1887"/>
      <c r="L12" s="1887"/>
      <c r="N12" s="1887" t="str">
        <f>MAcountry</f>
        <v/>
      </c>
      <c r="O12" s="1887"/>
      <c r="P12" s="1887"/>
      <c r="Q12" s="1887"/>
      <c r="T12" s="1887" t="str">
        <f>BRcountry</f>
        <v>France</v>
      </c>
      <c r="U12" s="1887"/>
      <c r="V12" s="1887"/>
      <c r="W12" s="1887"/>
    </row>
    <row r="14" spans="2:24" ht="12.75" customHeight="1">
      <c r="B14" s="1160"/>
      <c r="C14" s="1161" t="s">
        <v>2173</v>
      </c>
      <c r="D14" s="1162" t="s">
        <v>2360</v>
      </c>
      <c r="E14" s="509"/>
      <c r="F14" s="1902" t="s">
        <v>2607</v>
      </c>
      <c r="G14" s="1902"/>
      <c r="H14" s="1902"/>
      <c r="I14" s="1902"/>
      <c r="J14" s="509"/>
      <c r="K14" s="509"/>
      <c r="L14" s="1893" t="s">
        <v>2360</v>
      </c>
      <c r="M14" s="1893"/>
      <c r="N14" s="1902" t="s">
        <v>2607</v>
      </c>
      <c r="O14" s="1902"/>
      <c r="P14" s="1902"/>
      <c r="Q14" s="1903"/>
      <c r="R14" s="1893" t="s">
        <v>48</v>
      </c>
      <c r="S14" s="1893"/>
      <c r="T14" s="509" t="s">
        <v>50</v>
      </c>
      <c r="U14" s="510">
        <f>IF(LISTES!$A$17=3,Admin!E4,Source!$B$2)</f>
        <v>41760</v>
      </c>
      <c r="V14" s="526"/>
      <c r="W14" s="1904" t="s">
        <v>2543</v>
      </c>
      <c r="X14" s="1905"/>
    </row>
    <row r="15" spans="2:24" ht="12.75" customHeight="1">
      <c r="B15" s="1148" t="s">
        <v>2168</v>
      </c>
      <c r="C15" s="499" t="s">
        <v>2000</v>
      </c>
      <c r="D15" s="1143" t="str">
        <f>IF(B15="NO","",IF(E15="","",Modules!$E$18))</f>
        <v>Perfect S</v>
      </c>
      <c r="E15" s="10" t="str">
        <f>IF($Q$3=Admin!$D$49,Admin!$D$49,"")</f>
        <v>EUR</v>
      </c>
      <c r="F15" s="499"/>
      <c r="G15" s="10" t="str">
        <f>IF(B15="NO","",IF(E15="","",Modules!$E$22))</f>
        <v>Captain only</v>
      </c>
      <c r="H15" s="10"/>
      <c r="I15" s="10"/>
      <c r="J15" s="10"/>
      <c r="K15" s="10"/>
      <c r="L15" s="499" t="str">
        <f>IF(B15="NO","",IF(M15="","",Modules!$E$47))</f>
        <v>StandardMLC S</v>
      </c>
      <c r="M15" s="10" t="str">
        <f>IF(Admin!$D$74="","",IF($Q$3=Admin!$D$74,Admin!$D$74,""))</f>
        <v>EUR</v>
      </c>
      <c r="N15" s="499"/>
      <c r="O15" s="1891" t="str">
        <f>IF(B15="NO","",IF(M15="","",Modules!$E$51))</f>
        <v>All others on board</v>
      </c>
      <c r="P15" s="1891"/>
      <c r="Q15" s="1892"/>
      <c r="R15" s="499"/>
      <c r="S15" s="499"/>
      <c r="T15" s="10" t="s">
        <v>46</v>
      </c>
      <c r="U15" s="500">
        <f>IF(NAMES!$B$10=FALSE,Source!$C$2,Admin!E5)</f>
        <v>42930</v>
      </c>
      <c r="V15" s="499"/>
      <c r="W15" s="1906" t="str">
        <f>Admin!B2</f>
        <v>IDOL</v>
      </c>
      <c r="X15" s="1907"/>
    </row>
    <row r="16" spans="2:24" ht="12.75" customHeight="1">
      <c r="B16" s="1148" t="s">
        <v>2168</v>
      </c>
      <c r="C16" s="499" t="s">
        <v>2207</v>
      </c>
      <c r="D16" s="1143" t="str">
        <f>IF(B16="NO","",IF(E16="","",Modules!$E$18))</f>
        <v>Perfect S</v>
      </c>
      <c r="E16" s="10" t="str">
        <f>IF($Q$3=Admin!$D$49,Admin!$D$49,"")</f>
        <v>EUR</v>
      </c>
      <c r="F16" s="499"/>
      <c r="G16" s="10" t="str">
        <f>IF(B16="NO","",IF(E16="","",Modules!$E$22))</f>
        <v>Captain only</v>
      </c>
      <c r="H16" s="10"/>
      <c r="I16" s="10"/>
      <c r="J16" s="10"/>
      <c r="K16" s="10"/>
      <c r="L16" s="499" t="str">
        <f>IF(B16="NO","",IF(M16="","",Modules!$E$47))</f>
        <v>StandardMLC S</v>
      </c>
      <c r="M16" s="10" t="str">
        <f>IF(Admin!$D$74="","",IF($Q$3=Admin!$D$74,Admin!$D$74,""))</f>
        <v>EUR</v>
      </c>
      <c r="N16" s="499"/>
      <c r="O16" s="1891" t="str">
        <f>IF(B16="NO","",IF(M16="","",Modules!$E$51))</f>
        <v>All others on board</v>
      </c>
      <c r="P16" s="1891"/>
      <c r="Q16" s="1892"/>
      <c r="R16" s="10"/>
      <c r="S16" s="10"/>
      <c r="T16" s="10"/>
      <c r="U16" s="499"/>
      <c r="V16" s="499"/>
      <c r="W16" s="10"/>
      <c r="X16" s="512"/>
    </row>
    <row r="17" spans="1:38" ht="12.75" customHeight="1">
      <c r="B17" s="1148" t="s">
        <v>2169</v>
      </c>
      <c r="C17" s="10" t="s">
        <v>2636</v>
      </c>
      <c r="D17" s="1143"/>
      <c r="E17" s="10" t="str">
        <f>IF($Q$3=Admin!$D$49,Admin!$D$49,"")</f>
        <v>EUR</v>
      </c>
      <c r="F17" s="499"/>
      <c r="G17" s="10" t="str">
        <f>IF(B17="NO","",IF(E17="","",Modules!#REF!))</f>
        <v/>
      </c>
      <c r="H17" s="10"/>
      <c r="I17" s="10"/>
      <c r="J17" s="10"/>
      <c r="K17" s="10"/>
      <c r="L17" s="499"/>
      <c r="M17" s="10"/>
      <c r="N17" s="499"/>
      <c r="O17" s="1143"/>
      <c r="P17" s="1143"/>
      <c r="Q17" s="1144"/>
      <c r="R17" s="10"/>
      <c r="S17" s="10"/>
      <c r="T17" s="10"/>
      <c r="U17" s="499"/>
      <c r="V17" s="499"/>
      <c r="W17" s="10"/>
      <c r="X17" s="512"/>
    </row>
    <row r="18" spans="1:38" ht="12.75" customHeight="1">
      <c r="B18" s="1148" t="s">
        <v>2169</v>
      </c>
      <c r="C18" s="10" t="s">
        <v>2637</v>
      </c>
      <c r="D18" s="1143"/>
      <c r="E18" s="10" t="str">
        <f>IF($Q$3=Admin!$D$49,Admin!$D$49,"")</f>
        <v>EUR</v>
      </c>
      <c r="F18" s="499"/>
      <c r="G18" s="10" t="str">
        <f>IF(B18="NO","",IF(E18="","",Modules!#REF!))</f>
        <v/>
      </c>
      <c r="H18" s="10"/>
      <c r="I18" s="10"/>
      <c r="J18" s="10"/>
      <c r="K18" s="10"/>
      <c r="L18" s="499"/>
      <c r="M18" s="10"/>
      <c r="N18" s="499"/>
      <c r="O18" s="1143"/>
      <c r="P18" s="1143"/>
      <c r="Q18" s="1144"/>
      <c r="R18" s="10"/>
      <c r="S18" s="10"/>
      <c r="T18" s="10"/>
      <c r="U18" s="499"/>
      <c r="V18" s="499"/>
      <c r="W18" s="10"/>
      <c r="X18" s="512"/>
    </row>
    <row r="19" spans="1:38" ht="12.75" customHeight="1">
      <c r="B19" s="1148" t="s">
        <v>2168</v>
      </c>
      <c r="C19" s="499" t="s">
        <v>2245</v>
      </c>
      <c r="D19" s="1454">
        <v>3</v>
      </c>
      <c r="E19" s="10" t="str">
        <f>IF($Q$3=Admin!$D$55,Admin!$D$55,"")</f>
        <v>EUR</v>
      </c>
      <c r="F19" s="579">
        <f ca="1">IF(B19="NO","",IF(E19="","",IF(Cotations!$BA$6=0,0,Cotations!$BA$7)))</f>
        <v>1000000</v>
      </c>
      <c r="G19" s="10" t="str">
        <f>IF(B19="NO","",IF(E19="","",Modules!$F$22))</f>
        <v>Captain only</v>
      </c>
      <c r="H19" s="10"/>
      <c r="I19" s="10"/>
      <c r="J19" s="10"/>
      <c r="K19" s="10"/>
      <c r="L19" s="1145" t="str">
        <f>IF(B19="NO","",IF(M19="","",Modules!F39))</f>
        <v>300%</v>
      </c>
      <c r="M19" s="10" t="str">
        <f>IF(Admin!$D$81="","",IF($Q$3=Admin!$D$81,Admin!$D$81,""))</f>
        <v>EUR</v>
      </c>
      <c r="N19" s="499"/>
      <c r="O19" s="1891" t="str">
        <f>IF(B19="NO","",IF(M19="","",Modules!$F$51))</f>
        <v>All others on board</v>
      </c>
      <c r="P19" s="1891"/>
      <c r="Q19" s="1892"/>
      <c r="R19" s="1890" t="s">
        <v>47</v>
      </c>
      <c r="S19" s="1890"/>
      <c r="T19" s="10" t="s">
        <v>34</v>
      </c>
      <c r="U19" s="500">
        <f>MAX(Admin!H17:H18)</f>
        <v>41835</v>
      </c>
      <c r="V19" s="499"/>
      <c r="W19" s="10"/>
      <c r="X19" s="512"/>
      <c r="Y19" s="771" t="str">
        <f>IF(B19="NO","",IF(E19="","",Modules!F10))</f>
        <v>300%</v>
      </c>
    </row>
    <row r="20" spans="1:38" ht="12.75" customHeight="1">
      <c r="B20" s="1148" t="s">
        <v>2168</v>
      </c>
      <c r="C20" s="499" t="s">
        <v>2238</v>
      </c>
      <c r="D20" s="1454">
        <v>3</v>
      </c>
      <c r="E20" s="10" t="str">
        <f>IF($Q$3=Admin!$D$55,Admin!$D$55,"")</f>
        <v>EUR</v>
      </c>
      <c r="F20" s="579">
        <f ca="1">IF(B20="NO","",IF(E20="","",IF(Cotations!$BE$6=0,0,Cotations!$BE$7)))</f>
        <v>1000000</v>
      </c>
      <c r="G20" s="10" t="str">
        <f>IF(B20="NO","",IF(E20="","",Modules!$F$22))</f>
        <v>Captain only</v>
      </c>
      <c r="H20" s="10"/>
      <c r="I20" s="10"/>
      <c r="J20" s="10"/>
      <c r="K20" s="10"/>
      <c r="L20" s="1145" t="str">
        <f>IF(B20="NO","",IF(M20="","",Modules!G39))</f>
        <v>300%</v>
      </c>
      <c r="M20" s="10" t="str">
        <f>IF(Admin!$D$81="","",IF($Q$3=Admin!$D$81,Admin!$D$81,""))</f>
        <v>EUR</v>
      </c>
      <c r="N20" s="10"/>
      <c r="O20" s="1891" t="str">
        <f>IF(B20="NO","",IF(M20="","",Modules!$F$51))</f>
        <v>All others on board</v>
      </c>
      <c r="P20" s="1891"/>
      <c r="Q20" s="1892"/>
      <c r="R20" s="10"/>
      <c r="S20" s="10"/>
      <c r="T20" s="10" t="s">
        <v>49</v>
      </c>
      <c r="U20" s="10">
        <f>MAX(Admin!G17:G24)</f>
        <v>3</v>
      </c>
      <c r="V20" s="10"/>
      <c r="W20" s="10"/>
      <c r="X20" s="512"/>
      <c r="Y20" s="771" t="str">
        <f>IF(B20="NO","",IF(E20="","",Modules!G10))</f>
        <v>300%</v>
      </c>
    </row>
    <row r="21" spans="1:38" ht="12.75" customHeight="1">
      <c r="B21" s="1148" t="s">
        <v>2168</v>
      </c>
      <c r="C21" s="499" t="s">
        <v>2359</v>
      </c>
      <c r="D21" s="1454">
        <v>3</v>
      </c>
      <c r="E21" s="10" t="str">
        <f>IF($Q$3=Admin!$D$55,Admin!$D$55,"")</f>
        <v>EUR</v>
      </c>
      <c r="F21" s="579">
        <f ca="1">IF(B21="NO","",IF(E21="","",IF(Cotations!$BI$6=0,0,Cotations!$BI$7)))</f>
        <v>1000000</v>
      </c>
      <c r="G21" s="10" t="str">
        <f>IF(B21="NO","",IF(E21="","",Modules!$F$22))</f>
        <v>Captain only</v>
      </c>
      <c r="H21" s="10"/>
      <c r="I21" s="10"/>
      <c r="J21" s="10"/>
      <c r="K21" s="10"/>
      <c r="L21" s="1145" t="str">
        <f>IF(B21="NO","",IF(M21="","",Modules!H39))</f>
        <v>300%</v>
      </c>
      <c r="M21" s="10" t="str">
        <f>IF(Admin!$D$81="","",IF($Q$3=Admin!$D$81,Admin!$D$81,""))</f>
        <v>EUR</v>
      </c>
      <c r="N21" s="10"/>
      <c r="O21" s="1891" t="str">
        <f>IF(B21="NO","",IF(M21="","",Modules!$F$51))</f>
        <v>All others on board</v>
      </c>
      <c r="P21" s="1891"/>
      <c r="Q21" s="1892"/>
      <c r="R21" s="10"/>
      <c r="S21" s="10"/>
      <c r="T21" s="10"/>
      <c r="U21" s="10"/>
      <c r="V21" s="10"/>
      <c r="W21" s="10"/>
      <c r="X21" s="512"/>
      <c r="Y21" s="771" t="str">
        <f>IF(B21="NO","",IF(E21="","",Modules!H10))</f>
        <v>300%</v>
      </c>
    </row>
    <row r="22" spans="1:38" ht="12.75" customHeight="1">
      <c r="B22" s="1148" t="s">
        <v>2168</v>
      </c>
      <c r="C22" s="499" t="s">
        <v>2239</v>
      </c>
      <c r="D22" s="1454">
        <v>3</v>
      </c>
      <c r="E22" s="10" t="str">
        <f>IF($Q$3=Admin!$D$55,Admin!$D$55,"")</f>
        <v>EUR</v>
      </c>
      <c r="F22" s="579">
        <f ca="1">IF(B22="NO","",IF(E22="","",IF(Cotations!$BM$6=0,0,Cotations!$BM$7)))</f>
        <v>1000000</v>
      </c>
      <c r="G22" s="10" t="str">
        <f>IF(B22="NO","",IF(E22="","",Modules!$F$22))</f>
        <v>Captain only</v>
      </c>
      <c r="H22" s="10"/>
      <c r="I22" s="10"/>
      <c r="J22" s="10"/>
      <c r="K22" s="10"/>
      <c r="L22" s="1145" t="str">
        <f>IF(B22="NO","",IF(M22="","",Modules!$I$39))</f>
        <v>300%</v>
      </c>
      <c r="M22" s="10" t="str">
        <f>IF(Admin!$D$81="","",IF($Q$3=Admin!$D$81,Admin!$D$81,""))</f>
        <v>EUR</v>
      </c>
      <c r="N22" s="10"/>
      <c r="O22" s="1891" t="str">
        <f>IF(B22="NO","",IF(M22="","",Modules!$F$51))</f>
        <v>All others on board</v>
      </c>
      <c r="P22" s="1891"/>
      <c r="Q22" s="1892"/>
      <c r="R22" s="1890" t="s">
        <v>14</v>
      </c>
      <c r="S22" s="1890"/>
      <c r="T22" s="10" t="str">
        <f>IF(NAMES!$B$10=FALSE,Source!$H$1,"Effective date")</f>
        <v>Effective date</v>
      </c>
      <c r="U22" s="500">
        <f>IF(LISTES!$A$17=3,Admin!E4,Source!$H$2)</f>
        <v>41760</v>
      </c>
      <c r="V22" s="10"/>
      <c r="W22" s="10"/>
      <c r="X22" s="512"/>
      <c r="Y22" s="771" t="str">
        <f>IF(B22="NO","",IF(E22="","",Modules!I10))</f>
        <v>300%</v>
      </c>
    </row>
    <row r="23" spans="1:38" ht="12.75" customHeight="1">
      <c r="B23" s="1148" t="s">
        <v>2168</v>
      </c>
      <c r="C23" s="499" t="s">
        <v>2362</v>
      </c>
      <c r="D23" s="1454">
        <v>1</v>
      </c>
      <c r="E23" s="10" t="str">
        <f>IF($Q$3=Admin!$D$55,Admin!$D$55,"")</f>
        <v>EUR</v>
      </c>
      <c r="F23" s="579">
        <f ca="1">IF(B23="NO","",IF(E23="","",IF(Cotations!$BQ$6=0,0,Cotations!$BQ$7)))</f>
        <v>125000</v>
      </c>
      <c r="G23" s="10" t="str">
        <f>IF(B23="NO","",IF(E23="","",Modules!$F$22))</f>
        <v>Captain only</v>
      </c>
      <c r="H23" s="10"/>
      <c r="I23" s="10"/>
      <c r="J23" s="10"/>
      <c r="K23" s="10"/>
      <c r="L23" s="1419" t="str">
        <f>IF(B23="NO","",IF(M23="","",Modules!$J$39))</f>
        <v>100%</v>
      </c>
      <c r="M23" s="10" t="str">
        <f>IF(Admin!$D$81="","",IF($Q$3=Admin!$D$81,Admin!$D$81,""))</f>
        <v>EUR</v>
      </c>
      <c r="N23" s="495"/>
      <c r="O23" s="1891" t="str">
        <f>IF(B23="NO","",IF(M23="","",IF(L23="","",Modules!$F$51)))</f>
        <v>All others on board</v>
      </c>
      <c r="P23" s="1891"/>
      <c r="Q23" s="1892"/>
      <c r="R23" s="495"/>
      <c r="S23" s="495"/>
      <c r="T23" s="500" t="str">
        <f>IF(NAMES!$B$10=FALSE,IF(Source!$J$2="",Source!$I$1,Source!$J$1),"Renewal date")</f>
        <v>Renewal date</v>
      </c>
      <c r="U23" s="500">
        <f>IF(LISTES!$A$17=3,Admin!E5,IF(Source!$J$2="",Source!$I$2,Source!$J$2))</f>
        <v>42930</v>
      </c>
      <c r="V23" s="10"/>
      <c r="W23" s="10"/>
      <c r="X23" s="512"/>
      <c r="Y23" s="771" t="str">
        <f>IF(B23="NO","",IF(E23="","",Modules!J10))</f>
        <v>100%</v>
      </c>
    </row>
    <row r="24" spans="1:38" ht="12.75" customHeight="1">
      <c r="B24" s="837" t="s">
        <v>2168</v>
      </c>
      <c r="C24" s="513" t="s">
        <v>2240</v>
      </c>
      <c r="D24" s="1454">
        <v>1</v>
      </c>
      <c r="E24" s="470" t="str">
        <f>IF($Q$3=Admin!$D$55,Admin!$D$55,"")</f>
        <v>EUR</v>
      </c>
      <c r="F24" s="577">
        <f ca="1">IF(B24="NO","",IF(E24="","",IF(Cotations!$BU$6=0,0,Cotations!$BU$7)))</f>
        <v>125000</v>
      </c>
      <c r="G24" s="470" t="str">
        <f>IF(B24="NO","",IF(E24="","",Modules!$F$22))</f>
        <v>Captain only</v>
      </c>
      <c r="H24" s="470"/>
      <c r="I24" s="470"/>
      <c r="J24" s="470"/>
      <c r="K24" s="470"/>
      <c r="L24" s="1419" t="str">
        <f>IF(B24="NO","",IF(M24="","",Modules!$J$39))</f>
        <v>100%</v>
      </c>
      <c r="M24" s="470" t="str">
        <f>IF(Admin!$D$81="","",IF($Q$3=Admin!$D$81,Admin!$D$81,""))</f>
        <v>EUR</v>
      </c>
      <c r="N24" s="470"/>
      <c r="O24" s="1888" t="str">
        <f>IF(B24="NO","",IF(M24="","",IF(L24="","",Modules!$F$51)))</f>
        <v>All others on board</v>
      </c>
      <c r="P24" s="1888"/>
      <c r="Q24" s="1889"/>
      <c r="R24" s="514"/>
      <c r="S24" s="515"/>
      <c r="T24" s="515"/>
      <c r="U24" s="470"/>
      <c r="V24" s="470"/>
      <c r="W24" s="470"/>
      <c r="X24" s="516"/>
      <c r="Y24" s="1119" t="str">
        <f>IF(B24="NO","",IF(E24="","",Modules!K10))</f>
        <v>100%</v>
      </c>
    </row>
    <row r="25" spans="1:38" ht="13.5" thickBot="1">
      <c r="S25" s="12"/>
      <c r="T25" s="13"/>
      <c r="U25" s="13"/>
      <c r="Z25" s="3" t="s">
        <v>2537</v>
      </c>
      <c r="AA25" s="622">
        <f>Cotations!U11</f>
        <v>19083.94463425603</v>
      </c>
    </row>
    <row r="26" spans="1:38" ht="25.5" customHeight="1" thickBot="1">
      <c r="H26" s="3" t="str">
        <f>"payroll in "&amp;Q3</f>
        <v>payroll in EUR</v>
      </c>
      <c r="L26" s="1884" t="s">
        <v>2370</v>
      </c>
      <c r="M26" s="1885"/>
      <c r="N26" s="1885"/>
      <c r="O26" s="1885"/>
      <c r="P26" s="1885"/>
      <c r="Q26" s="1886"/>
      <c r="R26" s="1884" t="s">
        <v>2371</v>
      </c>
      <c r="S26" s="1885"/>
      <c r="T26" s="1885"/>
      <c r="U26" s="1885"/>
      <c r="V26" s="1885"/>
      <c r="W26" s="1886"/>
      <c r="X26" s="523" t="s">
        <v>2162</v>
      </c>
      <c r="Z26" s="622" t="s">
        <v>592</v>
      </c>
      <c r="AA26" s="622">
        <f>Source!B34</f>
        <v>12402.478108838</v>
      </c>
      <c r="AL26" s="523" t="s">
        <v>2162</v>
      </c>
    </row>
    <row r="27" spans="1:38" ht="12" customHeight="1">
      <c r="E27" s="14">
        <f>Cotations!O11</f>
        <v>2260</v>
      </c>
      <c r="F27" s="522">
        <f>Cotations!M11</f>
        <v>75</v>
      </c>
      <c r="G27" s="522"/>
      <c r="H27" s="522">
        <f ca="1">Cotations!S11</f>
        <v>352372.60273972602</v>
      </c>
      <c r="M27" s="15">
        <f>SUBTOTAL(9,M30:M202)</f>
        <v>4549.4223999999986</v>
      </c>
      <c r="N27" s="15"/>
      <c r="O27" s="15">
        <f ca="1">SUBTOTAL(9,O30:O202)</f>
        <v>8701.1872649976358</v>
      </c>
      <c r="P27" s="15"/>
      <c r="Q27" s="15">
        <f>SUBTOTAL(9,Q30:Q202)</f>
        <v>0</v>
      </c>
      <c r="S27" s="15">
        <f>SUBTOTAL(9,S30:S202)</f>
        <v>0</v>
      </c>
      <c r="T27" s="15"/>
      <c r="U27" s="15">
        <f>SUBTOTAL(9,U30:U202)</f>
        <v>0</v>
      </c>
      <c r="V27" s="15"/>
      <c r="W27" s="15">
        <f>SUBTOTAL(9,W30:W202)</f>
        <v>0</v>
      </c>
      <c r="X27" s="15">
        <f ca="1">SUBTOTAL(9,X30:X202)</f>
        <v>13250.609664997632</v>
      </c>
      <c r="Z27" s="3" t="s">
        <v>2538</v>
      </c>
      <c r="AA27" s="3">
        <f ca="1">Cotations!U13</f>
        <v>13250.609664997637</v>
      </c>
      <c r="AL27" s="15">
        <f>SUBTOTAL(9,W30:W103)</f>
        <v>0</v>
      </c>
    </row>
    <row r="28" spans="1:38" s="506" customFormat="1" ht="30.75" customHeight="1">
      <c r="A28" s="1880" t="s">
        <v>2228</v>
      </c>
      <c r="B28" s="1880" t="s">
        <v>36</v>
      </c>
      <c r="C28" s="1880" t="s">
        <v>2372</v>
      </c>
      <c r="D28" s="1880" t="s">
        <v>2373</v>
      </c>
      <c r="E28" s="1882" t="s">
        <v>45</v>
      </c>
      <c r="F28" s="1882"/>
      <c r="G28" s="568" t="s">
        <v>13</v>
      </c>
      <c r="H28" s="1881" t="s">
        <v>2374</v>
      </c>
      <c r="I28" s="1881" t="s">
        <v>2498</v>
      </c>
      <c r="J28" s="1881" t="s">
        <v>2499</v>
      </c>
      <c r="K28" s="773" t="s">
        <v>2608</v>
      </c>
      <c r="L28" s="1880" t="s">
        <v>2683</v>
      </c>
      <c r="M28" s="1880"/>
      <c r="N28" s="1880" t="s">
        <v>2376</v>
      </c>
      <c r="O28" s="1880"/>
      <c r="P28" s="1880" t="s">
        <v>2377</v>
      </c>
      <c r="Q28" s="1880"/>
      <c r="R28" s="1880" t="s">
        <v>2683</v>
      </c>
      <c r="S28" s="1880"/>
      <c r="T28" s="1880" t="s">
        <v>2376</v>
      </c>
      <c r="U28" s="1880"/>
      <c r="V28" s="1880" t="s">
        <v>2377</v>
      </c>
      <c r="W28" s="1880"/>
      <c r="AE28" s="1880" t="s">
        <v>2375</v>
      </c>
      <c r="AF28" s="1880"/>
      <c r="AG28" s="1880"/>
      <c r="AH28" s="1880" t="s">
        <v>2376</v>
      </c>
      <c r="AI28" s="1880"/>
      <c r="AJ28" s="1880"/>
      <c r="AL28" s="1883"/>
    </row>
    <row r="29" spans="1:38" s="506" customFormat="1">
      <c r="A29" s="1880"/>
      <c r="B29" s="1880"/>
      <c r="C29" s="1880"/>
      <c r="D29" s="1880"/>
      <c r="E29" s="567" t="s">
        <v>37</v>
      </c>
      <c r="F29" s="567" t="s">
        <v>38</v>
      </c>
      <c r="G29" s="567"/>
      <c r="H29" s="1881"/>
      <c r="I29" s="1881"/>
      <c r="J29" s="1881"/>
      <c r="K29" s="773"/>
      <c r="L29" s="1880"/>
      <c r="M29" s="1880"/>
      <c r="N29" s="1880"/>
      <c r="O29" s="1880"/>
      <c r="P29" s="1880"/>
      <c r="Q29" s="1880"/>
      <c r="R29" s="1880"/>
      <c r="S29" s="1880"/>
      <c r="T29" s="1880"/>
      <c r="U29" s="1880"/>
      <c r="V29" s="1880"/>
      <c r="W29" s="1880"/>
      <c r="AE29" s="1880"/>
      <c r="AF29" s="1880"/>
      <c r="AG29" s="1880"/>
      <c r="AH29" s="1880"/>
      <c r="AI29" s="1880"/>
      <c r="AJ29" s="1880"/>
      <c r="AL29" s="1883"/>
    </row>
    <row r="30" spans="1:38" s="11" customFormat="1" ht="24.95" hidden="1" customHeight="1">
      <c r="A30" s="11" t="str">
        <f>IF(Cotations!C15=FALSE,"",Cotations!D15)</f>
        <v/>
      </c>
      <c r="B30" s="11" t="str">
        <f>IF(Cotations!C15=FALSE,"",Cotations!F15)</f>
        <v/>
      </c>
      <c r="C30" s="11" t="str">
        <f>IF($B30="","",IF(LISTES!$A$17=3,Crewlist!G15,Detail!L15))</f>
        <v/>
      </c>
      <c r="D30" s="11" t="str">
        <f>IF($B30="","",Cotations!H15)</f>
        <v/>
      </c>
      <c r="E30" s="17" t="str">
        <f>IF($B30="","",Cotations!O15)</f>
        <v/>
      </c>
      <c r="F30" s="17" t="str">
        <f>IF($B30="","",Cotations!M15)</f>
        <v/>
      </c>
      <c r="G30" s="17" t="str">
        <f>IF($B30="","",Cotations!T15)</f>
        <v/>
      </c>
      <c r="H30" s="17" t="str">
        <f>IF($B30="","",Calcul!X15)</f>
        <v/>
      </c>
      <c r="I30" s="11" t="str">
        <f>IF($B30="","",Calcul!EE15)</f>
        <v/>
      </c>
      <c r="J30" s="11" t="str">
        <f>IF($B30="","",Calcul!IE15)</f>
        <v/>
      </c>
      <c r="K30" s="1053" t="str">
        <f>IF($B30="","",Calcul!AH15)</f>
        <v/>
      </c>
      <c r="L30" s="520" t="str">
        <f>IF($B30="","",IF(ALLTHESAME=TRUE,Cotations!$AP$4,Cotations!AP15))</f>
        <v/>
      </c>
      <c r="M30" s="518" t="str">
        <f>IF($B30="","",(Calcul!AJ15+Calcul!AQ15)*L30)</f>
        <v/>
      </c>
      <c r="N30" s="520" t="str">
        <f>IF($B30="","",IF(ALLTHESAME=TRUE,Cotations!$BZ$4,Cotations!BZ15))</f>
        <v/>
      </c>
      <c r="O30" s="518" t="str">
        <f>IF($B30="","",IF(Cotations!$BA$6=0,((Calcul!AK15)*N30),Cotations!$Y$4*E30))</f>
        <v/>
      </c>
      <c r="P30" s="520">
        <v>0</v>
      </c>
      <c r="Q30" s="518" t="str">
        <f>IF($B30="","",Calcul!AG15*P30)</f>
        <v/>
      </c>
      <c r="R30" s="520" t="str">
        <f>IF($B30="","",100%-L30)</f>
        <v/>
      </c>
      <c r="S30" s="518" t="str">
        <f>IF($B30="","",((Calcul!AS15*R30)+Calcul!AL15)*R30)</f>
        <v/>
      </c>
      <c r="T30" s="520" t="str">
        <f>IF($B30="","",Cotations!CA15)</f>
        <v/>
      </c>
      <c r="U30" s="518" t="str">
        <f>IF($B30="","",(Calcul!AT15+Calcul!AL15)*T30)</f>
        <v/>
      </c>
      <c r="V30" s="520">
        <v>0</v>
      </c>
      <c r="W30" s="518" t="str">
        <f>IF($B30="","",Calcul!AG15*V30)</f>
        <v/>
      </c>
      <c r="X30" s="524" t="str">
        <f>IF($B30="","",M30+O30+Q30+S30+U30+W30)</f>
        <v/>
      </c>
      <c r="AF30" s="520"/>
      <c r="AG30" s="518"/>
      <c r="AI30" s="520" t="str">
        <f t="shared" ref="AI30:AI71" si="0">IF($B30="","",100%-N30)</f>
        <v/>
      </c>
      <c r="AJ30" s="518" t="str">
        <f>IF($B30="","",)</f>
        <v/>
      </c>
      <c r="AL30" s="518" t="str">
        <f t="shared" ref="AL30:AL70" si="1">IF($B30="","",M30+O30+AG30+AJ30)</f>
        <v/>
      </c>
    </row>
    <row r="31" spans="1:38" ht="24.95" hidden="1" customHeight="1">
      <c r="A31" s="11" t="str">
        <f>IF(Cotations!C16=FALSE,"",Cotations!D16)</f>
        <v/>
      </c>
      <c r="B31" s="11" t="str">
        <f>IF(Cotations!C16=FALSE,"",Cotations!F16)</f>
        <v/>
      </c>
      <c r="C31" s="11" t="str">
        <f>IF($B31="","",IF(LISTES!$A$17=3,Crewlist!G16,Detail!L16))</f>
        <v/>
      </c>
      <c r="D31" s="11" t="str">
        <f>IF($B31="","",Cotations!H16)</f>
        <v/>
      </c>
      <c r="E31" s="17" t="str">
        <f>IF($B31="","",Cotations!O16)</f>
        <v/>
      </c>
      <c r="F31" s="17" t="str">
        <f>IF($B31="","",Cotations!M16)</f>
        <v/>
      </c>
      <c r="G31" s="17" t="str">
        <f>IF($B31="","",Cotations!T16)</f>
        <v/>
      </c>
      <c r="H31" s="17" t="str">
        <f>IF($B31="","",Calcul!X16)</f>
        <v/>
      </c>
      <c r="I31" s="11" t="str">
        <f>IF($B31="","",Calcul!EE16)</f>
        <v/>
      </c>
      <c r="J31" s="11" t="str">
        <f>IF($B31="","",Calcul!IE16)</f>
        <v/>
      </c>
      <c r="K31" s="16" t="str">
        <f>IF($B31="","",Calcul!AH16)</f>
        <v/>
      </c>
      <c r="L31" s="520" t="str">
        <f>IF($B31="","",IF(ALLTHESAME=TRUE,Cotations!$AP$4,Cotations!AP16))</f>
        <v/>
      </c>
      <c r="M31" s="518" t="str">
        <f>IF($B31="","",(Calcul!AJ16+Calcul!AQ16)*L31)</f>
        <v/>
      </c>
      <c r="N31" s="520" t="str">
        <f>IF($B31="","",IF(ALLTHESAME=TRUE,Cotations!$BZ$4,Cotations!BZ16))</f>
        <v/>
      </c>
      <c r="O31" s="518" t="str">
        <f>IF($B31="","",IF(Cotations!$BA$6=0,((Calcul!AK16)*N31),Cotations!$Y$4*E31))</f>
        <v/>
      </c>
      <c r="P31" s="520">
        <v>0</v>
      </c>
      <c r="Q31" s="518" t="str">
        <f>IF($B31="","",Calcul!AG16*P31)</f>
        <v/>
      </c>
      <c r="R31" s="520" t="str">
        <f t="shared" ref="R31:R32" si="2">IF($B31="","",100%-L31)</f>
        <v/>
      </c>
      <c r="S31" s="518" t="str">
        <f>IF($B31="","",((Calcul!AS16*R31)+Calcul!AL16)*R31)</f>
        <v/>
      </c>
      <c r="T31" s="520" t="str">
        <f>IF($B31="","",Cotations!CA16)</f>
        <v/>
      </c>
      <c r="U31" s="518" t="str">
        <f>IF($B31="","",(Calcul!AT16+Calcul!AL16)*T31)</f>
        <v/>
      </c>
      <c r="V31" s="520">
        <v>0</v>
      </c>
      <c r="W31" s="518" t="str">
        <f>IF($B31="","",Calcul!AG16*V31)</f>
        <v/>
      </c>
      <c r="X31" s="524" t="str">
        <f t="shared" ref="X31:X94" si="3">IF($B31="","",M31+O31+Q31+S31+U31+W31)</f>
        <v/>
      </c>
      <c r="AE31" s="11"/>
      <c r="AF31" s="520" t="str">
        <f t="shared" ref="AF31:AF71" si="4">IF($B31="","",100%-L31)</f>
        <v/>
      </c>
      <c r="AG31" s="518" t="e">
        <v>#VALUE!</v>
      </c>
      <c r="AH31" s="11"/>
      <c r="AI31" s="520" t="str">
        <f t="shared" si="0"/>
        <v/>
      </c>
      <c r="AJ31" s="518" t="str">
        <f>IF($B31="","",SUM(#REF!)*AI31)</f>
        <v/>
      </c>
      <c r="AL31" s="518" t="str">
        <f t="shared" si="1"/>
        <v/>
      </c>
    </row>
    <row r="32" spans="1:38" ht="24.95" hidden="1" customHeight="1">
      <c r="A32" s="11" t="str">
        <f>IF(Cotations!C17=FALSE,"",Cotations!D17)</f>
        <v/>
      </c>
      <c r="B32" s="11" t="str">
        <f>IF(Cotations!C17=FALSE,"",Cotations!F17)</f>
        <v/>
      </c>
      <c r="C32" s="11" t="str">
        <f>IF($B32="","",IF(LISTES!$A$17=3,Crewlist!G17,Detail!L17))</f>
        <v/>
      </c>
      <c r="D32" s="11" t="str">
        <f>IF($B32="","",Cotations!H17)</f>
        <v/>
      </c>
      <c r="E32" s="17" t="str">
        <f>IF($B32="","",Cotations!O17)</f>
        <v/>
      </c>
      <c r="F32" s="17" t="str">
        <f>IF($B32="","",Cotations!M17)</f>
        <v/>
      </c>
      <c r="G32" s="17" t="str">
        <f>IF($B32="","",Cotations!T17)</f>
        <v/>
      </c>
      <c r="H32" s="17" t="str">
        <f>IF($B32="","",Calcul!X17)</f>
        <v/>
      </c>
      <c r="I32" s="11" t="str">
        <f>IF($B32="","",Calcul!EE17)</f>
        <v/>
      </c>
      <c r="J32" s="11" t="str">
        <f>IF($B32="","",Calcul!IE17)</f>
        <v/>
      </c>
      <c r="K32" s="16" t="str">
        <f>IF($B32="","",Calcul!AH17)</f>
        <v/>
      </c>
      <c r="L32" s="520" t="str">
        <f>IF($B32="","",IF(ALLTHESAME=TRUE,Cotations!$AP$4,Cotations!AP17))</f>
        <v/>
      </c>
      <c r="M32" s="518" t="str">
        <f>IF($B32="","",(Calcul!AJ17+Calcul!AQ17)*L32)</f>
        <v/>
      </c>
      <c r="N32" s="520" t="str">
        <f>IF($B32="","",IF(ALLTHESAME=TRUE,Cotations!$BZ$4,Cotations!BZ17))</f>
        <v/>
      </c>
      <c r="O32" s="518" t="str">
        <f>IF($B32="","",IF(Cotations!$BA$6=0,((Calcul!AK17)*N32),Cotations!$Y$4*E32))</f>
        <v/>
      </c>
      <c r="P32" s="520">
        <v>0</v>
      </c>
      <c r="Q32" s="518" t="str">
        <f>IF($B32="","",Calcul!AG17*P32)</f>
        <v/>
      </c>
      <c r="R32" s="520" t="str">
        <f t="shared" si="2"/>
        <v/>
      </c>
      <c r="S32" s="518" t="str">
        <f>IF($B32="","",((Calcul!AS17*R32)+Calcul!AL17)*R32)</f>
        <v/>
      </c>
      <c r="T32" s="520" t="str">
        <f>IF($B32="","",Cotations!CA17)</f>
        <v/>
      </c>
      <c r="U32" s="518" t="str">
        <f>IF($B32="","",(Calcul!AT17+Calcul!AL17)*T32)</f>
        <v/>
      </c>
      <c r="V32" s="520">
        <v>0</v>
      </c>
      <c r="W32" s="518" t="str">
        <f>IF($B32="","",Calcul!AG17*V32)</f>
        <v/>
      </c>
      <c r="X32" s="524" t="str">
        <f t="shared" si="3"/>
        <v/>
      </c>
      <c r="AE32" s="11"/>
      <c r="AF32" s="520" t="str">
        <f t="shared" si="4"/>
        <v/>
      </c>
      <c r="AG32" s="518" t="s">
        <v>2231</v>
      </c>
      <c r="AH32" s="11"/>
      <c r="AI32" s="520" t="str">
        <f t="shared" si="0"/>
        <v/>
      </c>
      <c r="AJ32" s="518" t="str">
        <f>IF($B32="","",SUM(#REF!)*AI32)</f>
        <v/>
      </c>
      <c r="AL32" s="518" t="str">
        <f t="shared" si="1"/>
        <v/>
      </c>
    </row>
    <row r="33" spans="1:38" ht="24.95" hidden="1" customHeight="1">
      <c r="A33" s="11" t="str">
        <f>IF(Cotations!C18=FALSE,"",Cotations!D18)</f>
        <v/>
      </c>
      <c r="B33" s="11" t="str">
        <f>IF(Cotations!C18=FALSE,"",Cotations!F18)</f>
        <v/>
      </c>
      <c r="C33" s="11" t="str">
        <f>IF($B33="","",IF(LISTES!$A$17=3,Crewlist!G18,Detail!L18))</f>
        <v/>
      </c>
      <c r="D33" s="11" t="str">
        <f>IF($B33="","",Cotations!H18)</f>
        <v/>
      </c>
      <c r="E33" s="17" t="str">
        <f>IF($B33="","",Cotations!O18)</f>
        <v/>
      </c>
      <c r="F33" s="17" t="str">
        <f>IF($B33="","",Cotations!M18)</f>
        <v/>
      </c>
      <c r="G33" s="17" t="str">
        <f>IF($B33="","",Cotations!T18)</f>
        <v/>
      </c>
      <c r="H33" s="17" t="str">
        <f>IF($B33="","",Calcul!X18)</f>
        <v/>
      </c>
      <c r="I33" s="11" t="str">
        <f>IF($B33="","",Calcul!EE18)</f>
        <v/>
      </c>
      <c r="J33" s="11" t="str">
        <f>IF($B33="","",Calcul!IE18)</f>
        <v/>
      </c>
      <c r="K33" s="16" t="str">
        <f>IF($B33="","",Calcul!AH18)</f>
        <v/>
      </c>
      <c r="L33" s="520" t="str">
        <f>IF($B33="","",IF(ALLTHESAME=TRUE,Cotations!$AP$4,Cotations!AP18))</f>
        <v/>
      </c>
      <c r="M33" s="518" t="str">
        <f>IF($B33="","",(Calcul!AJ18+Calcul!AQ18)*L33)</f>
        <v/>
      </c>
      <c r="N33" s="520" t="str">
        <f>IF($B33="","",IF(ALLTHESAME=TRUE,Cotations!$BZ$4,Cotations!BZ18))</f>
        <v/>
      </c>
      <c r="O33" s="518" t="str">
        <f>IF($B33="","",IF(Cotations!$BA$6=0,((Calcul!AK18)*N33),Cotations!$Y$4*E33))</f>
        <v/>
      </c>
      <c r="P33" s="520">
        <v>0</v>
      </c>
      <c r="Q33" s="518" t="str">
        <f>IF($B33="","",Calcul!AG18*P33)</f>
        <v/>
      </c>
      <c r="R33" s="520" t="str">
        <f t="shared" ref="R33:R96" si="5">IF($B33="","",100%-L33)</f>
        <v/>
      </c>
      <c r="S33" s="518" t="str">
        <f>IF($B33="","",((Calcul!AS18*R33)+Calcul!AL18)*R33)</f>
        <v/>
      </c>
      <c r="T33" s="520" t="str">
        <f>IF($B33="","",Cotations!CA18)</f>
        <v/>
      </c>
      <c r="U33" s="518" t="str">
        <f>IF($B33="","",(Calcul!AT18+Calcul!AL18)*T33)</f>
        <v/>
      </c>
      <c r="V33" s="520">
        <v>0</v>
      </c>
      <c r="W33" s="518" t="str">
        <f>IF($B33="","",Calcul!AG18*V33)</f>
        <v/>
      </c>
      <c r="X33" s="524" t="str">
        <f t="shared" si="3"/>
        <v/>
      </c>
      <c r="AE33" s="11"/>
      <c r="AF33" s="520" t="str">
        <f t="shared" si="4"/>
        <v/>
      </c>
      <c r="AG33" s="518" t="s">
        <v>2231</v>
      </c>
      <c r="AH33" s="11"/>
      <c r="AI33" s="520" t="str">
        <f t="shared" si="0"/>
        <v/>
      </c>
      <c r="AJ33" s="518" t="str">
        <f>IF($B33="","",SUM(#REF!)*AI33)</f>
        <v/>
      </c>
      <c r="AL33" s="518" t="str">
        <f t="shared" si="1"/>
        <v/>
      </c>
    </row>
    <row r="34" spans="1:38" ht="24.95" hidden="1" customHeight="1">
      <c r="A34" s="11" t="str">
        <f>IF(Cotations!C19=FALSE,"",Cotations!D19)</f>
        <v/>
      </c>
      <c r="B34" s="11" t="str">
        <f>IF(Cotations!C19=FALSE,"",Cotations!F19)</f>
        <v/>
      </c>
      <c r="C34" s="11" t="str">
        <f>IF($B34="","",IF(LISTES!$A$17=3,Crewlist!G19,Detail!L19))</f>
        <v/>
      </c>
      <c r="D34" s="11" t="str">
        <f>IF($B34="","",Cotations!H19)</f>
        <v/>
      </c>
      <c r="E34" s="17" t="str">
        <f>IF($B34="","",Cotations!O19)</f>
        <v/>
      </c>
      <c r="F34" s="17" t="str">
        <f>IF($B34="","",Cotations!M19)</f>
        <v/>
      </c>
      <c r="G34" s="17" t="str">
        <f>IF($B34="","",Cotations!T19)</f>
        <v/>
      </c>
      <c r="H34" s="17" t="str">
        <f>IF($B34="","",Calcul!X19)</f>
        <v/>
      </c>
      <c r="I34" s="11" t="str">
        <f>IF($B34="","",Calcul!EE19)</f>
        <v/>
      </c>
      <c r="J34" s="11" t="str">
        <f>IF($B34="","",Calcul!IE19)</f>
        <v/>
      </c>
      <c r="K34" s="16" t="str">
        <f>IF($B34="","",Calcul!AH19)</f>
        <v/>
      </c>
      <c r="L34" s="520" t="str">
        <f>IF($B34="","",IF(ALLTHESAME=TRUE,Cotations!$AP$4,Cotations!AP19))</f>
        <v/>
      </c>
      <c r="M34" s="518" t="str">
        <f>IF($B34="","",(Calcul!AJ19+Calcul!AQ19)*L34)</f>
        <v/>
      </c>
      <c r="N34" s="520" t="str">
        <f>IF($B34="","",IF(ALLTHESAME=TRUE,Cotations!$BZ$4,Cotations!BZ19))</f>
        <v/>
      </c>
      <c r="O34" s="518" t="str">
        <f>IF($B34="","",IF(Cotations!$BA$6=0,((Calcul!AK19)*N34),Cotations!$Y$4*E34))</f>
        <v/>
      </c>
      <c r="P34" s="520">
        <v>0</v>
      </c>
      <c r="Q34" s="518" t="str">
        <f>IF($B34="","",Calcul!AG19*P34)</f>
        <v/>
      </c>
      <c r="R34" s="520" t="str">
        <f t="shared" si="5"/>
        <v/>
      </c>
      <c r="S34" s="518" t="str">
        <f>IF($B34="","",((Calcul!AS19*R34)+Calcul!AL19)*R34)</f>
        <v/>
      </c>
      <c r="T34" s="520" t="str">
        <f>IF($B34="","",Cotations!CA19)</f>
        <v/>
      </c>
      <c r="U34" s="518" t="str">
        <f>IF($B34="","",(Calcul!AT19+Calcul!AL19)*T34)</f>
        <v/>
      </c>
      <c r="V34" s="520">
        <v>0</v>
      </c>
      <c r="W34" s="518" t="str">
        <f>IF($B34="","",Calcul!AG19*V34)</f>
        <v/>
      </c>
      <c r="X34" s="524" t="str">
        <f t="shared" si="3"/>
        <v/>
      </c>
      <c r="AE34" s="11"/>
      <c r="AF34" s="520" t="str">
        <f t="shared" si="4"/>
        <v/>
      </c>
      <c r="AG34" s="518" t="s">
        <v>2231</v>
      </c>
      <c r="AH34" s="11"/>
      <c r="AI34" s="520" t="str">
        <f t="shared" si="0"/>
        <v/>
      </c>
      <c r="AJ34" s="518" t="str">
        <f>IF($B34="","",SUM(#REF!)*AI34)</f>
        <v/>
      </c>
      <c r="AL34" s="518" t="str">
        <f t="shared" si="1"/>
        <v/>
      </c>
    </row>
    <row r="35" spans="1:38" ht="24.95" hidden="1" customHeight="1">
      <c r="A35" s="11" t="str">
        <f>IF(Cotations!C20=FALSE,"",Cotations!D20)</f>
        <v/>
      </c>
      <c r="B35" s="11" t="str">
        <f>IF(Cotations!C20=FALSE,"",Cotations!F20)</f>
        <v/>
      </c>
      <c r="C35" s="11" t="str">
        <f>IF($B35="","",IF(LISTES!$A$17=3,Crewlist!G20,Detail!L20))</f>
        <v/>
      </c>
      <c r="D35" s="11" t="str">
        <f>IF($B35="","",Cotations!H20)</f>
        <v/>
      </c>
      <c r="E35" s="17" t="str">
        <f>IF($B35="","",Cotations!O20)</f>
        <v/>
      </c>
      <c r="F35" s="17" t="str">
        <f>IF($B35="","",Cotations!M20)</f>
        <v/>
      </c>
      <c r="G35" s="17" t="str">
        <f>IF($B35="","",Cotations!T20)</f>
        <v/>
      </c>
      <c r="H35" s="17" t="str">
        <f>IF($B35="","",Calcul!X20)</f>
        <v/>
      </c>
      <c r="I35" s="11" t="str">
        <f>IF($B35="","",Calcul!EE20)</f>
        <v/>
      </c>
      <c r="J35" s="11" t="str">
        <f>IF($B35="","",Calcul!IE20)</f>
        <v/>
      </c>
      <c r="K35" s="16" t="str">
        <f>IF($B35="","",Calcul!AH20)</f>
        <v/>
      </c>
      <c r="L35" s="520" t="str">
        <f>IF($B35="","",IF(ALLTHESAME=TRUE,Cotations!$AP$4,Cotations!AP20))</f>
        <v/>
      </c>
      <c r="M35" s="518" t="str">
        <f>IF($B35="","",(Calcul!AJ20+Calcul!AQ20)*L35)</f>
        <v/>
      </c>
      <c r="N35" s="520" t="str">
        <f>IF($B35="","",IF(ALLTHESAME=TRUE,Cotations!$BZ$4,Cotations!BZ20))</f>
        <v/>
      </c>
      <c r="O35" s="518" t="str">
        <f>IF($B35="","",IF(Cotations!$BA$6=0,((Calcul!AK20)*N35),Cotations!$Y$4*E35))</f>
        <v/>
      </c>
      <c r="P35" s="520">
        <v>0</v>
      </c>
      <c r="Q35" s="518" t="str">
        <f>IF($B35="","",Calcul!AG20*P35)</f>
        <v/>
      </c>
      <c r="R35" s="520" t="str">
        <f t="shared" si="5"/>
        <v/>
      </c>
      <c r="S35" s="518" t="str">
        <f>IF($B35="","",((Calcul!AS20*R35)+Calcul!AL20)*R35)</f>
        <v/>
      </c>
      <c r="T35" s="520" t="str">
        <f>IF($B35="","",Cotations!CA20)</f>
        <v/>
      </c>
      <c r="U35" s="518" t="str">
        <f>IF($B35="","",(Calcul!AT20+Calcul!AL20)*T35)</f>
        <v/>
      </c>
      <c r="V35" s="520">
        <v>0</v>
      </c>
      <c r="W35" s="518" t="str">
        <f>IF($B35="","",Calcul!AG20*V35)</f>
        <v/>
      </c>
      <c r="X35" s="524" t="str">
        <f t="shared" si="3"/>
        <v/>
      </c>
      <c r="AE35" s="11"/>
      <c r="AF35" s="520" t="str">
        <f t="shared" si="4"/>
        <v/>
      </c>
      <c r="AG35" s="518" t="s">
        <v>2231</v>
      </c>
      <c r="AH35" s="11"/>
      <c r="AI35" s="520" t="str">
        <f t="shared" si="0"/>
        <v/>
      </c>
      <c r="AJ35" s="518" t="str">
        <f>IF($B35="","",SUM(#REF!)*AI35)</f>
        <v/>
      </c>
      <c r="AL35" s="518" t="str">
        <f t="shared" si="1"/>
        <v/>
      </c>
    </row>
    <row r="36" spans="1:38" ht="24.95" hidden="1" customHeight="1">
      <c r="A36" s="11" t="str">
        <f>IF(Cotations!C21=FALSE,"",Cotations!D21)</f>
        <v/>
      </c>
      <c r="B36" s="11" t="str">
        <f>IF(Cotations!C21=FALSE,"",Cotations!F21)</f>
        <v/>
      </c>
      <c r="C36" s="11" t="str">
        <f>IF($B36="","",IF(LISTES!$A$17=3,Crewlist!G21,Detail!L21))</f>
        <v/>
      </c>
      <c r="D36" s="11" t="str">
        <f>IF($B36="","",Cotations!H21)</f>
        <v/>
      </c>
      <c r="E36" s="17" t="str">
        <f>IF($B36="","",Cotations!O21)</f>
        <v/>
      </c>
      <c r="F36" s="17" t="str">
        <f>IF($B36="","",Cotations!M21)</f>
        <v/>
      </c>
      <c r="G36" s="17" t="str">
        <f>IF($B36="","",Cotations!T21)</f>
        <v/>
      </c>
      <c r="H36" s="17" t="str">
        <f>IF($B36="","",Calcul!X21)</f>
        <v/>
      </c>
      <c r="I36" s="11" t="str">
        <f>IF($B36="","",Calcul!EE21)</f>
        <v/>
      </c>
      <c r="J36" s="11" t="str">
        <f>IF($B36="","",Calcul!IE21)</f>
        <v/>
      </c>
      <c r="K36" s="16" t="str">
        <f>IF($B36="","",Calcul!AH21)</f>
        <v/>
      </c>
      <c r="L36" s="520" t="str">
        <f>IF($B36="","",IF(ALLTHESAME=TRUE,Cotations!$AP$4,Cotations!AP21))</f>
        <v/>
      </c>
      <c r="M36" s="518" t="str">
        <f>IF($B36="","",(Calcul!AJ21+Calcul!AQ21)*L36)</f>
        <v/>
      </c>
      <c r="N36" s="520" t="str">
        <f>IF($B36="","",IF(ALLTHESAME=TRUE,Cotations!$BZ$4,Cotations!BZ21))</f>
        <v/>
      </c>
      <c r="O36" s="518" t="str">
        <f>IF($B36="","",IF(Cotations!$BA$6=0,((Calcul!AK21)*N36),Cotations!$Y$4*E36))</f>
        <v/>
      </c>
      <c r="P36" s="520">
        <v>0</v>
      </c>
      <c r="Q36" s="518" t="str">
        <f>IF($B36="","",Calcul!AG21*P36)</f>
        <v/>
      </c>
      <c r="R36" s="520" t="str">
        <f t="shared" si="5"/>
        <v/>
      </c>
      <c r="S36" s="518" t="str">
        <f>IF($B36="","",((Calcul!AS21*R36)+Calcul!AL21)*R36)</f>
        <v/>
      </c>
      <c r="T36" s="520" t="str">
        <f>IF($B36="","",Cotations!CA21)</f>
        <v/>
      </c>
      <c r="U36" s="518" t="str">
        <f>IF($B36="","",(Calcul!AT21+Calcul!AL21)*T36)</f>
        <v/>
      </c>
      <c r="V36" s="520">
        <v>0</v>
      </c>
      <c r="W36" s="518" t="str">
        <f>IF($B36="","",Calcul!AG21*V36)</f>
        <v/>
      </c>
      <c r="X36" s="524" t="str">
        <f t="shared" si="3"/>
        <v/>
      </c>
      <c r="AE36" s="11"/>
      <c r="AF36" s="520" t="str">
        <f t="shared" si="4"/>
        <v/>
      </c>
      <c r="AG36" s="518" t="s">
        <v>2231</v>
      </c>
      <c r="AH36" s="11"/>
      <c r="AI36" s="520" t="str">
        <f t="shared" si="0"/>
        <v/>
      </c>
      <c r="AJ36" s="518" t="str">
        <f>IF($B36="","",SUM(#REF!)*AI36)</f>
        <v/>
      </c>
      <c r="AL36" s="518" t="str">
        <f t="shared" si="1"/>
        <v/>
      </c>
    </row>
    <row r="37" spans="1:38" ht="24.95" hidden="1" customHeight="1">
      <c r="A37" s="11" t="str">
        <f>IF(Cotations!C22=FALSE,"",Cotations!D22)</f>
        <v/>
      </c>
      <c r="B37" s="11" t="str">
        <f>IF(Cotations!C22=FALSE,"",Cotations!F22)</f>
        <v/>
      </c>
      <c r="C37" s="11" t="str">
        <f>IF($B37="","",IF(LISTES!$A$17=3,Crewlist!G22,Detail!L22))</f>
        <v/>
      </c>
      <c r="D37" s="11" t="str">
        <f>IF($B37="","",Cotations!H22)</f>
        <v/>
      </c>
      <c r="E37" s="17" t="str">
        <f>IF($B37="","",Cotations!O22)</f>
        <v/>
      </c>
      <c r="F37" s="17" t="str">
        <f>IF($B37="","",Cotations!M22)</f>
        <v/>
      </c>
      <c r="G37" s="17" t="str">
        <f>IF($B37="","",Cotations!T22)</f>
        <v/>
      </c>
      <c r="H37" s="17" t="str">
        <f>IF($B37="","",Calcul!X22)</f>
        <v/>
      </c>
      <c r="I37" s="11" t="str">
        <f>IF($B37="","",Calcul!EE22)</f>
        <v/>
      </c>
      <c r="J37" s="11" t="str">
        <f>IF($B37="","",Calcul!IE22)</f>
        <v/>
      </c>
      <c r="K37" s="16" t="str">
        <f>IF($B37="","",Calcul!AH22)</f>
        <v/>
      </c>
      <c r="L37" s="520" t="str">
        <f>IF($B37="","",IF(ALLTHESAME=TRUE,Cotations!$AP$4,Cotations!AP22))</f>
        <v/>
      </c>
      <c r="M37" s="518" t="str">
        <f>IF($B37="","",(Calcul!AJ22+Calcul!AQ22)*L37)</f>
        <v/>
      </c>
      <c r="N37" s="520" t="str">
        <f>IF($B37="","",IF(ALLTHESAME=TRUE,Cotations!$BZ$4,Cotations!BZ22))</f>
        <v/>
      </c>
      <c r="O37" s="518" t="str">
        <f>IF($B37="","",IF(Cotations!$BA$6=0,((Calcul!AK22)*N37),Cotations!$Y$4*E37))</f>
        <v/>
      </c>
      <c r="P37" s="520">
        <v>0</v>
      </c>
      <c r="Q37" s="518" t="str">
        <f>IF($B37="","",Calcul!AG22*P37)</f>
        <v/>
      </c>
      <c r="R37" s="520" t="str">
        <f t="shared" si="5"/>
        <v/>
      </c>
      <c r="S37" s="518" t="str">
        <f>IF($B37="","",((Calcul!AS22*R37)+Calcul!AL22)*R37)</f>
        <v/>
      </c>
      <c r="T37" s="520" t="str">
        <f>IF($B37="","",Cotations!CA22)</f>
        <v/>
      </c>
      <c r="U37" s="518" t="str">
        <f>IF($B37="","",(Calcul!AT22+Calcul!AL22)*T37)</f>
        <v/>
      </c>
      <c r="V37" s="520">
        <v>0</v>
      </c>
      <c r="W37" s="518" t="str">
        <f>IF($B37="","",Calcul!AG22*V37)</f>
        <v/>
      </c>
      <c r="X37" s="524" t="str">
        <f t="shared" si="3"/>
        <v/>
      </c>
      <c r="AE37" s="11"/>
      <c r="AF37" s="520" t="str">
        <f t="shared" si="4"/>
        <v/>
      </c>
      <c r="AG37" s="518" t="s">
        <v>2231</v>
      </c>
      <c r="AH37" s="11"/>
      <c r="AI37" s="520" t="str">
        <f t="shared" si="0"/>
        <v/>
      </c>
      <c r="AJ37" s="518" t="str">
        <f>IF($B37="","",SUM(#REF!)*AI37)</f>
        <v/>
      </c>
      <c r="AL37" s="518" t="str">
        <f t="shared" si="1"/>
        <v/>
      </c>
    </row>
    <row r="38" spans="1:38" ht="24.95" hidden="1" customHeight="1">
      <c r="A38" s="11" t="str">
        <f>IF(Cotations!C23=FALSE,"",Cotations!D23)</f>
        <v/>
      </c>
      <c r="B38" s="11" t="str">
        <f>IF(Cotations!C23=FALSE,"",Cotations!F23)</f>
        <v/>
      </c>
      <c r="C38" s="11" t="str">
        <f>IF($B38="","",IF(LISTES!$A$17=3,Crewlist!G23,Detail!L23))</f>
        <v/>
      </c>
      <c r="D38" s="11" t="str">
        <f>IF($B38="","",Cotations!H23)</f>
        <v/>
      </c>
      <c r="E38" s="17" t="str">
        <f>IF($B38="","",Cotations!O23)</f>
        <v/>
      </c>
      <c r="F38" s="17" t="str">
        <f>IF($B38="","",Cotations!M23)</f>
        <v/>
      </c>
      <c r="G38" s="17" t="str">
        <f>IF($B38="","",Cotations!T23)</f>
        <v/>
      </c>
      <c r="H38" s="17" t="str">
        <f>IF($B38="","",Calcul!X23)</f>
        <v/>
      </c>
      <c r="I38" s="11" t="str">
        <f>IF($B38="","",Calcul!EE23)</f>
        <v/>
      </c>
      <c r="J38" s="11" t="str">
        <f>IF($B38="","",Calcul!IE23)</f>
        <v/>
      </c>
      <c r="K38" s="16" t="str">
        <f>IF($B38="","",Calcul!AH23)</f>
        <v/>
      </c>
      <c r="L38" s="520" t="str">
        <f>IF($B38="","",IF(ALLTHESAME=TRUE,Cotations!$AP$4,Cotations!AP23))</f>
        <v/>
      </c>
      <c r="M38" s="518" t="str">
        <f>IF($B38="","",(Calcul!AJ23+Calcul!AQ23)*L38)</f>
        <v/>
      </c>
      <c r="N38" s="520" t="str">
        <f>IF($B38="","",IF(ALLTHESAME=TRUE,Cotations!$BZ$4,Cotations!BZ23))</f>
        <v/>
      </c>
      <c r="O38" s="518" t="str">
        <f>IF($B38="","",IF(Cotations!$BA$6=0,((Calcul!AK23)*N38),Cotations!$Y$4*E38))</f>
        <v/>
      </c>
      <c r="P38" s="520">
        <v>0</v>
      </c>
      <c r="Q38" s="518" t="str">
        <f>IF($B38="","",Calcul!AG23*P38)</f>
        <v/>
      </c>
      <c r="R38" s="520" t="str">
        <f t="shared" si="5"/>
        <v/>
      </c>
      <c r="S38" s="518" t="str">
        <f>IF($B38="","",((Calcul!AS23*R38)+Calcul!AL23)*R38)</f>
        <v/>
      </c>
      <c r="T38" s="520" t="str">
        <f>IF($B38="","",Cotations!CA23)</f>
        <v/>
      </c>
      <c r="U38" s="518" t="str">
        <f>IF($B38="","",(Calcul!AT23+Calcul!AL23)*T38)</f>
        <v/>
      </c>
      <c r="V38" s="520">
        <v>0</v>
      </c>
      <c r="W38" s="518" t="str">
        <f>IF($B38="","",Calcul!AG23*V38)</f>
        <v/>
      </c>
      <c r="X38" s="524" t="str">
        <f t="shared" si="3"/>
        <v/>
      </c>
      <c r="AE38" s="11"/>
      <c r="AF38" s="520" t="str">
        <f t="shared" si="4"/>
        <v/>
      </c>
      <c r="AG38" s="518" t="s">
        <v>2231</v>
      </c>
      <c r="AH38" s="11"/>
      <c r="AI38" s="520" t="str">
        <f t="shared" si="0"/>
        <v/>
      </c>
      <c r="AJ38" s="518" t="str">
        <f>IF($B38="","",SUM(#REF!)*AI38)</f>
        <v/>
      </c>
      <c r="AL38" s="518" t="str">
        <f t="shared" si="1"/>
        <v/>
      </c>
    </row>
    <row r="39" spans="1:38" ht="24.95" hidden="1" customHeight="1">
      <c r="A39" s="11" t="str">
        <f>IF(Cotations!C24=FALSE,"",Cotations!D24)</f>
        <v/>
      </c>
      <c r="B39" s="11" t="str">
        <f>IF(Cotations!C24=FALSE,"",Cotations!F24)</f>
        <v/>
      </c>
      <c r="C39" s="11" t="str">
        <f>IF($B39="","",IF(LISTES!$A$17=3,Crewlist!G24,Detail!L24))</f>
        <v/>
      </c>
      <c r="D39" s="11" t="str">
        <f>IF($B39="","",Cotations!H24)</f>
        <v/>
      </c>
      <c r="E39" s="17" t="str">
        <f>IF($B39="","",Cotations!O24)</f>
        <v/>
      </c>
      <c r="F39" s="17" t="str">
        <f>IF($B39="","",Cotations!M24)</f>
        <v/>
      </c>
      <c r="G39" s="17" t="str">
        <f>IF($B39="","",Cotations!T24)</f>
        <v/>
      </c>
      <c r="H39" s="17" t="str">
        <f>IF($B39="","",Calcul!X24)</f>
        <v/>
      </c>
      <c r="I39" s="11" t="str">
        <f>IF($B39="","",Calcul!EE24)</f>
        <v/>
      </c>
      <c r="J39" s="11" t="str">
        <f>IF($B39="","",Calcul!IE24)</f>
        <v/>
      </c>
      <c r="K39" s="16" t="str">
        <f>IF($B39="","",Calcul!AH24)</f>
        <v/>
      </c>
      <c r="L39" s="520" t="str">
        <f>IF($B39="","",IF(ALLTHESAME=TRUE,Cotations!$AP$4,Cotations!AP24))</f>
        <v/>
      </c>
      <c r="M39" s="518" t="str">
        <f>IF($B39="","",(Calcul!AJ24+Calcul!AQ24)*L39)</f>
        <v/>
      </c>
      <c r="N39" s="520" t="str">
        <f>IF($B39="","",IF(ALLTHESAME=TRUE,Cotations!$BZ$4,Cotations!BZ24))</f>
        <v/>
      </c>
      <c r="O39" s="518" t="str">
        <f>IF($B39="","",IF(Cotations!$BA$6=0,((Calcul!AK24)*N39),Cotations!$Y$4*E39))</f>
        <v/>
      </c>
      <c r="P39" s="520">
        <v>0</v>
      </c>
      <c r="Q39" s="518" t="str">
        <f>IF($B39="","",Calcul!AG24*P39)</f>
        <v/>
      </c>
      <c r="R39" s="520" t="str">
        <f t="shared" si="5"/>
        <v/>
      </c>
      <c r="S39" s="518" t="str">
        <f>IF($B39="","",((Calcul!AS24*R39)+Calcul!AL24)*R39)</f>
        <v/>
      </c>
      <c r="T39" s="520" t="str">
        <f>IF($B39="","",Cotations!CA24)</f>
        <v/>
      </c>
      <c r="U39" s="518" t="str">
        <f>IF($B39="","",(Calcul!AT24+Calcul!AL24)*T39)</f>
        <v/>
      </c>
      <c r="V39" s="520">
        <v>0</v>
      </c>
      <c r="W39" s="518" t="str">
        <f>IF($B39="","",Calcul!AG24*V39)</f>
        <v/>
      </c>
      <c r="X39" s="524" t="str">
        <f t="shared" si="3"/>
        <v/>
      </c>
      <c r="AE39" s="11"/>
      <c r="AF39" s="520" t="str">
        <f t="shared" si="4"/>
        <v/>
      </c>
      <c r="AG39" s="518" t="s">
        <v>2231</v>
      </c>
      <c r="AH39" s="11"/>
      <c r="AI39" s="520" t="str">
        <f t="shared" si="0"/>
        <v/>
      </c>
      <c r="AJ39" s="518" t="str">
        <f>IF($B39="","",SUM(#REF!)*AI39)</f>
        <v/>
      </c>
      <c r="AL39" s="518" t="str">
        <f t="shared" si="1"/>
        <v/>
      </c>
    </row>
    <row r="40" spans="1:38" ht="24.95" hidden="1" customHeight="1">
      <c r="A40" s="11" t="str">
        <f>IF(Cotations!C25=FALSE,"",Cotations!D25)</f>
        <v/>
      </c>
      <c r="B40" s="11" t="str">
        <f>IF(Cotations!C25=FALSE,"",Cotations!F25)</f>
        <v/>
      </c>
      <c r="C40" s="11" t="str">
        <f>IF($B40="","",IF(LISTES!$A$17=3,Crewlist!G25,Detail!L25))</f>
        <v/>
      </c>
      <c r="D40" s="11" t="str">
        <f>IF($B40="","",Cotations!H25)</f>
        <v/>
      </c>
      <c r="E40" s="17" t="str">
        <f>IF($B40="","",Cotations!O25)</f>
        <v/>
      </c>
      <c r="F40" s="17" t="str">
        <f>IF($B40="","",Cotations!M25)</f>
        <v/>
      </c>
      <c r="G40" s="17" t="str">
        <f>IF($B40="","",Cotations!T25)</f>
        <v/>
      </c>
      <c r="H40" s="17" t="str">
        <f>IF($B40="","",Calcul!X25)</f>
        <v/>
      </c>
      <c r="I40" s="11" t="str">
        <f>IF($B40="","",Calcul!EE25)</f>
        <v/>
      </c>
      <c r="J40" s="11" t="str">
        <f>IF($B40="","",Calcul!IE25)</f>
        <v/>
      </c>
      <c r="K40" s="16" t="str">
        <f>IF($B40="","",Calcul!AH25)</f>
        <v/>
      </c>
      <c r="L40" s="520" t="str">
        <f>IF($B40="","",IF(ALLTHESAME=TRUE,Cotations!$AP$4,Cotations!AP25))</f>
        <v/>
      </c>
      <c r="M40" s="518" t="str">
        <f>IF($B40="","",(Calcul!AJ25+Calcul!AQ25)*L40)</f>
        <v/>
      </c>
      <c r="N40" s="520" t="str">
        <f>IF($B40="","",IF(ALLTHESAME=TRUE,Cotations!$BZ$4,Cotations!BZ25))</f>
        <v/>
      </c>
      <c r="O40" s="518" t="str">
        <f>IF($B40="","",IF(Cotations!$BA$6=0,((Calcul!AK25)*N40),Cotations!$Y$4*E40))</f>
        <v/>
      </c>
      <c r="P40" s="520">
        <v>0</v>
      </c>
      <c r="Q40" s="518" t="str">
        <f>IF($B40="","",Calcul!X25*P40)</f>
        <v/>
      </c>
      <c r="R40" s="520" t="str">
        <f t="shared" si="5"/>
        <v/>
      </c>
      <c r="S40" s="518" t="str">
        <f>IF($B40="","",((Calcul!AS25*R40)+Calcul!AL25)*R40)</f>
        <v/>
      </c>
      <c r="T40" s="520" t="str">
        <f>IF($B40="","",Cotations!CA25)</f>
        <v/>
      </c>
      <c r="U40" s="518" t="str">
        <f>IF($B40="","",(Calcul!AT25+Calcul!AL25)*T40)</f>
        <v/>
      </c>
      <c r="V40" s="520">
        <v>0</v>
      </c>
      <c r="W40" s="518" t="str">
        <f>IF($B40="","",Calcul!X25*V40)</f>
        <v/>
      </c>
      <c r="X40" s="524" t="str">
        <f t="shared" si="3"/>
        <v/>
      </c>
      <c r="AE40" s="11"/>
      <c r="AF40" s="520" t="str">
        <f t="shared" si="4"/>
        <v/>
      </c>
      <c r="AG40" s="518" t="s">
        <v>2231</v>
      </c>
      <c r="AH40" s="11"/>
      <c r="AI40" s="520" t="str">
        <f t="shared" si="0"/>
        <v/>
      </c>
      <c r="AJ40" s="518" t="str">
        <f>IF($B40="","",SUM(#REF!)*AI40)</f>
        <v/>
      </c>
      <c r="AL40" s="518" t="str">
        <f t="shared" si="1"/>
        <v/>
      </c>
    </row>
    <row r="41" spans="1:38" ht="24.95" hidden="1" customHeight="1">
      <c r="A41" s="11" t="str">
        <f>IF(Cotations!C26=FALSE,"",Cotations!D26)</f>
        <v/>
      </c>
      <c r="B41" s="11" t="str">
        <f>IF(Cotations!C26=FALSE,"",Cotations!F26)</f>
        <v/>
      </c>
      <c r="C41" s="11" t="str">
        <f>IF($B41="","",IF(LISTES!$A$17=3,Crewlist!G26,Detail!L26))</f>
        <v/>
      </c>
      <c r="D41" s="11" t="str">
        <f>IF($B41="","",Cotations!H26)</f>
        <v/>
      </c>
      <c r="E41" s="17" t="str">
        <f>IF($B41="","",Cotations!O26)</f>
        <v/>
      </c>
      <c r="F41" s="17" t="str">
        <f>IF($B41="","",Cotations!M26)</f>
        <v/>
      </c>
      <c r="G41" s="17" t="str">
        <f>IF($B41="","",Cotations!T26)</f>
        <v/>
      </c>
      <c r="H41" s="17" t="str">
        <f>IF($B41="","",Calcul!X26)</f>
        <v/>
      </c>
      <c r="I41" s="11" t="str">
        <f>IF($B41="","",Calcul!EE26)</f>
        <v/>
      </c>
      <c r="J41" s="11" t="str">
        <f>IF($B41="","",Calcul!IE26)</f>
        <v/>
      </c>
      <c r="K41" s="16" t="str">
        <f>IF($B41="","",Calcul!AH26)</f>
        <v/>
      </c>
      <c r="L41" s="520" t="str">
        <f>IF($B41="","",IF(ALLTHESAME=TRUE,Cotations!$AP$4,Cotations!AP26))</f>
        <v/>
      </c>
      <c r="M41" s="518" t="str">
        <f>IF($B41="","",(Calcul!AJ26+Calcul!AQ26)*L41)</f>
        <v/>
      </c>
      <c r="N41" s="520" t="str">
        <f>IF($B41="","",IF(ALLTHESAME=TRUE,Cotations!$BZ$4,Cotations!BZ26))</f>
        <v/>
      </c>
      <c r="O41" s="518" t="str">
        <f>IF($B41="","",IF(Cotations!$BA$6=0,((Calcul!AK26)*N41),Cotations!$Y$4*E41))</f>
        <v/>
      </c>
      <c r="P41" s="520">
        <v>0</v>
      </c>
      <c r="Q41" s="518" t="str">
        <f>IF($B41="","",Calcul!X26*P41)</f>
        <v/>
      </c>
      <c r="R41" s="520" t="str">
        <f t="shared" si="5"/>
        <v/>
      </c>
      <c r="S41" s="518" t="str">
        <f>IF($B41="","",((Calcul!AS26*R41)+Calcul!AL26)*R41)</f>
        <v/>
      </c>
      <c r="T41" s="520" t="str">
        <f>IF($B41="","",Cotations!CA26)</f>
        <v/>
      </c>
      <c r="U41" s="518" t="str">
        <f>IF($B41="","",(Calcul!AT26+Calcul!AL26)*T41)</f>
        <v/>
      </c>
      <c r="V41" s="520">
        <v>0</v>
      </c>
      <c r="W41" s="518" t="str">
        <f>IF($B41="","",Calcul!X26*V41)</f>
        <v/>
      </c>
      <c r="X41" s="524" t="str">
        <f t="shared" si="3"/>
        <v/>
      </c>
      <c r="AE41" s="11"/>
      <c r="AF41" s="520" t="str">
        <f t="shared" si="4"/>
        <v/>
      </c>
      <c r="AG41" s="518" t="s">
        <v>2231</v>
      </c>
      <c r="AH41" s="11"/>
      <c r="AI41" s="520" t="str">
        <f t="shared" si="0"/>
        <v/>
      </c>
      <c r="AJ41" s="518" t="str">
        <f>IF($B41="","",SUM(#REF!)*AI41)</f>
        <v/>
      </c>
      <c r="AL41" s="518" t="str">
        <f t="shared" si="1"/>
        <v/>
      </c>
    </row>
    <row r="42" spans="1:38" ht="24.95" hidden="1" customHeight="1">
      <c r="A42" s="11" t="str">
        <f>IF(Cotations!C27=FALSE,"",Cotations!D27)</f>
        <v/>
      </c>
      <c r="B42" s="11" t="str">
        <f>IF(Cotations!C27=FALSE,"",Cotations!F27)</f>
        <v/>
      </c>
      <c r="C42" s="11" t="str">
        <f>IF($B42="","",IF(LISTES!$A$17=3,Crewlist!G27,Detail!L27))</f>
        <v/>
      </c>
      <c r="D42" s="11" t="str">
        <f>IF($B42="","",Cotations!H27)</f>
        <v/>
      </c>
      <c r="E42" s="17" t="str">
        <f>IF($B42="","",Cotations!O27)</f>
        <v/>
      </c>
      <c r="F42" s="17" t="str">
        <f>IF($B42="","",Cotations!M27)</f>
        <v/>
      </c>
      <c r="G42" s="17" t="str">
        <f>IF($B42="","",Cotations!T27)</f>
        <v/>
      </c>
      <c r="H42" s="17" t="str">
        <f>IF($B42="","",Calcul!X27)</f>
        <v/>
      </c>
      <c r="I42" s="11" t="str">
        <f>IF($B42="","",Calcul!EE27)</f>
        <v/>
      </c>
      <c r="J42" s="11" t="str">
        <f>IF($B42="","",Calcul!IE27)</f>
        <v/>
      </c>
      <c r="K42" s="16" t="str">
        <f>IF($B42="","",Calcul!AH27)</f>
        <v/>
      </c>
      <c r="L42" s="520" t="str">
        <f>IF($B42="","",IF(ALLTHESAME=TRUE,Cotations!$AP$4,Cotations!AP27))</f>
        <v/>
      </c>
      <c r="M42" s="518" t="str">
        <f>IF($B42="","",(Calcul!AJ27+Calcul!AQ27)*L42)</f>
        <v/>
      </c>
      <c r="N42" s="520" t="str">
        <f>IF($B42="","",IF(ALLTHESAME=TRUE,Cotations!$BZ$4,Cotations!BZ27))</f>
        <v/>
      </c>
      <c r="O42" s="518" t="str">
        <f>IF($B42="","",IF(Cotations!$BA$6=0,((Calcul!AK27)*N42),Cotations!$Y$4*E42))</f>
        <v/>
      </c>
      <c r="P42" s="520">
        <v>0</v>
      </c>
      <c r="Q42" s="518" t="str">
        <f>IF($B42="","",Calcul!X27*P42)</f>
        <v/>
      </c>
      <c r="R42" s="520" t="str">
        <f t="shared" si="5"/>
        <v/>
      </c>
      <c r="S42" s="518" t="str">
        <f>IF($B42="","",((Calcul!AS27*R42)+Calcul!AL27)*R42)</f>
        <v/>
      </c>
      <c r="T42" s="520" t="str">
        <f>IF($B42="","",Cotations!CA27)</f>
        <v/>
      </c>
      <c r="U42" s="518" t="str">
        <f>IF($B42="","",(Calcul!AT27+Calcul!AL27)*T42)</f>
        <v/>
      </c>
      <c r="V42" s="520">
        <v>0</v>
      </c>
      <c r="W42" s="518" t="str">
        <f>IF($B42="","",Calcul!X27*V42)</f>
        <v/>
      </c>
      <c r="X42" s="524" t="str">
        <f t="shared" si="3"/>
        <v/>
      </c>
      <c r="AE42" s="11"/>
      <c r="AF42" s="520" t="str">
        <f t="shared" si="4"/>
        <v/>
      </c>
      <c r="AG42" s="518" t="s">
        <v>2231</v>
      </c>
      <c r="AH42" s="11"/>
      <c r="AI42" s="520" t="str">
        <f t="shared" si="0"/>
        <v/>
      </c>
      <c r="AJ42" s="518" t="str">
        <f>IF($B42="","",SUM(#REF!)*AI42)</f>
        <v/>
      </c>
      <c r="AL42" s="518" t="str">
        <f t="shared" si="1"/>
        <v/>
      </c>
    </row>
    <row r="43" spans="1:38" ht="24.95" hidden="1" customHeight="1">
      <c r="A43" s="11" t="str">
        <f>IF(Cotations!C28=FALSE,"",Cotations!D28)</f>
        <v/>
      </c>
      <c r="B43" s="11" t="str">
        <f>IF(Cotations!C28=FALSE,"",Cotations!F28)</f>
        <v/>
      </c>
      <c r="C43" s="11" t="str">
        <f>IF($B43="","",IF(LISTES!$A$17=3,Crewlist!G28,Detail!L28))</f>
        <v/>
      </c>
      <c r="D43" s="11" t="str">
        <f>IF($B43="","",Cotations!H28)</f>
        <v/>
      </c>
      <c r="E43" s="17" t="str">
        <f>IF($B43="","",Cotations!O28)</f>
        <v/>
      </c>
      <c r="F43" s="17" t="str">
        <f>IF($B43="","",Cotations!M28)</f>
        <v/>
      </c>
      <c r="G43" s="17" t="str">
        <f>IF($B43="","",Cotations!T28)</f>
        <v/>
      </c>
      <c r="H43" s="17" t="str">
        <f>IF($B43="","",Calcul!X28)</f>
        <v/>
      </c>
      <c r="I43" s="11" t="str">
        <f>IF($B43="","",Calcul!EE28)</f>
        <v/>
      </c>
      <c r="J43" s="11" t="str">
        <f>IF($B43="","",Calcul!IE28)</f>
        <v/>
      </c>
      <c r="K43" s="16" t="str">
        <f>IF($B43="","",Calcul!AH28)</f>
        <v/>
      </c>
      <c r="L43" s="520" t="str">
        <f>IF($B43="","",IF(ALLTHESAME=TRUE,Cotations!$AP$4,Cotations!AP28))</f>
        <v/>
      </c>
      <c r="M43" s="518" t="str">
        <f>IF($B43="","",(Calcul!AJ28+Calcul!AQ28)*L43)</f>
        <v/>
      </c>
      <c r="N43" s="520" t="str">
        <f>IF($B43="","",IF(ALLTHESAME=TRUE,Cotations!$BZ$4,Cotations!BZ28))</f>
        <v/>
      </c>
      <c r="O43" s="518" t="str">
        <f>IF($B43="","",IF(Cotations!$BA$6=0,((Calcul!AK28)*N43),Cotations!$Y$4*E43))</f>
        <v/>
      </c>
      <c r="P43" s="520">
        <v>0</v>
      </c>
      <c r="Q43" s="518" t="str">
        <f>IF($B43="","",Calcul!X28*P43)</f>
        <v/>
      </c>
      <c r="R43" s="520" t="str">
        <f t="shared" si="5"/>
        <v/>
      </c>
      <c r="S43" s="518" t="str">
        <f>IF($B43="","",((Calcul!AS28*R43)+Calcul!AL28)*R43)</f>
        <v/>
      </c>
      <c r="T43" s="520" t="str">
        <f>IF($B43="","",Cotations!CA28)</f>
        <v/>
      </c>
      <c r="U43" s="518" t="str">
        <f>IF($B43="","",(Calcul!AT28+Calcul!AL28)*T43)</f>
        <v/>
      </c>
      <c r="V43" s="520">
        <v>0</v>
      </c>
      <c r="W43" s="518" t="str">
        <f>IF($B43="","",Calcul!X28*V43)</f>
        <v/>
      </c>
      <c r="X43" s="524" t="str">
        <f t="shared" si="3"/>
        <v/>
      </c>
      <c r="AE43" s="11"/>
      <c r="AF43" s="520" t="str">
        <f t="shared" si="4"/>
        <v/>
      </c>
      <c r="AG43" s="518" t="s">
        <v>2231</v>
      </c>
      <c r="AH43" s="11"/>
      <c r="AI43" s="520" t="str">
        <f t="shared" si="0"/>
        <v/>
      </c>
      <c r="AJ43" s="518" t="str">
        <f>IF($B43="","",SUM(#REF!)*AI43)</f>
        <v/>
      </c>
      <c r="AL43" s="518" t="str">
        <f t="shared" si="1"/>
        <v/>
      </c>
    </row>
    <row r="44" spans="1:38" ht="24.95" hidden="1" customHeight="1">
      <c r="A44" s="11" t="str">
        <f>IF(Cotations!C29=FALSE,"",Cotations!D29)</f>
        <v/>
      </c>
      <c r="B44" s="11" t="str">
        <f>IF(Cotations!C29=FALSE,"",Cotations!F29)</f>
        <v/>
      </c>
      <c r="C44" s="11" t="str">
        <f>IF($B44="","",IF(LISTES!$A$17=3,Crewlist!G29,Detail!L29))</f>
        <v/>
      </c>
      <c r="D44" s="11" t="str">
        <f>IF($B44="","",Cotations!H29)</f>
        <v/>
      </c>
      <c r="E44" s="17" t="str">
        <f>IF($B44="","",Cotations!O29)</f>
        <v/>
      </c>
      <c r="F44" s="17" t="str">
        <f>IF($B44="","",Cotations!M29)</f>
        <v/>
      </c>
      <c r="G44" s="17" t="str">
        <f>IF($B44="","",Cotations!T29)</f>
        <v/>
      </c>
      <c r="H44" s="17" t="str">
        <f>IF($B44="","",Calcul!X29)</f>
        <v/>
      </c>
      <c r="I44" s="11" t="str">
        <f>IF($B44="","",Calcul!EE29)</f>
        <v/>
      </c>
      <c r="J44" s="11" t="str">
        <f>IF($B44="","",Calcul!IE29)</f>
        <v/>
      </c>
      <c r="K44" s="16" t="str">
        <f>IF($B44="","",Calcul!AH29)</f>
        <v/>
      </c>
      <c r="L44" s="520" t="str">
        <f>IF($B44="","",IF(ALLTHESAME=TRUE,Cotations!$AP$4,Cotations!AP29))</f>
        <v/>
      </c>
      <c r="M44" s="518" t="str">
        <f>IF($B44="","",(Calcul!AJ29+Calcul!AQ29)*L44)</f>
        <v/>
      </c>
      <c r="N44" s="520" t="str">
        <f>IF($B44="","",IF(ALLTHESAME=TRUE,Cotations!$BZ$4,Cotations!BZ29))</f>
        <v/>
      </c>
      <c r="O44" s="518" t="str">
        <f>IF($B44="","",IF(Cotations!$BA$6=0,((Calcul!AK29)*N44),Cotations!$Y$4*E44))</f>
        <v/>
      </c>
      <c r="P44" s="520">
        <v>0</v>
      </c>
      <c r="Q44" s="518" t="str">
        <f>IF($B44="","",Calcul!X29*P44)</f>
        <v/>
      </c>
      <c r="R44" s="520" t="str">
        <f t="shared" si="5"/>
        <v/>
      </c>
      <c r="S44" s="518" t="str">
        <f>IF($B44="","",((Calcul!AS29*R44)+Calcul!AL29)*R44)</f>
        <v/>
      </c>
      <c r="T44" s="520" t="str">
        <f>IF($B44="","",Cotations!CA29)</f>
        <v/>
      </c>
      <c r="U44" s="518" t="str">
        <f>IF($B44="","",(Calcul!AT29+Calcul!AL29)*T44)</f>
        <v/>
      </c>
      <c r="V44" s="520">
        <v>0</v>
      </c>
      <c r="W44" s="518" t="str">
        <f>IF($B44="","",Calcul!X29*V44)</f>
        <v/>
      </c>
      <c r="X44" s="524" t="str">
        <f t="shared" si="3"/>
        <v/>
      </c>
      <c r="AE44" s="11"/>
      <c r="AF44" s="520" t="str">
        <f t="shared" si="4"/>
        <v/>
      </c>
      <c r="AG44" s="518" t="s">
        <v>2231</v>
      </c>
      <c r="AH44" s="11"/>
      <c r="AI44" s="520" t="str">
        <f t="shared" si="0"/>
        <v/>
      </c>
      <c r="AJ44" s="518" t="str">
        <f>IF($B44="","",SUM(#REF!)*AI44)</f>
        <v/>
      </c>
      <c r="AL44" s="518" t="str">
        <f t="shared" si="1"/>
        <v/>
      </c>
    </row>
    <row r="45" spans="1:38" ht="24.95" hidden="1" customHeight="1">
      <c r="A45" s="11" t="str">
        <f>IF(Cotations!C30=FALSE,"",Cotations!D30)</f>
        <v/>
      </c>
      <c r="B45" s="11" t="str">
        <f>IF(Cotations!C30=FALSE,"",Cotations!F30)</f>
        <v/>
      </c>
      <c r="C45" s="11" t="str">
        <f>IF($B45="","",IF(LISTES!$A$17=3,Crewlist!G30,Detail!L30))</f>
        <v/>
      </c>
      <c r="D45" s="11" t="str">
        <f>IF($B45="","",Cotations!H30)</f>
        <v/>
      </c>
      <c r="E45" s="17" t="str">
        <f>IF($B45="","",Cotations!O30)</f>
        <v/>
      </c>
      <c r="F45" s="17" t="str">
        <f>IF($B45="","",Cotations!M30)</f>
        <v/>
      </c>
      <c r="G45" s="17" t="str">
        <f>IF($B45="","",Cotations!T30)</f>
        <v/>
      </c>
      <c r="H45" s="17" t="str">
        <f>IF($B45="","",Calcul!X30)</f>
        <v/>
      </c>
      <c r="I45" s="11" t="str">
        <f>IF($B45="","",Calcul!EE30)</f>
        <v/>
      </c>
      <c r="J45" s="11" t="str">
        <f>IF($B45="","",Calcul!IE30)</f>
        <v/>
      </c>
      <c r="K45" s="16" t="str">
        <f>IF($B45="","",Calcul!AH30)</f>
        <v/>
      </c>
      <c r="L45" s="520" t="str">
        <f>IF($B45="","",IF(ALLTHESAME=TRUE,Cotations!$AP$4,Cotations!AP30))</f>
        <v/>
      </c>
      <c r="M45" s="518" t="str">
        <f>IF($B45="","",(Calcul!AJ30+Calcul!AQ30)*L45)</f>
        <v/>
      </c>
      <c r="N45" s="520" t="str">
        <f>IF($B45="","",IF(ALLTHESAME=TRUE,Cotations!$BZ$4,Cotations!BZ30))</f>
        <v/>
      </c>
      <c r="O45" s="518" t="str">
        <f>IF($B45="","",IF(Cotations!$BA$6=0,((Calcul!AK30)*N45),Cotations!$Y$4*E45))</f>
        <v/>
      </c>
      <c r="P45" s="520">
        <v>0</v>
      </c>
      <c r="Q45" s="518" t="str">
        <f>IF($B45="","",Calcul!X30*P45)</f>
        <v/>
      </c>
      <c r="R45" s="520" t="str">
        <f t="shared" si="5"/>
        <v/>
      </c>
      <c r="S45" s="518" t="str">
        <f>IF($B45="","",((Calcul!AS30*R45)+Calcul!AL30)*R45)</f>
        <v/>
      </c>
      <c r="T45" s="520" t="str">
        <f>IF($B45="","",Cotations!CA30)</f>
        <v/>
      </c>
      <c r="U45" s="518" t="str">
        <f>IF($B45="","",(Calcul!AT30+Calcul!AL30)*T45)</f>
        <v/>
      </c>
      <c r="V45" s="520">
        <v>0</v>
      </c>
      <c r="W45" s="518" t="str">
        <f>IF($B45="","",Calcul!X30*V45)</f>
        <v/>
      </c>
      <c r="X45" s="524" t="str">
        <f t="shared" si="3"/>
        <v/>
      </c>
      <c r="AE45" s="11"/>
      <c r="AF45" s="520" t="str">
        <f t="shared" si="4"/>
        <v/>
      </c>
      <c r="AG45" s="518" t="s">
        <v>2231</v>
      </c>
      <c r="AH45" s="11"/>
      <c r="AI45" s="520" t="str">
        <f t="shared" si="0"/>
        <v/>
      </c>
      <c r="AJ45" s="518" t="str">
        <f>IF($B45="","",SUM(#REF!)*AI45)</f>
        <v/>
      </c>
      <c r="AL45" s="518" t="str">
        <f t="shared" si="1"/>
        <v/>
      </c>
    </row>
    <row r="46" spans="1:38" ht="24.95" hidden="1" customHeight="1">
      <c r="A46" s="11" t="str">
        <f>IF(Cotations!C31=FALSE,"",Cotations!D31)</f>
        <v/>
      </c>
      <c r="B46" s="11" t="str">
        <f>IF(Cotations!C31=FALSE,"",Cotations!F31)</f>
        <v/>
      </c>
      <c r="C46" s="11" t="str">
        <f>IF($B46="","",IF(LISTES!$A$17=3,Crewlist!G31,Detail!L31))</f>
        <v/>
      </c>
      <c r="D46" s="11" t="str">
        <f>IF($B46="","",Cotations!H31)</f>
        <v/>
      </c>
      <c r="E46" s="17" t="str">
        <f>IF($B46="","",Cotations!O31)</f>
        <v/>
      </c>
      <c r="F46" s="17" t="str">
        <f>IF($B46="","",Cotations!M31)</f>
        <v/>
      </c>
      <c r="G46" s="17" t="str">
        <f>IF($B46="","",Cotations!T31)</f>
        <v/>
      </c>
      <c r="H46" s="17" t="str">
        <f>IF($B46="","",Calcul!X31)</f>
        <v/>
      </c>
      <c r="I46" s="11" t="str">
        <f>IF($B46="","",Calcul!EE31)</f>
        <v/>
      </c>
      <c r="J46" s="11" t="str">
        <f>IF($B46="","",Calcul!IE31)</f>
        <v/>
      </c>
      <c r="K46" s="16" t="str">
        <f>IF($B46="","",Calcul!AH31)</f>
        <v/>
      </c>
      <c r="L46" s="520" t="str">
        <f>IF($B46="","",IF(ALLTHESAME=TRUE,Cotations!$AP$4,Cotations!AP31))</f>
        <v/>
      </c>
      <c r="M46" s="518" t="str">
        <f>IF($B46="","",(Calcul!AJ31+Calcul!AQ31)*L46)</f>
        <v/>
      </c>
      <c r="N46" s="520" t="str">
        <f>IF($B46="","",IF(ALLTHESAME=TRUE,Cotations!$BZ$4,Cotations!BZ31))</f>
        <v/>
      </c>
      <c r="O46" s="518" t="str">
        <f>IF($B46="","",IF(Cotations!$BA$6=0,((Calcul!AK31)*N46),Cotations!$Y$4*E46))</f>
        <v/>
      </c>
      <c r="P46" s="520">
        <v>0</v>
      </c>
      <c r="Q46" s="518" t="str">
        <f>IF($B46="","",Calcul!X31*P46)</f>
        <v/>
      </c>
      <c r="R46" s="520" t="str">
        <f t="shared" si="5"/>
        <v/>
      </c>
      <c r="S46" s="518" t="str">
        <f>IF($B46="","",((Calcul!AS31*R46)+Calcul!AL31)*R46)</f>
        <v/>
      </c>
      <c r="T46" s="520" t="str">
        <f>IF($B46="","",Cotations!CA31)</f>
        <v/>
      </c>
      <c r="U46" s="518" t="str">
        <f>IF($B46="","",(Calcul!AT31+Calcul!AL31)*T46)</f>
        <v/>
      </c>
      <c r="V46" s="520">
        <v>0</v>
      </c>
      <c r="W46" s="518" t="str">
        <f>IF($B46="","",Calcul!X31*V46)</f>
        <v/>
      </c>
      <c r="X46" s="524" t="str">
        <f t="shared" si="3"/>
        <v/>
      </c>
      <c r="AE46" s="11"/>
      <c r="AF46" s="520" t="str">
        <f t="shared" si="4"/>
        <v/>
      </c>
      <c r="AG46" s="518" t="s">
        <v>2231</v>
      </c>
      <c r="AH46" s="11"/>
      <c r="AI46" s="520" t="str">
        <f t="shared" si="0"/>
        <v/>
      </c>
      <c r="AJ46" s="518" t="str">
        <f>IF($B46="","",SUM(#REF!)*AI46)</f>
        <v/>
      </c>
      <c r="AL46" s="518" t="str">
        <f t="shared" si="1"/>
        <v/>
      </c>
    </row>
    <row r="47" spans="1:38" ht="24.95" hidden="1" customHeight="1">
      <c r="A47" s="11" t="str">
        <f>IF(Cotations!C32=FALSE,"",Cotations!D32)</f>
        <v/>
      </c>
      <c r="B47" s="11" t="str">
        <f>IF(Cotations!C32=FALSE,"",Cotations!F32)</f>
        <v/>
      </c>
      <c r="C47" s="11" t="str">
        <f>IF($B47="","",IF(LISTES!$A$17=3,Crewlist!G32,Detail!L32))</f>
        <v/>
      </c>
      <c r="D47" s="11" t="str">
        <f>IF($B47="","",Cotations!H32)</f>
        <v/>
      </c>
      <c r="E47" s="17" t="str">
        <f>IF($B47="","",Cotations!O32)</f>
        <v/>
      </c>
      <c r="F47" s="17" t="str">
        <f>IF($B47="","",Cotations!M32)</f>
        <v/>
      </c>
      <c r="G47" s="17" t="str">
        <f>IF($B47="","",Cotations!T32)</f>
        <v/>
      </c>
      <c r="H47" s="17" t="str">
        <f>IF($B47="","",Calcul!X32)</f>
        <v/>
      </c>
      <c r="I47" s="11" t="str">
        <f>IF($B47="","",Calcul!EE32)</f>
        <v/>
      </c>
      <c r="J47" s="11" t="str">
        <f>IF($B47="","",Calcul!IE32)</f>
        <v/>
      </c>
      <c r="K47" s="16" t="str">
        <f>IF($B47="","",Calcul!AH32)</f>
        <v/>
      </c>
      <c r="L47" s="520" t="str">
        <f>IF($B47="","",IF(ALLTHESAME=TRUE,Cotations!$AP$4,Cotations!AP32))</f>
        <v/>
      </c>
      <c r="M47" s="518" t="str">
        <f>IF($B47="","",(Calcul!AJ32+Calcul!AQ32)*L47)</f>
        <v/>
      </c>
      <c r="N47" s="520" t="str">
        <f>IF($B47="","",IF(ALLTHESAME=TRUE,Cotations!$BZ$4,Cotations!BZ32))</f>
        <v/>
      </c>
      <c r="O47" s="518" t="str">
        <f>IF($B47="","",IF(Cotations!$BA$6=0,((Calcul!AK32)*N47),Cotations!$Y$4*E47))</f>
        <v/>
      </c>
      <c r="P47" s="520">
        <v>0</v>
      </c>
      <c r="Q47" s="518" t="str">
        <f>IF($B47="","",Calcul!X32*P47)</f>
        <v/>
      </c>
      <c r="R47" s="520" t="str">
        <f t="shared" si="5"/>
        <v/>
      </c>
      <c r="S47" s="518" t="str">
        <f>IF($B47="","",((Calcul!AS32*R47)+Calcul!AL32)*R47)</f>
        <v/>
      </c>
      <c r="T47" s="520" t="str">
        <f>IF($B47="","",Cotations!CA32)</f>
        <v/>
      </c>
      <c r="U47" s="518" t="str">
        <f>IF($B47="","",(Calcul!AT32+Calcul!AL32)*T47)</f>
        <v/>
      </c>
      <c r="V47" s="520">
        <v>0</v>
      </c>
      <c r="W47" s="518" t="str">
        <f>IF($B47="","",Calcul!X32*V47)</f>
        <v/>
      </c>
      <c r="X47" s="524" t="str">
        <f t="shared" si="3"/>
        <v/>
      </c>
      <c r="AE47" s="11"/>
      <c r="AF47" s="520" t="str">
        <f t="shared" si="4"/>
        <v/>
      </c>
      <c r="AG47" s="518" t="s">
        <v>2231</v>
      </c>
      <c r="AH47" s="11"/>
      <c r="AI47" s="520" t="str">
        <f t="shared" si="0"/>
        <v/>
      </c>
      <c r="AJ47" s="518" t="str">
        <f>IF($B47="","",SUM(#REF!)*AI47)</f>
        <v/>
      </c>
      <c r="AL47" s="518" t="str">
        <f t="shared" si="1"/>
        <v/>
      </c>
    </row>
    <row r="48" spans="1:38" ht="24.95" hidden="1" customHeight="1">
      <c r="A48" s="11" t="str">
        <f>IF(Cotations!C33=FALSE,"",Cotations!D33)</f>
        <v/>
      </c>
      <c r="B48" s="11" t="str">
        <f>IF(Cotations!C33=FALSE,"",Cotations!F33)</f>
        <v/>
      </c>
      <c r="C48" s="11" t="str">
        <f>IF($B48="","",IF(LISTES!$A$17=3,Crewlist!G33,Detail!L33))</f>
        <v/>
      </c>
      <c r="D48" s="11" t="str">
        <f>IF($B48="","",Cotations!H33)</f>
        <v/>
      </c>
      <c r="E48" s="17" t="str">
        <f>IF($B48="","",Cotations!O33)</f>
        <v/>
      </c>
      <c r="F48" s="17" t="str">
        <f>IF($B48="","",Cotations!M33)</f>
        <v/>
      </c>
      <c r="G48" s="17" t="str">
        <f>IF($B48="","",Cotations!T33)</f>
        <v/>
      </c>
      <c r="H48" s="17" t="str">
        <f>IF($B48="","",Calcul!X33)</f>
        <v/>
      </c>
      <c r="I48" s="11" t="str">
        <f>IF($B48="","",Calcul!EE33)</f>
        <v/>
      </c>
      <c r="J48" s="11" t="str">
        <f>IF($B48="","",Calcul!IE33)</f>
        <v/>
      </c>
      <c r="K48" s="16" t="str">
        <f>IF($B48="","",Calcul!AH33)</f>
        <v/>
      </c>
      <c r="L48" s="520" t="str">
        <f>IF($B48="","",IF(ALLTHESAME=TRUE,Cotations!$AP$4,Cotations!AP33))</f>
        <v/>
      </c>
      <c r="M48" s="518" t="str">
        <f>IF($B48="","",(Calcul!AJ33+Calcul!AQ33)*L48)</f>
        <v/>
      </c>
      <c r="N48" s="520" t="str">
        <f>IF($B48="","",IF(ALLTHESAME=TRUE,Cotations!$BZ$4,Cotations!BZ33))</f>
        <v/>
      </c>
      <c r="O48" s="518" t="str">
        <f>IF($B48="","",IF(Cotations!$BA$6=0,((Calcul!AK33)*N48),Cotations!$Y$4*E48))</f>
        <v/>
      </c>
      <c r="P48" s="520">
        <v>0</v>
      </c>
      <c r="Q48" s="518" t="str">
        <f>IF($B48="","",Calcul!X33*P48)</f>
        <v/>
      </c>
      <c r="R48" s="520" t="str">
        <f t="shared" si="5"/>
        <v/>
      </c>
      <c r="S48" s="518" t="str">
        <f>IF($B48="","",((Calcul!AS33*R48)+Calcul!AL33)*R48)</f>
        <v/>
      </c>
      <c r="T48" s="520" t="str">
        <f>IF($B48="","",Cotations!CA33)</f>
        <v/>
      </c>
      <c r="U48" s="518" t="str">
        <f>IF($B48="","",(Calcul!AT33+Calcul!AL33)*T48)</f>
        <v/>
      </c>
      <c r="V48" s="520">
        <v>0</v>
      </c>
      <c r="W48" s="518" t="str">
        <f>IF($B48="","",Calcul!X33*V48)</f>
        <v/>
      </c>
      <c r="X48" s="524" t="str">
        <f t="shared" si="3"/>
        <v/>
      </c>
      <c r="AE48" s="11"/>
      <c r="AF48" s="520" t="str">
        <f t="shared" si="4"/>
        <v/>
      </c>
      <c r="AG48" s="518" t="s">
        <v>2231</v>
      </c>
      <c r="AH48" s="11"/>
      <c r="AI48" s="520" t="str">
        <f t="shared" si="0"/>
        <v/>
      </c>
      <c r="AJ48" s="518" t="str">
        <f>IF($B48="","",SUM(#REF!)*AI48)</f>
        <v/>
      </c>
      <c r="AL48" s="518" t="str">
        <f t="shared" si="1"/>
        <v/>
      </c>
    </row>
    <row r="49" spans="1:38" ht="24.95" hidden="1" customHeight="1">
      <c r="A49" s="11" t="str">
        <f>IF(Cotations!C34=FALSE,"",Cotations!D34)</f>
        <v/>
      </c>
      <c r="B49" s="11" t="str">
        <f>IF(Cotations!C34=FALSE,"",Cotations!F34)</f>
        <v/>
      </c>
      <c r="C49" s="11" t="str">
        <f>IF($B49="","",IF(LISTES!$A$17=3,Crewlist!G34,Detail!L34))</f>
        <v/>
      </c>
      <c r="D49" s="11" t="str">
        <f>IF($B49="","",Cotations!H34)</f>
        <v/>
      </c>
      <c r="E49" s="17" t="str">
        <f>IF($B49="","",Cotations!O34)</f>
        <v/>
      </c>
      <c r="F49" s="17" t="str">
        <f>IF($B49="","",Cotations!M34)</f>
        <v/>
      </c>
      <c r="G49" s="17" t="str">
        <f>IF($B49="","",Cotations!T34)</f>
        <v/>
      </c>
      <c r="H49" s="17" t="str">
        <f>IF($B49="","",Calcul!X34)</f>
        <v/>
      </c>
      <c r="I49" s="11" t="str">
        <f>IF($B49="","",Calcul!EE34)</f>
        <v/>
      </c>
      <c r="J49" s="11" t="str">
        <f>IF($B49="","",Calcul!IE34)</f>
        <v/>
      </c>
      <c r="K49" s="16" t="str">
        <f>IF($B49="","",Calcul!AH34)</f>
        <v/>
      </c>
      <c r="L49" s="520" t="str">
        <f>IF($B49="","",IF(ALLTHESAME=TRUE,Cotations!$AP$4,Cotations!AP34))</f>
        <v/>
      </c>
      <c r="M49" s="518" t="str">
        <f>IF($B49="","",(Calcul!AJ34+Calcul!AQ34)*L49)</f>
        <v/>
      </c>
      <c r="N49" s="520" t="str">
        <f>IF($B49="","",IF(ALLTHESAME=TRUE,Cotations!$BZ$4,Cotations!BZ34))</f>
        <v/>
      </c>
      <c r="O49" s="518" t="str">
        <f>IF($B49="","",IF(Cotations!$BA$6=0,((Calcul!AK34)*N49),Cotations!$Y$4*E49))</f>
        <v/>
      </c>
      <c r="P49" s="520">
        <v>0</v>
      </c>
      <c r="Q49" s="518" t="str">
        <f>IF($B49="","",Calcul!X34*P49)</f>
        <v/>
      </c>
      <c r="R49" s="520" t="str">
        <f t="shared" si="5"/>
        <v/>
      </c>
      <c r="S49" s="518" t="str">
        <f>IF($B49="","",((Calcul!AS34*R49)+Calcul!AL34)*R49)</f>
        <v/>
      </c>
      <c r="T49" s="520" t="str">
        <f>IF($B49="","",Cotations!CA34)</f>
        <v/>
      </c>
      <c r="U49" s="518" t="str">
        <f>IF($B49="","",(Calcul!AT34+Calcul!AL34)*T49)</f>
        <v/>
      </c>
      <c r="V49" s="520">
        <v>0</v>
      </c>
      <c r="W49" s="518" t="str">
        <f>IF($B49="","",Calcul!X34*V49)</f>
        <v/>
      </c>
      <c r="X49" s="524" t="str">
        <f t="shared" si="3"/>
        <v/>
      </c>
      <c r="AE49" s="11"/>
      <c r="AF49" s="520" t="str">
        <f t="shared" si="4"/>
        <v/>
      </c>
      <c r="AG49" s="518" t="s">
        <v>2231</v>
      </c>
      <c r="AH49" s="11"/>
      <c r="AI49" s="520" t="str">
        <f t="shared" si="0"/>
        <v/>
      </c>
      <c r="AJ49" s="518" t="str">
        <f>IF($B49="","",SUM(#REF!)*AI49)</f>
        <v/>
      </c>
      <c r="AL49" s="518" t="str">
        <f t="shared" si="1"/>
        <v/>
      </c>
    </row>
    <row r="50" spans="1:38" ht="24.95" hidden="1" customHeight="1">
      <c r="A50" s="11" t="str">
        <f>IF(Cotations!C35=FALSE,"",Cotations!D35)</f>
        <v/>
      </c>
      <c r="B50" s="11" t="str">
        <f>IF(Cotations!C35=FALSE,"",Cotations!F35)</f>
        <v/>
      </c>
      <c r="C50" s="11" t="str">
        <f>IF($B50="","",IF(LISTES!$A$17=3,Crewlist!G35,Detail!L35))</f>
        <v/>
      </c>
      <c r="D50" s="11" t="str">
        <f>IF($B50="","",Cotations!H35)</f>
        <v/>
      </c>
      <c r="E50" s="17" t="str">
        <f>IF($B50="","",Cotations!O35)</f>
        <v/>
      </c>
      <c r="F50" s="17" t="str">
        <f>IF($B50="","",Cotations!M35)</f>
        <v/>
      </c>
      <c r="G50" s="17" t="str">
        <f>IF($B50="","",Cotations!T35)</f>
        <v/>
      </c>
      <c r="H50" s="17" t="str">
        <f>IF($B50="","",Calcul!X35)</f>
        <v/>
      </c>
      <c r="I50" s="11" t="str">
        <f>IF($B50="","",Calcul!EE35)</f>
        <v/>
      </c>
      <c r="J50" s="11" t="str">
        <f>IF($B50="","",Calcul!IE35)</f>
        <v/>
      </c>
      <c r="K50" s="16" t="str">
        <f>IF($B50="","",Calcul!AH35)</f>
        <v/>
      </c>
      <c r="L50" s="520" t="str">
        <f>IF($B50="","",IF(ALLTHESAME=TRUE,Cotations!$AP$4,Cotations!AP35))</f>
        <v/>
      </c>
      <c r="M50" s="518" t="str">
        <f>IF($B50="","",(Calcul!AJ35+Calcul!AQ35)*L50)</f>
        <v/>
      </c>
      <c r="N50" s="520" t="str">
        <f>IF($B50="","",IF(ALLTHESAME=TRUE,Cotations!$BZ$4,Cotations!BZ35))</f>
        <v/>
      </c>
      <c r="O50" s="518" t="str">
        <f>IF($B50="","",IF(Cotations!$BA$6=0,((Calcul!AK35)*N50),Cotations!$Y$4*E50))</f>
        <v/>
      </c>
      <c r="P50" s="520">
        <v>0</v>
      </c>
      <c r="Q50" s="518" t="str">
        <f>IF($B50="","",Calcul!X35*P50)</f>
        <v/>
      </c>
      <c r="R50" s="520" t="str">
        <f t="shared" si="5"/>
        <v/>
      </c>
      <c r="S50" s="518" t="str">
        <f>IF($B50="","",((Calcul!AS35*R50)+Calcul!AL35)*R50)</f>
        <v/>
      </c>
      <c r="T50" s="520" t="str">
        <f>IF($B50="","",Cotations!CA35)</f>
        <v/>
      </c>
      <c r="U50" s="518" t="str">
        <f>IF($B50="","",(Calcul!AT35+Calcul!AL35)*T50)</f>
        <v/>
      </c>
      <c r="V50" s="520">
        <v>0</v>
      </c>
      <c r="W50" s="518" t="str">
        <f>IF($B50="","",Calcul!X35*V50)</f>
        <v/>
      </c>
      <c r="X50" s="524" t="str">
        <f t="shared" si="3"/>
        <v/>
      </c>
      <c r="AE50" s="11"/>
      <c r="AF50" s="520" t="str">
        <f t="shared" si="4"/>
        <v/>
      </c>
      <c r="AG50" s="518" t="s">
        <v>2231</v>
      </c>
      <c r="AH50" s="11"/>
      <c r="AI50" s="520" t="str">
        <f t="shared" si="0"/>
        <v/>
      </c>
      <c r="AJ50" s="518" t="str">
        <f>IF($B50="","",SUM(#REF!)*AI50)</f>
        <v/>
      </c>
      <c r="AL50" s="518" t="str">
        <f t="shared" si="1"/>
        <v/>
      </c>
    </row>
    <row r="51" spans="1:38" ht="24.95" hidden="1" customHeight="1">
      <c r="A51" s="11" t="str">
        <f>IF(Cotations!C36=FALSE,"",Cotations!D36)</f>
        <v/>
      </c>
      <c r="B51" s="11" t="str">
        <f>IF(Cotations!C36=FALSE,"",Cotations!F36)</f>
        <v/>
      </c>
      <c r="C51" s="11" t="str">
        <f>IF($B51="","",IF(LISTES!$A$17=3,Crewlist!G36,Detail!L36))</f>
        <v/>
      </c>
      <c r="D51" s="11" t="str">
        <f>IF($B51="","",Cotations!H36)</f>
        <v/>
      </c>
      <c r="E51" s="17" t="str">
        <f>IF($B51="","",Cotations!O36)</f>
        <v/>
      </c>
      <c r="F51" s="17" t="str">
        <f>IF($B51="","",Cotations!M36)</f>
        <v/>
      </c>
      <c r="G51" s="17" t="str">
        <f>IF($B51="","",Cotations!T36)</f>
        <v/>
      </c>
      <c r="H51" s="17" t="str">
        <f>IF($B51="","",Calcul!X36)</f>
        <v/>
      </c>
      <c r="I51" s="11" t="str">
        <f>IF($B51="","",Calcul!EE36)</f>
        <v/>
      </c>
      <c r="J51" s="11" t="str">
        <f>IF($B51="","",Calcul!IE36)</f>
        <v/>
      </c>
      <c r="K51" s="16" t="str">
        <f>IF($B51="","",Calcul!AH36)</f>
        <v/>
      </c>
      <c r="L51" s="520" t="str">
        <f>IF($B51="","",IF(ALLTHESAME=TRUE,Cotations!$AP$4,Cotations!AP36))</f>
        <v/>
      </c>
      <c r="M51" s="518" t="str">
        <f>IF($B51="","",(Calcul!AJ36+Calcul!AQ36)*L51)</f>
        <v/>
      </c>
      <c r="N51" s="520" t="str">
        <f>IF($B51="","",IF(ALLTHESAME=TRUE,Cotations!$BZ$4,Cotations!BZ36))</f>
        <v/>
      </c>
      <c r="O51" s="518" t="str">
        <f>IF($B51="","",IF(Cotations!$BA$6=0,((Calcul!AK36)*N51),Cotations!$Y$4*E51))</f>
        <v/>
      </c>
      <c r="P51" s="520">
        <v>0</v>
      </c>
      <c r="Q51" s="518" t="str">
        <f>IF($B51="","",Calcul!X36*P51)</f>
        <v/>
      </c>
      <c r="R51" s="520" t="str">
        <f t="shared" si="5"/>
        <v/>
      </c>
      <c r="S51" s="518" t="str">
        <f>IF($B51="","",((Calcul!AS36*R51)+Calcul!AL36)*R51)</f>
        <v/>
      </c>
      <c r="T51" s="520" t="str">
        <f>IF($B51="","",Cotations!CA36)</f>
        <v/>
      </c>
      <c r="U51" s="518" t="str">
        <f>IF($B51="","",(Calcul!AT36+Calcul!AL36)*T51)</f>
        <v/>
      </c>
      <c r="V51" s="520">
        <v>0</v>
      </c>
      <c r="W51" s="518" t="str">
        <f>IF($B51="","",Calcul!X36*V51)</f>
        <v/>
      </c>
      <c r="X51" s="524" t="str">
        <f t="shared" si="3"/>
        <v/>
      </c>
      <c r="AE51" s="11"/>
      <c r="AF51" s="520" t="str">
        <f t="shared" si="4"/>
        <v/>
      </c>
      <c r="AG51" s="518" t="s">
        <v>2231</v>
      </c>
      <c r="AH51" s="11"/>
      <c r="AI51" s="520" t="str">
        <f t="shared" si="0"/>
        <v/>
      </c>
      <c r="AJ51" s="518" t="str">
        <f>IF($B51="","",SUM(#REF!)*AI51)</f>
        <v/>
      </c>
      <c r="AL51" s="518" t="str">
        <f t="shared" si="1"/>
        <v/>
      </c>
    </row>
    <row r="52" spans="1:38" s="521" customFormat="1" ht="24.95" hidden="1" customHeight="1">
      <c r="A52" s="11" t="str">
        <f>IF(Cotations!C37=FALSE,"",Cotations!D37)</f>
        <v/>
      </c>
      <c r="B52" s="11" t="str">
        <f>IF(Cotations!C37=FALSE,"",Cotations!F37)</f>
        <v/>
      </c>
      <c r="C52" s="11" t="str">
        <f>IF($B52="","",IF(LISTES!$A$17=3,Crewlist!G37,Detail!L37))</f>
        <v/>
      </c>
      <c r="D52" s="11" t="str">
        <f>IF($B52="","",Cotations!H37)</f>
        <v/>
      </c>
      <c r="E52" s="17" t="str">
        <f>IF($B52="","",Cotations!O37)</f>
        <v/>
      </c>
      <c r="F52" s="17" t="str">
        <f>IF($B52="","",Cotations!M37)</f>
        <v/>
      </c>
      <c r="G52" s="17" t="str">
        <f>IF($B52="","",Cotations!T37)</f>
        <v/>
      </c>
      <c r="H52" s="17" t="str">
        <f>IF($B52="","",Calcul!X37)</f>
        <v/>
      </c>
      <c r="I52" s="11" t="str">
        <f>IF($B52="","",Calcul!EE37)</f>
        <v/>
      </c>
      <c r="J52" s="11" t="str">
        <f>IF($B52="","",Calcul!IE37)</f>
        <v/>
      </c>
      <c r="K52" s="16" t="str">
        <f>IF($B52="","",Calcul!AH37)</f>
        <v/>
      </c>
      <c r="L52" s="520" t="str">
        <f>IF($B52="","",IF(ALLTHESAME=TRUE,Cotations!$AP$4,Cotations!AP37))</f>
        <v/>
      </c>
      <c r="M52" s="518" t="str">
        <f>IF($B52="","",(Calcul!AJ37+Calcul!AQ37)*L52)</f>
        <v/>
      </c>
      <c r="N52" s="520" t="str">
        <f>IF($B52="","",IF(ALLTHESAME=TRUE,Cotations!$BZ$4,Cotations!BZ37))</f>
        <v/>
      </c>
      <c r="O52" s="518" t="str">
        <f>IF($B52="","",IF(Cotations!$BA$6=0,((Calcul!AK37)*N52),Cotations!$Y$4*E52))</f>
        <v/>
      </c>
      <c r="P52" s="520">
        <v>0</v>
      </c>
      <c r="Q52" s="518" t="str">
        <f>IF($B52="","",Calcul!X37*P52)</f>
        <v/>
      </c>
      <c r="R52" s="520" t="str">
        <f t="shared" si="5"/>
        <v/>
      </c>
      <c r="S52" s="518" t="str">
        <f>IF($B52="","",((Calcul!AS37*R52)+Calcul!AL37)*R52)</f>
        <v/>
      </c>
      <c r="T52" s="520" t="str">
        <f>IF($B52="","",Cotations!CA37)</f>
        <v/>
      </c>
      <c r="U52" s="518" t="str">
        <f>IF($B52="","",(Calcul!AT37+Calcul!AL37)*T52)</f>
        <v/>
      </c>
      <c r="V52" s="520">
        <v>0</v>
      </c>
      <c r="W52" s="518" t="str">
        <f>IF($B52="","",Calcul!X37*V52)</f>
        <v/>
      </c>
      <c r="X52" s="524" t="str">
        <f t="shared" si="3"/>
        <v/>
      </c>
      <c r="AE52" s="11"/>
      <c r="AF52" s="520" t="str">
        <f t="shared" si="4"/>
        <v/>
      </c>
      <c r="AG52" s="518" t="s">
        <v>2231</v>
      </c>
      <c r="AH52" s="11"/>
      <c r="AI52" s="520" t="str">
        <f t="shared" si="0"/>
        <v/>
      </c>
      <c r="AJ52" s="519" t="str">
        <f>IF($B52="","",SUM(#REF!)*AI52)</f>
        <v/>
      </c>
      <c r="AL52" s="518" t="str">
        <f t="shared" si="1"/>
        <v/>
      </c>
    </row>
    <row r="53" spans="1:38" s="521" customFormat="1" ht="24.95" hidden="1" customHeight="1">
      <c r="A53" s="11" t="str">
        <f>IF(Cotations!C38=FALSE,"",Cotations!D38)</f>
        <v/>
      </c>
      <c r="B53" s="11" t="str">
        <f>IF(Cotations!C38=FALSE,"",Cotations!F38)</f>
        <v/>
      </c>
      <c r="C53" s="11" t="str">
        <f>IF($B53="","",IF(LISTES!$A$17=3,Crewlist!G38,Detail!L38))</f>
        <v/>
      </c>
      <c r="D53" s="11" t="str">
        <f>IF($B53="","",Cotations!H38)</f>
        <v/>
      </c>
      <c r="E53" s="17" t="str">
        <f>IF($B53="","",Cotations!O38)</f>
        <v/>
      </c>
      <c r="F53" s="17" t="str">
        <f>IF($B53="","",Cotations!M38)</f>
        <v/>
      </c>
      <c r="G53" s="17" t="str">
        <f>IF($B53="","",Cotations!T38)</f>
        <v/>
      </c>
      <c r="H53" s="17" t="str">
        <f>IF($B53="","",Calcul!X38)</f>
        <v/>
      </c>
      <c r="I53" s="11" t="str">
        <f>IF($B53="","",Calcul!EE38)</f>
        <v/>
      </c>
      <c r="J53" s="11" t="str">
        <f>IF($B53="","",Calcul!IE38)</f>
        <v/>
      </c>
      <c r="K53" s="16" t="str">
        <f>IF($B53="","",Calcul!AH38)</f>
        <v/>
      </c>
      <c r="L53" s="520" t="str">
        <f>IF($B53="","",IF(ALLTHESAME=TRUE,Cotations!$AP$4,Cotations!AP38))</f>
        <v/>
      </c>
      <c r="M53" s="518" t="str">
        <f>IF($B53="","",(Calcul!AJ38+Calcul!AQ38)*L53)</f>
        <v/>
      </c>
      <c r="N53" s="520" t="str">
        <f>IF($B53="","",IF(ALLTHESAME=TRUE,Cotations!$BZ$4,Cotations!BZ38))</f>
        <v/>
      </c>
      <c r="O53" s="518" t="str">
        <f>IF($B53="","",IF(Cotations!$BA$6=0,((Calcul!AK38)*N53),Cotations!$Y$4*E53))</f>
        <v/>
      </c>
      <c r="P53" s="520">
        <v>0</v>
      </c>
      <c r="Q53" s="518" t="str">
        <f>IF($B53="","",Calcul!X38*P53)</f>
        <v/>
      </c>
      <c r="R53" s="520" t="str">
        <f t="shared" si="5"/>
        <v/>
      </c>
      <c r="S53" s="518" t="str">
        <f>IF($B53="","",((Calcul!AS38*R53)+Calcul!AL38)*R53)</f>
        <v/>
      </c>
      <c r="T53" s="520" t="str">
        <f>IF($B53="","",Cotations!CA38)</f>
        <v/>
      </c>
      <c r="U53" s="518" t="str">
        <f>IF($B53="","",(Calcul!AT38+Calcul!AL38)*T53)</f>
        <v/>
      </c>
      <c r="V53" s="520">
        <v>0</v>
      </c>
      <c r="W53" s="518" t="str">
        <f>IF($B53="","",Calcul!X38*V53)</f>
        <v/>
      </c>
      <c r="X53" s="524" t="str">
        <f t="shared" si="3"/>
        <v/>
      </c>
      <c r="AE53" s="11"/>
      <c r="AF53" s="520" t="str">
        <f t="shared" si="4"/>
        <v/>
      </c>
      <c r="AG53" s="518" t="s">
        <v>2231</v>
      </c>
      <c r="AH53" s="11"/>
      <c r="AI53" s="520" t="str">
        <f t="shared" si="0"/>
        <v/>
      </c>
      <c r="AJ53" s="519" t="str">
        <f>IF($B53="","",SUM(#REF!)*AI53)</f>
        <v/>
      </c>
      <c r="AL53" s="518" t="str">
        <f t="shared" si="1"/>
        <v/>
      </c>
    </row>
    <row r="54" spans="1:38" ht="24.95" hidden="1" customHeight="1">
      <c r="A54" s="11" t="str">
        <f>IF(Cotations!C39=FALSE,"",Cotations!D39)</f>
        <v/>
      </c>
      <c r="B54" s="11" t="str">
        <f>IF(Cotations!C39=FALSE,"",Cotations!F39)</f>
        <v/>
      </c>
      <c r="C54" s="11" t="str">
        <f>IF($B54="","",IF(LISTES!$A$17=3,Crewlist!G39,Detail!L39))</f>
        <v/>
      </c>
      <c r="D54" s="11" t="str">
        <f>IF($B54="","",Cotations!H39)</f>
        <v/>
      </c>
      <c r="E54" s="17" t="str">
        <f>IF($B54="","",Cotations!O39)</f>
        <v/>
      </c>
      <c r="F54" s="17" t="str">
        <f>IF($B54="","",Cotations!M39)</f>
        <v/>
      </c>
      <c r="G54" s="17" t="str">
        <f>IF($B54="","",Cotations!T39)</f>
        <v/>
      </c>
      <c r="H54" s="17" t="str">
        <f>IF($B54="","",Calcul!X39)</f>
        <v/>
      </c>
      <c r="I54" s="11" t="str">
        <f>IF($B54="","",Calcul!EE39)</f>
        <v/>
      </c>
      <c r="J54" s="11" t="str">
        <f>IF($B54="","",Calcul!IE39)</f>
        <v/>
      </c>
      <c r="K54" s="16" t="str">
        <f>IF($B54="","",Calcul!AH39)</f>
        <v/>
      </c>
      <c r="L54" s="520" t="str">
        <f>IF($B54="","",IF(ALLTHESAME=TRUE,Cotations!$AP$4,Cotations!AP39))</f>
        <v/>
      </c>
      <c r="M54" s="518" t="str">
        <f>IF($B54="","",(Calcul!AJ39+Calcul!AQ39)*L54)</f>
        <v/>
      </c>
      <c r="N54" s="520" t="str">
        <f>IF($B54="","",IF(ALLTHESAME=TRUE,Cotations!$BZ$4,Cotations!BZ39))</f>
        <v/>
      </c>
      <c r="O54" s="518" t="str">
        <f>IF($B54="","",IF(Cotations!$BA$6=0,((Calcul!AK39)*N54),Cotations!$Y$4*E54))</f>
        <v/>
      </c>
      <c r="P54" s="520">
        <v>0</v>
      </c>
      <c r="Q54" s="518" t="str">
        <f>IF($B54="","",Calcul!X39*P54)</f>
        <v/>
      </c>
      <c r="R54" s="520" t="str">
        <f t="shared" si="5"/>
        <v/>
      </c>
      <c r="S54" s="518" t="str">
        <f>IF($B54="","",((Calcul!AS39*R54)+Calcul!AL39)*R54)</f>
        <v/>
      </c>
      <c r="T54" s="520" t="str">
        <f>IF($B54="","",Cotations!CA39)</f>
        <v/>
      </c>
      <c r="U54" s="518" t="str">
        <f>IF($B54="","",(Calcul!AT39+Calcul!AL39)*T54)</f>
        <v/>
      </c>
      <c r="V54" s="520">
        <v>0</v>
      </c>
      <c r="W54" s="518" t="str">
        <f>IF($B54="","",Calcul!X39*V54)</f>
        <v/>
      </c>
      <c r="X54" s="524" t="str">
        <f t="shared" si="3"/>
        <v/>
      </c>
      <c r="AE54" s="11"/>
      <c r="AF54" s="520" t="str">
        <f t="shared" si="4"/>
        <v/>
      </c>
      <c r="AG54" s="518" t="s">
        <v>2231</v>
      </c>
      <c r="AH54" s="11"/>
      <c r="AI54" s="520" t="str">
        <f t="shared" si="0"/>
        <v/>
      </c>
      <c r="AJ54" s="518" t="str">
        <f>IF($B54="","",SUM(#REF!)*AI54)</f>
        <v/>
      </c>
      <c r="AL54" s="518" t="str">
        <f t="shared" si="1"/>
        <v/>
      </c>
    </row>
    <row r="55" spans="1:38" ht="24.95" customHeight="1">
      <c r="A55" s="11" t="str">
        <f>IF(Cotations!C40=FALSE,"",Cotations!D40)</f>
        <v>2017-2017!</v>
      </c>
      <c r="B55" s="11">
        <f>IF(Cotations!C40=FALSE,"",Cotations!F40)</f>
        <v>33</v>
      </c>
      <c r="C55" s="11" t="str">
        <f>IF($B55="","",IF(LISTES!$A$17=3,Crewlist!G40,Detail!L40))</f>
        <v>Eric</v>
      </c>
      <c r="D55" s="11" t="str">
        <f>IF($B55="","",Cotations!H40)</f>
        <v>PIALLES</v>
      </c>
      <c r="E55" s="17">
        <f>IF($B55="","",Cotations!O40)</f>
        <v>181</v>
      </c>
      <c r="F55" s="17">
        <f>IF($B55="","",Cotations!M40)</f>
        <v>6</v>
      </c>
      <c r="G55" s="17" t="str">
        <f>IF($B55="","",Cotations!T40)</f>
        <v>annual</v>
      </c>
      <c r="H55" s="17">
        <f>IF($B55="","",Calcul!X40)</f>
        <v>12000</v>
      </c>
      <c r="I55" s="11" t="str">
        <f>IF($B55="","",Calcul!EE40)</f>
        <v>Perfect S</v>
      </c>
      <c r="J55" s="11" t="str">
        <f>IF($B55="","",Calcul!IE40)</f>
        <v>Formula 3</v>
      </c>
      <c r="K55" s="16" t="str">
        <f>IF($B55="","",Calcul!AH40)</f>
        <v>EUR</v>
      </c>
      <c r="L55" s="520">
        <f>IF($B55="","",IF(ALLTHESAME=TRUE,Cotations!$AP$4,Cotations!AP40))</f>
        <v>1</v>
      </c>
      <c r="M55" s="518">
        <f>IF($B55="","",(Calcul!AJ40+Calcul!AQ40)*L55)</f>
        <v>647.5</v>
      </c>
      <c r="N55" s="520">
        <f>IF($B55="","",IF(ALLTHESAME=TRUE,Cotations!$BZ$4,Cotations!BZ40))</f>
        <v>1</v>
      </c>
      <c r="O55" s="518">
        <f ca="1">IF($B55="","",IF(Cotations!$BA$6=0,((Calcul!AK40)*N55),Cotations!$Y$4*E55))</f>
        <v>696.86499777193467</v>
      </c>
      <c r="P55" s="520">
        <v>0</v>
      </c>
      <c r="Q55" s="518">
        <f>IF($B55="","",Calcul!X40*P55)</f>
        <v>0</v>
      </c>
      <c r="R55" s="520">
        <f t="shared" si="5"/>
        <v>0</v>
      </c>
      <c r="S55" s="518">
        <f>IF($B55="","",((Calcul!AS40*R55)+Calcul!AL40)*R55)</f>
        <v>0</v>
      </c>
      <c r="T55" s="520">
        <f>IF($B55="","",Cotations!CA40)</f>
        <v>0</v>
      </c>
      <c r="U55" s="518">
        <f>IF($B55="","",(Calcul!AT40+Calcul!AL40)*T55)</f>
        <v>0</v>
      </c>
      <c r="V55" s="520">
        <v>0</v>
      </c>
      <c r="W55" s="518">
        <f>IF($B55="","",Calcul!X40*V55)</f>
        <v>0</v>
      </c>
      <c r="X55" s="524">
        <f t="shared" ca="1" si="3"/>
        <v>1344.3649977719347</v>
      </c>
      <c r="AE55" s="11"/>
      <c r="AF55" s="520">
        <f t="shared" si="4"/>
        <v>0</v>
      </c>
      <c r="AG55" s="518" t="s">
        <v>2231</v>
      </c>
      <c r="AH55" s="11"/>
      <c r="AI55" s="520">
        <f t="shared" si="0"/>
        <v>0</v>
      </c>
      <c r="AJ55" s="518" t="e">
        <f>IF($B55="","",SUM(#REF!)*AI55)</f>
        <v>#REF!</v>
      </c>
      <c r="AL55" s="518" t="e">
        <f t="shared" ca="1" si="1"/>
        <v>#VALUE!</v>
      </c>
    </row>
    <row r="56" spans="1:38" ht="24.95" customHeight="1">
      <c r="A56" s="11" t="str">
        <f>IF(Cotations!C41=FALSE,"",Cotations!D41)</f>
        <v>2017-2017!</v>
      </c>
      <c r="B56" s="11">
        <f>IF(Cotations!C41=FALSE,"",Cotations!F41)</f>
        <v>135202</v>
      </c>
      <c r="C56" s="11" t="str">
        <f>IF($B56="","",IF(LISTES!$A$17=3,Crewlist!G41,Detail!L41))</f>
        <v>Balazs</v>
      </c>
      <c r="D56" s="11" t="str">
        <f>IF($B56="","",Cotations!H41)</f>
        <v>CSONGRADI</v>
      </c>
      <c r="E56" s="17">
        <f>IF($B56="","",Cotations!O41)</f>
        <v>181</v>
      </c>
      <c r="F56" s="17">
        <f>IF($B56="","",Cotations!M41)</f>
        <v>6</v>
      </c>
      <c r="G56" s="17" t="str">
        <f>IF($B56="","",Cotations!T41)</f>
        <v>annual</v>
      </c>
      <c r="H56" s="17">
        <f>IF($B56="","",Calcul!X41)</f>
        <v>4000</v>
      </c>
      <c r="I56" s="11" t="str">
        <f>IF($B56="","",Calcul!EE41)</f>
        <v>StandardMLC S</v>
      </c>
      <c r="J56" s="11" t="str">
        <f>IF($B56="","",Calcul!IE41)</f>
        <v>Formula 3</v>
      </c>
      <c r="K56" s="16" t="str">
        <f>IF($B56="","",Calcul!AH41)</f>
        <v>EUR</v>
      </c>
      <c r="L56" s="520">
        <f>IF($B56="","",IF(ALLTHESAME=TRUE,Cotations!$AP$4,Cotations!AP41))</f>
        <v>1</v>
      </c>
      <c r="M56" s="518">
        <f>IF($B56="","",(Calcul!AJ41+Calcul!AQ41)*L56)</f>
        <v>339.29759999999999</v>
      </c>
      <c r="N56" s="520">
        <f>IF($B56="","",IF(ALLTHESAME=TRUE,Cotations!$BZ$4,Cotations!BZ41))</f>
        <v>1</v>
      </c>
      <c r="O56" s="518">
        <f ca="1">IF($B56="","",IF(Cotations!$BA$6=0,((Calcul!AK41)*N56),Cotations!$Y$4*E56))</f>
        <v>696.86499777193467</v>
      </c>
      <c r="P56" s="520">
        <v>0</v>
      </c>
      <c r="Q56" s="518">
        <f>IF($B56="","",Calcul!X41*P56)</f>
        <v>0</v>
      </c>
      <c r="R56" s="520">
        <f t="shared" si="5"/>
        <v>0</v>
      </c>
      <c r="S56" s="518">
        <f>IF($B56="","",((Calcul!AS41*R56)+Calcul!AL41)*R56)</f>
        <v>0</v>
      </c>
      <c r="T56" s="520">
        <f>IF($B56="","",Cotations!CA41)</f>
        <v>0</v>
      </c>
      <c r="U56" s="518">
        <f>IF($B56="","",(Calcul!AT41+Calcul!AL41)*T56)</f>
        <v>0</v>
      </c>
      <c r="V56" s="520">
        <v>0</v>
      </c>
      <c r="W56" s="518">
        <f>IF($B56="","",Calcul!X41*V56)</f>
        <v>0</v>
      </c>
      <c r="X56" s="524">
        <f t="shared" ca="1" si="3"/>
        <v>1036.1625977719345</v>
      </c>
      <c r="AE56" s="11"/>
      <c r="AF56" s="520">
        <f t="shared" si="4"/>
        <v>0</v>
      </c>
      <c r="AG56" s="518" t="s">
        <v>2231</v>
      </c>
      <c r="AH56" s="11"/>
      <c r="AI56" s="520">
        <f t="shared" si="0"/>
        <v>0</v>
      </c>
      <c r="AJ56" s="518" t="e">
        <f>IF($B56="","",SUM(#REF!)*AI56)</f>
        <v>#REF!</v>
      </c>
      <c r="AL56" s="518" t="e">
        <f t="shared" ca="1" si="1"/>
        <v>#VALUE!</v>
      </c>
    </row>
    <row r="57" spans="1:38" ht="24.95" customHeight="1">
      <c r="A57" s="11" t="str">
        <f>IF(Cotations!C42=FALSE,"",Cotations!D42)</f>
        <v>2017-2017!</v>
      </c>
      <c r="B57" s="11">
        <f>IF(Cotations!C42=FALSE,"",Cotations!F42)</f>
        <v>133440</v>
      </c>
      <c r="C57" s="11" t="str">
        <f>IF($B57="","",IF(LISTES!$A$17=3,Crewlist!G42,Detail!L42))</f>
        <v>Stefan</v>
      </c>
      <c r="D57" s="11" t="str">
        <f>IF($B57="","",Cotations!H42)</f>
        <v>ISAIC</v>
      </c>
      <c r="E57" s="17">
        <f>IF($B57="","",Cotations!O42)</f>
        <v>181</v>
      </c>
      <c r="F57" s="17">
        <f>IF($B57="","",Cotations!M42)</f>
        <v>6</v>
      </c>
      <c r="G57" s="17" t="str">
        <f>IF($B57="","",Cotations!T42)</f>
        <v>annual</v>
      </c>
      <c r="H57" s="17">
        <f>IF($B57="","",Calcul!X42)</f>
        <v>4000</v>
      </c>
      <c r="I57" s="11" t="str">
        <f>IF($B57="","",Calcul!EE42)</f>
        <v>StandardMLC S</v>
      </c>
      <c r="J57" s="11" t="str">
        <f>IF($B57="","",Calcul!IE42)</f>
        <v>Formula 3</v>
      </c>
      <c r="K57" s="16" t="str">
        <f>IF($B57="","",Calcul!AH42)</f>
        <v>EUR</v>
      </c>
      <c r="L57" s="520">
        <f>IF($B57="","",IF(ALLTHESAME=TRUE,Cotations!$AP$4,Cotations!AP42))</f>
        <v>1</v>
      </c>
      <c r="M57" s="518">
        <f>IF($B57="","",(Calcul!AJ42+Calcul!AQ42)*L57)</f>
        <v>339.29759999999999</v>
      </c>
      <c r="N57" s="520">
        <f>IF($B57="","",IF(ALLTHESAME=TRUE,Cotations!$BZ$4,Cotations!BZ42))</f>
        <v>1</v>
      </c>
      <c r="O57" s="518">
        <f ca="1">IF($B57="","",IF(Cotations!$BA$6=0,((Calcul!AK42)*N57),Cotations!$Y$4*E57))</f>
        <v>696.86499777193467</v>
      </c>
      <c r="P57" s="520">
        <v>0</v>
      </c>
      <c r="Q57" s="518">
        <f>IF($B57="","",Calcul!X42*P57)</f>
        <v>0</v>
      </c>
      <c r="R57" s="520">
        <f t="shared" si="5"/>
        <v>0</v>
      </c>
      <c r="S57" s="518">
        <f>IF($B57="","",((Calcul!AS42*R57)+Calcul!AL42)*R57)</f>
        <v>0</v>
      </c>
      <c r="T57" s="520">
        <f>IF($B57="","",Cotations!CA42)</f>
        <v>0</v>
      </c>
      <c r="U57" s="518">
        <f>IF($B57="","",(Calcul!AT42+Calcul!AL42)*T57)</f>
        <v>0</v>
      </c>
      <c r="V57" s="520">
        <v>0</v>
      </c>
      <c r="W57" s="518">
        <f>IF($B57="","",Calcul!X42*V57)</f>
        <v>0</v>
      </c>
      <c r="X57" s="524">
        <f t="shared" ca="1" si="3"/>
        <v>1036.1625977719345</v>
      </c>
      <c r="AE57" s="11"/>
      <c r="AF57" s="520">
        <f t="shared" si="4"/>
        <v>0</v>
      </c>
      <c r="AG57" s="518" t="s">
        <v>2231</v>
      </c>
      <c r="AH57" s="11"/>
      <c r="AI57" s="520">
        <f t="shared" si="0"/>
        <v>0</v>
      </c>
      <c r="AJ57" s="518" t="e">
        <f>IF($B57="","",SUM(#REF!)*AI57)</f>
        <v>#REF!</v>
      </c>
      <c r="AL57" s="518" t="e">
        <f t="shared" ca="1" si="1"/>
        <v>#VALUE!</v>
      </c>
    </row>
    <row r="58" spans="1:38" ht="24.95" customHeight="1">
      <c r="A58" s="11" t="str">
        <f>IF(Cotations!C43=FALSE,"",Cotations!D43)</f>
        <v>2017-2017!</v>
      </c>
      <c r="B58" s="11">
        <f>IF(Cotations!C43=FALSE,"",Cotations!F43)</f>
        <v>133586</v>
      </c>
      <c r="C58" s="11" t="str">
        <f>IF($B58="","",IF(LISTES!$A$17=3,Crewlist!G43,Detail!L43))</f>
        <v>Sorin</v>
      </c>
      <c r="D58" s="11" t="str">
        <f>IF($B58="","",Cotations!H43)</f>
        <v>IVANCIU</v>
      </c>
      <c r="E58" s="17">
        <f>IF($B58="","",Cotations!O43)</f>
        <v>181</v>
      </c>
      <c r="F58" s="17">
        <f>IF($B58="","",Cotations!M43)</f>
        <v>6</v>
      </c>
      <c r="G58" s="17" t="str">
        <f>IF($B58="","",Cotations!T43)</f>
        <v>annual</v>
      </c>
      <c r="H58" s="17">
        <f>IF($B58="","",Calcul!X43)</f>
        <v>7000</v>
      </c>
      <c r="I58" s="11" t="str">
        <f>IF($B58="","",Calcul!EE43)</f>
        <v>StandardMLC S</v>
      </c>
      <c r="J58" s="11" t="str">
        <f>IF($B58="","",Calcul!IE43)</f>
        <v>Formula 3</v>
      </c>
      <c r="K58" s="16" t="str">
        <f>IF($B58="","",Calcul!AH43)</f>
        <v>EUR</v>
      </c>
      <c r="L58" s="520">
        <f>IF($B58="","",IF(ALLTHESAME=TRUE,Cotations!$AP$4,Cotations!AP43))</f>
        <v>1</v>
      </c>
      <c r="M58" s="518">
        <f>IF($B58="","",(Calcul!AJ43+Calcul!AQ43)*L58)</f>
        <v>339.29759999999999</v>
      </c>
      <c r="N58" s="520">
        <f>IF($B58="","",IF(ALLTHESAME=TRUE,Cotations!$BZ$4,Cotations!BZ43))</f>
        <v>1</v>
      </c>
      <c r="O58" s="518">
        <f ca="1">IF($B58="","",IF(Cotations!$BA$6=0,((Calcul!AK43)*N58),Cotations!$Y$4*E58))</f>
        <v>696.86499777193467</v>
      </c>
      <c r="P58" s="520">
        <v>0</v>
      </c>
      <c r="Q58" s="518">
        <f>IF($B58="","",Calcul!X43*P58)</f>
        <v>0</v>
      </c>
      <c r="R58" s="520">
        <f t="shared" si="5"/>
        <v>0</v>
      </c>
      <c r="S58" s="518">
        <f>IF($B58="","",((Calcul!AS43*R58)+Calcul!AL43)*R58)</f>
        <v>0</v>
      </c>
      <c r="T58" s="520">
        <f>IF($B58="","",Cotations!CA43)</f>
        <v>0</v>
      </c>
      <c r="U58" s="518">
        <f>IF($B58="","",(Calcul!AT43+Calcul!AL43)*T58)</f>
        <v>0</v>
      </c>
      <c r="V58" s="520">
        <v>0</v>
      </c>
      <c r="W58" s="518">
        <f>IF($B58="","",Calcul!X43*V58)</f>
        <v>0</v>
      </c>
      <c r="X58" s="524">
        <f t="shared" ca="1" si="3"/>
        <v>1036.1625977719345</v>
      </c>
      <c r="AE58" s="11"/>
      <c r="AF58" s="520">
        <f t="shared" si="4"/>
        <v>0</v>
      </c>
      <c r="AG58" s="518" t="s">
        <v>2231</v>
      </c>
      <c r="AH58" s="11"/>
      <c r="AI58" s="520">
        <f t="shared" si="0"/>
        <v>0</v>
      </c>
      <c r="AJ58" s="518" t="e">
        <f>IF($B58="","",SUM(#REF!)*AI58)</f>
        <v>#REF!</v>
      </c>
      <c r="AL58" s="518" t="e">
        <f t="shared" ca="1" si="1"/>
        <v>#VALUE!</v>
      </c>
    </row>
    <row r="59" spans="1:38" ht="24.95" customHeight="1">
      <c r="A59" s="11" t="str">
        <f>IF(Cotations!C44=FALSE,"",Cotations!D44)</f>
        <v>2017-2017!</v>
      </c>
      <c r="B59" s="11">
        <f>IF(Cotations!C44=FALSE,"",Cotations!F44)</f>
        <v>135203</v>
      </c>
      <c r="C59" s="11" t="str">
        <f>IF($B59="","",IF(LISTES!$A$17=3,Crewlist!G44,Detail!L44))</f>
        <v>Barbara</v>
      </c>
      <c r="D59" s="11" t="str">
        <f>IF($B59="","",Cotations!H44)</f>
        <v>IZBRECHT</v>
      </c>
      <c r="E59" s="17">
        <f>IF($B59="","",Cotations!O44)</f>
        <v>181</v>
      </c>
      <c r="F59" s="17">
        <f>IF($B59="","",Cotations!M44)</f>
        <v>6</v>
      </c>
      <c r="G59" s="17" t="str">
        <f>IF($B59="","",Cotations!T44)</f>
        <v>annual</v>
      </c>
      <c r="H59" s="17">
        <f>IF($B59="","",Calcul!X44)</f>
        <v>3000</v>
      </c>
      <c r="I59" s="11" t="str">
        <f>IF($B59="","",Calcul!EE44)</f>
        <v>StandardMLC S</v>
      </c>
      <c r="J59" s="11" t="str">
        <f>IF($B59="","",Calcul!IE44)</f>
        <v>Formula 3</v>
      </c>
      <c r="K59" s="16" t="str">
        <f>IF($B59="","",Calcul!AH44)</f>
        <v>EUR</v>
      </c>
      <c r="L59" s="520">
        <f>IF($B59="","",IF(ALLTHESAME=TRUE,Cotations!$AP$4,Cotations!AP44))</f>
        <v>1</v>
      </c>
      <c r="M59" s="518">
        <f>IF($B59="","",(Calcul!AJ44+Calcul!AQ44)*L59)</f>
        <v>339.29759999999999</v>
      </c>
      <c r="N59" s="520">
        <f>IF($B59="","",IF(ALLTHESAME=TRUE,Cotations!$BZ$4,Cotations!BZ44))</f>
        <v>1</v>
      </c>
      <c r="O59" s="518">
        <f ca="1">IF($B59="","",IF(Cotations!$BA$6=0,((Calcul!AK44)*N59),Cotations!$Y$4*E59))</f>
        <v>696.86499777193467</v>
      </c>
      <c r="P59" s="520">
        <v>0</v>
      </c>
      <c r="Q59" s="518">
        <f>IF($B59="","",Calcul!X44*P59)</f>
        <v>0</v>
      </c>
      <c r="R59" s="520">
        <f t="shared" si="5"/>
        <v>0</v>
      </c>
      <c r="S59" s="518">
        <f>IF($B59="","",((Calcul!AS44*R59)+Calcul!AL44)*R59)</f>
        <v>0</v>
      </c>
      <c r="T59" s="520">
        <f>IF($B59="","",Cotations!CA44)</f>
        <v>0</v>
      </c>
      <c r="U59" s="518">
        <f>IF($B59="","",(Calcul!AT44+Calcul!AL44)*T59)</f>
        <v>0</v>
      </c>
      <c r="V59" s="520">
        <v>0</v>
      </c>
      <c r="W59" s="518">
        <f>IF($B59="","",Calcul!X44*V59)</f>
        <v>0</v>
      </c>
      <c r="X59" s="524">
        <f t="shared" ca="1" si="3"/>
        <v>1036.1625977719345</v>
      </c>
      <c r="AE59" s="11"/>
      <c r="AF59" s="520">
        <f t="shared" si="4"/>
        <v>0</v>
      </c>
      <c r="AG59" s="518" t="s">
        <v>2231</v>
      </c>
      <c r="AH59" s="11"/>
      <c r="AI59" s="520">
        <f t="shared" si="0"/>
        <v>0</v>
      </c>
      <c r="AJ59" s="518" t="e">
        <f>IF($B59="","",SUM(#REF!)*AI59)</f>
        <v>#REF!</v>
      </c>
      <c r="AL59" s="518" t="e">
        <f t="shared" ca="1" si="1"/>
        <v>#VALUE!</v>
      </c>
    </row>
    <row r="60" spans="1:38" ht="24.95" customHeight="1">
      <c r="A60" s="11" t="str">
        <f>IF(Cotations!C45=FALSE,"",Cotations!D45)</f>
        <v>2017-2017!</v>
      </c>
      <c r="B60" s="11">
        <f>IF(Cotations!C45=FALSE,"",Cotations!F45)</f>
        <v>130254</v>
      </c>
      <c r="C60" s="11" t="str">
        <f>IF($B60="","",IF(LISTES!$A$17=3,Crewlist!G45,Detail!L45))</f>
        <v>GIANLUIGI</v>
      </c>
      <c r="D60" s="11" t="str">
        <f>IF($B60="","",Cotations!H45)</f>
        <v>LIO</v>
      </c>
      <c r="E60" s="17">
        <f>IF($B60="","",Cotations!O45)</f>
        <v>181</v>
      </c>
      <c r="F60" s="17">
        <f>IF($B60="","",Cotations!M45)</f>
        <v>6</v>
      </c>
      <c r="G60" s="17" t="str">
        <f>IF($B60="","",Cotations!T45)</f>
        <v>annual</v>
      </c>
      <c r="H60" s="17">
        <f>IF($B60="","",Calcul!X45)</f>
        <v>3500</v>
      </c>
      <c r="I60" s="11" t="str">
        <f>IF($B60="","",Calcul!EE45)</f>
        <v>StandardMLC S</v>
      </c>
      <c r="J60" s="11" t="str">
        <f>IF($B60="","",Calcul!IE45)</f>
        <v>Formula 3</v>
      </c>
      <c r="K60" s="16" t="str">
        <f>IF($B60="","",Calcul!AH45)</f>
        <v>EUR</v>
      </c>
      <c r="L60" s="520">
        <f>IF($B60="","",IF(ALLTHESAME=TRUE,Cotations!$AP$4,Cotations!AP45))</f>
        <v>1</v>
      </c>
      <c r="M60" s="518">
        <f>IF($B60="","",(Calcul!AJ45+Calcul!AQ45)*L60)</f>
        <v>339.29759999999999</v>
      </c>
      <c r="N60" s="520">
        <f>IF($B60="","",IF(ALLTHESAME=TRUE,Cotations!$BZ$4,Cotations!BZ45))</f>
        <v>1</v>
      </c>
      <c r="O60" s="518">
        <f ca="1">IF($B60="","",IF(Cotations!$BA$6=0,((Calcul!AK45)*N60),Cotations!$Y$4*E60))</f>
        <v>696.86499777193467</v>
      </c>
      <c r="P60" s="520">
        <v>0</v>
      </c>
      <c r="Q60" s="518">
        <f>IF($B60="","",Calcul!X45*P60)</f>
        <v>0</v>
      </c>
      <c r="R60" s="520">
        <f t="shared" si="5"/>
        <v>0</v>
      </c>
      <c r="S60" s="518">
        <f>IF($B60="","",((Calcul!AS45*R60)+Calcul!AL45)*R60)</f>
        <v>0</v>
      </c>
      <c r="T60" s="520">
        <f>IF($B60="","",Cotations!CA45)</f>
        <v>0</v>
      </c>
      <c r="U60" s="518">
        <f>IF($B60="","",(Calcul!AT45+Calcul!AL45)*T60)</f>
        <v>0</v>
      </c>
      <c r="V60" s="520">
        <v>0</v>
      </c>
      <c r="W60" s="518">
        <f>IF($B60="","",Calcul!X45*V60)</f>
        <v>0</v>
      </c>
      <c r="X60" s="524">
        <f t="shared" ca="1" si="3"/>
        <v>1036.1625977719345</v>
      </c>
      <c r="AE60" s="11"/>
      <c r="AF60" s="520">
        <f t="shared" si="4"/>
        <v>0</v>
      </c>
      <c r="AG60" s="518" t="s">
        <v>2231</v>
      </c>
      <c r="AH60" s="11"/>
      <c r="AI60" s="520">
        <f t="shared" si="0"/>
        <v>0</v>
      </c>
      <c r="AJ60" s="518" t="e">
        <f>IF($B60="","",SUM(#REF!)*AI60)</f>
        <v>#REF!</v>
      </c>
      <c r="AL60" s="518" t="e">
        <f t="shared" ca="1" si="1"/>
        <v>#VALUE!</v>
      </c>
    </row>
    <row r="61" spans="1:38" ht="24.95" customHeight="1">
      <c r="A61" s="11" t="str">
        <f>IF(Cotations!C46=FALSE,"",Cotations!D46)</f>
        <v>2017-2017!</v>
      </c>
      <c r="B61" s="11">
        <f>IF(Cotations!C46=FALSE,"",Cotations!F46)</f>
        <v>133442</v>
      </c>
      <c r="C61" s="11" t="str">
        <f>IF($B61="","",IF(LISTES!$A$17=3,Crewlist!G46,Detail!L46))</f>
        <v>Slaven</v>
      </c>
      <c r="D61" s="11" t="str">
        <f>IF($B61="","",Cotations!H46)</f>
        <v>MEHIC</v>
      </c>
      <c r="E61" s="17">
        <f>IF($B61="","",Cotations!O46)</f>
        <v>181</v>
      </c>
      <c r="F61" s="17">
        <f>IF($B61="","",Cotations!M46)</f>
        <v>6</v>
      </c>
      <c r="G61" s="17" t="str">
        <f>IF($B61="","",Cotations!T46)</f>
        <v>annual</v>
      </c>
      <c r="H61" s="17">
        <f>IF($B61="","",Calcul!X46)</f>
        <v>6000</v>
      </c>
      <c r="I61" s="11" t="str">
        <f>IF($B61="","",Calcul!EE46)</f>
        <v>StandardMLC S</v>
      </c>
      <c r="J61" s="11" t="str">
        <f>IF($B61="","",Calcul!IE46)</f>
        <v>Formula 3</v>
      </c>
      <c r="K61" s="16" t="str">
        <f>IF($B61="","",Calcul!AH46)</f>
        <v>EUR</v>
      </c>
      <c r="L61" s="520">
        <f>IF($B61="","",IF(ALLTHESAME=TRUE,Cotations!$AP$4,Cotations!AP46))</f>
        <v>1</v>
      </c>
      <c r="M61" s="518">
        <f>IF($B61="","",(Calcul!AJ46+Calcul!AQ46)*L61)</f>
        <v>339.29759999999999</v>
      </c>
      <c r="N61" s="520">
        <f>IF($B61="","",IF(ALLTHESAME=TRUE,Cotations!$BZ$4,Cotations!BZ46))</f>
        <v>1</v>
      </c>
      <c r="O61" s="518">
        <f ca="1">IF($B61="","",IF(Cotations!$BA$6=0,((Calcul!AK46)*N61),Cotations!$Y$4*E61))</f>
        <v>696.86499777193467</v>
      </c>
      <c r="P61" s="520">
        <v>0</v>
      </c>
      <c r="Q61" s="518">
        <f>IF($B61="","",Calcul!X46*P61)</f>
        <v>0</v>
      </c>
      <c r="R61" s="520">
        <f t="shared" si="5"/>
        <v>0</v>
      </c>
      <c r="S61" s="518">
        <f>IF($B61="","",((Calcul!AS46*R61)+Calcul!AL46)*R61)</f>
        <v>0</v>
      </c>
      <c r="T61" s="520">
        <f>IF($B61="","",Cotations!CA46)</f>
        <v>0</v>
      </c>
      <c r="U61" s="518">
        <f>IF($B61="","",(Calcul!AT46+Calcul!AL46)*T61)</f>
        <v>0</v>
      </c>
      <c r="V61" s="520">
        <v>0</v>
      </c>
      <c r="W61" s="518">
        <f>IF($B61="","",Calcul!X46*V61)</f>
        <v>0</v>
      </c>
      <c r="X61" s="524">
        <f t="shared" ca="1" si="3"/>
        <v>1036.1625977719345</v>
      </c>
      <c r="AE61" s="11"/>
      <c r="AF61" s="520">
        <f t="shared" si="4"/>
        <v>0</v>
      </c>
      <c r="AG61" s="518" t="s">
        <v>2231</v>
      </c>
      <c r="AH61" s="11"/>
      <c r="AI61" s="520">
        <f t="shared" si="0"/>
        <v>0</v>
      </c>
      <c r="AJ61" s="518" t="e">
        <f>IF($B61="","",SUM(#REF!)*AI61)</f>
        <v>#REF!</v>
      </c>
      <c r="AL61" s="518" t="e">
        <f t="shared" ca="1" si="1"/>
        <v>#VALUE!</v>
      </c>
    </row>
    <row r="62" spans="1:38" ht="24.95" customHeight="1">
      <c r="A62" s="11" t="str">
        <f>IF(Cotations!C47=FALSE,"",Cotations!D47)</f>
        <v>2017-2017!</v>
      </c>
      <c r="B62" s="11">
        <f>IF(Cotations!C47=FALSE,"",Cotations!F47)</f>
        <v>135200</v>
      </c>
      <c r="C62" s="11" t="str">
        <f>IF($B62="","",IF(LISTES!$A$17=3,Crewlist!G47,Detail!L47))</f>
        <v>David</v>
      </c>
      <c r="D62" s="11" t="str">
        <f>IF($B62="","",Cotations!H47)</f>
        <v>SOLLITT</v>
      </c>
      <c r="E62" s="17">
        <f>IF($B62="","",Cotations!O47)</f>
        <v>181</v>
      </c>
      <c r="F62" s="17">
        <f>IF($B62="","",Cotations!M47)</f>
        <v>6</v>
      </c>
      <c r="G62" s="17" t="str">
        <f>IF($B62="","",Cotations!T47)</f>
        <v>annual</v>
      </c>
      <c r="H62" s="17">
        <f>IF($B62="","",Calcul!X47)</f>
        <v>3500</v>
      </c>
      <c r="I62" s="11" t="str">
        <f>IF($B62="","",Calcul!EE47)</f>
        <v>StandardMLC S</v>
      </c>
      <c r="J62" s="11" t="str">
        <f>IF($B62="","",Calcul!IE47)</f>
        <v>Formula 3</v>
      </c>
      <c r="K62" s="16" t="str">
        <f>IF($B62="","",Calcul!AH47)</f>
        <v>EUR</v>
      </c>
      <c r="L62" s="520">
        <f>IF($B62="","",IF(ALLTHESAME=TRUE,Cotations!$AP$4,Cotations!AP47))</f>
        <v>1</v>
      </c>
      <c r="M62" s="518">
        <f>IF($B62="","",(Calcul!AJ47+Calcul!AQ47)*L62)</f>
        <v>339.29759999999999</v>
      </c>
      <c r="N62" s="520">
        <f>IF($B62="","",IF(ALLTHESAME=TRUE,Cotations!$BZ$4,Cotations!BZ47))</f>
        <v>1</v>
      </c>
      <c r="O62" s="518">
        <f ca="1">IF($B62="","",IF(Cotations!$BA$6=0,((Calcul!AK47)*N62),Cotations!$Y$4*E62))</f>
        <v>696.86499777193467</v>
      </c>
      <c r="P62" s="520">
        <v>0</v>
      </c>
      <c r="Q62" s="518">
        <f>IF($B62="","",Calcul!X47*P62)</f>
        <v>0</v>
      </c>
      <c r="R62" s="520">
        <f t="shared" si="5"/>
        <v>0</v>
      </c>
      <c r="S62" s="518">
        <f>IF($B62="","",((Calcul!AS47*R62)+Calcul!AL47)*R62)</f>
        <v>0</v>
      </c>
      <c r="T62" s="520">
        <f>IF($B62="","",Cotations!CA47)</f>
        <v>0</v>
      </c>
      <c r="U62" s="518">
        <f>IF($B62="","",(Calcul!AT47+Calcul!AL47)*T62)</f>
        <v>0</v>
      </c>
      <c r="V62" s="520">
        <v>0</v>
      </c>
      <c r="W62" s="518">
        <f>IF($B62="","",Calcul!X47*V62)</f>
        <v>0</v>
      </c>
      <c r="X62" s="524">
        <f t="shared" ca="1" si="3"/>
        <v>1036.1625977719345</v>
      </c>
      <c r="AE62" s="11"/>
      <c r="AF62" s="520">
        <f t="shared" si="4"/>
        <v>0</v>
      </c>
      <c r="AG62" s="518" t="s">
        <v>2231</v>
      </c>
      <c r="AH62" s="11"/>
      <c r="AI62" s="520">
        <f t="shared" si="0"/>
        <v>0</v>
      </c>
      <c r="AJ62" s="518" t="e">
        <f>IF($B62="","",SUM(#REF!)*AI62)</f>
        <v>#REF!</v>
      </c>
      <c r="AL62" s="518" t="e">
        <f t="shared" ca="1" si="1"/>
        <v>#VALUE!</v>
      </c>
    </row>
    <row r="63" spans="1:38" ht="24.95" customHeight="1">
      <c r="A63" s="11" t="str">
        <f>IF(Cotations!C48=FALSE,"",Cotations!D48)</f>
        <v>2017-2017!</v>
      </c>
      <c r="B63" s="11">
        <f>IF(Cotations!C48=FALSE,"",Cotations!F48)</f>
        <v>135199</v>
      </c>
      <c r="C63" s="11" t="str">
        <f>IF($B63="","",IF(LISTES!$A$17=3,Crewlist!G48,Detail!L48))</f>
        <v>Benjamin</v>
      </c>
      <c r="D63" s="11" t="str">
        <f>IF($B63="","",Cotations!H48)</f>
        <v>STURGE</v>
      </c>
      <c r="E63" s="17">
        <f>IF($B63="","",Cotations!O48)</f>
        <v>181</v>
      </c>
      <c r="F63" s="17">
        <f>IF($B63="","",Cotations!M48)</f>
        <v>6</v>
      </c>
      <c r="G63" s="17" t="str">
        <f>IF($B63="","",Cotations!T48)</f>
        <v>annual</v>
      </c>
      <c r="H63" s="17">
        <f>IF($B63="","",Calcul!X48)</f>
        <v>7000</v>
      </c>
      <c r="I63" s="11" t="str">
        <f>IF($B63="","",Calcul!EE48)</f>
        <v>StandardMLC S</v>
      </c>
      <c r="J63" s="11" t="str">
        <f>IF($B63="","",Calcul!IE48)</f>
        <v>Formula 3</v>
      </c>
      <c r="K63" s="16" t="str">
        <f>IF($B63="","",Calcul!AH48)</f>
        <v>EUR</v>
      </c>
      <c r="L63" s="520">
        <f>IF($B63="","",IF(ALLTHESAME=TRUE,Cotations!$AP$4,Cotations!AP48))</f>
        <v>1</v>
      </c>
      <c r="M63" s="518">
        <f>IF($B63="","",(Calcul!AJ48+Calcul!AQ48)*L63)</f>
        <v>339.29759999999999</v>
      </c>
      <c r="N63" s="520">
        <f>IF($B63="","",IF(ALLTHESAME=TRUE,Cotations!$BZ$4,Cotations!BZ48))</f>
        <v>1</v>
      </c>
      <c r="O63" s="518">
        <f ca="1">IF($B63="","",IF(Cotations!$BA$6=0,((Calcul!AK48)*N63),Cotations!$Y$4*E63))</f>
        <v>696.86499777193467</v>
      </c>
      <c r="P63" s="520">
        <v>0</v>
      </c>
      <c r="Q63" s="518">
        <f>IF($B63="","",Calcul!X48*P63)</f>
        <v>0</v>
      </c>
      <c r="R63" s="520">
        <f t="shared" si="5"/>
        <v>0</v>
      </c>
      <c r="S63" s="518">
        <f>IF($B63="","",((Calcul!AS48*R63)+Calcul!AL48)*R63)</f>
        <v>0</v>
      </c>
      <c r="T63" s="520">
        <f>IF($B63="","",Cotations!CA48)</f>
        <v>0</v>
      </c>
      <c r="U63" s="518">
        <f>IF($B63="","",(Calcul!AT48+Calcul!AL48)*T63)</f>
        <v>0</v>
      </c>
      <c r="V63" s="520">
        <v>0</v>
      </c>
      <c r="W63" s="518">
        <f>IF($B63="","",Calcul!X48*V63)</f>
        <v>0</v>
      </c>
      <c r="X63" s="524">
        <f t="shared" ca="1" si="3"/>
        <v>1036.1625977719345</v>
      </c>
      <c r="AE63" s="11"/>
      <c r="AF63" s="520">
        <f t="shared" si="4"/>
        <v>0</v>
      </c>
      <c r="AG63" s="518" t="s">
        <v>2231</v>
      </c>
      <c r="AH63" s="11"/>
      <c r="AI63" s="520">
        <f t="shared" si="0"/>
        <v>0</v>
      </c>
      <c r="AJ63" s="518" t="e">
        <f>IF($B63="","",SUM(#REF!)*AI63)</f>
        <v>#REF!</v>
      </c>
      <c r="AL63" s="518" t="e">
        <f t="shared" ca="1" si="1"/>
        <v>#VALUE!</v>
      </c>
    </row>
    <row r="64" spans="1:38" ht="24.95" customHeight="1">
      <c r="A64" s="11" t="str">
        <f>IF(Cotations!C49=FALSE,"",Cotations!D49)</f>
        <v>2017-2017!</v>
      </c>
      <c r="B64" s="11">
        <f>IF(Cotations!C49=FALSE,"",Cotations!F49)</f>
        <v>135201</v>
      </c>
      <c r="C64" s="11" t="str">
        <f>IF($B64="","",IF(LISTES!$A$17=3,Crewlist!G49,Detail!L49))</f>
        <v>Hans</v>
      </c>
      <c r="D64" s="11" t="str">
        <f>IF($B64="","",Cotations!H49)</f>
        <v>VOLKER</v>
      </c>
      <c r="E64" s="17">
        <f>IF($B64="","",Cotations!O49)</f>
        <v>181</v>
      </c>
      <c r="F64" s="17">
        <f>IF($B64="","",Cotations!M49)</f>
        <v>6</v>
      </c>
      <c r="G64" s="17" t="str">
        <f>IF($B64="","",Cotations!T49)</f>
        <v>annual</v>
      </c>
      <c r="H64" s="17">
        <f>IF($B64="","",Calcul!X49)</f>
        <v>3000</v>
      </c>
      <c r="I64" s="11" t="str">
        <f>IF($B64="","",Calcul!EE49)</f>
        <v>StandardMLC S</v>
      </c>
      <c r="J64" s="11" t="str">
        <f>IF($B64="","",Calcul!IE49)</f>
        <v>Formula 3</v>
      </c>
      <c r="K64" s="16" t="str">
        <f>IF($B64="","",Calcul!AH49)</f>
        <v>EUR</v>
      </c>
      <c r="L64" s="520">
        <f>IF($B64="","",IF(ALLTHESAME=TRUE,Cotations!$AP$4,Cotations!AP49))</f>
        <v>1</v>
      </c>
      <c r="M64" s="518">
        <f>IF($B64="","",(Calcul!AJ49+Calcul!AQ49)*L64)</f>
        <v>339.29759999999999</v>
      </c>
      <c r="N64" s="520">
        <f>IF($B64="","",IF(ALLTHESAME=TRUE,Cotations!$BZ$4,Cotations!BZ49))</f>
        <v>1</v>
      </c>
      <c r="O64" s="518">
        <f ca="1">IF($B64="","",IF(Cotations!$BA$6=0,((Calcul!AK49)*N64),Cotations!$Y$4*E64))</f>
        <v>696.86499777193467</v>
      </c>
      <c r="P64" s="520">
        <v>0</v>
      </c>
      <c r="Q64" s="518">
        <f>IF($B64="","",Calcul!X49*P64)</f>
        <v>0</v>
      </c>
      <c r="R64" s="520">
        <f t="shared" si="5"/>
        <v>0</v>
      </c>
      <c r="S64" s="518">
        <f>IF($B64="","",((Calcul!AS49*R64)+Calcul!AL49)*R64)</f>
        <v>0</v>
      </c>
      <c r="T64" s="520">
        <f>IF($B64="","",Cotations!CA49)</f>
        <v>0</v>
      </c>
      <c r="U64" s="518">
        <f>IF($B64="","",(Calcul!AT49+Calcul!AL49)*T64)</f>
        <v>0</v>
      </c>
      <c r="V64" s="520">
        <v>0</v>
      </c>
      <c r="W64" s="518">
        <f>IF($B64="","",Calcul!X49*V64)</f>
        <v>0</v>
      </c>
      <c r="X64" s="524">
        <f t="shared" ca="1" si="3"/>
        <v>1036.1625977719345</v>
      </c>
      <c r="AE64" s="11"/>
      <c r="AF64" s="520">
        <f t="shared" si="4"/>
        <v>0</v>
      </c>
      <c r="AG64" s="518" t="s">
        <v>2231</v>
      </c>
      <c r="AH64" s="11"/>
      <c r="AI64" s="520">
        <f t="shared" si="0"/>
        <v>0</v>
      </c>
      <c r="AJ64" s="518" t="e">
        <f>IF($B64="","",SUM(#REF!)*AI64)</f>
        <v>#REF!</v>
      </c>
      <c r="AL64" s="518" t="e">
        <f t="shared" ca="1" si="1"/>
        <v>#VALUE!</v>
      </c>
    </row>
    <row r="65" spans="1:38" ht="24.95" customHeight="1">
      <c r="A65" s="11" t="str">
        <f>IF(Cotations!C50=FALSE,"",Cotations!D50)</f>
        <v>2017-2017!</v>
      </c>
      <c r="B65" s="11" t="str">
        <f>IF(Cotations!C50=FALSE,"",Cotations!F50)</f>
        <v>X-1</v>
      </c>
      <c r="C65" s="11">
        <f>IF($B65="","",IF(LISTES!$A$17=3,Crewlist!G50,Detail!L50))</f>
        <v>0</v>
      </c>
      <c r="D65" s="11" t="str">
        <f>IF($B65="","",Cotations!H50)</f>
        <v/>
      </c>
      <c r="E65" s="17">
        <f>IF($B65="","",Cotations!O50)</f>
        <v>150</v>
      </c>
      <c r="F65" s="17">
        <f>IF($B65="","",Cotations!M50)</f>
        <v>5</v>
      </c>
      <c r="G65" s="17" t="str">
        <f>IF($B65="","",Cotations!T50)</f>
        <v>seasonal</v>
      </c>
      <c r="H65" s="17">
        <f>IF($B65="","",Calcul!X50)</f>
        <v>2500</v>
      </c>
      <c r="I65" s="11" t="str">
        <f>IF($B65="","",Calcul!EE50)</f>
        <v>StandardMLC S</v>
      </c>
      <c r="J65" s="11" t="str">
        <f>IF($B65="","",Calcul!IE50)</f>
        <v>Formula 3</v>
      </c>
      <c r="K65" s="16" t="str">
        <f>IF($B65="","",Calcul!AH50)</f>
        <v>EUR</v>
      </c>
      <c r="L65" s="520">
        <f>IF($B65="","",IF(ALLTHESAME=TRUE,Cotations!$AP$4,Cotations!AP50))</f>
        <v>1</v>
      </c>
      <c r="M65" s="518">
        <f>IF($B65="","",(Calcul!AJ50+Calcul!AQ50)*L65)</f>
        <v>282.74799999999999</v>
      </c>
      <c r="N65" s="520">
        <f>IF($B65="","",IF(ALLTHESAME=TRUE,Cotations!$BZ$4,Cotations!BZ50))</f>
        <v>1</v>
      </c>
      <c r="O65" s="518">
        <f ca="1">IF($B65="","",IF(Cotations!$BA$6=0,((Calcul!AK50)*N65),Cotations!$Y$4*E65))</f>
        <v>577.51242909276357</v>
      </c>
      <c r="P65" s="520">
        <v>0</v>
      </c>
      <c r="Q65" s="518">
        <f>IF($B65="","",Calcul!X50*P65)</f>
        <v>0</v>
      </c>
      <c r="R65" s="520">
        <f t="shared" si="5"/>
        <v>0</v>
      </c>
      <c r="S65" s="518">
        <f>IF($B65="","",((Calcul!AS50*R65)+Calcul!AL50)*R65)</f>
        <v>0</v>
      </c>
      <c r="T65" s="520">
        <f>IF($B65="","",Cotations!CA50)</f>
        <v>0</v>
      </c>
      <c r="U65" s="518">
        <f>IF($B65="","",(Calcul!AT50+Calcul!AL50)*T65)</f>
        <v>0</v>
      </c>
      <c r="V65" s="520">
        <v>0</v>
      </c>
      <c r="W65" s="518">
        <f>IF($B65="","",Calcul!X50*V65)</f>
        <v>0</v>
      </c>
      <c r="X65" s="524">
        <f t="shared" ca="1" si="3"/>
        <v>860.26042909276362</v>
      </c>
      <c r="AE65" s="11"/>
      <c r="AF65" s="520">
        <f t="shared" si="4"/>
        <v>0</v>
      </c>
      <c r="AG65" s="518" t="s">
        <v>2231</v>
      </c>
      <c r="AH65" s="11"/>
      <c r="AI65" s="520">
        <f t="shared" si="0"/>
        <v>0</v>
      </c>
      <c r="AJ65" s="518" t="e">
        <f>IF($B65="","",SUM(#REF!)*AI65)</f>
        <v>#REF!</v>
      </c>
      <c r="AL65" s="518" t="e">
        <f t="shared" ca="1" si="1"/>
        <v>#VALUE!</v>
      </c>
    </row>
    <row r="66" spans="1:38" ht="24.95" customHeight="1">
      <c r="A66" s="11" t="str">
        <f>IF(Cotations!C51=FALSE,"",Cotations!D51)</f>
        <v>2017-2017!</v>
      </c>
      <c r="B66" s="11" t="str">
        <f>IF(Cotations!C51=FALSE,"",Cotations!F51)</f>
        <v>X-2</v>
      </c>
      <c r="C66" s="11">
        <f>IF($B66="","",IF(LISTES!$A$17=3,Crewlist!G51,Detail!L51))</f>
        <v>0</v>
      </c>
      <c r="D66" s="11" t="str">
        <f>IF($B66="","",Cotations!H51)</f>
        <v/>
      </c>
      <c r="E66" s="17">
        <f>IF($B66="","",Cotations!O51)</f>
        <v>150</v>
      </c>
      <c r="F66" s="17">
        <f>IF($B66="","",Cotations!M51)</f>
        <v>5</v>
      </c>
      <c r="G66" s="17" t="str">
        <f>IF($B66="","",Cotations!T51)</f>
        <v>seasonal</v>
      </c>
      <c r="H66" s="17">
        <f>IF($B66="","",Calcul!X51)</f>
        <v>2500</v>
      </c>
      <c r="I66" s="11" t="str">
        <f>IF($B66="","",Calcul!EE51)</f>
        <v>StandardMLC S</v>
      </c>
      <c r="J66" s="11" t="str">
        <f>IF($B66="","",Calcul!IE51)</f>
        <v>Formula 3</v>
      </c>
      <c r="K66" s="16" t="str">
        <f>IF($B66="","",Calcul!AH51)</f>
        <v>EUR</v>
      </c>
      <c r="L66" s="520">
        <f>IF($B66="","",IF(ALLTHESAME=TRUE,Cotations!$AP$4,Cotations!AP51))</f>
        <v>1</v>
      </c>
      <c r="M66" s="518">
        <f>IF($B66="","",(Calcul!AJ51+Calcul!AQ51)*L66)</f>
        <v>282.74799999999999</v>
      </c>
      <c r="N66" s="520">
        <f>IF($B66="","",IF(ALLTHESAME=TRUE,Cotations!$BZ$4,Cotations!BZ51))</f>
        <v>1</v>
      </c>
      <c r="O66" s="518">
        <f ca="1">IF($B66="","",IF(Cotations!$BA$6=0,((Calcul!AK51)*N66),Cotations!$Y$4*E66))</f>
        <v>577.51242909276357</v>
      </c>
      <c r="P66" s="520">
        <v>0</v>
      </c>
      <c r="Q66" s="518">
        <f>IF($B66="","",Calcul!X51*P66)</f>
        <v>0</v>
      </c>
      <c r="R66" s="520">
        <f t="shared" si="5"/>
        <v>0</v>
      </c>
      <c r="S66" s="518">
        <f>IF($B66="","",((Calcul!AS51*R66)+Calcul!AL51)*R66)</f>
        <v>0</v>
      </c>
      <c r="T66" s="520">
        <f>IF($B66="","",Cotations!CA51)</f>
        <v>0</v>
      </c>
      <c r="U66" s="518">
        <f>IF($B66="","",(Calcul!AT51+Calcul!AL51)*T66)</f>
        <v>0</v>
      </c>
      <c r="V66" s="520">
        <v>0</v>
      </c>
      <c r="W66" s="518">
        <f>IF($B66="","",Calcul!X51*V66)</f>
        <v>0</v>
      </c>
      <c r="X66" s="524">
        <f t="shared" ca="1" si="3"/>
        <v>860.26042909276362</v>
      </c>
      <c r="AE66" s="11"/>
      <c r="AF66" s="520">
        <f t="shared" si="4"/>
        <v>0</v>
      </c>
      <c r="AG66" s="518" t="s">
        <v>2231</v>
      </c>
      <c r="AH66" s="11"/>
      <c r="AI66" s="520">
        <f t="shared" si="0"/>
        <v>0</v>
      </c>
      <c r="AJ66" s="518" t="e">
        <f>IF($B66="","",SUM(#REF!)*AI66)</f>
        <v>#REF!</v>
      </c>
      <c r="AL66" s="518" t="e">
        <f t="shared" ca="1" si="1"/>
        <v>#VALUE!</v>
      </c>
    </row>
    <row r="67" spans="1:38" ht="24.95" customHeight="1">
      <c r="A67" s="11" t="str">
        <f>IF(Cotations!C52=FALSE,"",Cotations!D52)</f>
        <v>2017-2017!</v>
      </c>
      <c r="B67" s="11" t="str">
        <f>IF(Cotations!C52=FALSE,"",Cotations!F52)</f>
        <v>X-3</v>
      </c>
      <c r="C67" s="11">
        <f>IF($B67="","",IF(LISTES!$A$17=3,Crewlist!G52,Detail!L52))</f>
        <v>0</v>
      </c>
      <c r="D67" s="11" t="str">
        <f>IF($B67="","",Cotations!H52)</f>
        <v/>
      </c>
      <c r="E67" s="17">
        <f>IF($B67="","",Cotations!O52)</f>
        <v>150</v>
      </c>
      <c r="F67" s="17">
        <f>IF($B67="","",Cotations!M52)</f>
        <v>5</v>
      </c>
      <c r="G67" s="17" t="str">
        <f>IF($B67="","",Cotations!T52)</f>
        <v>seasonal</v>
      </c>
      <c r="H67" s="17">
        <f>IF($B67="","",Calcul!X52)</f>
        <v>2500</v>
      </c>
      <c r="I67" s="11" t="str">
        <f>IF($B67="","",Calcul!EE52)</f>
        <v>StandardMLC S</v>
      </c>
      <c r="J67" s="11" t="str">
        <f>IF($B67="","",Calcul!IE52)</f>
        <v>Formula 3</v>
      </c>
      <c r="K67" s="16" t="str">
        <f>IF($B67="","",Calcul!AH52)</f>
        <v>EUR</v>
      </c>
      <c r="L67" s="520">
        <f>IF($B67="","",IF(ALLTHESAME=TRUE,Cotations!$AP$4,Cotations!AP52))</f>
        <v>1</v>
      </c>
      <c r="M67" s="518">
        <f>IF($B67="","",(Calcul!AJ52+Calcul!AQ52)*L67)</f>
        <v>282.74799999999999</v>
      </c>
      <c r="N67" s="520">
        <f>IF($B67="","",IF(ALLTHESAME=TRUE,Cotations!$BZ$4,Cotations!BZ52))</f>
        <v>1</v>
      </c>
      <c r="O67" s="518">
        <f ca="1">IF($B67="","",IF(Cotations!$BA$6=0,((Calcul!AK52)*N67),Cotations!$Y$4*E67))</f>
        <v>577.51242909276357</v>
      </c>
      <c r="P67" s="520">
        <v>0</v>
      </c>
      <c r="Q67" s="518">
        <f>IF($B67="","",Calcul!X52*P67)</f>
        <v>0</v>
      </c>
      <c r="R67" s="520">
        <f t="shared" si="5"/>
        <v>0</v>
      </c>
      <c r="S67" s="518">
        <f>IF($B67="","",((Calcul!AS52*R67)+Calcul!AL52)*R67)</f>
        <v>0</v>
      </c>
      <c r="T67" s="520">
        <f>IF($B67="","",Cotations!CA52)</f>
        <v>0</v>
      </c>
      <c r="U67" s="518">
        <f>IF($B67="","",(Calcul!AT52+Calcul!AL52)*T67)</f>
        <v>0</v>
      </c>
      <c r="V67" s="520">
        <v>0</v>
      </c>
      <c r="W67" s="518">
        <f>IF($B67="","",Calcul!X52*V67)</f>
        <v>0</v>
      </c>
      <c r="X67" s="524">
        <f t="shared" ca="1" si="3"/>
        <v>860.26042909276362</v>
      </c>
      <c r="AE67" s="11"/>
      <c r="AF67" s="520">
        <f t="shared" si="4"/>
        <v>0</v>
      </c>
      <c r="AG67" s="518" t="s">
        <v>2231</v>
      </c>
      <c r="AH67" s="11"/>
      <c r="AI67" s="520">
        <f t="shared" si="0"/>
        <v>0</v>
      </c>
      <c r="AJ67" s="518" t="e">
        <f>IF($B67="","",SUM(#REF!)*AI67)</f>
        <v>#REF!</v>
      </c>
      <c r="AL67" s="518" t="e">
        <f t="shared" ca="1" si="1"/>
        <v>#VALUE!</v>
      </c>
    </row>
    <row r="68" spans="1:38" ht="24.95" customHeight="1">
      <c r="A68" s="11" t="str">
        <f>IF(Cotations!C53=FALSE,"",Cotations!D53)</f>
        <v/>
      </c>
      <c r="B68" s="11" t="str">
        <f>IF(Cotations!C53=FALSE,"",Cotations!F53)</f>
        <v/>
      </c>
      <c r="C68" s="11" t="str">
        <f>IF($B68="","",IF(LISTES!$A$17=3,Crewlist!G53,Detail!L53))</f>
        <v/>
      </c>
      <c r="D68" s="11" t="str">
        <f>IF($B68="","",Cotations!H53)</f>
        <v/>
      </c>
      <c r="E68" s="17" t="str">
        <f>IF($B68="","",Cotations!O53)</f>
        <v/>
      </c>
      <c r="F68" s="17" t="str">
        <f>IF($B68="","",Cotations!M53)</f>
        <v/>
      </c>
      <c r="G68" s="17" t="str">
        <f>IF($B68="","",Cotations!T53)</f>
        <v/>
      </c>
      <c r="H68" s="17" t="str">
        <f>IF($B68="","",Calcul!X53)</f>
        <v/>
      </c>
      <c r="I68" s="11" t="str">
        <f>IF($B68="","",Calcul!EE53)</f>
        <v/>
      </c>
      <c r="J68" s="11" t="str">
        <f>IF($B68="","",Calcul!IE53)</f>
        <v/>
      </c>
      <c r="K68" s="16" t="str">
        <f>IF($B68="","",Calcul!AH53)</f>
        <v/>
      </c>
      <c r="L68" s="520" t="str">
        <f>IF($B68="","",IF(ALLTHESAME=TRUE,Cotations!$AP$4,Cotations!AP53))</f>
        <v/>
      </c>
      <c r="M68" s="518" t="str">
        <f>IF($B68="","",(Calcul!AJ53+Calcul!AQ53)*L68)</f>
        <v/>
      </c>
      <c r="N68" s="520" t="str">
        <f>IF($B68="","",IF(ALLTHESAME=TRUE,Cotations!$BZ$4,Cotations!BZ53))</f>
        <v/>
      </c>
      <c r="O68" s="518" t="str">
        <f>IF($B68="","",IF(Cotations!$BA$6=0,((Calcul!AK53)*N68),Cotations!$Y$4*E68))</f>
        <v/>
      </c>
      <c r="P68" s="520">
        <v>0</v>
      </c>
      <c r="Q68" s="518" t="str">
        <f>IF($B68="","",Calcul!X53*P68)</f>
        <v/>
      </c>
      <c r="R68" s="520" t="str">
        <f t="shared" si="5"/>
        <v/>
      </c>
      <c r="S68" s="518" t="str">
        <f>IF($B68="","",((Calcul!AS53*R68)+Calcul!AL53)*R68)</f>
        <v/>
      </c>
      <c r="T68" s="520" t="str">
        <f>IF($B68="","",Cotations!CA53)</f>
        <v/>
      </c>
      <c r="U68" s="518" t="str">
        <f>IF($B68="","",(Calcul!AT53+Calcul!AL53)*T68)</f>
        <v/>
      </c>
      <c r="V68" s="520">
        <v>0</v>
      </c>
      <c r="W68" s="518" t="str">
        <f>IF($B68="","",Calcul!X53*V68)</f>
        <v/>
      </c>
      <c r="X68" s="524" t="str">
        <f t="shared" si="3"/>
        <v/>
      </c>
      <c r="AE68" s="11"/>
      <c r="AF68" s="520" t="str">
        <f t="shared" si="4"/>
        <v/>
      </c>
      <c r="AG68" s="518" t="s">
        <v>2231</v>
      </c>
      <c r="AH68" s="11"/>
      <c r="AI68" s="520" t="str">
        <f t="shared" si="0"/>
        <v/>
      </c>
      <c r="AJ68" s="518" t="str">
        <f>IF($B68="","",SUM(#REF!)*AI68)</f>
        <v/>
      </c>
      <c r="AL68" s="518" t="str">
        <f t="shared" si="1"/>
        <v/>
      </c>
    </row>
    <row r="69" spans="1:38" s="521" customFormat="1" ht="24.95" customHeight="1">
      <c r="A69" s="11" t="str">
        <f>IF(Cotations!C54=FALSE,"",Cotations!D54)</f>
        <v/>
      </c>
      <c r="B69" s="11" t="str">
        <f>IF(Cotations!C54=FALSE,"",Cotations!F54)</f>
        <v/>
      </c>
      <c r="C69" s="11" t="str">
        <f>IF($B69="","",IF(LISTES!$A$17=3,Crewlist!G54,Detail!L54))</f>
        <v/>
      </c>
      <c r="D69" s="11" t="str">
        <f>IF($B69="","",Cotations!H54)</f>
        <v/>
      </c>
      <c r="E69" s="17" t="str">
        <f>IF($B69="","",Cotations!O54)</f>
        <v/>
      </c>
      <c r="F69" s="17" t="str">
        <f>IF($B69="","",Cotations!M54)</f>
        <v/>
      </c>
      <c r="G69" s="17" t="str">
        <f>IF($B69="","",Cotations!T54)</f>
        <v/>
      </c>
      <c r="H69" s="17" t="str">
        <f>IF($B69="","",Calcul!X54)</f>
        <v/>
      </c>
      <c r="I69" s="11" t="str">
        <f>IF($B69="","",Calcul!EE54)</f>
        <v/>
      </c>
      <c r="J69" s="11" t="str">
        <f>IF($B69="","",Calcul!IE54)</f>
        <v/>
      </c>
      <c r="K69" s="16" t="str">
        <f>IF($B69="","",Calcul!AH54)</f>
        <v/>
      </c>
      <c r="L69" s="520" t="str">
        <f>IF($B69="","",IF(ALLTHESAME=TRUE,Cotations!$AP$4,Cotations!AP54))</f>
        <v/>
      </c>
      <c r="M69" s="518" t="str">
        <f>IF($B69="","",(Calcul!AJ54+Calcul!AQ54)*L69)</f>
        <v/>
      </c>
      <c r="N69" s="520" t="str">
        <f>IF($B69="","",IF(ALLTHESAME=TRUE,Cotations!$BZ$4,Cotations!BZ54))</f>
        <v/>
      </c>
      <c r="O69" s="518" t="str">
        <f>IF($B69="","",IF(Cotations!$BA$6=0,((Calcul!AK54)*N69),Cotations!$Y$4*E69))</f>
        <v/>
      </c>
      <c r="P69" s="520">
        <v>0</v>
      </c>
      <c r="Q69" s="518" t="str">
        <f>IF($B69="","",Calcul!X54*P69)</f>
        <v/>
      </c>
      <c r="R69" s="520" t="str">
        <f t="shared" si="5"/>
        <v/>
      </c>
      <c r="S69" s="518" t="str">
        <f>IF($B69="","",((Calcul!AS54*R69)+Calcul!AL54)*R69)</f>
        <v/>
      </c>
      <c r="T69" s="520" t="str">
        <f>IF($B69="","",Cotations!CA54)</f>
        <v/>
      </c>
      <c r="U69" s="518" t="str">
        <f>IF($B69="","",(Calcul!AT54+Calcul!AL54)*T69)</f>
        <v/>
      </c>
      <c r="V69" s="520">
        <v>0</v>
      </c>
      <c r="W69" s="518" t="str">
        <f>IF($B69="","",Calcul!X54*V69)</f>
        <v/>
      </c>
      <c r="X69" s="524" t="str">
        <f t="shared" si="3"/>
        <v/>
      </c>
      <c r="AE69" s="11"/>
      <c r="AF69" s="520" t="str">
        <f t="shared" si="4"/>
        <v/>
      </c>
      <c r="AG69" s="518" t="s">
        <v>2231</v>
      </c>
      <c r="AH69" s="11"/>
      <c r="AI69" s="520" t="str">
        <f t="shared" si="0"/>
        <v/>
      </c>
      <c r="AJ69" s="519" t="str">
        <f>IF($B69="","",SUM(#REF!)*AI69)</f>
        <v/>
      </c>
      <c r="AL69" s="518" t="str">
        <f t="shared" si="1"/>
        <v/>
      </c>
    </row>
    <row r="70" spans="1:38" s="521" customFormat="1" ht="24.95" hidden="1" customHeight="1">
      <c r="A70" s="11" t="str">
        <f>IF(Cotations!C55=FALSE,"",Cotations!D55)</f>
        <v/>
      </c>
      <c r="B70" s="11" t="str">
        <f>IF(Cotations!C55=FALSE,"",Cotations!F55)</f>
        <v/>
      </c>
      <c r="C70" s="11" t="str">
        <f>IF($B70="","",IF(LISTES!$A$17=3,Crewlist!G55,Detail!L55))</f>
        <v/>
      </c>
      <c r="D70" s="11" t="str">
        <f>IF($B70="","",Cotations!H55)</f>
        <v/>
      </c>
      <c r="E70" s="17" t="str">
        <f>IF($B70="","",Cotations!O55)</f>
        <v/>
      </c>
      <c r="F70" s="17" t="str">
        <f>IF($B70="","",Cotations!M55)</f>
        <v/>
      </c>
      <c r="G70" s="17" t="str">
        <f>IF($B70="","",Cotations!T55)</f>
        <v/>
      </c>
      <c r="H70" s="17" t="str">
        <f>IF($B70="","",Calcul!X55)</f>
        <v/>
      </c>
      <c r="I70" s="11" t="str">
        <f>IF($B70="","",Calcul!EE55)</f>
        <v/>
      </c>
      <c r="J70" s="11" t="str">
        <f>IF($B70="","",Calcul!IE55)</f>
        <v/>
      </c>
      <c r="K70" s="16" t="str">
        <f>IF($B70="","",Calcul!AH55)</f>
        <v/>
      </c>
      <c r="L70" s="520" t="str">
        <f>IF($B70="","",IF(ALLTHESAME=TRUE,Cotations!$AP$4,Cotations!AP55))</f>
        <v/>
      </c>
      <c r="M70" s="518" t="str">
        <f>IF($B70="","",(Calcul!AJ55+Calcul!AQ55)*L70)</f>
        <v/>
      </c>
      <c r="N70" s="520" t="str">
        <f>IF($B70="","",IF(ALLTHESAME=TRUE,Cotations!$BZ$4,Cotations!BZ55))</f>
        <v/>
      </c>
      <c r="O70" s="518" t="str">
        <f>IF($B70="","",IF(Cotations!$BA$6=0,((Calcul!AK55)*N70),Cotations!$Y$4*E70))</f>
        <v/>
      </c>
      <c r="P70" s="520">
        <v>0</v>
      </c>
      <c r="Q70" s="518" t="str">
        <f>IF($B70="","",Calcul!X55*P70)</f>
        <v/>
      </c>
      <c r="R70" s="520" t="str">
        <f t="shared" si="5"/>
        <v/>
      </c>
      <c r="S70" s="518" t="str">
        <f>IF($B70="","",((Calcul!AS55*R70)+Calcul!AL55)*R70)</f>
        <v/>
      </c>
      <c r="T70" s="520" t="str">
        <f>IF($B70="","",Cotations!CA55)</f>
        <v/>
      </c>
      <c r="U70" s="518" t="str">
        <f>IF($B70="","",(Calcul!AT55+Calcul!AL55)*T70)</f>
        <v/>
      </c>
      <c r="V70" s="520">
        <v>0</v>
      </c>
      <c r="W70" s="518" t="str">
        <f>IF($B70="","",Calcul!X55*V70)</f>
        <v/>
      </c>
      <c r="X70" s="524" t="str">
        <f t="shared" si="3"/>
        <v/>
      </c>
      <c r="AE70" s="11"/>
      <c r="AF70" s="520" t="str">
        <f t="shared" si="4"/>
        <v/>
      </c>
      <c r="AG70" s="518" t="s">
        <v>2231</v>
      </c>
      <c r="AH70" s="11"/>
      <c r="AI70" s="520" t="str">
        <f t="shared" si="0"/>
        <v/>
      </c>
      <c r="AJ70" s="519" t="str">
        <f>IF($B70="","",SUM(#REF!)*AI70)</f>
        <v/>
      </c>
      <c r="AL70" s="518" t="str">
        <f t="shared" si="1"/>
        <v/>
      </c>
    </row>
    <row r="71" spans="1:38" ht="24.95" hidden="1" customHeight="1">
      <c r="A71" s="11" t="str">
        <f>IF(Cotations!C56=FALSE,"",Cotations!D56)</f>
        <v/>
      </c>
      <c r="B71" s="11" t="str">
        <f>IF(Cotations!C56=FALSE,"",Cotations!F56)</f>
        <v/>
      </c>
      <c r="C71" s="11" t="str">
        <f>IF($B71="","",IF(LISTES!$A$17=3,Crewlist!G56,Detail!L56))</f>
        <v/>
      </c>
      <c r="D71" s="11" t="str">
        <f>IF($B71="","",Cotations!H56)</f>
        <v/>
      </c>
      <c r="E71" s="17" t="str">
        <f>IF($B71="","",Cotations!O56)</f>
        <v/>
      </c>
      <c r="F71" s="17" t="str">
        <f>IF($B71="","",Cotations!M56)</f>
        <v/>
      </c>
      <c r="G71" s="17" t="str">
        <f>IF($B71="","",Cotations!T56)</f>
        <v/>
      </c>
      <c r="H71" s="17" t="str">
        <f>IF($B71="","",Calcul!X56)</f>
        <v/>
      </c>
      <c r="I71" s="11" t="str">
        <f>IF($B71="","",Calcul!EE56)</f>
        <v/>
      </c>
      <c r="J71" s="11" t="str">
        <f>IF($B71="","",Calcul!IE56)</f>
        <v/>
      </c>
      <c r="K71" s="16" t="str">
        <f>IF($B71="","",Calcul!AH56)</f>
        <v/>
      </c>
      <c r="L71" s="520" t="str">
        <f>IF($B71="","",IF(ALLTHESAME=TRUE,Cotations!$AP$4,Cotations!AP56))</f>
        <v/>
      </c>
      <c r="M71" s="518" t="str">
        <f>IF($B71="","",(Calcul!AJ56+Calcul!AQ56)*L71)</f>
        <v/>
      </c>
      <c r="N71" s="520" t="str">
        <f>IF($B71="","",IF(ALLTHESAME=TRUE,Cotations!$BZ$4,Cotations!BZ56))</f>
        <v/>
      </c>
      <c r="O71" s="518" t="str">
        <f>IF($B71="","",IF(Cotations!$BA$6=0,((Calcul!AK56)*N71),Cotations!$Y$4*E71))</f>
        <v/>
      </c>
      <c r="P71" s="520">
        <v>0</v>
      </c>
      <c r="Q71" s="518" t="str">
        <f>IF($B71="","",Calcul!X56*P71)</f>
        <v/>
      </c>
      <c r="R71" s="520" t="str">
        <f t="shared" si="5"/>
        <v/>
      </c>
      <c r="S71" s="518" t="str">
        <f>IF($B71="","",((Calcul!AS56*R71)+Calcul!AL56)*R71)</f>
        <v/>
      </c>
      <c r="T71" s="520" t="str">
        <f>IF($B71="","",Cotations!CA56)</f>
        <v/>
      </c>
      <c r="U71" s="518" t="str">
        <f>IF($B71="","",(Calcul!AT56+Calcul!AL56)*T71)</f>
        <v/>
      </c>
      <c r="V71" s="520">
        <v>0</v>
      </c>
      <c r="W71" s="518" t="str">
        <f>IF($B71="","",Calcul!X56*V71)</f>
        <v/>
      </c>
      <c r="X71" s="524" t="str">
        <f t="shared" si="3"/>
        <v/>
      </c>
      <c r="Y71" s="11" t="s">
        <v>2231</v>
      </c>
      <c r="AB71" s="11" t="s">
        <v>2231</v>
      </c>
      <c r="AD71" s="518" t="s">
        <v>2231</v>
      </c>
      <c r="AE71" s="11"/>
      <c r="AF71" s="520" t="str">
        <f t="shared" si="4"/>
        <v/>
      </c>
      <c r="AG71" s="518" t="str">
        <f>IF($B71="","",SUM(#REF!)*AF71)</f>
        <v/>
      </c>
      <c r="AH71" s="11"/>
      <c r="AI71" s="520" t="str">
        <f t="shared" si="0"/>
        <v/>
      </c>
      <c r="AL71" s="518" t="str">
        <f>IF($B71="","",AA71+AD71+AG71+AJ71)</f>
        <v/>
      </c>
    </row>
    <row r="72" spans="1:38" ht="24.95" hidden="1" customHeight="1">
      <c r="A72" s="11" t="str">
        <f>IF(Cotations!C57=FALSE,"",Cotations!D57)</f>
        <v/>
      </c>
      <c r="B72" s="11" t="str">
        <f>IF(Cotations!C57=FALSE,"",Cotations!F57)</f>
        <v/>
      </c>
      <c r="C72" s="11" t="str">
        <f>IF($B72="","",IF(LISTES!$A$17=3,Crewlist!G57,Detail!L57))</f>
        <v/>
      </c>
      <c r="D72" s="11" t="str">
        <f>IF($B72="","",Cotations!H57)</f>
        <v/>
      </c>
      <c r="E72" s="17" t="str">
        <f>IF($B72="","",Cotations!O57)</f>
        <v/>
      </c>
      <c r="F72" s="17" t="str">
        <f>IF($B72="","",Cotations!M57)</f>
        <v/>
      </c>
      <c r="G72" s="17" t="str">
        <f>IF($B72="","",Cotations!T57)</f>
        <v/>
      </c>
      <c r="H72" s="17" t="str">
        <f>IF($B72="","",Calcul!X57)</f>
        <v/>
      </c>
      <c r="I72" s="11" t="str">
        <f>IF($B72="","",Calcul!EE57)</f>
        <v/>
      </c>
      <c r="J72" s="11" t="str">
        <f>IF($B72="","",Calcul!IE57)</f>
        <v/>
      </c>
      <c r="K72" s="16" t="str">
        <f>IF($B72="","",Calcul!AH57)</f>
        <v/>
      </c>
      <c r="L72" s="520" t="str">
        <f>IF($B72="","",IF(ALLTHESAME=TRUE,Cotations!$AP$4,Cotations!AP57))</f>
        <v/>
      </c>
      <c r="M72" s="518" t="str">
        <f>IF($B72="","",(Calcul!AJ57+Calcul!AQ57)*L72)</f>
        <v/>
      </c>
      <c r="N72" s="520" t="str">
        <f>IF($B72="","",IF(ALLTHESAME=TRUE,Cotations!$BZ$4,Cotations!BZ57))</f>
        <v/>
      </c>
      <c r="O72" s="518" t="str">
        <f>IF($B72="","",IF(Cotations!$BA$6=0,((Calcul!AK57)*N72),Cotations!$Y$4*E72))</f>
        <v/>
      </c>
      <c r="P72" s="520">
        <v>0</v>
      </c>
      <c r="Q72" s="518" t="str">
        <f>IF($B72="","",Calcul!X57*P72)</f>
        <v/>
      </c>
      <c r="R72" s="520" t="str">
        <f t="shared" si="5"/>
        <v/>
      </c>
      <c r="S72" s="518" t="str">
        <f>IF($B72="","",((Calcul!AS57*R72)+Calcul!AL57)*R72)</f>
        <v/>
      </c>
      <c r="T72" s="520" t="str">
        <f>IF($B72="","",Cotations!CA57)</f>
        <v/>
      </c>
      <c r="U72" s="518" t="str">
        <f>IF($B72="","",(Calcul!AT57+Calcul!AL57)*T72)</f>
        <v/>
      </c>
      <c r="V72" s="520">
        <v>0</v>
      </c>
      <c r="W72" s="518" t="str">
        <f>IF($B72="","",Calcul!X57*V72)</f>
        <v/>
      </c>
      <c r="X72" s="524" t="str">
        <f t="shared" si="3"/>
        <v/>
      </c>
    </row>
    <row r="73" spans="1:38" ht="24.95" hidden="1" customHeight="1">
      <c r="A73" s="11" t="str">
        <f>IF(Cotations!C58=FALSE,"",Cotations!D58)</f>
        <v/>
      </c>
      <c r="B73" s="11" t="str">
        <f>IF(Cotations!C58=FALSE,"",Cotations!F58)</f>
        <v/>
      </c>
      <c r="C73" s="11" t="str">
        <f>IF($B73="","",IF(LISTES!$A$17=3,Crewlist!G58,Detail!L58))</f>
        <v/>
      </c>
      <c r="D73" s="11" t="str">
        <f>IF($B73="","",Cotations!H58)</f>
        <v/>
      </c>
      <c r="E73" s="17" t="str">
        <f>IF($B73="","",Cotations!O58)</f>
        <v/>
      </c>
      <c r="F73" s="17" t="str">
        <f>IF($B73="","",Cotations!M58)</f>
        <v/>
      </c>
      <c r="G73" s="17" t="str">
        <f>IF($B73="","",Cotations!T58)</f>
        <v/>
      </c>
      <c r="H73" s="17" t="str">
        <f>IF($B73="","",Calcul!X58)</f>
        <v/>
      </c>
      <c r="I73" s="11" t="str">
        <f>IF($B73="","",Calcul!EE58)</f>
        <v/>
      </c>
      <c r="J73" s="11" t="str">
        <f>IF($B73="","",Calcul!IE58)</f>
        <v/>
      </c>
      <c r="K73" s="16" t="str">
        <f>IF($B73="","",Calcul!AH58)</f>
        <v/>
      </c>
      <c r="L73" s="520" t="str">
        <f>IF($B73="","",IF(ALLTHESAME=TRUE,Cotations!$AP$4,Cotations!AP58))</f>
        <v/>
      </c>
      <c r="M73" s="518" t="str">
        <f>IF($B73="","",(Calcul!AJ58+Calcul!AQ58)*L73)</f>
        <v/>
      </c>
      <c r="N73" s="520" t="str">
        <f>IF($B73="","",IF(ALLTHESAME=TRUE,Cotations!$BZ$4,Cotations!BZ58))</f>
        <v/>
      </c>
      <c r="O73" s="518" t="str">
        <f>IF($B73="","",IF(Cotations!$BA$6=0,((Calcul!AK58)*N73),Cotations!$Y$4*E73))</f>
        <v/>
      </c>
      <c r="P73" s="520">
        <v>0</v>
      </c>
      <c r="Q73" s="518" t="str">
        <f>IF($B73="","",Calcul!X58*P73)</f>
        <v/>
      </c>
      <c r="R73" s="520" t="str">
        <f t="shared" si="5"/>
        <v/>
      </c>
      <c r="S73" s="518" t="str">
        <f>IF($B73="","",((Calcul!AS58*R73)+Calcul!AL58)*R73)</f>
        <v/>
      </c>
      <c r="T73" s="520" t="str">
        <f>IF($B73="","",Cotations!CA58)</f>
        <v/>
      </c>
      <c r="U73" s="518" t="str">
        <f>IF($B73="","",(Calcul!AT58+Calcul!AL58)*T73)</f>
        <v/>
      </c>
      <c r="V73" s="520">
        <v>0</v>
      </c>
      <c r="W73" s="518" t="str">
        <f>IF($B73="","",Calcul!X58*V73)</f>
        <v/>
      </c>
      <c r="X73" s="524" t="str">
        <f t="shared" si="3"/>
        <v/>
      </c>
    </row>
    <row r="74" spans="1:38" ht="24.95" hidden="1" customHeight="1">
      <c r="A74" s="11" t="str">
        <f>IF(Cotations!C59=FALSE,"",Cotations!D59)</f>
        <v/>
      </c>
      <c r="B74" s="11" t="str">
        <f>IF(Cotations!C59=FALSE,"",Cotations!F59)</f>
        <v/>
      </c>
      <c r="C74" s="11" t="str">
        <f>IF($B74="","",IF(LISTES!$A$17=3,Crewlist!G59,Detail!L59))</f>
        <v/>
      </c>
      <c r="D74" s="11" t="str">
        <f>IF($B74="","",Cotations!H59)</f>
        <v/>
      </c>
      <c r="E74" s="17" t="str">
        <f>IF($B74="","",Cotations!O59)</f>
        <v/>
      </c>
      <c r="F74" s="17" t="str">
        <f>IF($B74="","",Cotations!M59)</f>
        <v/>
      </c>
      <c r="G74" s="17" t="str">
        <f>IF($B74="","",Cotations!T59)</f>
        <v/>
      </c>
      <c r="H74" s="17" t="str">
        <f>IF($B74="","",Calcul!X59)</f>
        <v/>
      </c>
      <c r="I74" s="11" t="str">
        <f>IF($B74="","",Calcul!EE59)</f>
        <v/>
      </c>
      <c r="J74" s="11" t="str">
        <f>IF($B74="","",Calcul!IE59)</f>
        <v/>
      </c>
      <c r="K74" s="16" t="str">
        <f>IF($B74="","",Calcul!AH59)</f>
        <v/>
      </c>
      <c r="L74" s="520" t="str">
        <f>IF($B74="","",IF(ALLTHESAME=TRUE,Cotations!$AP$4,Cotations!AP59))</f>
        <v/>
      </c>
      <c r="M74" s="518" t="str">
        <f>IF($B74="","",(Calcul!AJ59+Calcul!AQ59)*L74)</f>
        <v/>
      </c>
      <c r="N74" s="520" t="str">
        <f>IF($B74="","",IF(ALLTHESAME=TRUE,Cotations!$BZ$4,Cotations!BZ59))</f>
        <v/>
      </c>
      <c r="O74" s="518" t="str">
        <f>IF($B74="","",IF(Cotations!$BA$6=0,((Calcul!AK59)*N74),Cotations!$Y$4*E74))</f>
        <v/>
      </c>
      <c r="P74" s="520">
        <v>0</v>
      </c>
      <c r="Q74" s="518" t="str">
        <f>IF($B74="","",Calcul!X59*P74)</f>
        <v/>
      </c>
      <c r="R74" s="520" t="str">
        <f t="shared" si="5"/>
        <v/>
      </c>
      <c r="S74" s="518" t="str">
        <f>IF($B74="","",((Calcul!AS59*R74)+Calcul!AL59)*R74)</f>
        <v/>
      </c>
      <c r="T74" s="520" t="str">
        <f>IF($B74="","",Cotations!CA59)</f>
        <v/>
      </c>
      <c r="U74" s="518" t="str">
        <f>IF($B74="","",(Calcul!AT59+Calcul!AL59)*T74)</f>
        <v/>
      </c>
      <c r="V74" s="520">
        <v>0</v>
      </c>
      <c r="W74" s="518" t="str">
        <f>IF($B74="","",Calcul!X59*V74)</f>
        <v/>
      </c>
      <c r="X74" s="524" t="str">
        <f t="shared" si="3"/>
        <v/>
      </c>
    </row>
    <row r="75" spans="1:38" ht="24.95" hidden="1" customHeight="1">
      <c r="A75" s="11" t="str">
        <f>IF(Cotations!C60=FALSE,"",Cotations!D60)</f>
        <v/>
      </c>
      <c r="B75" s="11" t="str">
        <f>IF(Cotations!C60=FALSE,"",Cotations!F60)</f>
        <v/>
      </c>
      <c r="C75" s="11" t="str">
        <f>IF($B75="","",IF(LISTES!$A$17=3,Crewlist!G60,Detail!L60))</f>
        <v/>
      </c>
      <c r="D75" s="11" t="str">
        <f>IF($B75="","",Cotations!H60)</f>
        <v/>
      </c>
      <c r="E75" s="17" t="str">
        <f>IF($B75="","",Cotations!O60)</f>
        <v/>
      </c>
      <c r="F75" s="17" t="str">
        <f>IF($B75="","",Cotations!M60)</f>
        <v/>
      </c>
      <c r="G75" s="17" t="str">
        <f>IF($B75="","",Cotations!T60)</f>
        <v/>
      </c>
      <c r="H75" s="17" t="str">
        <f>IF($B75="","",Calcul!X60)</f>
        <v/>
      </c>
      <c r="I75" s="11" t="str">
        <f>IF($B75="","",Calcul!EE60)</f>
        <v/>
      </c>
      <c r="J75" s="11" t="str">
        <f>IF($B75="","",Calcul!IE60)</f>
        <v/>
      </c>
      <c r="K75" s="16" t="str">
        <f>IF($B75="","",Calcul!AH60)</f>
        <v/>
      </c>
      <c r="L75" s="520" t="str">
        <f>IF($B75="","",IF(ALLTHESAME=TRUE,Cotations!$AP$4,Cotations!AP60))</f>
        <v/>
      </c>
      <c r="M75" s="518" t="str">
        <f>IF($B75="","",(Calcul!AJ60+Calcul!AQ60)*L75)</f>
        <v/>
      </c>
      <c r="N75" s="520" t="str">
        <f>IF($B75="","",IF(ALLTHESAME=TRUE,Cotations!$BZ$4,Cotations!BZ60))</f>
        <v/>
      </c>
      <c r="O75" s="518" t="str">
        <f>IF($B75="","",IF(Cotations!$BA$6=0,((Calcul!AK60)*N75),Cotations!$Y$4*E75))</f>
        <v/>
      </c>
      <c r="P75" s="520">
        <v>0</v>
      </c>
      <c r="Q75" s="518" t="str">
        <f>IF($B75="","",Calcul!X60*P75)</f>
        <v/>
      </c>
      <c r="R75" s="520" t="str">
        <f t="shared" si="5"/>
        <v/>
      </c>
      <c r="S75" s="518" t="str">
        <f>IF($B75="","",((Calcul!AS60*R75)+Calcul!AL60)*R75)</f>
        <v/>
      </c>
      <c r="T75" s="520" t="str">
        <f>IF($B75="","",Cotations!CA60)</f>
        <v/>
      </c>
      <c r="U75" s="518" t="str">
        <f>IF($B75="","",(Calcul!AT60+Calcul!AL60)*T75)</f>
        <v/>
      </c>
      <c r="V75" s="520">
        <v>0</v>
      </c>
      <c r="W75" s="518" t="str">
        <f>IF($B75="","",Calcul!X60*V75)</f>
        <v/>
      </c>
      <c r="X75" s="524" t="str">
        <f t="shared" si="3"/>
        <v/>
      </c>
    </row>
    <row r="76" spans="1:38" ht="24.95" hidden="1" customHeight="1">
      <c r="A76" s="11" t="str">
        <f>IF(Cotations!C61=FALSE,"",Cotations!D61)</f>
        <v/>
      </c>
      <c r="B76" s="11" t="str">
        <f>IF(Cotations!C61=FALSE,"",Cotations!F61)</f>
        <v/>
      </c>
      <c r="C76" s="11" t="str">
        <f>IF($B76="","",IF(LISTES!$A$17=3,Crewlist!G61,Detail!L61))</f>
        <v/>
      </c>
      <c r="D76" s="11" t="str">
        <f>IF($B76="","",Cotations!H61)</f>
        <v/>
      </c>
      <c r="E76" s="17" t="str">
        <f>IF($B76="","",Cotations!O61)</f>
        <v/>
      </c>
      <c r="F76" s="17" t="str">
        <f>IF($B76="","",Cotations!M61)</f>
        <v/>
      </c>
      <c r="G76" s="17" t="str">
        <f>IF($B76="","",Cotations!T61)</f>
        <v/>
      </c>
      <c r="H76" s="17" t="str">
        <f>IF($B76="","",Calcul!X61)</f>
        <v/>
      </c>
      <c r="I76" s="11" t="str">
        <f>IF($B76="","",Calcul!EE61)</f>
        <v/>
      </c>
      <c r="J76" s="11" t="str">
        <f>IF($B76="","",Calcul!IE61)</f>
        <v/>
      </c>
      <c r="K76" s="16" t="str">
        <f>IF($B76="","",Calcul!AH61)</f>
        <v/>
      </c>
      <c r="L76" s="520" t="str">
        <f>IF($B76="","",IF(ALLTHESAME=TRUE,Cotations!$AP$4,Cotations!AP61))</f>
        <v/>
      </c>
      <c r="M76" s="518" t="str">
        <f>IF($B76="","",(Calcul!AJ61+Calcul!AQ61)*L76)</f>
        <v/>
      </c>
      <c r="N76" s="520" t="str">
        <f>IF($B76="","",IF(ALLTHESAME=TRUE,Cotations!$BZ$4,Cotations!BZ61))</f>
        <v/>
      </c>
      <c r="O76" s="518" t="str">
        <f>IF($B76="","",IF(Cotations!$BA$6=0,((Calcul!AK61)*N76),Cotations!$Y$4*E76))</f>
        <v/>
      </c>
      <c r="P76" s="520">
        <v>0</v>
      </c>
      <c r="Q76" s="518" t="str">
        <f>IF($B76="","",Calcul!X61*P76)</f>
        <v/>
      </c>
      <c r="R76" s="520" t="str">
        <f t="shared" si="5"/>
        <v/>
      </c>
      <c r="S76" s="518" t="str">
        <f>IF($B76="","",((Calcul!AS61*R76)+Calcul!AL61)*R76)</f>
        <v/>
      </c>
      <c r="T76" s="520" t="str">
        <f>IF($B76="","",Cotations!CA61)</f>
        <v/>
      </c>
      <c r="U76" s="518" t="str">
        <f>IF($B76="","",(Calcul!AT61+Calcul!AL61)*T76)</f>
        <v/>
      </c>
      <c r="V76" s="520">
        <v>0</v>
      </c>
      <c r="W76" s="518" t="str">
        <f>IF($B76="","",Calcul!X61*V76)</f>
        <v/>
      </c>
      <c r="X76" s="524" t="str">
        <f t="shared" si="3"/>
        <v/>
      </c>
    </row>
    <row r="77" spans="1:38" ht="24.95" hidden="1" customHeight="1">
      <c r="A77" s="11" t="str">
        <f>IF(Cotations!C62=FALSE,"",Cotations!D62)</f>
        <v/>
      </c>
      <c r="B77" s="11" t="str">
        <f>IF(Cotations!C62=FALSE,"",Cotations!F62)</f>
        <v/>
      </c>
      <c r="C77" s="11" t="str">
        <f>IF($B77="","",IF(LISTES!$A$17=3,Crewlist!G62,Detail!L62))</f>
        <v/>
      </c>
      <c r="D77" s="11" t="str">
        <f>IF($B77="","",Cotations!H62)</f>
        <v/>
      </c>
      <c r="E77" s="17" t="str">
        <f>IF($B77="","",Cotations!O62)</f>
        <v/>
      </c>
      <c r="F77" s="17" t="str">
        <f>IF($B77="","",Cotations!M62)</f>
        <v/>
      </c>
      <c r="G77" s="17" t="str">
        <f>IF($B77="","",Cotations!T62)</f>
        <v/>
      </c>
      <c r="H77" s="17" t="str">
        <f>IF($B77="","",Calcul!X62)</f>
        <v/>
      </c>
      <c r="I77" s="11" t="str">
        <f>IF($B77="","",Calcul!EE62)</f>
        <v/>
      </c>
      <c r="J77" s="11" t="str">
        <f>IF($B77="","",Calcul!IE62)</f>
        <v/>
      </c>
      <c r="K77" s="16" t="str">
        <f>IF($B77="","",Calcul!AH62)</f>
        <v/>
      </c>
      <c r="L77" s="520" t="str">
        <f>IF($B77="","",IF(ALLTHESAME=TRUE,Cotations!$AP$4,Cotations!AP62))</f>
        <v/>
      </c>
      <c r="M77" s="518" t="str">
        <f>IF($B77="","",(Calcul!AJ62+Calcul!AQ62)*L77)</f>
        <v/>
      </c>
      <c r="N77" s="520" t="str">
        <f>IF($B77="","",IF(ALLTHESAME=TRUE,Cotations!$BZ$4,Cotations!BZ62))</f>
        <v/>
      </c>
      <c r="O77" s="518" t="str">
        <f>IF($B77="","",IF(Cotations!$BA$6=0,((Calcul!AK62)*N77),Cotations!$Y$4*E77))</f>
        <v/>
      </c>
      <c r="P77" s="520">
        <v>0</v>
      </c>
      <c r="Q77" s="518" t="str">
        <f>IF($B77="","",Calcul!X62*P77)</f>
        <v/>
      </c>
      <c r="R77" s="520" t="str">
        <f t="shared" si="5"/>
        <v/>
      </c>
      <c r="S77" s="518" t="str">
        <f>IF($B77="","",((Calcul!AS62*R77)+Calcul!AL62)*R77)</f>
        <v/>
      </c>
      <c r="T77" s="520" t="str">
        <f>IF($B77="","",Cotations!CA62)</f>
        <v/>
      </c>
      <c r="U77" s="518" t="str">
        <f>IF($B77="","",(Calcul!AT62+Calcul!AL62)*T77)</f>
        <v/>
      </c>
      <c r="V77" s="520">
        <v>0</v>
      </c>
      <c r="W77" s="518" t="str">
        <f>IF($B77="","",Calcul!X62*V77)</f>
        <v/>
      </c>
      <c r="X77" s="524" t="str">
        <f t="shared" si="3"/>
        <v/>
      </c>
    </row>
    <row r="78" spans="1:38" ht="24.95" hidden="1" customHeight="1">
      <c r="A78" s="11" t="str">
        <f>IF(Cotations!C63=FALSE,"",Cotations!D63)</f>
        <v/>
      </c>
      <c r="B78" s="11" t="str">
        <f>IF(Cotations!C63=FALSE,"",Cotations!F63)</f>
        <v/>
      </c>
      <c r="C78" s="11" t="str">
        <f>IF($B78="","",IF(LISTES!$A$17=3,Crewlist!G63,Detail!L63))</f>
        <v/>
      </c>
      <c r="D78" s="11" t="str">
        <f>IF($B78="","",Cotations!H63)</f>
        <v/>
      </c>
      <c r="E78" s="17" t="str">
        <f>IF($B78="","",Cotations!O63)</f>
        <v/>
      </c>
      <c r="F78" s="17" t="str">
        <f>IF($B78="","",Cotations!M63)</f>
        <v/>
      </c>
      <c r="G78" s="17" t="str">
        <f>IF($B78="","",Cotations!T63)</f>
        <v/>
      </c>
      <c r="H78" s="17" t="str">
        <f>IF($B78="","",Calcul!X63)</f>
        <v/>
      </c>
      <c r="I78" s="11" t="str">
        <f>IF($B78="","",Calcul!EE63)</f>
        <v/>
      </c>
      <c r="J78" s="11" t="str">
        <f>IF($B78="","",Calcul!IE63)</f>
        <v/>
      </c>
      <c r="K78" s="16" t="str">
        <f>IF($B78="","",Calcul!AH63)</f>
        <v/>
      </c>
      <c r="L78" s="520" t="str">
        <f>IF($B78="","",IF(ALLTHESAME=TRUE,Cotations!$AP$4,Cotations!AP63))</f>
        <v/>
      </c>
      <c r="M78" s="518" t="str">
        <f>IF($B78="","",(Calcul!AJ63+Calcul!AQ63)*L78)</f>
        <v/>
      </c>
      <c r="N78" s="520" t="str">
        <f>IF($B78="","",IF(ALLTHESAME=TRUE,Cotations!$BZ$4,Cotations!BZ63))</f>
        <v/>
      </c>
      <c r="O78" s="518" t="str">
        <f>IF($B78="","",IF(Cotations!$BA$6=0,((Calcul!AK63)*N78),Cotations!$Y$4*E78))</f>
        <v/>
      </c>
      <c r="P78" s="520">
        <v>0</v>
      </c>
      <c r="Q78" s="518" t="str">
        <f>IF($B78="","",Calcul!X63*P78)</f>
        <v/>
      </c>
      <c r="R78" s="520" t="str">
        <f t="shared" si="5"/>
        <v/>
      </c>
      <c r="S78" s="518" t="str">
        <f>IF($B78="","",((Calcul!AS63*R78)+Calcul!AL63)*R78)</f>
        <v/>
      </c>
      <c r="T78" s="520" t="str">
        <f>IF($B78="","",Cotations!CA63)</f>
        <v/>
      </c>
      <c r="U78" s="518" t="str">
        <f>IF($B78="","",(Calcul!AT63+Calcul!AL63)*T78)</f>
        <v/>
      </c>
      <c r="V78" s="520">
        <v>0</v>
      </c>
      <c r="W78" s="518" t="str">
        <f>IF($B78="","",Calcul!X63*V78)</f>
        <v/>
      </c>
      <c r="X78" s="524" t="str">
        <f t="shared" si="3"/>
        <v/>
      </c>
    </row>
    <row r="79" spans="1:38" ht="24.95" hidden="1" customHeight="1">
      <c r="A79" s="11" t="str">
        <f>IF(Cotations!C64=FALSE,"",Cotations!D64)</f>
        <v/>
      </c>
      <c r="B79" s="11" t="str">
        <f>IF(Cotations!C64=FALSE,"",Cotations!F64)</f>
        <v/>
      </c>
      <c r="C79" s="11" t="str">
        <f>IF($B79="","",IF(LISTES!$A$17=3,Crewlist!G64,Detail!L64))</f>
        <v/>
      </c>
      <c r="D79" s="11" t="str">
        <f>IF($B79="","",Cotations!H64)</f>
        <v/>
      </c>
      <c r="E79" s="17" t="str">
        <f>IF($B79="","",Cotations!O64)</f>
        <v/>
      </c>
      <c r="F79" s="17" t="str">
        <f>IF($B79="","",Cotations!M64)</f>
        <v/>
      </c>
      <c r="G79" s="17" t="str">
        <f>IF($B79="","",Cotations!T64)</f>
        <v/>
      </c>
      <c r="H79" s="17" t="str">
        <f>IF($B79="","",Calcul!X64)</f>
        <v/>
      </c>
      <c r="I79" s="11" t="str">
        <f>IF($B79="","",Calcul!EE64)</f>
        <v/>
      </c>
      <c r="J79" s="11" t="str">
        <f>IF($B79="","",Calcul!IE64)</f>
        <v/>
      </c>
      <c r="K79" s="16" t="str">
        <f>IF($B79="","",Calcul!AH64)</f>
        <v/>
      </c>
      <c r="L79" s="520" t="str">
        <f>IF($B79="","",IF(ALLTHESAME=TRUE,Cotations!$AP$4,Cotations!AP64))</f>
        <v/>
      </c>
      <c r="M79" s="518" t="str">
        <f>IF($B79="","",(Calcul!AJ64+Calcul!AQ64)*L79)</f>
        <v/>
      </c>
      <c r="N79" s="520" t="str">
        <f>IF($B79="","",IF(ALLTHESAME=TRUE,Cotations!$BZ$4,Cotations!BZ64))</f>
        <v/>
      </c>
      <c r="O79" s="518" t="str">
        <f>IF($B79="","",IF(Cotations!$BA$6=0,((Calcul!AK64)*N79),Cotations!$Y$4*E79))</f>
        <v/>
      </c>
      <c r="P79" s="520">
        <v>0</v>
      </c>
      <c r="Q79" s="518" t="str">
        <f>IF($B79="","",Calcul!X64*P79)</f>
        <v/>
      </c>
      <c r="R79" s="520" t="str">
        <f t="shared" si="5"/>
        <v/>
      </c>
      <c r="S79" s="518" t="str">
        <f>IF($B79="","",((Calcul!AS64*R79)+Calcul!AL64)*R79)</f>
        <v/>
      </c>
      <c r="T79" s="520" t="str">
        <f>IF($B79="","",Cotations!CA64)</f>
        <v/>
      </c>
      <c r="U79" s="518" t="str">
        <f>IF($B79="","",(Calcul!AT64+Calcul!AL64)*T79)</f>
        <v/>
      </c>
      <c r="V79" s="520">
        <v>0</v>
      </c>
      <c r="W79" s="518" t="str">
        <f>IF($B79="","",Calcul!X64*V79)</f>
        <v/>
      </c>
      <c r="X79" s="524" t="str">
        <f t="shared" si="3"/>
        <v/>
      </c>
    </row>
    <row r="80" spans="1:38" ht="24.95" hidden="1" customHeight="1">
      <c r="A80" s="11" t="str">
        <f>IF(Cotations!C65=FALSE,"",Cotations!D65)</f>
        <v/>
      </c>
      <c r="B80" s="11" t="str">
        <f>IF(Cotations!C65=FALSE,"",Cotations!F65)</f>
        <v/>
      </c>
      <c r="C80" s="11" t="str">
        <f>IF($B80="","",IF(LISTES!$A$17=3,Crewlist!G65,Detail!L65))</f>
        <v/>
      </c>
      <c r="D80" s="11" t="str">
        <f>IF($B80="","",Cotations!H65)</f>
        <v/>
      </c>
      <c r="E80" s="17" t="str">
        <f>IF($B80="","",Cotations!O65)</f>
        <v/>
      </c>
      <c r="F80" s="17" t="str">
        <f>IF($B80="","",Cotations!M65)</f>
        <v/>
      </c>
      <c r="G80" s="17" t="str">
        <f>IF($B80="","",Cotations!T65)</f>
        <v/>
      </c>
      <c r="H80" s="17" t="str">
        <f>IF($B80="","",Calcul!X65)</f>
        <v/>
      </c>
      <c r="I80" s="11" t="str">
        <f>IF($B80="","",Calcul!EE65)</f>
        <v/>
      </c>
      <c r="J80" s="11" t="str">
        <f>IF($B80="","",Calcul!IE65)</f>
        <v/>
      </c>
      <c r="K80" s="16" t="str">
        <f>IF($B80="","",Calcul!AH65)</f>
        <v/>
      </c>
      <c r="L80" s="520" t="str">
        <f>IF($B80="","",IF(ALLTHESAME=TRUE,Cotations!$AP$4,Cotations!AP65))</f>
        <v/>
      </c>
      <c r="M80" s="518" t="str">
        <f>IF($B80="","",(Calcul!AJ65+Calcul!AQ65)*L80)</f>
        <v/>
      </c>
      <c r="N80" s="520" t="str">
        <f>IF($B80="","",IF(ALLTHESAME=TRUE,Cotations!$BZ$4,Cotations!BZ65))</f>
        <v/>
      </c>
      <c r="O80" s="518" t="str">
        <f>IF($B80="","",IF(Cotations!$BA$6=0,((Calcul!AK65)*N80),Cotations!$Y$4*E80))</f>
        <v/>
      </c>
      <c r="P80" s="520">
        <v>0</v>
      </c>
      <c r="Q80" s="518" t="str">
        <f>IF($B80="","",Calcul!X65*P80)</f>
        <v/>
      </c>
      <c r="R80" s="520" t="str">
        <f t="shared" si="5"/>
        <v/>
      </c>
      <c r="S80" s="518" t="str">
        <f>IF($B80="","",((Calcul!AS65*R80)+Calcul!AL65)*R80)</f>
        <v/>
      </c>
      <c r="T80" s="520" t="str">
        <f>IF($B80="","",Cotations!CA65)</f>
        <v/>
      </c>
      <c r="U80" s="518" t="str">
        <f>IF($B80="","",(Calcul!AT65+Calcul!AL65)*T80)</f>
        <v/>
      </c>
      <c r="V80" s="520">
        <v>0</v>
      </c>
      <c r="W80" s="518" t="str">
        <f>IF($B80="","",Calcul!X65*V80)</f>
        <v/>
      </c>
      <c r="X80" s="524" t="str">
        <f t="shared" si="3"/>
        <v/>
      </c>
    </row>
    <row r="81" spans="1:24" ht="24.95" hidden="1" customHeight="1">
      <c r="A81" s="11" t="str">
        <f>IF(Cotations!C66=FALSE,"",Cotations!D66)</f>
        <v/>
      </c>
      <c r="B81" s="11" t="str">
        <f>IF(Cotations!C66=FALSE,"",Cotations!F66)</f>
        <v/>
      </c>
      <c r="C81" s="11" t="str">
        <f>IF($B81="","",IF(LISTES!$A$17=3,Crewlist!G66,Detail!L66))</f>
        <v/>
      </c>
      <c r="D81" s="11" t="str">
        <f>IF($B81="","",Cotations!H66)</f>
        <v/>
      </c>
      <c r="E81" s="17" t="str">
        <f>IF($B81="","",Cotations!O66)</f>
        <v/>
      </c>
      <c r="F81" s="17" t="str">
        <f>IF($B81="","",Cotations!M66)</f>
        <v/>
      </c>
      <c r="G81" s="17" t="str">
        <f>IF($B81="","",Cotations!T66)</f>
        <v/>
      </c>
      <c r="H81" s="17" t="str">
        <f>IF($B81="","",Calcul!X66)</f>
        <v/>
      </c>
      <c r="I81" s="11" t="str">
        <f>IF($B81="","",Calcul!EE66)</f>
        <v/>
      </c>
      <c r="J81" s="11" t="str">
        <f>IF($B81="","",Calcul!IE66)</f>
        <v/>
      </c>
      <c r="K81" s="16" t="str">
        <f>IF($B81="","",Calcul!AH66)</f>
        <v/>
      </c>
      <c r="L81" s="520" t="str">
        <f>IF($B81="","",IF(ALLTHESAME=TRUE,Cotations!$AP$4,Cotations!AP66))</f>
        <v/>
      </c>
      <c r="M81" s="518" t="str">
        <f>IF($B81="","",(Calcul!AJ66+Calcul!AQ66)*L81)</f>
        <v/>
      </c>
      <c r="N81" s="520" t="str">
        <f>IF($B81="","",IF(ALLTHESAME=TRUE,Cotations!$BZ$4,Cotations!BZ66))</f>
        <v/>
      </c>
      <c r="O81" s="518" t="str">
        <f>IF($B81="","",IF(Cotations!$BA$6=0,((Calcul!AK66)*N81),Cotations!$Y$4*E81))</f>
        <v/>
      </c>
      <c r="P81" s="520">
        <v>0</v>
      </c>
      <c r="Q81" s="518" t="str">
        <f>IF($B81="","",Calcul!X66*P81)</f>
        <v/>
      </c>
      <c r="R81" s="520" t="str">
        <f t="shared" si="5"/>
        <v/>
      </c>
      <c r="S81" s="518" t="str">
        <f>IF($B81="","",((Calcul!AS66*R81)+Calcul!AL66)*R81)</f>
        <v/>
      </c>
      <c r="T81" s="520" t="str">
        <f>IF($B81="","",Cotations!CA66)</f>
        <v/>
      </c>
      <c r="U81" s="518" t="str">
        <f>IF($B81="","",(Calcul!AT66+Calcul!AL66)*T81)</f>
        <v/>
      </c>
      <c r="V81" s="520">
        <v>0</v>
      </c>
      <c r="W81" s="518" t="str">
        <f>IF($B81="","",Calcul!X66*V81)</f>
        <v/>
      </c>
      <c r="X81" s="524" t="str">
        <f t="shared" si="3"/>
        <v/>
      </c>
    </row>
    <row r="82" spans="1:24" ht="24.95" hidden="1" customHeight="1">
      <c r="A82" s="11" t="str">
        <f>IF(Cotations!C67=FALSE,"",Cotations!D67)</f>
        <v/>
      </c>
      <c r="B82" s="11" t="str">
        <f>IF(Cotations!C67=FALSE,"",Cotations!F67)</f>
        <v/>
      </c>
      <c r="C82" s="11" t="str">
        <f>IF($B82="","",IF(LISTES!$A$17=3,Crewlist!G67,Detail!L67))</f>
        <v/>
      </c>
      <c r="D82" s="11" t="str">
        <f>IF($B82="","",Cotations!H67)</f>
        <v/>
      </c>
      <c r="E82" s="17" t="str">
        <f>IF($B82="","",Cotations!O67)</f>
        <v/>
      </c>
      <c r="F82" s="17" t="str">
        <f>IF($B82="","",Cotations!M67)</f>
        <v/>
      </c>
      <c r="G82" s="17" t="str">
        <f>IF($B82="","",Cotations!T67)</f>
        <v/>
      </c>
      <c r="H82" s="17" t="str">
        <f>IF($B82="","",Calcul!X67)</f>
        <v/>
      </c>
      <c r="I82" s="11" t="str">
        <f>IF($B82="","",Calcul!EE67)</f>
        <v/>
      </c>
      <c r="J82" s="11" t="str">
        <f>IF($B82="","",Calcul!IE67)</f>
        <v/>
      </c>
      <c r="K82" s="16" t="str">
        <f>IF($B82="","",Calcul!AH67)</f>
        <v/>
      </c>
      <c r="L82" s="520" t="str">
        <f>IF($B82="","",IF(ALLTHESAME=TRUE,Cotations!$AP$4,Cotations!AP67))</f>
        <v/>
      </c>
      <c r="M82" s="518" t="str">
        <f>IF($B82="","",(Calcul!AJ67+Calcul!AQ67)*L82)</f>
        <v/>
      </c>
      <c r="N82" s="520" t="str">
        <f>IF($B82="","",IF(ALLTHESAME=TRUE,Cotations!$BZ$4,Cotations!BZ67))</f>
        <v/>
      </c>
      <c r="O82" s="518" t="str">
        <f>IF($B82="","",IF(Cotations!$BA$6=0,((Calcul!AK67)*N82),Cotations!$Y$4*E82))</f>
        <v/>
      </c>
      <c r="P82" s="520">
        <v>0</v>
      </c>
      <c r="Q82" s="518" t="str">
        <f>IF($B82="","",Calcul!X67*P82)</f>
        <v/>
      </c>
      <c r="R82" s="520" t="str">
        <f t="shared" si="5"/>
        <v/>
      </c>
      <c r="S82" s="518" t="str">
        <f>IF($B82="","",((Calcul!AS67*R82)+Calcul!AL67)*R82)</f>
        <v/>
      </c>
      <c r="T82" s="520" t="str">
        <f>IF($B82="","",Cotations!CA67)</f>
        <v/>
      </c>
      <c r="U82" s="518" t="str">
        <f>IF($B82="","",(Calcul!AT67+Calcul!AL67)*T82)</f>
        <v/>
      </c>
      <c r="V82" s="520">
        <v>0</v>
      </c>
      <c r="W82" s="518" t="str">
        <f>IF($B82="","",Calcul!X67*V82)</f>
        <v/>
      </c>
      <c r="X82" s="524" t="str">
        <f t="shared" si="3"/>
        <v/>
      </c>
    </row>
    <row r="83" spans="1:24" ht="24.95" hidden="1" customHeight="1">
      <c r="A83" s="11" t="str">
        <f>IF(Cotations!C68=FALSE,"",Cotations!D68)</f>
        <v/>
      </c>
      <c r="B83" s="11" t="str">
        <f>IF(Cotations!C68=FALSE,"",Cotations!F68)</f>
        <v/>
      </c>
      <c r="C83" s="11" t="str">
        <f>IF($B83="","",Detail!L68)</f>
        <v/>
      </c>
      <c r="D83" s="11" t="str">
        <f>IF($B83="","",Cotations!H68)</f>
        <v/>
      </c>
      <c r="E83" s="17" t="str">
        <f>IF($B83="","",Cotations!O68)</f>
        <v/>
      </c>
      <c r="F83" s="17" t="str">
        <f>IF($B83="","",Cotations!M68)</f>
        <v/>
      </c>
      <c r="G83" s="17" t="str">
        <f>IF($B83="","",Cotations!T68)</f>
        <v/>
      </c>
      <c r="H83" s="17" t="str">
        <f>IF($B83="","",Calcul!X68)</f>
        <v/>
      </c>
      <c r="I83" s="11" t="str">
        <f>IF($B83="","",Calcul!EE68)</f>
        <v/>
      </c>
      <c r="J83" s="11" t="str">
        <f>IF($B83="","",Calcul!IE68)</f>
        <v/>
      </c>
      <c r="K83" s="16" t="str">
        <f>IF($B83="","",Calcul!AH68)</f>
        <v/>
      </c>
      <c r="L83" s="520" t="str">
        <f>IF($B83="","",IF(ALLTHESAME=TRUE,Cotations!$AP$4,Cotations!AP68))</f>
        <v/>
      </c>
      <c r="M83" s="518" t="str">
        <f>IF($B83="","",(Calcul!AJ68+Calcul!AQ68)*L83)</f>
        <v/>
      </c>
      <c r="N83" s="520" t="str">
        <f>IF($B83="","",IF(ALLTHESAME=TRUE,Cotations!$BZ$4,Cotations!BZ68))</f>
        <v/>
      </c>
      <c r="O83" s="518" t="str">
        <f>IF($B83="","",IF(Cotations!$BA$6=0,((Calcul!AK68)*N83),Cotations!$Y$4*E83))</f>
        <v/>
      </c>
      <c r="P83" s="520">
        <v>0</v>
      </c>
      <c r="Q83" s="518" t="str">
        <f>IF($B83="","",Calcul!X68*P83)</f>
        <v/>
      </c>
      <c r="R83" s="520" t="str">
        <f t="shared" si="5"/>
        <v/>
      </c>
      <c r="S83" s="518" t="str">
        <f>IF($B83="","",((Calcul!AS68*R83)+Calcul!AL68)*R83)</f>
        <v/>
      </c>
      <c r="T83" s="520" t="str">
        <f>IF($B83="","",Cotations!CA68)</f>
        <v/>
      </c>
      <c r="U83" s="518" t="str">
        <f>IF($B83="","",(Calcul!AT68+Calcul!AL68)*T83)</f>
        <v/>
      </c>
      <c r="V83" s="520">
        <v>0</v>
      </c>
      <c r="W83" s="518" t="str">
        <f>IF($B83="","",Calcul!X68*V83)</f>
        <v/>
      </c>
      <c r="X83" s="524" t="str">
        <f t="shared" si="3"/>
        <v/>
      </c>
    </row>
    <row r="84" spans="1:24" ht="24.95" hidden="1" customHeight="1">
      <c r="A84" s="11" t="str">
        <f>IF(Cotations!C69=FALSE,"",Cotations!D69)</f>
        <v/>
      </c>
      <c r="B84" s="11" t="str">
        <f>IF(Cotations!C69=FALSE,"",Cotations!F69)</f>
        <v/>
      </c>
      <c r="C84" s="11" t="str">
        <f>IF($B84="","",Detail!L69)</f>
        <v/>
      </c>
      <c r="D84" s="11" t="str">
        <f>IF($B84="","",Cotations!H69)</f>
        <v/>
      </c>
      <c r="E84" s="17" t="str">
        <f>IF($B84="","",Cotations!O69)</f>
        <v/>
      </c>
      <c r="F84" s="17" t="str">
        <f>IF($B84="","",Cotations!M69)</f>
        <v/>
      </c>
      <c r="G84" s="17" t="str">
        <f>IF($B84="","",Cotations!T69)</f>
        <v/>
      </c>
      <c r="H84" s="17" t="str">
        <f>IF($B84="","",Calcul!X69)</f>
        <v/>
      </c>
      <c r="I84" s="11" t="str">
        <f>IF($B84="","",Calcul!EE69)</f>
        <v/>
      </c>
      <c r="J84" s="11" t="str">
        <f>IF($B84="","",Calcul!IE69)</f>
        <v/>
      </c>
      <c r="K84" s="16" t="str">
        <f>IF($B84="","",Calcul!AH69)</f>
        <v/>
      </c>
      <c r="L84" s="520" t="str">
        <f>IF($B84="","",IF(ALLTHESAME=TRUE,Cotations!$AP$4,Cotations!AP69))</f>
        <v/>
      </c>
      <c r="M84" s="518" t="str">
        <f>IF($B84="","",(Calcul!AJ69+Calcul!AQ69)*L84)</f>
        <v/>
      </c>
      <c r="N84" s="520" t="str">
        <f>IF($B84="","",IF(ALLTHESAME=TRUE,Cotations!$BZ$4,Cotations!BZ69))</f>
        <v/>
      </c>
      <c r="O84" s="518" t="str">
        <f>IF($B84="","",IF(Cotations!$BA$6=0,((Calcul!AK69)*N84),Cotations!$Y$4*E84))</f>
        <v/>
      </c>
      <c r="P84" s="520">
        <v>0</v>
      </c>
      <c r="Q84" s="518" t="str">
        <f>IF($B84="","",Calcul!X69*P84)</f>
        <v/>
      </c>
      <c r="R84" s="520" t="str">
        <f t="shared" si="5"/>
        <v/>
      </c>
      <c r="S84" s="518" t="str">
        <f>IF($B84="","",((Calcul!AS69*R84)+Calcul!AL69)*R84)</f>
        <v/>
      </c>
      <c r="T84" s="520" t="str">
        <f>IF($B84="","",Cotations!CA69)</f>
        <v/>
      </c>
      <c r="U84" s="518" t="str">
        <f>IF($B84="","",(Calcul!AT69+Calcul!AL69)*T84)</f>
        <v/>
      </c>
      <c r="V84" s="520">
        <v>0</v>
      </c>
      <c r="W84" s="518" t="str">
        <f>IF($B84="","",Calcul!X69*V84)</f>
        <v/>
      </c>
      <c r="X84" s="524" t="str">
        <f t="shared" si="3"/>
        <v/>
      </c>
    </row>
    <row r="85" spans="1:24" ht="24.95" hidden="1" customHeight="1">
      <c r="A85" s="11" t="str">
        <f>IF(Cotations!C70=FALSE,"",Cotations!D70)</f>
        <v/>
      </c>
      <c r="B85" s="11" t="str">
        <f>IF(Cotations!C70=FALSE,"",Cotations!F70)</f>
        <v/>
      </c>
      <c r="C85" s="11" t="str">
        <f>IF($B85="","",Detail!L70)</f>
        <v/>
      </c>
      <c r="D85" s="11" t="str">
        <f>IF($B85="","",Cotations!H70)</f>
        <v/>
      </c>
      <c r="E85" s="17" t="str">
        <f>IF($B85="","",Cotations!O70)</f>
        <v/>
      </c>
      <c r="F85" s="17" t="str">
        <f>IF($B85="","",Cotations!M70)</f>
        <v/>
      </c>
      <c r="G85" s="17" t="str">
        <f>IF($B85="","",Cotations!T70)</f>
        <v/>
      </c>
      <c r="H85" s="17" t="str">
        <f>IF($B85="","",Calcul!X70)</f>
        <v/>
      </c>
      <c r="I85" s="11" t="str">
        <f>IF($B85="","",Calcul!EE70)</f>
        <v/>
      </c>
      <c r="J85" s="11" t="str">
        <f>IF($B85="","",Calcul!IE70)</f>
        <v/>
      </c>
      <c r="K85" s="16" t="str">
        <f>IF($B85="","",Calcul!AH70)</f>
        <v/>
      </c>
      <c r="L85" s="520" t="str">
        <f>IF($B85="","",IF(ALLTHESAME=TRUE,Cotations!$AP$4,Cotations!AP70))</f>
        <v/>
      </c>
      <c r="M85" s="518" t="str">
        <f>IF($B85="","",(Calcul!AJ70+Calcul!AQ70)*L85)</f>
        <v/>
      </c>
      <c r="N85" s="520" t="str">
        <f>IF($B85="","",IF(ALLTHESAME=TRUE,Cotations!$BZ$4,Cotations!BZ70))</f>
        <v/>
      </c>
      <c r="O85" s="518" t="str">
        <f>IF($B85="","",IF(Cotations!$BA$6=0,((Calcul!AK70)*N85),Cotations!$Y$4*E85))</f>
        <v/>
      </c>
      <c r="P85" s="520">
        <v>0</v>
      </c>
      <c r="Q85" s="518" t="str">
        <f>IF($B85="","",Calcul!X70*P85)</f>
        <v/>
      </c>
      <c r="R85" s="520" t="str">
        <f t="shared" si="5"/>
        <v/>
      </c>
      <c r="S85" s="518" t="str">
        <f>IF($B85="","",((Calcul!AS70*R85)+Calcul!AL70)*R85)</f>
        <v/>
      </c>
      <c r="T85" s="520" t="str">
        <f>IF($B85="","",Cotations!CA70)</f>
        <v/>
      </c>
      <c r="U85" s="518" t="str">
        <f>IF($B85="","",(Calcul!AT70+Calcul!AL70)*T85)</f>
        <v/>
      </c>
      <c r="V85" s="520">
        <v>0</v>
      </c>
      <c r="W85" s="518" t="str">
        <f>IF($B85="","",Calcul!X70*V85)</f>
        <v/>
      </c>
      <c r="X85" s="524" t="str">
        <f t="shared" si="3"/>
        <v/>
      </c>
    </row>
    <row r="86" spans="1:24" ht="24.95" hidden="1" customHeight="1">
      <c r="A86" s="11" t="str">
        <f>IF(Cotations!C71=FALSE,"",Cotations!D71)</f>
        <v/>
      </c>
      <c r="B86" s="11" t="str">
        <f>IF(Cotations!C71=FALSE,"",Cotations!F71)</f>
        <v/>
      </c>
      <c r="C86" s="11" t="str">
        <f>IF($B86="","",Detail!L71)</f>
        <v/>
      </c>
      <c r="D86" s="11" t="str">
        <f>IF($B86="","",Cotations!H71)</f>
        <v/>
      </c>
      <c r="E86" s="17" t="str">
        <f>IF($B86="","",Cotations!O71)</f>
        <v/>
      </c>
      <c r="F86" s="17" t="str">
        <f>IF($B86="","",Cotations!M71)</f>
        <v/>
      </c>
      <c r="G86" s="17" t="str">
        <f>IF($B86="","",Cotations!T71)</f>
        <v/>
      </c>
      <c r="H86" s="17" t="str">
        <f>IF($B86="","",Calcul!X71)</f>
        <v/>
      </c>
      <c r="I86" s="11" t="str">
        <f>IF($B86="","",Calcul!EE71)</f>
        <v/>
      </c>
      <c r="J86" s="11" t="str">
        <f>IF($B86="","",Calcul!IE71)</f>
        <v/>
      </c>
      <c r="K86" s="16" t="str">
        <f>IF($B86="","",Calcul!AH71)</f>
        <v/>
      </c>
      <c r="L86" s="520" t="str">
        <f>IF($B86="","",IF(ALLTHESAME=TRUE,Cotations!$AP$4,Cotations!AP71))</f>
        <v/>
      </c>
      <c r="M86" s="518" t="str">
        <f>IF($B86="","",(Calcul!AJ71+Calcul!AQ71)*L86)</f>
        <v/>
      </c>
      <c r="N86" s="520" t="str">
        <f>IF($B86="","",IF(ALLTHESAME=TRUE,Cotations!$BZ$4,Cotations!BZ71))</f>
        <v/>
      </c>
      <c r="O86" s="518" t="str">
        <f>IF($B86="","",IF(Cotations!$BA$6=0,((Calcul!AK71)*N86),Cotations!$Y$4*E86))</f>
        <v/>
      </c>
      <c r="P86" s="520">
        <v>0</v>
      </c>
      <c r="Q86" s="518" t="str">
        <f>IF($B86="","",Calcul!X71*P86)</f>
        <v/>
      </c>
      <c r="R86" s="520" t="str">
        <f t="shared" si="5"/>
        <v/>
      </c>
      <c r="S86" s="518" t="str">
        <f>IF($B86="","",((Calcul!AS71*R86)+Calcul!AL71)*R86)</f>
        <v/>
      </c>
      <c r="T86" s="520" t="str">
        <f>IF($B86="","",Cotations!CA71)</f>
        <v/>
      </c>
      <c r="U86" s="518" t="str">
        <f>IF($B86="","",(Calcul!AT71+Calcul!AL71)*T86)</f>
        <v/>
      </c>
      <c r="V86" s="520">
        <v>0</v>
      </c>
      <c r="W86" s="518" t="str">
        <f>IF($B86="","",Calcul!X71*V86)</f>
        <v/>
      </c>
      <c r="X86" s="524" t="str">
        <f t="shared" si="3"/>
        <v/>
      </c>
    </row>
    <row r="87" spans="1:24" ht="24.95" hidden="1" customHeight="1">
      <c r="A87" s="11" t="str">
        <f>IF(Cotations!C72=FALSE,"",Cotations!D72)</f>
        <v/>
      </c>
      <c r="B87" s="11" t="str">
        <f>IF(Cotations!C72=FALSE,"",Cotations!F72)</f>
        <v/>
      </c>
      <c r="C87" s="11" t="str">
        <f>IF($B87="","",Detail!L72)</f>
        <v/>
      </c>
      <c r="D87" s="11" t="str">
        <f>IF($B87="","",Cotations!H72)</f>
        <v/>
      </c>
      <c r="E87" s="17" t="str">
        <f>IF($B87="","",Cotations!O72)</f>
        <v/>
      </c>
      <c r="F87" s="17" t="str">
        <f>IF($B87="","",Cotations!M72)</f>
        <v/>
      </c>
      <c r="G87" s="17" t="str">
        <f>IF($B87="","",Cotations!T72)</f>
        <v/>
      </c>
      <c r="H87" s="17" t="str">
        <f>IF($B87="","",Calcul!X72)</f>
        <v/>
      </c>
      <c r="I87" s="11" t="str">
        <f>IF($B87="","",Calcul!EE72)</f>
        <v/>
      </c>
      <c r="J87" s="11" t="str">
        <f>IF($B87="","",Calcul!IE72)</f>
        <v/>
      </c>
      <c r="K87" s="16" t="str">
        <f>IF($B87="","",Calcul!AH72)</f>
        <v/>
      </c>
      <c r="L87" s="520" t="str">
        <f>IF($B87="","",IF(ALLTHESAME=TRUE,Cotations!$AP$4,Cotations!AP72))</f>
        <v/>
      </c>
      <c r="M87" s="518" t="str">
        <f>IF($B87="","",(Calcul!AJ72+Calcul!AQ72)*L87)</f>
        <v/>
      </c>
      <c r="N87" s="520" t="str">
        <f>IF($B87="","",IF(ALLTHESAME=TRUE,Cotations!$BZ$4,Cotations!BZ72))</f>
        <v/>
      </c>
      <c r="O87" s="518" t="str">
        <f>IF($B87="","",IF(Cotations!$BA$6=0,((Calcul!AK72)*N87),Cotations!$Y$4*E87))</f>
        <v/>
      </c>
      <c r="P87" s="520">
        <v>0</v>
      </c>
      <c r="Q87" s="518" t="str">
        <f>IF($B87="","",Calcul!X72*P87)</f>
        <v/>
      </c>
      <c r="R87" s="520" t="str">
        <f t="shared" si="5"/>
        <v/>
      </c>
      <c r="S87" s="518" t="str">
        <f>IF($B87="","",((Calcul!AS72*R87)+Calcul!AL72)*R87)</f>
        <v/>
      </c>
      <c r="T87" s="520" t="str">
        <f>IF($B87="","",Cotations!CA72)</f>
        <v/>
      </c>
      <c r="U87" s="518" t="str">
        <f>IF($B87="","",(Calcul!AT72+Calcul!AL72)*T87)</f>
        <v/>
      </c>
      <c r="V87" s="520">
        <v>0</v>
      </c>
      <c r="W87" s="518" t="str">
        <f>IF($B87="","",Calcul!X72*V87)</f>
        <v/>
      </c>
      <c r="X87" s="524" t="str">
        <f t="shared" si="3"/>
        <v/>
      </c>
    </row>
    <row r="88" spans="1:24" ht="24.95" hidden="1" customHeight="1">
      <c r="A88" s="11" t="str">
        <f>IF(Cotations!C73=FALSE,"",Cotations!D73)</f>
        <v/>
      </c>
      <c r="B88" s="11" t="str">
        <f>IF(Cotations!C73=FALSE,"",Cotations!F73)</f>
        <v/>
      </c>
      <c r="C88" s="11" t="str">
        <f>IF($B88="","",Detail!L73)</f>
        <v/>
      </c>
      <c r="D88" s="11" t="str">
        <f>IF($B88="","",Cotations!H73)</f>
        <v/>
      </c>
      <c r="E88" s="17" t="str">
        <f>IF($B88="","",Cotations!O73)</f>
        <v/>
      </c>
      <c r="F88" s="17" t="str">
        <f>IF($B88="","",Cotations!M73)</f>
        <v/>
      </c>
      <c r="G88" s="17" t="str">
        <f>IF($B88="","",Cotations!T73)</f>
        <v/>
      </c>
      <c r="H88" s="17" t="str">
        <f>IF($B88="","",Calcul!X73)</f>
        <v/>
      </c>
      <c r="I88" s="11" t="str">
        <f>IF($B88="","",Calcul!EE73)</f>
        <v/>
      </c>
      <c r="J88" s="11" t="str">
        <f>IF($B88="","",Calcul!IE73)</f>
        <v/>
      </c>
      <c r="K88" s="16" t="str">
        <f>IF($B88="","",Calcul!AH73)</f>
        <v/>
      </c>
      <c r="L88" s="520" t="str">
        <f>IF($B88="","",IF(ALLTHESAME=TRUE,Cotations!$AP$4,Cotations!AP73))</f>
        <v/>
      </c>
      <c r="M88" s="518" t="str">
        <f>IF($B88="","",(Calcul!AJ73+Calcul!AQ73)*L88)</f>
        <v/>
      </c>
      <c r="N88" s="520" t="str">
        <f>IF($B88="","",IF(ALLTHESAME=TRUE,Cotations!$BZ$4,Cotations!BZ73))</f>
        <v/>
      </c>
      <c r="O88" s="518" t="str">
        <f>IF($B88="","",IF(Cotations!$BA$6=0,((Calcul!AK73)*N88),Cotations!$Y$4*E88))</f>
        <v/>
      </c>
      <c r="P88" s="520">
        <v>0</v>
      </c>
      <c r="Q88" s="518" t="str">
        <f>IF($B88="","",Calcul!X73*P88)</f>
        <v/>
      </c>
      <c r="R88" s="520" t="str">
        <f t="shared" si="5"/>
        <v/>
      </c>
      <c r="S88" s="518" t="str">
        <f>IF($B88="","",((Calcul!AS73*R88)+Calcul!AL73)*R88)</f>
        <v/>
      </c>
      <c r="T88" s="520" t="str">
        <f>IF($B88="","",Cotations!CA73)</f>
        <v/>
      </c>
      <c r="U88" s="518" t="str">
        <f>IF($B88="","",(Calcul!AT73+Calcul!AL73)*T88)</f>
        <v/>
      </c>
      <c r="V88" s="520">
        <v>0</v>
      </c>
      <c r="W88" s="518" t="str">
        <f>IF($B88="","",Calcul!X73*V88)</f>
        <v/>
      </c>
      <c r="X88" s="524" t="str">
        <f t="shared" si="3"/>
        <v/>
      </c>
    </row>
    <row r="89" spans="1:24" ht="24.95" hidden="1" customHeight="1">
      <c r="A89" s="11" t="str">
        <f>IF(Cotations!C74=FALSE,"",Cotations!D74)</f>
        <v/>
      </c>
      <c r="B89" s="11" t="str">
        <f>IF(Cotations!C74=FALSE,"",Cotations!F74)</f>
        <v/>
      </c>
      <c r="C89" s="11" t="str">
        <f>IF($B89="","",Detail!L74)</f>
        <v/>
      </c>
      <c r="D89" s="11" t="str">
        <f>IF($B89="","",Cotations!H74)</f>
        <v/>
      </c>
      <c r="E89" s="17" t="str">
        <f>IF($B89="","",Cotations!O74)</f>
        <v/>
      </c>
      <c r="F89" s="17" t="str">
        <f>IF($B89="","",Cotations!M74)</f>
        <v/>
      </c>
      <c r="G89" s="17" t="str">
        <f>IF($B89="","",Cotations!T74)</f>
        <v/>
      </c>
      <c r="H89" s="17" t="str">
        <f>IF($B89="","",Calcul!X74)</f>
        <v/>
      </c>
      <c r="I89" s="11" t="str">
        <f>IF($B89="","",Calcul!EE74)</f>
        <v/>
      </c>
      <c r="J89" s="11" t="str">
        <f>IF($B89="","",Calcul!IE74)</f>
        <v/>
      </c>
      <c r="K89" s="16" t="str">
        <f>IF($B89="","",Calcul!AH74)</f>
        <v/>
      </c>
      <c r="L89" s="520" t="str">
        <f>IF($B89="","",IF(ALLTHESAME=TRUE,Cotations!$AP$4,Cotations!AP74))</f>
        <v/>
      </c>
      <c r="M89" s="518" t="str">
        <f>IF($B89="","",(Calcul!AJ74+Calcul!AQ74)*L89)</f>
        <v/>
      </c>
      <c r="N89" s="520" t="str">
        <f>IF($B89="","",IF(ALLTHESAME=TRUE,Cotations!$BZ$4,Cotations!BZ74))</f>
        <v/>
      </c>
      <c r="O89" s="518" t="str">
        <f>IF($B89="","",IF(Cotations!$BA$6=0,((Calcul!AK74)*N89),Cotations!$Y$4*E89))</f>
        <v/>
      </c>
      <c r="P89" s="520">
        <v>0</v>
      </c>
      <c r="Q89" s="518" t="str">
        <f>IF($B89="","",Calcul!X74*P89)</f>
        <v/>
      </c>
      <c r="R89" s="520" t="str">
        <f t="shared" si="5"/>
        <v/>
      </c>
      <c r="S89" s="518" t="str">
        <f>IF($B89="","",((Calcul!AS74*R89)+Calcul!AL74)*R89)</f>
        <v/>
      </c>
      <c r="T89" s="520" t="str">
        <f>IF($B89="","",Cotations!CA74)</f>
        <v/>
      </c>
      <c r="U89" s="518" t="str">
        <f>IF($B89="","",(Calcul!AT74+Calcul!AL74)*T89)</f>
        <v/>
      </c>
      <c r="V89" s="520">
        <v>0</v>
      </c>
      <c r="W89" s="518" t="str">
        <f>IF($B89="","",Calcul!X74*V89)</f>
        <v/>
      </c>
      <c r="X89" s="524" t="str">
        <f t="shared" si="3"/>
        <v/>
      </c>
    </row>
    <row r="90" spans="1:24" ht="24.95" hidden="1" customHeight="1">
      <c r="A90" s="11" t="str">
        <f>IF(Cotations!C75=FALSE,"",Cotations!D75)</f>
        <v/>
      </c>
      <c r="B90" s="11" t="str">
        <f>IF(Cotations!C75=FALSE,"",Cotations!F75)</f>
        <v/>
      </c>
      <c r="C90" s="11" t="str">
        <f>IF($B90="","",Detail!L75)</f>
        <v/>
      </c>
      <c r="D90" s="11" t="str">
        <f>IF($B90="","",Cotations!H75)</f>
        <v/>
      </c>
      <c r="E90" s="17" t="str">
        <f>IF($B90="","",Cotations!O75)</f>
        <v/>
      </c>
      <c r="F90" s="17" t="str">
        <f>IF($B90="","",Cotations!M75)</f>
        <v/>
      </c>
      <c r="G90" s="17" t="str">
        <f>IF($B90="","",Cotations!T75)</f>
        <v/>
      </c>
      <c r="H90" s="17" t="str">
        <f>IF($B90="","",Calcul!X75)</f>
        <v/>
      </c>
      <c r="I90" s="11" t="str">
        <f>IF($B90="","",Calcul!EE75)</f>
        <v/>
      </c>
      <c r="J90" s="11" t="str">
        <f>IF($B90="","",Calcul!IE75)</f>
        <v/>
      </c>
      <c r="K90" s="16" t="str">
        <f>IF($B90="","",Calcul!AH75)</f>
        <v/>
      </c>
      <c r="L90" s="520" t="str">
        <f>IF($B90="","",IF(ALLTHESAME=TRUE,Cotations!$AP$4,Cotations!AP75))</f>
        <v/>
      </c>
      <c r="M90" s="518" t="str">
        <f>IF($B90="","",(Calcul!AJ75+Calcul!AQ75)*L90)</f>
        <v/>
      </c>
      <c r="N90" s="520" t="str">
        <f>IF($B90="","",IF(ALLTHESAME=TRUE,Cotations!$BZ$4,Cotations!BZ75))</f>
        <v/>
      </c>
      <c r="O90" s="518" t="str">
        <f>IF($B90="","",IF(Cotations!$BA$6=0,((Calcul!AK75)*N90),Cotations!$Y$4*E90))</f>
        <v/>
      </c>
      <c r="P90" s="520">
        <v>0</v>
      </c>
      <c r="Q90" s="518" t="str">
        <f>IF($B90="","",Calcul!X75*P90)</f>
        <v/>
      </c>
      <c r="R90" s="520" t="str">
        <f t="shared" si="5"/>
        <v/>
      </c>
      <c r="S90" s="518" t="str">
        <f>IF($B90="","",((Calcul!AS75*R90)+Calcul!AL75)*R90)</f>
        <v/>
      </c>
      <c r="T90" s="520" t="str">
        <f>IF($B90="","",Cotations!CA75)</f>
        <v/>
      </c>
      <c r="U90" s="518" t="str">
        <f>IF($B90="","",(Calcul!AT75+Calcul!AL75)*T90)</f>
        <v/>
      </c>
      <c r="V90" s="520">
        <v>0</v>
      </c>
      <c r="W90" s="518" t="str">
        <f>IF($B90="","",Calcul!X75*V90)</f>
        <v/>
      </c>
      <c r="X90" s="524" t="str">
        <f t="shared" si="3"/>
        <v/>
      </c>
    </row>
    <row r="91" spans="1:24" ht="24.95" hidden="1" customHeight="1">
      <c r="A91" s="11" t="str">
        <f>IF(Cotations!C76=FALSE,"",Cotations!D76)</f>
        <v/>
      </c>
      <c r="B91" s="11" t="str">
        <f>IF(Cotations!C76=FALSE,"",Cotations!F76)</f>
        <v/>
      </c>
      <c r="C91" s="11" t="str">
        <f>IF($B91="","",Detail!L76)</f>
        <v/>
      </c>
      <c r="D91" s="11" t="str">
        <f>IF($B91="","",Cotations!H76)</f>
        <v/>
      </c>
      <c r="E91" s="17" t="str">
        <f>IF($B91="","",Cotations!O76)</f>
        <v/>
      </c>
      <c r="F91" s="17" t="str">
        <f>IF($B91="","",Cotations!M76)</f>
        <v/>
      </c>
      <c r="G91" s="17" t="str">
        <f>IF($B91="","",Cotations!T76)</f>
        <v/>
      </c>
      <c r="H91" s="17" t="str">
        <f>IF($B91="","",Calcul!X76)</f>
        <v/>
      </c>
      <c r="I91" s="11" t="str">
        <f>IF($B91="","",Calcul!EE76)</f>
        <v/>
      </c>
      <c r="J91" s="11" t="str">
        <f>IF($B91="","",Calcul!IE76)</f>
        <v/>
      </c>
      <c r="K91" s="16" t="str">
        <f>IF($B91="","",Calcul!AH76)</f>
        <v/>
      </c>
      <c r="L91" s="520" t="str">
        <f>IF($B91="","",IF(ALLTHESAME=TRUE,Cotations!$AP$4,Cotations!AP76))</f>
        <v/>
      </c>
      <c r="M91" s="518" t="str">
        <f>IF($B91="","",(Calcul!AJ76+Calcul!AQ76)*L91)</f>
        <v/>
      </c>
      <c r="N91" s="520" t="str">
        <f>IF($B91="","",IF(ALLTHESAME=TRUE,Cotations!$BZ$4,Cotations!BZ76))</f>
        <v/>
      </c>
      <c r="O91" s="518" t="str">
        <f>IF($B91="","",IF(Cotations!$BA$6=0,((Calcul!AK76)*N91),Cotations!$Y$4*E91))</f>
        <v/>
      </c>
      <c r="P91" s="520">
        <v>0</v>
      </c>
      <c r="Q91" s="518" t="str">
        <f>IF($B91="","",Calcul!X76*P91)</f>
        <v/>
      </c>
      <c r="R91" s="520" t="str">
        <f t="shared" si="5"/>
        <v/>
      </c>
      <c r="S91" s="518" t="str">
        <f>IF($B91="","",((Calcul!AS76*R91)+Calcul!AL76)*R91)</f>
        <v/>
      </c>
      <c r="T91" s="520" t="str">
        <f>IF($B91="","",Cotations!CA76)</f>
        <v/>
      </c>
      <c r="U91" s="518" t="str">
        <f>IF($B91="","",(Calcul!AT76+Calcul!AL76)*T91)</f>
        <v/>
      </c>
      <c r="V91" s="520">
        <v>0</v>
      </c>
      <c r="W91" s="518" t="str">
        <f>IF($B91="","",Calcul!X76*V91)</f>
        <v/>
      </c>
      <c r="X91" s="524" t="str">
        <f t="shared" si="3"/>
        <v/>
      </c>
    </row>
    <row r="92" spans="1:24" ht="24.95" hidden="1" customHeight="1">
      <c r="A92" s="11" t="str">
        <f>IF(Cotations!C77=FALSE,"",Cotations!D77)</f>
        <v/>
      </c>
      <c r="B92" s="11" t="str">
        <f>IF(Cotations!C77=FALSE,"",Cotations!F77)</f>
        <v/>
      </c>
      <c r="C92" s="11" t="str">
        <f>IF($B92="","",Detail!L77)</f>
        <v/>
      </c>
      <c r="D92" s="11" t="str">
        <f>IF($B92="","",Cotations!H77)</f>
        <v/>
      </c>
      <c r="E92" s="17" t="str">
        <f>IF($B92="","",Cotations!O77)</f>
        <v/>
      </c>
      <c r="F92" s="17" t="str">
        <f>IF($B92="","",Cotations!M77)</f>
        <v/>
      </c>
      <c r="G92" s="17" t="str">
        <f>IF($B92="","",Cotations!T77)</f>
        <v/>
      </c>
      <c r="H92" s="17" t="str">
        <f>IF($B92="","",Calcul!X77)</f>
        <v/>
      </c>
      <c r="I92" s="11" t="str">
        <f>IF($B92="","",Calcul!EE77)</f>
        <v/>
      </c>
      <c r="J92" s="11" t="str">
        <f>IF($B92="","",Calcul!IE77)</f>
        <v/>
      </c>
      <c r="K92" s="16" t="str">
        <f>IF($B92="","",Calcul!AH77)</f>
        <v/>
      </c>
      <c r="L92" s="520" t="str">
        <f>IF($B92="","",IF(ALLTHESAME=TRUE,Cotations!$AP$4,Cotations!AP77))</f>
        <v/>
      </c>
      <c r="M92" s="518" t="str">
        <f>IF($B92="","",(Calcul!AJ77+Calcul!AQ77)*L92)</f>
        <v/>
      </c>
      <c r="N92" s="520" t="str">
        <f>IF($B92="","",IF(ALLTHESAME=TRUE,Cotations!$BZ$4,Cotations!BZ77))</f>
        <v/>
      </c>
      <c r="O92" s="518" t="str">
        <f>IF($B92="","",IF(Cotations!$BA$6=0,((Calcul!AK77)*N92),Cotations!$Y$4*E92))</f>
        <v/>
      </c>
      <c r="P92" s="520">
        <v>0</v>
      </c>
      <c r="Q92" s="518" t="str">
        <f>IF($B92="","",Calcul!X77*P92)</f>
        <v/>
      </c>
      <c r="R92" s="520" t="str">
        <f t="shared" si="5"/>
        <v/>
      </c>
      <c r="S92" s="518" t="str">
        <f>IF($B92="","",((Calcul!AS77*R92)+Calcul!AL77)*R92)</f>
        <v/>
      </c>
      <c r="T92" s="520" t="str">
        <f>IF($B92="","",Cotations!CA77)</f>
        <v/>
      </c>
      <c r="U92" s="518" t="str">
        <f>IF($B92="","",(Calcul!AT77+Calcul!AL77)*T92)</f>
        <v/>
      </c>
      <c r="V92" s="520">
        <v>0</v>
      </c>
      <c r="W92" s="518" t="str">
        <f>IF($B92="","",Calcul!X77*V92)</f>
        <v/>
      </c>
      <c r="X92" s="524" t="str">
        <f t="shared" si="3"/>
        <v/>
      </c>
    </row>
    <row r="93" spans="1:24" ht="24.95" hidden="1" customHeight="1">
      <c r="A93" s="11" t="str">
        <f>IF(Cotations!C78=FALSE,"",Cotations!D78)</f>
        <v/>
      </c>
      <c r="B93" s="11" t="str">
        <f>IF(Cotations!C78=FALSE,"",Cotations!F78)</f>
        <v/>
      </c>
      <c r="C93" s="11" t="str">
        <f>IF($B93="","",Detail!L78)</f>
        <v/>
      </c>
      <c r="D93" s="11" t="str">
        <f>IF($B93="","",Cotations!H78)</f>
        <v/>
      </c>
      <c r="E93" s="17" t="str">
        <f>IF($B93="","",Cotations!O78)</f>
        <v/>
      </c>
      <c r="F93" s="17" t="str">
        <f>IF($B93="","",Cotations!M78)</f>
        <v/>
      </c>
      <c r="G93" s="17" t="str">
        <f>IF($B93="","",Cotations!T78)</f>
        <v/>
      </c>
      <c r="H93" s="17" t="str">
        <f>IF($B93="","",Calcul!X78)</f>
        <v/>
      </c>
      <c r="I93" s="11" t="str">
        <f>IF($B93="","",Calcul!EE78)</f>
        <v/>
      </c>
      <c r="J93" s="11" t="str">
        <f>IF($B93="","",Calcul!IE78)</f>
        <v/>
      </c>
      <c r="K93" s="16" t="str">
        <f>IF($B93="","",Calcul!AH78)</f>
        <v/>
      </c>
      <c r="L93" s="520" t="str">
        <f>IF($B93="","",IF(ALLTHESAME=TRUE,Cotations!$AP$4,Cotations!AP78))</f>
        <v/>
      </c>
      <c r="M93" s="518" t="str">
        <f>IF($B93="","",(Calcul!AJ78+Calcul!AQ78)*L93)</f>
        <v/>
      </c>
      <c r="N93" s="520" t="str">
        <f>IF($B93="","",IF(ALLTHESAME=TRUE,Cotations!$BZ$4,Cotations!BZ78))</f>
        <v/>
      </c>
      <c r="O93" s="518" t="str">
        <f>IF($B93="","",IF(Cotations!$BA$6=0,((Calcul!AK78)*N93),Cotations!$Y$4*E93))</f>
        <v/>
      </c>
      <c r="P93" s="520">
        <v>0</v>
      </c>
      <c r="Q93" s="518" t="str">
        <f>IF($B93="","",Calcul!X78*P93)</f>
        <v/>
      </c>
      <c r="R93" s="520" t="str">
        <f t="shared" si="5"/>
        <v/>
      </c>
      <c r="S93" s="518" t="str">
        <f>IF($B93="","",((Calcul!AS78*R93)+Calcul!AL78)*R93)</f>
        <v/>
      </c>
      <c r="T93" s="520" t="str">
        <f>IF($B93="","",Cotations!CA78)</f>
        <v/>
      </c>
      <c r="U93" s="518" t="str">
        <f>IF($B93="","",(Calcul!AT78+Calcul!AL78)*T93)</f>
        <v/>
      </c>
      <c r="V93" s="520">
        <v>0</v>
      </c>
      <c r="W93" s="518" t="str">
        <f>IF($B93="","",Calcul!X78*V93)</f>
        <v/>
      </c>
      <c r="X93" s="524" t="str">
        <f t="shared" si="3"/>
        <v/>
      </c>
    </row>
    <row r="94" spans="1:24" ht="24.95" hidden="1" customHeight="1">
      <c r="A94" s="11" t="str">
        <f>IF(Cotations!C79=FALSE,"",Cotations!D79)</f>
        <v/>
      </c>
      <c r="B94" s="11" t="str">
        <f>IF(Cotations!C79=FALSE,"",Cotations!F79)</f>
        <v/>
      </c>
      <c r="C94" s="11" t="str">
        <f>IF($B94="","",Detail!L79)</f>
        <v/>
      </c>
      <c r="D94" s="11" t="str">
        <f>IF($B94="","",Cotations!H79)</f>
        <v/>
      </c>
      <c r="E94" s="17" t="str">
        <f>IF($B94="","",Cotations!O79)</f>
        <v/>
      </c>
      <c r="F94" s="17" t="str">
        <f>IF($B94="","",Cotations!M79)</f>
        <v/>
      </c>
      <c r="G94" s="17" t="str">
        <f>IF($B94="","",Cotations!T79)</f>
        <v/>
      </c>
      <c r="H94" s="17" t="str">
        <f>IF($B94="","",Calcul!X79)</f>
        <v/>
      </c>
      <c r="I94" s="11" t="str">
        <f>IF($B94="","",Calcul!EE79)</f>
        <v/>
      </c>
      <c r="J94" s="11" t="str">
        <f>IF($B94="","",Calcul!IE79)</f>
        <v/>
      </c>
      <c r="K94" s="16" t="str">
        <f>IF($B94="","",Calcul!AH79)</f>
        <v/>
      </c>
      <c r="L94" s="520" t="str">
        <f>IF($B94="","",IF(ALLTHESAME=TRUE,Cotations!$AP$4,Cotations!AP79))</f>
        <v/>
      </c>
      <c r="M94" s="518" t="str">
        <f>IF($B94="","",(Calcul!AJ79+Calcul!AQ79)*L94)</f>
        <v/>
      </c>
      <c r="N94" s="520" t="str">
        <f>IF($B94="","",IF(ALLTHESAME=TRUE,Cotations!$BZ$4,Cotations!BZ79))</f>
        <v/>
      </c>
      <c r="O94" s="518" t="str">
        <f>IF($B94="","",IF(Cotations!$BA$6=0,((Calcul!AK79)*N94),Cotations!$Y$4*E94))</f>
        <v/>
      </c>
      <c r="P94" s="520">
        <v>0</v>
      </c>
      <c r="Q94" s="518" t="str">
        <f>IF($B94="","",Calcul!X79*P94)</f>
        <v/>
      </c>
      <c r="R94" s="520" t="str">
        <f t="shared" si="5"/>
        <v/>
      </c>
      <c r="S94" s="518" t="str">
        <f>IF($B94="","",((Calcul!AS79*R94)+Calcul!AL79)*R94)</f>
        <v/>
      </c>
      <c r="T94" s="520" t="str">
        <f>IF($B94="","",Cotations!CA79)</f>
        <v/>
      </c>
      <c r="U94" s="518" t="str">
        <f>IF($B94="","",(Calcul!AT79+Calcul!AL79)*T94)</f>
        <v/>
      </c>
      <c r="V94" s="520">
        <v>0</v>
      </c>
      <c r="W94" s="518" t="str">
        <f>IF($B94="","",Calcul!X79*V94)</f>
        <v/>
      </c>
      <c r="X94" s="524" t="str">
        <f t="shared" si="3"/>
        <v/>
      </c>
    </row>
    <row r="95" spans="1:24" ht="24.95" hidden="1" customHeight="1">
      <c r="A95" s="11" t="str">
        <f>IF(Cotations!C80=FALSE,"",Cotations!D80)</f>
        <v/>
      </c>
      <c r="B95" s="11" t="str">
        <f>IF(Cotations!C80=FALSE,"",Cotations!F80)</f>
        <v/>
      </c>
      <c r="C95" s="11" t="str">
        <f>IF($B95="","",Detail!L80)</f>
        <v/>
      </c>
      <c r="D95" s="11" t="str">
        <f>IF($B95="","",Cotations!H80)</f>
        <v/>
      </c>
      <c r="E95" s="17" t="str">
        <f>IF($B95="","",Cotations!O80)</f>
        <v/>
      </c>
      <c r="F95" s="17" t="str">
        <f>IF($B95="","",Cotations!M80)</f>
        <v/>
      </c>
      <c r="G95" s="17" t="str">
        <f>IF($B95="","",Cotations!T80)</f>
        <v/>
      </c>
      <c r="H95" s="17" t="str">
        <f>IF($B95="","",Calcul!X80)</f>
        <v/>
      </c>
      <c r="I95" s="11" t="str">
        <f>IF($B95="","",Calcul!EE80)</f>
        <v/>
      </c>
      <c r="J95" s="11" t="str">
        <f>IF($B95="","",Calcul!IE80)</f>
        <v/>
      </c>
      <c r="K95" s="16" t="str">
        <f>IF($B95="","",Calcul!AH80)</f>
        <v/>
      </c>
      <c r="L95" s="520" t="str">
        <f>IF($B95="","",IF(ALLTHESAME=TRUE,Cotations!$AP$4,Cotations!AP80))</f>
        <v/>
      </c>
      <c r="M95" s="518" t="str">
        <f>IF($B95="","",(Calcul!AJ80+Calcul!AQ80)*L95)</f>
        <v/>
      </c>
      <c r="N95" s="520" t="str">
        <f>IF($B95="","",IF(ALLTHESAME=TRUE,Cotations!$BZ$4,Cotations!BZ80))</f>
        <v/>
      </c>
      <c r="O95" s="518" t="str">
        <f>IF($B95="","",IF(Cotations!$BA$6=0,((Calcul!AK80)*N95),Cotations!$Y$4*E95))</f>
        <v/>
      </c>
      <c r="P95" s="520">
        <v>0</v>
      </c>
      <c r="Q95" s="518" t="str">
        <f>IF($B95="","",Calcul!X80*P95)</f>
        <v/>
      </c>
      <c r="R95" s="520" t="str">
        <f t="shared" si="5"/>
        <v/>
      </c>
      <c r="S95" s="518" t="str">
        <f>IF($B95="","",((Calcul!AS80*R95)+Calcul!AL80)*R95)</f>
        <v/>
      </c>
      <c r="T95" s="520" t="str">
        <f>IF($B95="","",Cotations!CA80)</f>
        <v/>
      </c>
      <c r="U95" s="518" t="str">
        <f>IF($B95="","",(Calcul!AT80+Calcul!AL80)*T95)</f>
        <v/>
      </c>
      <c r="V95" s="520">
        <v>0</v>
      </c>
      <c r="W95" s="518" t="str">
        <f>IF($B95="","",Calcul!X80*V95)</f>
        <v/>
      </c>
      <c r="X95" s="524" t="str">
        <f t="shared" ref="X95:X101" si="6">IF($B95="","",M95+O95+Q95+S95+U95+W95)</f>
        <v/>
      </c>
    </row>
    <row r="96" spans="1:24" ht="24.95" hidden="1" customHeight="1">
      <c r="A96" s="11" t="str">
        <f>IF(Cotations!C81=FALSE,"",Cotations!D81)</f>
        <v/>
      </c>
      <c r="B96" s="11" t="str">
        <f>IF(Cotations!C81=FALSE,"",Cotations!F81)</f>
        <v/>
      </c>
      <c r="C96" s="11" t="str">
        <f>IF($B96="","",Detail!L81)</f>
        <v/>
      </c>
      <c r="D96" s="11" t="str">
        <f>IF($B96="","",Cotations!H81)</f>
        <v/>
      </c>
      <c r="E96" s="17" t="str">
        <f>IF($B96="","",Cotations!O81)</f>
        <v/>
      </c>
      <c r="F96" s="17" t="str">
        <f>IF($B96="","",Cotations!M81)</f>
        <v/>
      </c>
      <c r="G96" s="17" t="str">
        <f>IF($B96="","",Cotations!T81)</f>
        <v/>
      </c>
      <c r="H96" s="17" t="str">
        <f>IF($B96="","",Calcul!X81)</f>
        <v/>
      </c>
      <c r="I96" s="11" t="str">
        <f>IF($B96="","",Calcul!EE81)</f>
        <v/>
      </c>
      <c r="J96" s="11" t="str">
        <f>IF($B96="","",Calcul!IE81)</f>
        <v/>
      </c>
      <c r="K96" s="16" t="str">
        <f>IF($B96="","",Calcul!AH81)</f>
        <v/>
      </c>
      <c r="L96" s="520" t="str">
        <f>IF($B96="","",IF(ALLTHESAME=TRUE,Cotations!$AP$4,Cotations!AP81))</f>
        <v/>
      </c>
      <c r="M96" s="518" t="str">
        <f>IF($B96="","",(Calcul!AJ81+Calcul!AQ81)*L96)</f>
        <v/>
      </c>
      <c r="N96" s="520" t="str">
        <f>IF($B96="","",IF(ALLTHESAME=TRUE,Cotations!$BZ$4,Cotations!BZ81))</f>
        <v/>
      </c>
      <c r="O96" s="518" t="str">
        <f>IF($B96="","",IF(Cotations!$BA$6=0,((Calcul!AK81)*N96),Cotations!$Y$4*E96))</f>
        <v/>
      </c>
      <c r="P96" s="520">
        <v>0</v>
      </c>
      <c r="Q96" s="518" t="str">
        <f>IF($B96="","",Calcul!X81*P96)</f>
        <v/>
      </c>
      <c r="R96" s="520" t="str">
        <f t="shared" si="5"/>
        <v/>
      </c>
      <c r="S96" s="518" t="str">
        <f>IF($B96="","",((Calcul!AS81*R96)+Calcul!AL81)*R96)</f>
        <v/>
      </c>
      <c r="T96" s="520" t="str">
        <f>IF($B96="","",Cotations!CA81)</f>
        <v/>
      </c>
      <c r="U96" s="518" t="str">
        <f>IF($B96="","",(Calcul!AT81+Calcul!AL81)*T96)</f>
        <v/>
      </c>
      <c r="V96" s="520">
        <v>0</v>
      </c>
      <c r="W96" s="518" t="str">
        <f>IF($B96="","",Calcul!X81*V96)</f>
        <v/>
      </c>
      <c r="X96" s="524" t="str">
        <f t="shared" si="6"/>
        <v/>
      </c>
    </row>
    <row r="97" spans="1:24" ht="24.95" hidden="1" customHeight="1">
      <c r="A97" s="11" t="str">
        <f>IF(Cotations!C82=FALSE,"",Cotations!D82)</f>
        <v/>
      </c>
      <c r="B97" s="11" t="str">
        <f>IF(Cotations!C82=FALSE,"",Cotations!F82)</f>
        <v/>
      </c>
      <c r="C97" s="11" t="str">
        <f>IF($B97="","",Detail!L82)</f>
        <v/>
      </c>
      <c r="D97" s="11" t="str">
        <f>IF($B97="","",Cotations!H82)</f>
        <v/>
      </c>
      <c r="E97" s="17" t="str">
        <f>IF($B97="","",Cotations!O82)</f>
        <v/>
      </c>
      <c r="F97" s="17" t="str">
        <f>IF($B97="","",Cotations!M82)</f>
        <v/>
      </c>
      <c r="G97" s="17" t="str">
        <f>IF($B97="","",Cotations!T82)</f>
        <v/>
      </c>
      <c r="H97" s="17" t="str">
        <f>IF($B97="","",Calcul!X82)</f>
        <v/>
      </c>
      <c r="I97" s="11" t="str">
        <f>IF($B97="","",Calcul!EE82)</f>
        <v/>
      </c>
      <c r="J97" s="11" t="str">
        <f>IF($B97="","",Calcul!IE82)</f>
        <v/>
      </c>
      <c r="K97" s="16" t="str">
        <f>IF($B97="","",Calcul!AH82)</f>
        <v/>
      </c>
      <c r="L97" s="520" t="str">
        <f>IF($B97="","",IF(ALLTHESAME=TRUE,Cotations!$AP$4,Cotations!AP82))</f>
        <v/>
      </c>
      <c r="M97" s="518" t="str">
        <f>IF($B97="","",(Calcul!AJ82+Calcul!AQ82)*L97)</f>
        <v/>
      </c>
      <c r="N97" s="520" t="str">
        <f>IF($B97="","",IF(ALLTHESAME=TRUE,Cotations!$BZ$4,Cotations!BZ82))</f>
        <v/>
      </c>
      <c r="O97" s="518" t="str">
        <f>IF($B97="","",IF(Cotations!$BA$6=0,((Calcul!AK82)*N97),Cotations!$Y$4*E97))</f>
        <v/>
      </c>
      <c r="P97" s="520">
        <v>0</v>
      </c>
      <c r="Q97" s="518" t="str">
        <f>IF($B97="","",Calcul!X82*P97)</f>
        <v/>
      </c>
      <c r="R97" s="520" t="str">
        <f t="shared" ref="R97:R99" si="7">IF($B97="","",100%-L97)</f>
        <v/>
      </c>
      <c r="S97" s="518" t="str">
        <f>IF($B97="","",((Calcul!AS82*R97)+Calcul!AL82)*R97)</f>
        <v/>
      </c>
      <c r="T97" s="520" t="str">
        <f>IF($B97="","",Cotations!CA82)</f>
        <v/>
      </c>
      <c r="U97" s="518" t="str">
        <f>IF($B97="","",(Calcul!AT82+Calcul!AL82)*T97)</f>
        <v/>
      </c>
      <c r="V97" s="520">
        <v>0</v>
      </c>
      <c r="W97" s="518" t="str">
        <f>IF($B97="","",Calcul!X82*V97)</f>
        <v/>
      </c>
      <c r="X97" s="524" t="str">
        <f t="shared" si="6"/>
        <v/>
      </c>
    </row>
    <row r="98" spans="1:24" ht="24.95" hidden="1" customHeight="1">
      <c r="A98" s="11" t="str">
        <f>IF(Cotations!C83=FALSE,"",Cotations!D83)</f>
        <v/>
      </c>
      <c r="B98" s="11" t="str">
        <f>IF(Cotations!C83=FALSE,"",Cotations!F83)</f>
        <v/>
      </c>
      <c r="C98" s="11" t="str">
        <f>IF($B98="","",Detail!L83)</f>
        <v/>
      </c>
      <c r="D98" s="11" t="str">
        <f>IF($B98="","",Cotations!H83)</f>
        <v/>
      </c>
      <c r="E98" s="17" t="str">
        <f>IF($B98="","",Cotations!O83)</f>
        <v/>
      </c>
      <c r="F98" s="17" t="str">
        <f>IF($B98="","",Cotations!M83)</f>
        <v/>
      </c>
      <c r="G98" s="17" t="str">
        <f>IF($B98="","",Cotations!T83)</f>
        <v/>
      </c>
      <c r="H98" s="17" t="str">
        <f>IF($B98="","",Calcul!X83)</f>
        <v/>
      </c>
      <c r="I98" s="11" t="str">
        <f>IF($B98="","",Calcul!EE83)</f>
        <v/>
      </c>
      <c r="J98" s="11" t="str">
        <f>IF($B98="","",Calcul!IE83)</f>
        <v/>
      </c>
      <c r="K98" s="16" t="str">
        <f>IF($B98="","",Calcul!AH83)</f>
        <v/>
      </c>
      <c r="L98" s="520" t="str">
        <f>IF($B98="","",IF(ALLTHESAME=TRUE,Cotations!$AP$4,Cotations!AP83))</f>
        <v/>
      </c>
      <c r="M98" s="518" t="str">
        <f>IF($B98="","",(Calcul!AJ83+Calcul!AQ83)*L98)</f>
        <v/>
      </c>
      <c r="N98" s="520" t="str">
        <f>IF($B98="","",IF(ALLTHESAME=TRUE,Cotations!$BZ$4,Cotations!BZ83))</f>
        <v/>
      </c>
      <c r="O98" s="518" t="str">
        <f>IF($B98="","",IF(Cotations!$BA$6=0,((Calcul!AK83)*N98),Cotations!$Y$4*E98))</f>
        <v/>
      </c>
      <c r="P98" s="520">
        <v>0</v>
      </c>
      <c r="Q98" s="518" t="str">
        <f>IF($B98="","",Calcul!X83*P98)</f>
        <v/>
      </c>
      <c r="R98" s="520" t="str">
        <f t="shared" si="7"/>
        <v/>
      </c>
      <c r="S98" s="518" t="str">
        <f>IF($B98="","",((Calcul!AS83*R98)+Calcul!AL83)*R98)</f>
        <v/>
      </c>
      <c r="T98" s="520" t="str">
        <f>IF($B98="","",Cotations!CA83)</f>
        <v/>
      </c>
      <c r="U98" s="518" t="str">
        <f>IF($B98="","",(Calcul!AT83+Calcul!AL83)*T98)</f>
        <v/>
      </c>
      <c r="V98" s="520">
        <v>0</v>
      </c>
      <c r="W98" s="518" t="str">
        <f>IF($B98="","",Calcul!X83*V98)</f>
        <v/>
      </c>
      <c r="X98" s="524" t="str">
        <f t="shared" si="6"/>
        <v/>
      </c>
    </row>
    <row r="99" spans="1:24" ht="24.95" hidden="1" customHeight="1">
      <c r="A99" s="11" t="str">
        <f>IF(Cotations!C84=FALSE,"",Cotations!D84)</f>
        <v/>
      </c>
      <c r="B99" s="11" t="str">
        <f>IF(Cotations!C84=FALSE,"",Cotations!F84)</f>
        <v/>
      </c>
      <c r="C99" s="11" t="str">
        <f>IF($B99="","",Detail!L84)</f>
        <v/>
      </c>
      <c r="D99" s="11" t="str">
        <f>IF($B99="","",Cotations!H84)</f>
        <v/>
      </c>
      <c r="E99" s="17" t="str">
        <f>IF($B99="","",Cotations!O84)</f>
        <v/>
      </c>
      <c r="F99" s="17" t="str">
        <f>IF($B99="","",Cotations!M84)</f>
        <v/>
      </c>
      <c r="G99" s="17" t="str">
        <f>IF($B99="","",Cotations!T84)</f>
        <v/>
      </c>
      <c r="H99" s="17" t="str">
        <f>IF($B99="","",Calcul!X84)</f>
        <v/>
      </c>
      <c r="I99" s="11" t="str">
        <f>IF($B99="","",Calcul!EE84)</f>
        <v/>
      </c>
      <c r="J99" s="11" t="str">
        <f>IF($B99="","",Calcul!IE84)</f>
        <v/>
      </c>
      <c r="K99" s="16" t="str">
        <f>IF($B99="","",Calcul!AH84)</f>
        <v/>
      </c>
      <c r="L99" s="520" t="str">
        <f>IF($B99="","",IF(ALLTHESAME=TRUE,Cotations!$AP$4,Cotations!AP84))</f>
        <v/>
      </c>
      <c r="M99" s="518" t="str">
        <f>IF($B99="","",(Calcul!AJ84+Calcul!AQ84)*L99)</f>
        <v/>
      </c>
      <c r="N99" s="520" t="str">
        <f>IF($B99="","",IF(ALLTHESAME=TRUE,Cotations!$BZ$4,Cotations!BZ84))</f>
        <v/>
      </c>
      <c r="O99" s="518" t="str">
        <f>IF($B99="","",IF(Cotations!$BA$6=0,((Calcul!AK84)*N99),Cotations!$Y$4*E99))</f>
        <v/>
      </c>
      <c r="P99" s="520">
        <v>0</v>
      </c>
      <c r="Q99" s="518" t="str">
        <f>IF($B99="","",Calcul!X84*P99)</f>
        <v/>
      </c>
      <c r="R99" s="520" t="str">
        <f t="shared" si="7"/>
        <v/>
      </c>
      <c r="S99" s="518" t="str">
        <f>IF($B99="","",((Calcul!AS84*R99)+Calcul!AL84)*R99)</f>
        <v/>
      </c>
      <c r="T99" s="520" t="str">
        <f>IF($B99="","",Cotations!CA84)</f>
        <v/>
      </c>
      <c r="U99" s="518" t="str">
        <f>IF($B99="","",(Calcul!AT84+Calcul!AL84)*T99)</f>
        <v/>
      </c>
      <c r="V99" s="520">
        <v>0</v>
      </c>
      <c r="W99" s="518" t="str">
        <f>IF($B99="","",Calcul!X84*V99)</f>
        <v/>
      </c>
      <c r="X99" s="524" t="str">
        <f t="shared" si="6"/>
        <v/>
      </c>
    </row>
    <row r="100" spans="1:24" ht="24.95" hidden="1" customHeight="1">
      <c r="A100" s="11" t="str">
        <f>IF(Cotations!C85=FALSE,"",Cotations!D85)</f>
        <v/>
      </c>
      <c r="B100" s="11" t="str">
        <f>IF(Cotations!C85=FALSE,"",Cotations!F85)</f>
        <v/>
      </c>
      <c r="C100" s="11" t="str">
        <f>IF($B100="","",Detail!L85)</f>
        <v/>
      </c>
      <c r="D100" s="11" t="str">
        <f>IF($B100="","",Cotations!H85)</f>
        <v/>
      </c>
      <c r="E100" s="17" t="str">
        <f>IF($B100="","",Cotations!O85)</f>
        <v/>
      </c>
      <c r="F100" s="17" t="str">
        <f>IF($B100="","",Cotations!M85)</f>
        <v/>
      </c>
      <c r="G100" s="17" t="str">
        <f>IF($B100="","",Cotations!T85)</f>
        <v/>
      </c>
      <c r="H100" s="17" t="str">
        <f>IF($B100="","",Calcul!X85)</f>
        <v/>
      </c>
      <c r="I100" s="11" t="str">
        <f>IF($B100="","",Calcul!EE85)</f>
        <v/>
      </c>
      <c r="J100" s="11" t="str">
        <f>IF($B100="","",Calcul!IE85)</f>
        <v/>
      </c>
      <c r="K100" s="16" t="str">
        <f>IF($B100="","",Calcul!AH85)</f>
        <v/>
      </c>
      <c r="L100" s="520" t="str">
        <f>IF($B100="","",IF(ALLTHESAME=TRUE,Cotations!$AP$4,Cotations!AP85))</f>
        <v/>
      </c>
      <c r="M100" s="518" t="str">
        <f>IF($B100="","",(Calcul!AJ85+Calcul!AQ85)*L100)</f>
        <v/>
      </c>
      <c r="N100" s="520" t="str">
        <f>IF($B100="","",IF(ALLTHESAME=TRUE,Cotations!$BZ$4,Cotations!BZ85))</f>
        <v/>
      </c>
      <c r="O100" s="518" t="str">
        <f>IF($B100="","",IF(Cotations!$BA$6=0,((Calcul!AK85)*N100),Cotations!$Y$4*E100))</f>
        <v/>
      </c>
      <c r="P100" s="520">
        <v>0</v>
      </c>
      <c r="Q100" s="518" t="str">
        <f>IF($B100="","",Calcul!X85*P100)</f>
        <v/>
      </c>
      <c r="R100" s="520" t="str">
        <f t="shared" ref="R100:R101" si="8">IF($B100="","",100%-L100)</f>
        <v/>
      </c>
      <c r="S100" s="518" t="str">
        <f>IF($B100="","",((Calcul!AS85*R100)+Calcul!AL85)*R100)</f>
        <v/>
      </c>
      <c r="T100" s="520" t="str">
        <f>IF($B100="","",Cotations!CA85)</f>
        <v/>
      </c>
      <c r="U100" s="518" t="str">
        <f>IF($B100="","",(Calcul!AT85+Calcul!AL85)*T100)</f>
        <v/>
      </c>
      <c r="V100" s="520">
        <v>0</v>
      </c>
      <c r="W100" s="518" t="str">
        <f>IF($B100="","",Calcul!X85*V100)</f>
        <v/>
      </c>
      <c r="X100" s="524" t="str">
        <f t="shared" si="6"/>
        <v/>
      </c>
    </row>
    <row r="101" spans="1:24" ht="24.95" hidden="1" customHeight="1">
      <c r="A101" s="11" t="str">
        <f>IF(Cotations!C86=FALSE,"",Cotations!D86)</f>
        <v/>
      </c>
      <c r="B101" s="11" t="str">
        <f>IF(Cotations!C86=FALSE,"",Cotations!F86)</f>
        <v/>
      </c>
      <c r="C101" s="11" t="str">
        <f>IF($B101="","",Detail!L86)</f>
        <v/>
      </c>
      <c r="D101" s="11" t="str">
        <f>IF($B101="","",Cotations!H86)</f>
        <v/>
      </c>
      <c r="E101" s="17" t="str">
        <f>IF($B101="","",Cotations!O86)</f>
        <v/>
      </c>
      <c r="F101" s="17" t="str">
        <f>IF($B101="","",Cotations!M86)</f>
        <v/>
      </c>
      <c r="G101" s="17" t="str">
        <f>IF($B101="","",Cotations!T86)</f>
        <v/>
      </c>
      <c r="H101" s="17" t="str">
        <f>IF($B101="","",Calcul!X86)</f>
        <v/>
      </c>
      <c r="I101" s="11" t="str">
        <f>IF($B101="","",Calcul!EE86)</f>
        <v/>
      </c>
      <c r="J101" s="11" t="str">
        <f>IF($B101="","",Calcul!IE86)</f>
        <v/>
      </c>
      <c r="K101" s="16" t="str">
        <f>IF($B101="","",Calcul!AH86)</f>
        <v/>
      </c>
      <c r="L101" s="520" t="str">
        <f>IF($B101="","",IF(ALLTHESAME=TRUE,Cotations!$AP$4,Cotations!AP86))</f>
        <v/>
      </c>
      <c r="M101" s="518" t="str">
        <f>IF($B101="","",(Calcul!AJ86+Calcul!AQ86)*L101)</f>
        <v/>
      </c>
      <c r="N101" s="520" t="str">
        <f>IF($B101="","",IF(ALLTHESAME=TRUE,Cotations!$BZ$4,Cotations!BZ86))</f>
        <v/>
      </c>
      <c r="O101" s="518" t="str">
        <f>IF($B101="","",IF(Cotations!$BA$6=0,((Calcul!AK86)*N101),Cotations!$Y$4*E101))</f>
        <v/>
      </c>
      <c r="P101" s="520">
        <v>0</v>
      </c>
      <c r="Q101" s="518" t="str">
        <f>IF($B101="","",Calcul!X86*P101)</f>
        <v/>
      </c>
      <c r="R101" s="520" t="str">
        <f t="shared" si="8"/>
        <v/>
      </c>
      <c r="S101" s="518" t="str">
        <f>IF($B101="","",((Calcul!AS86*R101)+Calcul!AL86)*R101)</f>
        <v/>
      </c>
      <c r="T101" s="520" t="str">
        <f>IF($B101="","",Cotations!CA86)</f>
        <v/>
      </c>
      <c r="U101" s="518" t="str">
        <f>IF($B101="","",(Calcul!AT86+Calcul!AL86)*T101)</f>
        <v/>
      </c>
      <c r="V101" s="520">
        <v>0</v>
      </c>
      <c r="W101" s="518" t="str">
        <f>IF($B101="","",Calcul!X86*V101)</f>
        <v/>
      </c>
      <c r="X101" s="524" t="str">
        <f t="shared" si="6"/>
        <v/>
      </c>
    </row>
    <row r="102" spans="1:24" ht="24.95" hidden="1" customHeight="1">
      <c r="A102" s="11" t="str">
        <f>IF(Cotations!C87=FALSE,"",Cotations!D87)</f>
        <v/>
      </c>
      <c r="B102" s="11" t="str">
        <f>IF(Cotations!C87=FALSE,"",Cotations!F87)</f>
        <v/>
      </c>
      <c r="C102" s="11" t="str">
        <f>IF($B102="","",Detail!L87)</f>
        <v/>
      </c>
      <c r="D102" s="11" t="str">
        <f>IF($B102="","",Cotations!H87)</f>
        <v/>
      </c>
      <c r="E102" s="17" t="str">
        <f>IF($B102="","",Cotations!O87)</f>
        <v/>
      </c>
      <c r="F102" s="17" t="str">
        <f>IF($B102="","",Cotations!M87)</f>
        <v/>
      </c>
      <c r="G102" s="17" t="str">
        <f>IF($B102="","",Cotations!T87)</f>
        <v/>
      </c>
      <c r="H102" s="17" t="str">
        <f>IF($B102="","",Calcul!X87)</f>
        <v/>
      </c>
      <c r="I102" s="11" t="str">
        <f>IF($B102="","",Calcul!EE87)</f>
        <v/>
      </c>
      <c r="J102" s="11" t="str">
        <f>IF($B102="","",Calcul!IE87)</f>
        <v/>
      </c>
      <c r="K102" s="16" t="str">
        <f>IF($B102="","",Calcul!AH87)</f>
        <v/>
      </c>
      <c r="L102" s="520" t="str">
        <f>IF($B102="","",IF(ALLTHESAME=TRUE,Cotations!$AP$4,Cotations!AP87))</f>
        <v/>
      </c>
      <c r="M102" s="518" t="str">
        <f>IF($B102="","",(Calcul!AJ87+Calcul!AQ87)*L102)</f>
        <v/>
      </c>
      <c r="N102" s="520" t="str">
        <f>IF($B102="","",IF(ALLTHESAME=TRUE,Cotations!$BZ$4,Cotations!BZ87))</f>
        <v/>
      </c>
      <c r="O102" s="518" t="str">
        <f>IF($B102="","",IF(Cotations!$BA$6=0,((Calcul!AK87)*N102),Cotations!$Y$4*E102))</f>
        <v/>
      </c>
      <c r="P102" s="520">
        <v>0</v>
      </c>
      <c r="Q102" s="518" t="str">
        <f>IF($B102="","",Calcul!X87*P102)</f>
        <v/>
      </c>
      <c r="R102" s="520" t="str">
        <f t="shared" ref="R102:R119" si="9">IF($B102="","",100%-L102)</f>
        <v/>
      </c>
      <c r="S102" s="518" t="str">
        <f>IF($B102="","",((Calcul!AS87*R102)+Calcul!AL87)*R102)</f>
        <v/>
      </c>
      <c r="T102" s="520" t="str">
        <f>IF($B102="","",Cotations!CA87)</f>
        <v/>
      </c>
      <c r="U102" s="518" t="str">
        <f>IF($B102="","",(Calcul!AT87+Calcul!AL87)*T102)</f>
        <v/>
      </c>
      <c r="V102" s="520">
        <v>0</v>
      </c>
      <c r="W102" s="518" t="str">
        <f>IF($B102="","",Calcul!X87*V102)</f>
        <v/>
      </c>
      <c r="X102" s="524" t="str">
        <f t="shared" ref="X102:X119" si="10">IF($B102="","",M102+O102+Q102+S102+U102+W102)</f>
        <v/>
      </c>
    </row>
    <row r="103" spans="1:24" ht="24.95" hidden="1" customHeight="1">
      <c r="A103" s="11" t="str">
        <f>IF(Cotations!C88=FALSE,"",Cotations!D88)</f>
        <v/>
      </c>
      <c r="B103" s="11" t="str">
        <f>IF(Cotations!C88=FALSE,"",Cotations!F88)</f>
        <v/>
      </c>
      <c r="C103" s="11" t="str">
        <f>IF($B103="","",Detail!L88)</f>
        <v/>
      </c>
      <c r="D103" s="11" t="str">
        <f>IF($B103="","",Cotations!H88)</f>
        <v/>
      </c>
      <c r="E103" s="17" t="str">
        <f>IF($B103="","",Cotations!O88)</f>
        <v/>
      </c>
      <c r="F103" s="17" t="str">
        <f>IF($B103="","",Cotations!M88)</f>
        <v/>
      </c>
      <c r="G103" s="17" t="str">
        <f>IF($B103="","",Cotations!T88)</f>
        <v/>
      </c>
      <c r="H103" s="17" t="str">
        <f>IF($B103="","",Calcul!X88)</f>
        <v/>
      </c>
      <c r="I103" s="11" t="str">
        <f>IF($B103="","",Calcul!EE88)</f>
        <v/>
      </c>
      <c r="J103" s="11" t="str">
        <f>IF($B103="","",Calcul!IE88)</f>
        <v/>
      </c>
      <c r="K103" s="16" t="str">
        <f>IF($B103="","",Calcul!AH88)</f>
        <v/>
      </c>
      <c r="L103" s="520" t="str">
        <f>IF($B103="","",IF(ALLTHESAME=TRUE,Cotations!$AP$4,Cotations!AP88))</f>
        <v/>
      </c>
      <c r="M103" s="518" t="str">
        <f>IF($B103="","",(Calcul!AJ88+Calcul!AQ88)*L103)</f>
        <v/>
      </c>
      <c r="N103" s="520" t="str">
        <f>IF($B103="","",IF(ALLTHESAME=TRUE,Cotations!$BZ$4,Cotations!BZ88))</f>
        <v/>
      </c>
      <c r="O103" s="518" t="str">
        <f>IF($B103="","",IF(Cotations!$BA$6=0,((Calcul!AK88)*N103),Cotations!$Y$4*E103))</f>
        <v/>
      </c>
      <c r="P103" s="520">
        <v>0</v>
      </c>
      <c r="Q103" s="518" t="str">
        <f>IF($B103="","",Calcul!X88*P103)</f>
        <v/>
      </c>
      <c r="R103" s="520" t="str">
        <f t="shared" si="9"/>
        <v/>
      </c>
      <c r="S103" s="518" t="str">
        <f>IF($B103="","",((Calcul!AS88*R103)+Calcul!AL88)*R103)</f>
        <v/>
      </c>
      <c r="T103" s="520" t="str">
        <f>IF($B103="","",Cotations!CA88)</f>
        <v/>
      </c>
      <c r="U103" s="518" t="str">
        <f>IF($B103="","",(Calcul!AT88+Calcul!AL88)*T103)</f>
        <v/>
      </c>
      <c r="V103" s="520">
        <v>0</v>
      </c>
      <c r="W103" s="518" t="str">
        <f>IF($B103="","",Calcul!X88*V103)</f>
        <v/>
      </c>
      <c r="X103" s="524" t="str">
        <f t="shared" si="10"/>
        <v/>
      </c>
    </row>
    <row r="104" spans="1:24" ht="24.95" hidden="1" customHeight="1">
      <c r="A104" s="11" t="str">
        <f>IF(Cotations!C89=FALSE,"",Cotations!D89)</f>
        <v/>
      </c>
      <c r="B104" s="11" t="str">
        <f>IF(Cotations!C89=FALSE,"",Cotations!F89)</f>
        <v/>
      </c>
      <c r="C104" s="11" t="str">
        <f>IF($B104="","",Detail!L89)</f>
        <v/>
      </c>
      <c r="D104" s="11" t="str">
        <f>IF($B104="","",Cotations!H89)</f>
        <v/>
      </c>
      <c r="E104" s="17" t="str">
        <f>IF($B104="","",Cotations!O89)</f>
        <v/>
      </c>
      <c r="F104" s="17" t="str">
        <f>IF($B104="","",Cotations!M89)</f>
        <v/>
      </c>
      <c r="G104" s="17" t="str">
        <f>IF($B104="","",Cotations!T89)</f>
        <v/>
      </c>
      <c r="H104" s="17" t="str">
        <f>IF($B104="","",Calcul!X89)</f>
        <v/>
      </c>
      <c r="I104" s="11" t="str">
        <f>IF($B104="","",Calcul!EE89)</f>
        <v/>
      </c>
      <c r="J104" s="11" t="str">
        <f>IF($B104="","",Calcul!IE89)</f>
        <v/>
      </c>
      <c r="K104" s="16" t="str">
        <f>IF($B104="","",Calcul!AH89)</f>
        <v/>
      </c>
      <c r="L104" s="520" t="str">
        <f>IF($B104="","",IF(ALLTHESAME=TRUE,Cotations!$AP$4,Cotations!AP89))</f>
        <v/>
      </c>
      <c r="M104" s="518" t="str">
        <f>IF($B104="","",(Calcul!AJ89+Calcul!AQ89)*L104)</f>
        <v/>
      </c>
      <c r="N104" s="520" t="str">
        <f>IF($B104="","",IF(ALLTHESAME=TRUE,Cotations!$BZ$4,Cotations!BZ89))</f>
        <v/>
      </c>
      <c r="O104" s="518" t="str">
        <f>IF($B104="","",IF(Cotations!$BA$6=0,((Calcul!AK89)*N104),Cotations!$Y$4*E104))</f>
        <v/>
      </c>
      <c r="P104" s="520">
        <v>0</v>
      </c>
      <c r="Q104" s="518" t="str">
        <f>IF($B104="","",Calcul!X89*P104)</f>
        <v/>
      </c>
      <c r="R104" s="520" t="str">
        <f t="shared" si="9"/>
        <v/>
      </c>
      <c r="S104" s="518" t="str">
        <f>IF($B104="","",((Calcul!AS89*R104)+Calcul!AL89)*R104)</f>
        <v/>
      </c>
      <c r="T104" s="520" t="str">
        <f>IF($B104="","",Cotations!CA89)</f>
        <v/>
      </c>
      <c r="U104" s="518" t="str">
        <f>IF($B104="","",(Calcul!AT89+Calcul!AL89)*T104)</f>
        <v/>
      </c>
      <c r="V104" s="520">
        <v>0</v>
      </c>
      <c r="W104" s="518" t="str">
        <f>IF($B104="","",Calcul!X89*V104)</f>
        <v/>
      </c>
      <c r="X104" s="524" t="str">
        <f t="shared" si="10"/>
        <v/>
      </c>
    </row>
    <row r="105" spans="1:24" ht="24.95" hidden="1" customHeight="1">
      <c r="A105" s="11" t="str">
        <f>IF(Cotations!C90=FALSE,"",Cotations!D90)</f>
        <v/>
      </c>
      <c r="B105" s="11" t="str">
        <f>IF(Cotations!C90=FALSE,"",Cotations!F90)</f>
        <v/>
      </c>
      <c r="C105" s="11" t="str">
        <f>IF($B105="","",Detail!L90)</f>
        <v/>
      </c>
      <c r="D105" s="11" t="str">
        <f>IF($B105="","",Cotations!H90)</f>
        <v/>
      </c>
      <c r="E105" s="17" t="str">
        <f>IF($B105="","",Cotations!O90)</f>
        <v/>
      </c>
      <c r="F105" s="17" t="str">
        <f>IF($B105="","",Cotations!M90)</f>
        <v/>
      </c>
      <c r="G105" s="17" t="str">
        <f>IF($B105="","",Cotations!T90)</f>
        <v/>
      </c>
      <c r="H105" s="17" t="str">
        <f>IF($B105="","",Calcul!X90)</f>
        <v/>
      </c>
      <c r="I105" s="11" t="str">
        <f>IF($B105="","",Calcul!EE90)</f>
        <v/>
      </c>
      <c r="J105" s="11" t="str">
        <f>IF($B105="","",Calcul!IE90)</f>
        <v/>
      </c>
      <c r="K105" s="16" t="str">
        <f>IF($B105="","",Calcul!AH90)</f>
        <v/>
      </c>
      <c r="L105" s="520" t="str">
        <f>IF($B105="","",IF(ALLTHESAME=TRUE,Cotations!$AP$4,Cotations!AP90))</f>
        <v/>
      </c>
      <c r="M105" s="518" t="str">
        <f>IF($B105="","",(Calcul!AJ90+Calcul!AQ90)*L105)</f>
        <v/>
      </c>
      <c r="N105" s="520" t="str">
        <f>IF($B105="","",IF(ALLTHESAME=TRUE,Cotations!$BZ$4,Cotations!BZ90))</f>
        <v/>
      </c>
      <c r="O105" s="518" t="str">
        <f>IF($B105="","",IF(Cotations!$BA$6=0,((Calcul!AK90)*N105),Cotations!$Y$4*E105))</f>
        <v/>
      </c>
      <c r="P105" s="520">
        <v>0</v>
      </c>
      <c r="Q105" s="518" t="str">
        <f>IF($B105="","",Calcul!X90*P105)</f>
        <v/>
      </c>
      <c r="R105" s="520" t="str">
        <f t="shared" si="9"/>
        <v/>
      </c>
      <c r="S105" s="518" t="str">
        <f>IF($B105="","",((Calcul!AS90*R105)+Calcul!AL90)*R105)</f>
        <v/>
      </c>
      <c r="T105" s="520" t="str">
        <f>IF($B105="","",Cotations!CA90)</f>
        <v/>
      </c>
      <c r="U105" s="518" t="str">
        <f>IF($B105="","",(Calcul!AT90+Calcul!AL90)*T105)</f>
        <v/>
      </c>
      <c r="V105" s="520">
        <v>0</v>
      </c>
      <c r="W105" s="518" t="str">
        <f>IF($B105="","",Calcul!X90*V105)</f>
        <v/>
      </c>
      <c r="X105" s="524" t="str">
        <f t="shared" si="10"/>
        <v/>
      </c>
    </row>
    <row r="106" spans="1:24" ht="24.95" hidden="1" customHeight="1">
      <c r="A106" s="11" t="str">
        <f>IF(Cotations!C91=FALSE,"",Cotations!D91)</f>
        <v/>
      </c>
      <c r="B106" s="11" t="str">
        <f>IF(Cotations!C91=FALSE,"",Cotations!F91)</f>
        <v/>
      </c>
      <c r="C106" s="11" t="str">
        <f>IF($B106="","",Detail!L91)</f>
        <v/>
      </c>
      <c r="D106" s="11" t="str">
        <f>IF($B106="","",Cotations!H91)</f>
        <v/>
      </c>
      <c r="E106" s="17" t="str">
        <f>IF($B106="","",Cotations!O91)</f>
        <v/>
      </c>
      <c r="F106" s="17" t="str">
        <f>IF($B106="","",Cotations!M91)</f>
        <v/>
      </c>
      <c r="G106" s="17" t="str">
        <f>IF($B106="","",Cotations!T91)</f>
        <v/>
      </c>
      <c r="H106" s="17" t="str">
        <f>IF($B106="","",Calcul!X91)</f>
        <v/>
      </c>
      <c r="I106" s="11" t="str">
        <f>IF($B106="","",Calcul!EE91)</f>
        <v/>
      </c>
      <c r="J106" s="11" t="str">
        <f>IF($B106="","",Calcul!IE91)</f>
        <v/>
      </c>
      <c r="K106" s="16" t="str">
        <f>IF($B106="","",Calcul!AH91)</f>
        <v/>
      </c>
      <c r="L106" s="520" t="str">
        <f>IF($B106="","",IF(ALLTHESAME=TRUE,Cotations!$AP$4,Cotations!AP91))</f>
        <v/>
      </c>
      <c r="M106" s="518" t="str">
        <f>IF($B106="","",(Calcul!AJ91+Calcul!AQ91)*L106)</f>
        <v/>
      </c>
      <c r="N106" s="520" t="str">
        <f>IF($B106="","",IF(ALLTHESAME=TRUE,Cotations!$BZ$4,Cotations!BZ91))</f>
        <v/>
      </c>
      <c r="O106" s="518" t="str">
        <f>IF($B106="","",IF(Cotations!$BA$6=0,((Calcul!AK91)*N106),Cotations!$Y$4*E106))</f>
        <v/>
      </c>
      <c r="P106" s="520">
        <v>0</v>
      </c>
      <c r="Q106" s="518" t="str">
        <f>IF($B106="","",Calcul!X91*P106)</f>
        <v/>
      </c>
      <c r="R106" s="520" t="str">
        <f t="shared" si="9"/>
        <v/>
      </c>
      <c r="S106" s="518" t="str">
        <f>IF($B106="","",((Calcul!AS91*R106)+Calcul!AL91)*R106)</f>
        <v/>
      </c>
      <c r="T106" s="520" t="str">
        <f>IF($B106="","",Cotations!CA91)</f>
        <v/>
      </c>
      <c r="U106" s="518" t="str">
        <f>IF($B106="","",(Calcul!AT91+Calcul!AL91)*T106)</f>
        <v/>
      </c>
      <c r="V106" s="520">
        <v>0</v>
      </c>
      <c r="W106" s="518" t="str">
        <f>IF($B106="","",Calcul!X91*V106)</f>
        <v/>
      </c>
      <c r="X106" s="524" t="str">
        <f t="shared" si="10"/>
        <v/>
      </c>
    </row>
    <row r="107" spans="1:24" ht="24.95" hidden="1" customHeight="1">
      <c r="A107" s="11" t="str">
        <f>IF(Cotations!C92=FALSE,"",Cotations!D92)</f>
        <v/>
      </c>
      <c r="B107" s="11" t="str">
        <f>IF(Cotations!C92=FALSE,"",Cotations!F92)</f>
        <v/>
      </c>
      <c r="C107" s="11" t="str">
        <f>IF($B107="","",Detail!L92)</f>
        <v/>
      </c>
      <c r="D107" s="11" t="str">
        <f>IF($B107="","",Cotations!H92)</f>
        <v/>
      </c>
      <c r="E107" s="17" t="str">
        <f>IF($B107="","",Cotations!O92)</f>
        <v/>
      </c>
      <c r="F107" s="17" t="str">
        <f>IF($B107="","",Cotations!M92)</f>
        <v/>
      </c>
      <c r="G107" s="17" t="str">
        <f>IF($B107="","",Cotations!T92)</f>
        <v/>
      </c>
      <c r="H107" s="17" t="str">
        <f>IF($B107="","",Calcul!X92)</f>
        <v/>
      </c>
      <c r="I107" s="11" t="str">
        <f>IF($B107="","",Calcul!EE92)</f>
        <v/>
      </c>
      <c r="J107" s="11" t="str">
        <f>IF($B107="","",Calcul!IE92)</f>
        <v/>
      </c>
      <c r="K107" s="16" t="str">
        <f>IF($B107="","",Calcul!AH92)</f>
        <v/>
      </c>
      <c r="L107" s="520" t="str">
        <f>IF($B107="","",IF(ALLTHESAME=TRUE,Cotations!$AP$4,Cotations!AP92))</f>
        <v/>
      </c>
      <c r="M107" s="518" t="str">
        <f>IF($B107="","",(Calcul!AJ92+Calcul!AQ92)*L107)</f>
        <v/>
      </c>
      <c r="N107" s="520" t="str">
        <f>IF($B107="","",IF(ALLTHESAME=TRUE,Cotations!$BZ$4,Cotations!BZ92))</f>
        <v/>
      </c>
      <c r="O107" s="518" t="str">
        <f>IF($B107="","",IF(Cotations!$BA$6=0,((Calcul!AK92)*N107),Cotations!$Y$4*E107))</f>
        <v/>
      </c>
      <c r="P107" s="520">
        <v>0</v>
      </c>
      <c r="Q107" s="518" t="str">
        <f>IF($B107="","",Calcul!X92*P107)</f>
        <v/>
      </c>
      <c r="R107" s="520" t="str">
        <f t="shared" si="9"/>
        <v/>
      </c>
      <c r="S107" s="518" t="str">
        <f>IF($B107="","",((Calcul!AS92*R107)+Calcul!AL92)*R107)</f>
        <v/>
      </c>
      <c r="T107" s="520" t="str">
        <f>IF($B107="","",Cotations!CA92)</f>
        <v/>
      </c>
      <c r="U107" s="518" t="str">
        <f>IF($B107="","",(Calcul!AT92+Calcul!AL92)*T107)</f>
        <v/>
      </c>
      <c r="V107" s="520">
        <v>0</v>
      </c>
      <c r="W107" s="518" t="str">
        <f>IF($B107="","",Calcul!X92*V107)</f>
        <v/>
      </c>
      <c r="X107" s="524" t="str">
        <f t="shared" si="10"/>
        <v/>
      </c>
    </row>
    <row r="108" spans="1:24" ht="24.95" hidden="1" customHeight="1">
      <c r="A108" s="11" t="str">
        <f>IF(Cotations!C93=FALSE,"",Cotations!D93)</f>
        <v/>
      </c>
      <c r="B108" s="11" t="str">
        <f>IF(Cotations!C93=FALSE,"",Cotations!F93)</f>
        <v/>
      </c>
      <c r="C108" s="11" t="str">
        <f>IF($B108="","",Detail!L93)</f>
        <v/>
      </c>
      <c r="D108" s="11" t="str">
        <f>IF($B108="","",Cotations!H93)</f>
        <v/>
      </c>
      <c r="E108" s="17" t="str">
        <f>IF($B108="","",Cotations!O93)</f>
        <v/>
      </c>
      <c r="F108" s="17" t="str">
        <f>IF($B108="","",Cotations!M93)</f>
        <v/>
      </c>
      <c r="G108" s="17" t="str">
        <f>IF($B108="","",Cotations!T93)</f>
        <v/>
      </c>
      <c r="H108" s="17" t="str">
        <f>IF($B108="","",Calcul!X93)</f>
        <v/>
      </c>
      <c r="I108" s="11" t="str">
        <f>IF($B108="","",Calcul!EE93)</f>
        <v/>
      </c>
      <c r="J108" s="11" t="str">
        <f>IF($B108="","",Calcul!IE93)</f>
        <v/>
      </c>
      <c r="K108" s="16" t="str">
        <f>IF($B108="","",Calcul!AH93)</f>
        <v/>
      </c>
      <c r="L108" s="520" t="str">
        <f>IF($B108="","",IF(ALLTHESAME=TRUE,Cotations!$AP$4,Cotations!AP93))</f>
        <v/>
      </c>
      <c r="M108" s="518" t="str">
        <f>IF($B108="","",(Calcul!AJ93+Calcul!AQ93)*L108)</f>
        <v/>
      </c>
      <c r="N108" s="520" t="str">
        <f>IF($B108="","",IF(ALLTHESAME=TRUE,Cotations!$BZ$4,Cotations!BZ93))</f>
        <v/>
      </c>
      <c r="O108" s="518" t="str">
        <f>IF($B108="","",IF(Cotations!$BA$6=0,((Calcul!AK93)*N108),Cotations!$Y$4*E108))</f>
        <v/>
      </c>
      <c r="P108" s="520">
        <v>0</v>
      </c>
      <c r="Q108" s="518" t="str">
        <f>IF($B108="","",Calcul!X93*P108)</f>
        <v/>
      </c>
      <c r="R108" s="520" t="str">
        <f t="shared" si="9"/>
        <v/>
      </c>
      <c r="S108" s="518" t="str">
        <f>IF($B108="","",((Calcul!AS93*R108)+Calcul!AL93)*R108)</f>
        <v/>
      </c>
      <c r="T108" s="520" t="str">
        <f>IF($B108="","",Cotations!CA93)</f>
        <v/>
      </c>
      <c r="U108" s="518" t="str">
        <f>IF($B108="","",(Calcul!AT93+Calcul!AL93)*T108)</f>
        <v/>
      </c>
      <c r="V108" s="520">
        <v>0</v>
      </c>
      <c r="W108" s="518" t="str">
        <f>IF($B108="","",Calcul!X93*V108)</f>
        <v/>
      </c>
      <c r="X108" s="524" t="str">
        <f t="shared" si="10"/>
        <v/>
      </c>
    </row>
    <row r="109" spans="1:24" ht="24.95" hidden="1" customHeight="1">
      <c r="A109" s="11" t="str">
        <f>IF(Cotations!C94=FALSE,"",Cotations!D94)</f>
        <v/>
      </c>
      <c r="B109" s="11" t="str">
        <f>IF(Cotations!C94=FALSE,"",Cotations!F94)</f>
        <v/>
      </c>
      <c r="C109" s="11" t="str">
        <f>IF($B109="","",Detail!L94)</f>
        <v/>
      </c>
      <c r="D109" s="11" t="str">
        <f>IF($B109="","",Cotations!H94)</f>
        <v/>
      </c>
      <c r="E109" s="17" t="str">
        <f>IF($B109="","",Cotations!O94)</f>
        <v/>
      </c>
      <c r="F109" s="17" t="str">
        <f>IF($B109="","",Cotations!M94)</f>
        <v/>
      </c>
      <c r="G109" s="17" t="str">
        <f>IF($B109="","",Cotations!T94)</f>
        <v/>
      </c>
      <c r="H109" s="17" t="str">
        <f>IF($B109="","",Calcul!X94)</f>
        <v/>
      </c>
      <c r="I109" s="11" t="str">
        <f>IF($B109="","",Calcul!EE94)</f>
        <v/>
      </c>
      <c r="J109" s="11" t="str">
        <f>IF($B109="","",Calcul!IE94)</f>
        <v/>
      </c>
      <c r="K109" s="16" t="str">
        <f>IF($B109="","",Calcul!AH94)</f>
        <v/>
      </c>
      <c r="L109" s="520" t="str">
        <f>IF($B109="","",IF(ALLTHESAME=TRUE,Cotations!$AP$4,Cotations!AP94))</f>
        <v/>
      </c>
      <c r="M109" s="518" t="str">
        <f>IF($B109="","",(Calcul!AJ94+Calcul!AQ94)*L109)</f>
        <v/>
      </c>
      <c r="N109" s="520" t="str">
        <f>IF($B109="","",IF(ALLTHESAME=TRUE,Cotations!$BZ$4,Cotations!BZ94))</f>
        <v/>
      </c>
      <c r="O109" s="518" t="str">
        <f>IF($B109="","",IF(Cotations!$BA$6=0,((Calcul!AK94)*N109),Cotations!$Y$4*E109))</f>
        <v/>
      </c>
      <c r="P109" s="520">
        <v>0</v>
      </c>
      <c r="Q109" s="518" t="str">
        <f>IF($B109="","",Calcul!X94*P109)</f>
        <v/>
      </c>
      <c r="R109" s="520" t="str">
        <f t="shared" si="9"/>
        <v/>
      </c>
      <c r="S109" s="518" t="str">
        <f>IF($B109="","",((Calcul!AS94*R109)+Calcul!AL94)*R109)</f>
        <v/>
      </c>
      <c r="T109" s="520" t="str">
        <f>IF($B109="","",Cotations!CA94)</f>
        <v/>
      </c>
      <c r="U109" s="518" t="str">
        <f>IF($B109="","",(Calcul!AT94+Calcul!AL94)*T109)</f>
        <v/>
      </c>
      <c r="V109" s="520">
        <v>0</v>
      </c>
      <c r="W109" s="518" t="str">
        <f>IF($B109="","",Calcul!X94*V109)</f>
        <v/>
      </c>
      <c r="X109" s="524" t="str">
        <f t="shared" si="10"/>
        <v/>
      </c>
    </row>
    <row r="110" spans="1:24" ht="24.95" hidden="1" customHeight="1">
      <c r="A110" s="11" t="str">
        <f>IF(Cotations!C95=FALSE,"",Cotations!D95)</f>
        <v/>
      </c>
      <c r="B110" s="11" t="str">
        <f>IF(Cotations!C95=FALSE,"",Cotations!F95)</f>
        <v/>
      </c>
      <c r="C110" s="11" t="str">
        <f>IF($B110="","",Detail!L95)</f>
        <v/>
      </c>
      <c r="D110" s="11" t="str">
        <f>IF($B110="","",Cotations!H95)</f>
        <v/>
      </c>
      <c r="E110" s="17" t="str">
        <f>IF($B110="","",Cotations!O95)</f>
        <v/>
      </c>
      <c r="F110" s="17" t="str">
        <f>IF($B110="","",Cotations!M95)</f>
        <v/>
      </c>
      <c r="G110" s="17" t="str">
        <f>IF($B110="","",Cotations!T95)</f>
        <v/>
      </c>
      <c r="H110" s="17" t="str">
        <f>IF($B110="","",Calcul!X95)</f>
        <v/>
      </c>
      <c r="I110" s="11" t="str">
        <f>IF($B110="","",Calcul!EE95)</f>
        <v/>
      </c>
      <c r="J110" s="11" t="str">
        <f>IF($B110="","",Calcul!IE95)</f>
        <v/>
      </c>
      <c r="K110" s="16" t="str">
        <f>IF($B110="","",Calcul!AH95)</f>
        <v/>
      </c>
      <c r="L110" s="520" t="str">
        <f>IF($B110="","",IF(ALLTHESAME=TRUE,Cotations!$AP$4,Cotations!AP95))</f>
        <v/>
      </c>
      <c r="M110" s="518" t="str">
        <f>IF($B110="","",(Calcul!AJ95+Calcul!AQ95)*L110)</f>
        <v/>
      </c>
      <c r="N110" s="520" t="str">
        <f>IF($B110="","",IF(ALLTHESAME=TRUE,Cotations!$BZ$4,Cotations!BZ95))</f>
        <v/>
      </c>
      <c r="O110" s="518" t="str">
        <f>IF($B110="","",IF(Cotations!$BA$6=0,((Calcul!AK95)*N110),Cotations!$Y$4*E110))</f>
        <v/>
      </c>
      <c r="P110" s="520">
        <v>0</v>
      </c>
      <c r="Q110" s="518" t="str">
        <f>IF($B110="","",Calcul!X95*P110)</f>
        <v/>
      </c>
      <c r="R110" s="520" t="str">
        <f t="shared" si="9"/>
        <v/>
      </c>
      <c r="S110" s="518" t="str">
        <f>IF($B110="","",((Calcul!AS95*R110)+Calcul!AL95)*R110)</f>
        <v/>
      </c>
      <c r="T110" s="520" t="str">
        <f>IF($B110="","",Cotations!CA95)</f>
        <v/>
      </c>
      <c r="U110" s="518" t="str">
        <f>IF($B110="","",(Calcul!AT95+Calcul!AL95)*T110)</f>
        <v/>
      </c>
      <c r="V110" s="520">
        <v>0</v>
      </c>
      <c r="W110" s="518" t="str">
        <f>IF($B110="","",Calcul!X95*V110)</f>
        <v/>
      </c>
      <c r="X110" s="524" t="str">
        <f t="shared" si="10"/>
        <v/>
      </c>
    </row>
    <row r="111" spans="1:24" ht="24.95" hidden="1" customHeight="1">
      <c r="A111" s="11" t="str">
        <f>IF(Cotations!C96=FALSE,"",Cotations!D96)</f>
        <v/>
      </c>
      <c r="B111" s="11" t="str">
        <f>IF(Cotations!C96=FALSE,"",Cotations!F96)</f>
        <v/>
      </c>
      <c r="C111" s="11" t="str">
        <f>IF($B111="","",Detail!L96)</f>
        <v/>
      </c>
      <c r="D111" s="11" t="str">
        <f>IF($B111="","",Cotations!H96)</f>
        <v/>
      </c>
      <c r="E111" s="17" t="str">
        <f>IF($B111="","",Cotations!O96)</f>
        <v/>
      </c>
      <c r="F111" s="17" t="str">
        <f>IF($B111="","",Cotations!M96)</f>
        <v/>
      </c>
      <c r="G111" s="17" t="str">
        <f>IF($B111="","",Cotations!T96)</f>
        <v/>
      </c>
      <c r="H111" s="17" t="str">
        <f>IF($B111="","",Calcul!X96)</f>
        <v/>
      </c>
      <c r="I111" s="11" t="str">
        <f>IF($B111="","",Calcul!EE96)</f>
        <v/>
      </c>
      <c r="J111" s="11" t="str">
        <f>IF($B111="","",Calcul!IE96)</f>
        <v/>
      </c>
      <c r="K111" s="16" t="str">
        <f>IF($B111="","",Calcul!AH96)</f>
        <v/>
      </c>
      <c r="L111" s="520" t="str">
        <f>IF($B111="","",IF(ALLTHESAME=TRUE,Cotations!$AP$4,Cotations!AP96))</f>
        <v/>
      </c>
      <c r="M111" s="518" t="str">
        <f>IF($B111="","",(Calcul!AJ96+Calcul!AQ96)*L111)</f>
        <v/>
      </c>
      <c r="N111" s="520" t="str">
        <f>IF($B111="","",IF(ALLTHESAME=TRUE,Cotations!$BZ$4,Cotations!BZ96))</f>
        <v/>
      </c>
      <c r="O111" s="518" t="str">
        <f>IF($B111="","",IF(Cotations!$BA$6=0,((Calcul!AK96)*N111),Cotations!$Y$4*E111))</f>
        <v/>
      </c>
      <c r="P111" s="520">
        <v>0</v>
      </c>
      <c r="Q111" s="518" t="str">
        <f>IF($B111="","",Calcul!X96*P111)</f>
        <v/>
      </c>
      <c r="R111" s="520" t="str">
        <f t="shared" si="9"/>
        <v/>
      </c>
      <c r="S111" s="518" t="str">
        <f>IF($B111="","",((Calcul!AS96*R111)+Calcul!AL96)*R111)</f>
        <v/>
      </c>
      <c r="T111" s="520" t="str">
        <f>IF($B111="","",Cotations!CA96)</f>
        <v/>
      </c>
      <c r="U111" s="518" t="str">
        <f>IF($B111="","",(Calcul!AT96+Calcul!AL96)*T111)</f>
        <v/>
      </c>
      <c r="V111" s="520">
        <v>0</v>
      </c>
      <c r="W111" s="518" t="str">
        <f>IF($B111="","",Calcul!X96*V111)</f>
        <v/>
      </c>
      <c r="X111" s="524" t="str">
        <f t="shared" si="10"/>
        <v/>
      </c>
    </row>
    <row r="112" spans="1:24" ht="24.95" hidden="1" customHeight="1">
      <c r="A112" s="11" t="str">
        <f>IF(Cotations!C97=FALSE,"",Cotations!D97)</f>
        <v/>
      </c>
      <c r="B112" s="11" t="str">
        <f>IF(Cotations!C97=FALSE,"",Cotations!F97)</f>
        <v/>
      </c>
      <c r="C112" s="11" t="str">
        <f>IF($B112="","",Detail!L97)</f>
        <v/>
      </c>
      <c r="D112" s="11" t="str">
        <f>IF($B112="","",Cotations!H97)</f>
        <v/>
      </c>
      <c r="E112" s="17" t="str">
        <f>IF($B112="","",Cotations!O97)</f>
        <v/>
      </c>
      <c r="F112" s="17" t="str">
        <f>IF($B112="","",Cotations!M97)</f>
        <v/>
      </c>
      <c r="G112" s="17" t="str">
        <f>IF($B112="","",Cotations!T97)</f>
        <v/>
      </c>
      <c r="H112" s="17" t="str">
        <f>IF($B112="","",Calcul!X97)</f>
        <v/>
      </c>
      <c r="I112" s="11" t="str">
        <f>IF($B112="","",Calcul!EE97)</f>
        <v/>
      </c>
      <c r="J112" s="11" t="str">
        <f>IF($B112="","",Calcul!IE97)</f>
        <v/>
      </c>
      <c r="K112" s="16" t="str">
        <f>IF($B112="","",Calcul!AH97)</f>
        <v/>
      </c>
      <c r="L112" s="520" t="str">
        <f>IF($B112="","",IF(ALLTHESAME=TRUE,Cotations!$AP$4,Cotations!AP97))</f>
        <v/>
      </c>
      <c r="M112" s="518" t="str">
        <f>IF($B112="","",(Calcul!AJ97+Calcul!AQ97)*L112)</f>
        <v/>
      </c>
      <c r="N112" s="520" t="str">
        <f>IF($B112="","",IF(ALLTHESAME=TRUE,Cotations!$BZ$4,Cotations!BZ97))</f>
        <v/>
      </c>
      <c r="O112" s="518" t="str">
        <f>IF($B112="","",IF(Cotations!$BA$6=0,((Calcul!AK97)*N112),Cotations!$Y$4*E112))</f>
        <v/>
      </c>
      <c r="P112" s="520">
        <v>0</v>
      </c>
      <c r="Q112" s="518" t="str">
        <f>IF($B112="","",Calcul!X97*P112)</f>
        <v/>
      </c>
      <c r="R112" s="520" t="str">
        <f t="shared" si="9"/>
        <v/>
      </c>
      <c r="S112" s="518" t="str">
        <f>IF($B112="","",((Calcul!AS97*R112)+Calcul!AL97)*R112)</f>
        <v/>
      </c>
      <c r="T112" s="520" t="str">
        <f>IF($B112="","",Cotations!CA97)</f>
        <v/>
      </c>
      <c r="U112" s="518" t="str">
        <f>IF($B112="","",(Calcul!AT97+Calcul!AL97)*T112)</f>
        <v/>
      </c>
      <c r="V112" s="520">
        <v>0</v>
      </c>
      <c r="W112" s="518" t="str">
        <f>IF($B112="","",Calcul!X97*V112)</f>
        <v/>
      </c>
      <c r="X112" s="524" t="str">
        <f t="shared" si="10"/>
        <v/>
      </c>
    </row>
    <row r="113" spans="1:24" ht="24.95" hidden="1" customHeight="1">
      <c r="A113" s="11" t="str">
        <f>IF(Cotations!C98=FALSE,"",Cotations!D98)</f>
        <v/>
      </c>
      <c r="B113" s="11" t="str">
        <f>IF(Cotations!C98=FALSE,"",Cotations!F98)</f>
        <v/>
      </c>
      <c r="C113" s="11" t="str">
        <f>IF($B113="","",Detail!L98)</f>
        <v/>
      </c>
      <c r="D113" s="11" t="str">
        <f>IF($B113="","",Cotations!H98)</f>
        <v/>
      </c>
      <c r="E113" s="17" t="str">
        <f>IF($B113="","",Cotations!O98)</f>
        <v/>
      </c>
      <c r="F113" s="17" t="str">
        <f>IF($B113="","",Cotations!M98)</f>
        <v/>
      </c>
      <c r="G113" s="17" t="str">
        <f>IF($B113="","",Cotations!T98)</f>
        <v/>
      </c>
      <c r="H113" s="17" t="str">
        <f>IF($B113="","",Calcul!X98)</f>
        <v/>
      </c>
      <c r="I113" s="11" t="str">
        <f>IF($B113="","",Calcul!EE98)</f>
        <v/>
      </c>
      <c r="J113" s="11" t="str">
        <f>IF($B113="","",Calcul!IE98)</f>
        <v/>
      </c>
      <c r="K113" s="16" t="str">
        <f>IF($B113="","",Calcul!AH98)</f>
        <v/>
      </c>
      <c r="L113" s="520" t="str">
        <f>IF($B113="","",IF(ALLTHESAME=TRUE,Cotations!$AP$4,Cotations!AP98))</f>
        <v/>
      </c>
      <c r="M113" s="518" t="str">
        <f>IF($B113="","",(Calcul!AJ98+Calcul!AQ98)*L113)</f>
        <v/>
      </c>
      <c r="N113" s="520" t="str">
        <f>IF($B113="","",IF(ALLTHESAME=TRUE,Cotations!$BZ$4,Cotations!BZ98))</f>
        <v/>
      </c>
      <c r="O113" s="518" t="str">
        <f>IF($B113="","",IF(Cotations!$BA$6=0,((Calcul!AK98)*N113),Cotations!$Y$4*E113))</f>
        <v/>
      </c>
      <c r="P113" s="520">
        <v>0</v>
      </c>
      <c r="Q113" s="518" t="str">
        <f>IF($B113="","",Calcul!X98*P113)</f>
        <v/>
      </c>
      <c r="R113" s="520" t="str">
        <f t="shared" si="9"/>
        <v/>
      </c>
      <c r="S113" s="518" t="str">
        <f>IF($B113="","",((Calcul!AS98*R113)+Calcul!AL98)*R113)</f>
        <v/>
      </c>
      <c r="T113" s="520" t="str">
        <f>IF($B113="","",Cotations!CA98)</f>
        <v/>
      </c>
      <c r="U113" s="518" t="str">
        <f>IF($B113="","",(Calcul!AT98+Calcul!AL98)*T113)</f>
        <v/>
      </c>
      <c r="V113" s="520">
        <v>0</v>
      </c>
      <c r="W113" s="518" t="str">
        <f>IF($B113="","",Calcul!X98*V113)</f>
        <v/>
      </c>
      <c r="X113" s="524" t="str">
        <f t="shared" si="10"/>
        <v/>
      </c>
    </row>
    <row r="114" spans="1:24" ht="24.95" hidden="1" customHeight="1">
      <c r="A114" s="11" t="str">
        <f>IF(Cotations!C99=FALSE,"",Cotations!D99)</f>
        <v/>
      </c>
      <c r="B114" s="11" t="str">
        <f>IF(Cotations!C99=FALSE,"",Cotations!F99)</f>
        <v/>
      </c>
      <c r="C114" s="11" t="str">
        <f>IF($B114="","",Detail!L99)</f>
        <v/>
      </c>
      <c r="D114" s="11" t="str">
        <f>IF($B114="","",Cotations!H99)</f>
        <v/>
      </c>
      <c r="E114" s="17" t="str">
        <f>IF($B114="","",Cotations!O99)</f>
        <v/>
      </c>
      <c r="F114" s="17" t="str">
        <f>IF($B114="","",Cotations!M99)</f>
        <v/>
      </c>
      <c r="G114" s="17" t="str">
        <f>IF($B114="","",Cotations!T99)</f>
        <v/>
      </c>
      <c r="H114" s="17" t="str">
        <f>IF($B114="","",Calcul!X99)</f>
        <v/>
      </c>
      <c r="I114" s="11" t="str">
        <f>IF($B114="","",Calcul!EE99)</f>
        <v/>
      </c>
      <c r="J114" s="11" t="str">
        <f>IF($B114="","",Calcul!IE99)</f>
        <v/>
      </c>
      <c r="K114" s="16" t="str">
        <f>IF($B114="","",Calcul!AH99)</f>
        <v/>
      </c>
      <c r="L114" s="520" t="str">
        <f>IF($B114="","",IF(ALLTHESAME=TRUE,Cotations!$AP$4,Cotations!AP99))</f>
        <v/>
      </c>
      <c r="M114" s="518" t="str">
        <f>IF($B114="","",(Calcul!AJ99+Calcul!AQ99)*L114)</f>
        <v/>
      </c>
      <c r="N114" s="520" t="str">
        <f>IF($B114="","",IF(ALLTHESAME=TRUE,Cotations!$BZ$4,Cotations!BZ99))</f>
        <v/>
      </c>
      <c r="O114" s="518" t="str">
        <f>IF($B114="","",IF(Cotations!$BA$6=0,((Calcul!AK99)*N114),Cotations!$Y$4*E114))</f>
        <v/>
      </c>
      <c r="P114" s="520">
        <v>0</v>
      </c>
      <c r="Q114" s="518" t="str">
        <f>IF($B114="","",Calcul!X99*P114)</f>
        <v/>
      </c>
      <c r="R114" s="520" t="str">
        <f t="shared" si="9"/>
        <v/>
      </c>
      <c r="S114" s="518" t="str">
        <f>IF($B114="","",((Calcul!AS99*R114)+Calcul!AL99)*R114)</f>
        <v/>
      </c>
      <c r="T114" s="520" t="str">
        <f>IF($B114="","",Cotations!CA99)</f>
        <v/>
      </c>
      <c r="U114" s="518" t="str">
        <f>IF($B114="","",(Calcul!AT99+Calcul!AL99)*T114)</f>
        <v/>
      </c>
      <c r="V114" s="520">
        <v>0</v>
      </c>
      <c r="W114" s="518" t="str">
        <f>IF($B114="","",Calcul!X99*V114)</f>
        <v/>
      </c>
      <c r="X114" s="524" t="str">
        <f t="shared" si="10"/>
        <v/>
      </c>
    </row>
    <row r="115" spans="1:24" ht="24.95" hidden="1" customHeight="1">
      <c r="A115" s="11" t="str">
        <f>IF(Cotations!C100=FALSE,"",Cotations!D100)</f>
        <v/>
      </c>
      <c r="B115" s="11" t="str">
        <f>IF(Cotations!C100=FALSE,"",Cotations!F100)</f>
        <v/>
      </c>
      <c r="C115" s="11" t="str">
        <f>IF($B115="","",Detail!L100)</f>
        <v/>
      </c>
      <c r="D115" s="11" t="str">
        <f>IF($B115="","",Cotations!H100)</f>
        <v/>
      </c>
      <c r="E115" s="17" t="str">
        <f>IF($B115="","",Cotations!O100)</f>
        <v/>
      </c>
      <c r="F115" s="17" t="str">
        <f>IF($B115="","",Cotations!M100)</f>
        <v/>
      </c>
      <c r="G115" s="17" t="str">
        <f>IF($B115="","",Cotations!T100)</f>
        <v/>
      </c>
      <c r="H115" s="17" t="str">
        <f>IF($B115="","",Calcul!X100)</f>
        <v/>
      </c>
      <c r="I115" s="11" t="str">
        <f>IF($B115="","",Calcul!EE100)</f>
        <v/>
      </c>
      <c r="J115" s="11" t="str">
        <f>IF($B115="","",Calcul!IE100)</f>
        <v/>
      </c>
      <c r="K115" s="16" t="str">
        <f>IF($B115="","",Calcul!AH100)</f>
        <v/>
      </c>
      <c r="L115" s="520" t="str">
        <f>IF($B115="","",IF(ALLTHESAME=TRUE,Cotations!$AP$4,Cotations!AP100))</f>
        <v/>
      </c>
      <c r="M115" s="518" t="str">
        <f>IF($B115="","",(Calcul!AJ100+Calcul!AQ100)*L115)</f>
        <v/>
      </c>
      <c r="N115" s="520" t="str">
        <f>IF($B115="","",IF(ALLTHESAME=TRUE,Cotations!$BZ$4,Cotations!BZ100))</f>
        <v/>
      </c>
      <c r="O115" s="518" t="str">
        <f>IF($B115="","",IF(Cotations!$BA$6=0,(Calcul!AK100*N115),Cotations!$Y$4*E115))</f>
        <v/>
      </c>
      <c r="P115" s="520">
        <v>0</v>
      </c>
      <c r="Q115" s="518" t="str">
        <f>IF($B115="","",Calcul!X100*P115)</f>
        <v/>
      </c>
      <c r="R115" s="520" t="str">
        <f t="shared" si="9"/>
        <v/>
      </c>
      <c r="S115" s="518" t="str">
        <f>IF($B115="","",((Calcul!AS100*R115)+Calcul!AL100)*R115)</f>
        <v/>
      </c>
      <c r="T115" s="520" t="str">
        <f>IF($B115="","",Cotations!CA100)</f>
        <v/>
      </c>
      <c r="U115" s="518" t="str">
        <f>IF($B115="","",(Calcul!AT100+Calcul!AL100)*T115)</f>
        <v/>
      </c>
      <c r="V115" s="520">
        <v>0</v>
      </c>
      <c r="W115" s="518" t="str">
        <f>IF($B115="","",Calcul!X100*V115)</f>
        <v/>
      </c>
      <c r="X115" s="524" t="str">
        <f t="shared" si="10"/>
        <v/>
      </c>
    </row>
    <row r="116" spans="1:24" ht="24.95" hidden="1" customHeight="1">
      <c r="A116" s="11" t="str">
        <f>IF(Cotations!C101=FALSE,"",Cotations!D101)</f>
        <v/>
      </c>
      <c r="B116" s="11" t="str">
        <f>IF(Cotations!C101=FALSE,"",Cotations!F101)</f>
        <v/>
      </c>
      <c r="C116" s="11" t="str">
        <f>IF($B116="","",Detail!L101)</f>
        <v/>
      </c>
      <c r="D116" s="11" t="str">
        <f>IF($B116="","",Cotations!H101)</f>
        <v/>
      </c>
      <c r="E116" s="17" t="str">
        <f>IF($B116="","",Cotations!O101)</f>
        <v/>
      </c>
      <c r="F116" s="17" t="str">
        <f>IF($B116="","",Cotations!M101)</f>
        <v/>
      </c>
      <c r="G116" s="17" t="str">
        <f>IF($B116="","",Cotations!T101)</f>
        <v/>
      </c>
      <c r="H116" s="17" t="str">
        <f>IF($B116="","",Calcul!X101)</f>
        <v/>
      </c>
      <c r="I116" s="11" t="str">
        <f>IF($B116="","",Calcul!EE101)</f>
        <v/>
      </c>
      <c r="J116" s="11" t="str">
        <f>IF($B116="","",Calcul!IE101)</f>
        <v/>
      </c>
      <c r="K116" s="16" t="str">
        <f>IF($B116="","",Calcul!AH101)</f>
        <v/>
      </c>
      <c r="L116" s="520" t="str">
        <f>IF($B116="","",IF(ALLTHESAME=TRUE,Cotations!$AP$4,Cotations!AP101))</f>
        <v/>
      </c>
      <c r="M116" s="518" t="str">
        <f>IF($B116="","",(Calcul!AJ101+Calcul!AQ101)*L116)</f>
        <v/>
      </c>
      <c r="N116" s="520" t="str">
        <f>IF($B116="","",IF(ALLTHESAME=TRUE,Cotations!$BZ$4,Cotations!BZ101))</f>
        <v/>
      </c>
      <c r="O116" s="518" t="str">
        <f>IF($B116="","",IF(Cotations!$BA$6=0,(Calcul!AK101*N116),Cotations!$Y$4*E116))</f>
        <v/>
      </c>
      <c r="P116" s="520">
        <v>0</v>
      </c>
      <c r="Q116" s="518" t="str">
        <f>IF($B116="","",Calcul!X101*P116)</f>
        <v/>
      </c>
      <c r="R116" s="520" t="str">
        <f t="shared" si="9"/>
        <v/>
      </c>
      <c r="S116" s="518" t="str">
        <f>IF($B116="","",((Calcul!AS101*R116)+Calcul!AL101)*R116)</f>
        <v/>
      </c>
      <c r="T116" s="520" t="str">
        <f>IF($B116="","",Cotations!CA101)</f>
        <v/>
      </c>
      <c r="U116" s="518" t="str">
        <f>IF($B116="","",(Calcul!AT101+Calcul!AL101)*T116)</f>
        <v/>
      </c>
      <c r="V116" s="520">
        <v>0</v>
      </c>
      <c r="W116" s="518" t="str">
        <f>IF($B116="","",Calcul!X101*V116)</f>
        <v/>
      </c>
      <c r="X116" s="524" t="str">
        <f t="shared" si="10"/>
        <v/>
      </c>
    </row>
    <row r="117" spans="1:24" ht="24.95" hidden="1" customHeight="1">
      <c r="A117" s="11" t="str">
        <f>IF(Cotations!C102=FALSE,"",Cotations!D102)</f>
        <v/>
      </c>
      <c r="B117" s="11" t="str">
        <f>IF(Cotations!C102=FALSE,"",Cotations!F102)</f>
        <v/>
      </c>
      <c r="C117" s="11" t="str">
        <f>IF($B117="","",Detail!L102)</f>
        <v/>
      </c>
      <c r="D117" s="11" t="str">
        <f>IF($B117="","",Cotations!H102)</f>
        <v/>
      </c>
      <c r="E117" s="17" t="str">
        <f>IF($B117="","",Cotations!O102)</f>
        <v/>
      </c>
      <c r="F117" s="17" t="str">
        <f>IF($B117="","",Cotations!M102)</f>
        <v/>
      </c>
      <c r="G117" s="17" t="str">
        <f>IF($B117="","",Cotations!T102)</f>
        <v/>
      </c>
      <c r="H117" s="17" t="str">
        <f>IF($B117="","",Calcul!X102)</f>
        <v/>
      </c>
      <c r="I117" s="11" t="str">
        <f>IF($B117="","",Calcul!EE102)</f>
        <v/>
      </c>
      <c r="J117" s="11" t="str">
        <f>IF($B117="","",Calcul!IE102)</f>
        <v/>
      </c>
      <c r="K117" s="16" t="str">
        <f>IF($B117="","",Calcul!AH102)</f>
        <v/>
      </c>
      <c r="L117" s="520" t="str">
        <f>IF($B117="","",IF(ALLTHESAME=TRUE,Cotations!$AP$4,Cotations!AP102))</f>
        <v/>
      </c>
      <c r="M117" s="518" t="str">
        <f>IF($B117="","",(Calcul!AJ102+Calcul!AQ102)*L117)</f>
        <v/>
      </c>
      <c r="N117" s="520" t="str">
        <f>IF($B117="","",IF(ALLTHESAME=TRUE,Cotations!$BZ$4,Cotations!BZ102))</f>
        <v/>
      </c>
      <c r="O117" s="518" t="str">
        <f>IF($B117="","",IF(Cotations!$BA$6=0,(Calcul!AK102*N117),Cotations!$Y$4*E117))</f>
        <v/>
      </c>
      <c r="P117" s="520">
        <v>0</v>
      </c>
      <c r="Q117" s="518" t="str">
        <f>IF($B117="","",Calcul!X102*P117)</f>
        <v/>
      </c>
      <c r="R117" s="520" t="str">
        <f t="shared" si="9"/>
        <v/>
      </c>
      <c r="S117" s="518" t="str">
        <f>IF($B117="","",((Calcul!AS102*R117)+Calcul!AL102)*R117)</f>
        <v/>
      </c>
      <c r="T117" s="520" t="str">
        <f>IF($B117="","",Cotations!CA102)</f>
        <v/>
      </c>
      <c r="U117" s="518" t="str">
        <f>IF($B117="","",(Calcul!AT102+Calcul!AL102)*T117)</f>
        <v/>
      </c>
      <c r="V117" s="520">
        <v>0</v>
      </c>
      <c r="W117" s="518" t="str">
        <f>IF($B117="","",Calcul!X102*V117)</f>
        <v/>
      </c>
      <c r="X117" s="524" t="str">
        <f t="shared" si="10"/>
        <v/>
      </c>
    </row>
    <row r="118" spans="1:24" ht="24.95" hidden="1" customHeight="1">
      <c r="A118" s="11" t="str">
        <f>IF(Cotations!C103=FALSE,"",Cotations!D103)</f>
        <v/>
      </c>
      <c r="B118" s="11" t="str">
        <f>IF(Cotations!C103=FALSE,"",Cotations!F103)</f>
        <v/>
      </c>
      <c r="C118" s="11" t="str">
        <f>IF($B118="","",Detail!L103)</f>
        <v/>
      </c>
      <c r="D118" s="11" t="str">
        <f>IF($B118="","",Cotations!H103)</f>
        <v/>
      </c>
      <c r="E118" s="17" t="str">
        <f>IF($B118="","",Cotations!O103)</f>
        <v/>
      </c>
      <c r="F118" s="17" t="str">
        <f>IF($B118="","",Cotations!M103)</f>
        <v/>
      </c>
      <c r="G118" s="17" t="str">
        <f>IF($B118="","",Cotations!T103)</f>
        <v/>
      </c>
      <c r="H118" s="17" t="str">
        <f>IF($B118="","",Calcul!X103)</f>
        <v/>
      </c>
      <c r="I118" s="11" t="str">
        <f>IF($B118="","",Calcul!EE103)</f>
        <v/>
      </c>
      <c r="J118" s="11" t="str">
        <f>IF($B118="","",Calcul!IE103)</f>
        <v/>
      </c>
      <c r="K118" s="16" t="str">
        <f>IF($B118="","",Calcul!AH103)</f>
        <v/>
      </c>
      <c r="L118" s="520" t="str">
        <f>IF($B118="","",IF(ALLTHESAME=TRUE,Cotations!$AP$4,Cotations!AP103))</f>
        <v/>
      </c>
      <c r="M118" s="518" t="str">
        <f>IF($B118="","",(Calcul!AJ103+Calcul!AQ103)*L118)</f>
        <v/>
      </c>
      <c r="N118" s="520" t="str">
        <f>IF($B118="","",IF(ALLTHESAME=TRUE,Cotations!$BZ$4,Cotations!BZ103))</f>
        <v/>
      </c>
      <c r="O118" s="518" t="str">
        <f>IF($B118="","",IF(Cotations!$BA$6=0,(Calcul!AK103*N118),Cotations!$Y$4*E118))</f>
        <v/>
      </c>
      <c r="P118" s="520">
        <v>0</v>
      </c>
      <c r="Q118" s="518" t="str">
        <f>IF($B118="","",Calcul!X103*P118)</f>
        <v/>
      </c>
      <c r="R118" s="520" t="str">
        <f t="shared" si="9"/>
        <v/>
      </c>
      <c r="S118" s="518" t="str">
        <f>IF($B118="","",((Calcul!AS103*R118)+Calcul!AL103)*R118)</f>
        <v/>
      </c>
      <c r="T118" s="520" t="str">
        <f>IF($B118="","",Cotations!CA103)</f>
        <v/>
      </c>
      <c r="U118" s="518" t="str">
        <f>IF($B118="","",(Calcul!AT103+Calcul!AL103)*T118)</f>
        <v/>
      </c>
      <c r="V118" s="520">
        <v>0</v>
      </c>
      <c r="W118" s="518" t="str">
        <f>IF($B118="","",Calcul!X103*V118)</f>
        <v/>
      </c>
      <c r="X118" s="524" t="str">
        <f t="shared" si="10"/>
        <v/>
      </c>
    </row>
    <row r="119" spans="1:24" ht="24.95" hidden="1" customHeight="1">
      <c r="A119" s="11" t="str">
        <f>IF(Cotations!C104=FALSE,"",Cotations!D104)</f>
        <v/>
      </c>
      <c r="B119" s="11" t="str">
        <f>IF(Cotations!C104=FALSE,"",Cotations!F104)</f>
        <v/>
      </c>
      <c r="C119" s="11" t="str">
        <f>IF($B119="","",Detail!L104)</f>
        <v/>
      </c>
      <c r="D119" s="11" t="str">
        <f>IF($B119="","",Cotations!H104)</f>
        <v/>
      </c>
      <c r="E119" s="17" t="str">
        <f>IF($B119="","",Cotations!O104)</f>
        <v/>
      </c>
      <c r="F119" s="17" t="str">
        <f>IF($B119="","",Cotations!M104)</f>
        <v/>
      </c>
      <c r="G119" s="17" t="str">
        <f>IF($B119="","",Cotations!T104)</f>
        <v/>
      </c>
      <c r="H119" s="17" t="str">
        <f>IF($B119="","",Calcul!X104)</f>
        <v/>
      </c>
      <c r="I119" s="11" t="str">
        <f>IF($B119="","",Calcul!EE104)</f>
        <v/>
      </c>
      <c r="J119" s="11" t="str">
        <f>IF($B119="","",Calcul!IE104)</f>
        <v/>
      </c>
      <c r="K119" s="16" t="str">
        <f>IF($B119="","",Calcul!AH104)</f>
        <v/>
      </c>
      <c r="L119" s="520" t="str">
        <f>IF($B119="","",IF(ALLTHESAME=TRUE,Cotations!$AP$4,Cotations!AP104))</f>
        <v/>
      </c>
      <c r="M119" s="518" t="str">
        <f>IF($B119="","",(Calcul!AJ104+Calcul!AQ104)*L119)</f>
        <v/>
      </c>
      <c r="N119" s="520" t="str">
        <f>IF($B119="","",IF(ALLTHESAME=TRUE,Cotations!$BZ$4,Cotations!BZ104))</f>
        <v/>
      </c>
      <c r="O119" s="518" t="str">
        <f>IF($B119="","",IF(Cotations!$BA$6=0,(Calcul!AK104*N119),Cotations!$Y$4*E119))</f>
        <v/>
      </c>
      <c r="P119" s="520">
        <v>0</v>
      </c>
      <c r="Q119" s="518" t="str">
        <f>IF($B119="","",Calcul!X104*P119)</f>
        <v/>
      </c>
      <c r="R119" s="520" t="str">
        <f t="shared" si="9"/>
        <v/>
      </c>
      <c r="S119" s="518" t="str">
        <f>IF($B119="","",((Calcul!AS104*R119)+Calcul!AL104)*R119)</f>
        <v/>
      </c>
      <c r="T119" s="520" t="str">
        <f>IF($B119="","",Cotations!CA104)</f>
        <v/>
      </c>
      <c r="U119" s="518" t="str">
        <f>IF($B119="","",(Calcul!AT104+Calcul!AL104)*T119)</f>
        <v/>
      </c>
      <c r="V119" s="520">
        <v>0</v>
      </c>
      <c r="W119" s="518" t="str">
        <f>IF($B119="","",Calcul!X104*V119)</f>
        <v/>
      </c>
      <c r="X119" s="524" t="str">
        <f t="shared" si="10"/>
        <v/>
      </c>
    </row>
    <row r="120" spans="1:24" ht="24.95" customHeight="1"/>
    <row r="121" spans="1:24" ht="24.95" customHeight="1"/>
    <row r="122" spans="1:24" ht="24.95" customHeight="1"/>
  </sheetData>
  <autoFilter ref="A29:AL119">
    <filterColumn colId="0">
      <customFilters>
        <customFilter operator="notEqual" val=" "/>
      </customFilters>
    </filterColumn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30" showButton="0"/>
    <filterColumn colId="31" showButton="0"/>
    <filterColumn colId="33" showButton="0"/>
    <filterColumn colId="34" showButton="0"/>
  </autoFilter>
  <mergeCells count="61">
    <mergeCell ref="F14:I14"/>
    <mergeCell ref="N14:Q14"/>
    <mergeCell ref="L14:M14"/>
    <mergeCell ref="W14:X14"/>
    <mergeCell ref="W15:X15"/>
    <mergeCell ref="B8:E8"/>
    <mergeCell ref="G8:L8"/>
    <mergeCell ref="N8:Q8"/>
    <mergeCell ref="T8:W8"/>
    <mergeCell ref="B9:E9"/>
    <mergeCell ref="G9:L9"/>
    <mergeCell ref="N9:Q9"/>
    <mergeCell ref="T9:W9"/>
    <mergeCell ref="B10:E10"/>
    <mergeCell ref="G10:L10"/>
    <mergeCell ref="N10:Q10"/>
    <mergeCell ref="T10:W10"/>
    <mergeCell ref="C11:E11"/>
    <mergeCell ref="I11:L11"/>
    <mergeCell ref="O11:Q11"/>
    <mergeCell ref="U11:W11"/>
    <mergeCell ref="I6:S6"/>
    <mergeCell ref="D1:E1"/>
    <mergeCell ref="S1:U1"/>
    <mergeCell ref="S2:U2"/>
    <mergeCell ref="J3:P3"/>
    <mergeCell ref="J4:P4"/>
    <mergeCell ref="B12:E12"/>
    <mergeCell ref="G12:L12"/>
    <mergeCell ref="N12:Q12"/>
    <mergeCell ref="T12:W12"/>
    <mergeCell ref="AE28:AG29"/>
    <mergeCell ref="O24:Q24"/>
    <mergeCell ref="R19:S19"/>
    <mergeCell ref="O20:Q20"/>
    <mergeCell ref="O21:Q21"/>
    <mergeCell ref="O22:Q22"/>
    <mergeCell ref="R22:S22"/>
    <mergeCell ref="O23:Q23"/>
    <mergeCell ref="R14:S14"/>
    <mergeCell ref="O15:Q15"/>
    <mergeCell ref="O16:Q16"/>
    <mergeCell ref="O19:Q19"/>
    <mergeCell ref="AH28:AJ29"/>
    <mergeCell ref="AL28:AL29"/>
    <mergeCell ref="L26:Q26"/>
    <mergeCell ref="R26:W26"/>
    <mergeCell ref="N28:O29"/>
    <mergeCell ref="P28:Q29"/>
    <mergeCell ref="R28:S29"/>
    <mergeCell ref="L28:M29"/>
    <mergeCell ref="T28:U29"/>
    <mergeCell ref="V28:W29"/>
    <mergeCell ref="A28:A29"/>
    <mergeCell ref="H28:H29"/>
    <mergeCell ref="I28:I29"/>
    <mergeCell ref="J28:J29"/>
    <mergeCell ref="B28:B29"/>
    <mergeCell ref="C28:C29"/>
    <mergeCell ref="D28:D29"/>
    <mergeCell ref="E28:F28"/>
  </mergeCells>
  <dataValidations count="1">
    <dataValidation type="list" showInputMessage="1" showErrorMessage="1" sqref="S2:U2">
      <formula1>COMPANY_LIST</formula1>
    </dataValidation>
  </dataValidations>
  <pageMargins left="0.51181102362204722" right="0.51181102362204722" top="0.55118110236220474" bottom="0.55118110236220474" header="0.31496062992125984" footer="0.31496062992125984"/>
  <pageSetup paperSize="9" scale="46" fitToHeight="0" orientation="landscape" r:id="rId1"/>
  <headerFooter>
    <oddFooter>&amp;C&amp;P/&amp;N</oddFooter>
  </headerFooter>
  <rowBreaks count="1" manualBreakCount="1">
    <brk id="91" max="2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LIST!$D$1:$D$3</xm:f>
          </x14:formula1>
          <xm:sqref>B15:B24</xm:sqref>
        </x14:dataValidation>
        <x14:dataValidation type="list" allowBlank="1" showInputMessage="1" showErrorMessage="1">
          <x14:formula1>
            <xm:f>LISTES!$C$40:$C$42</xm:f>
          </x14:formula1>
          <xm:sqref>J3:P3</xm:sqref>
        </x14:dataValidation>
        <x14:dataValidation type="list" showInputMessage="1" showErrorMessage="1">
          <x14:formula1>
            <xm:f>LISTES!$C$72:$C$75</xm:f>
          </x14:formula1>
          <xm:sqref>Q3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filterMode="1">
    <tabColor rgb="FFFFFF00"/>
    <pageSetUpPr fitToPage="1"/>
  </sheetPr>
  <dimension ref="A1:AI122"/>
  <sheetViews>
    <sheetView showRuler="0" view="pageBreakPreview" zoomScaleSheetLayoutView="100" workbookViewId="0">
      <selection activeCell="T16" sqref="T16"/>
    </sheetView>
  </sheetViews>
  <sheetFormatPr baseColWidth="10" defaultColWidth="11.42578125" defaultRowHeight="12.75"/>
  <cols>
    <col min="1" max="1" width="11.42578125" style="3"/>
    <col min="2" max="5" width="12.140625" style="3" customWidth="1"/>
    <col min="6" max="6" width="13.140625" style="3" bestFit="1" customWidth="1"/>
    <col min="7" max="7" width="12.140625" style="3" customWidth="1"/>
    <col min="8" max="8" width="12.28515625" style="3" customWidth="1"/>
    <col min="9" max="9" width="14.42578125" style="3" customWidth="1"/>
    <col min="10" max="10" width="14.28515625" style="3" customWidth="1"/>
    <col min="11" max="11" width="12.7109375" style="3" customWidth="1"/>
    <col min="12" max="12" width="14.28515625" style="3" customWidth="1"/>
    <col min="13" max="23" width="12.140625" style="3" customWidth="1"/>
    <col min="24" max="16384" width="11.42578125" style="3"/>
  </cols>
  <sheetData>
    <row r="1" spans="2:25">
      <c r="D1" s="1894" t="s">
        <v>28</v>
      </c>
      <c r="E1" s="1894"/>
      <c r="Q1" s="474" t="s">
        <v>2353</v>
      </c>
      <c r="R1" s="474">
        <f ca="1">TODAY()</f>
        <v>42783</v>
      </c>
      <c r="S1" s="474"/>
    </row>
    <row r="2" spans="2:25" ht="13.5" thickBot="1">
      <c r="Q2" s="1896" t="s">
        <v>2549</v>
      </c>
      <c r="R2" s="1896"/>
      <c r="S2" s="1896"/>
    </row>
    <row r="3" spans="2:25" ht="15.75" thickBot="1">
      <c r="C3" s="19"/>
      <c r="D3" s="19"/>
      <c r="E3" s="19"/>
      <c r="F3" s="19"/>
      <c r="G3" s="19"/>
      <c r="H3" s="19"/>
      <c r="I3" s="1916" t="s">
        <v>2058</v>
      </c>
      <c r="J3" s="1917"/>
      <c r="K3" s="1917"/>
      <c r="L3" s="1917"/>
      <c r="M3" s="1917"/>
      <c r="N3" s="1918"/>
      <c r="O3" s="19"/>
      <c r="P3" s="19"/>
      <c r="Q3" s="19"/>
      <c r="R3" s="19"/>
      <c r="S3" s="19"/>
      <c r="T3" s="19"/>
      <c r="U3" s="19"/>
    </row>
    <row r="4" spans="2:25">
      <c r="C4" s="22"/>
      <c r="D4" s="22"/>
      <c r="E4" s="22"/>
      <c r="F4" s="22"/>
      <c r="G4" s="22"/>
      <c r="H4" s="22"/>
      <c r="I4" s="1899" t="str">
        <f>CONCATENATE(Source!$E$2," - ",Source!$F$2&amp;" - "&amp;Admin!B2)</f>
        <v>12522 - IDOL YACHTING LIMITED - IDOL</v>
      </c>
      <c r="J4" s="1899"/>
      <c r="K4" s="1899"/>
      <c r="L4" s="1899"/>
      <c r="M4" s="1899"/>
      <c r="N4" s="1899"/>
      <c r="O4" s="22"/>
      <c r="P4" s="22"/>
      <c r="Q4" s="474" t="s">
        <v>24</v>
      </c>
      <c r="R4" s="835">
        <f>Admin!E28</f>
        <v>0.04</v>
      </c>
      <c r="S4" s="1935" t="str">
        <f>IF(R4=4%,"WCA Luxembourg","WCA Holland")</f>
        <v>WCA Luxembourg</v>
      </c>
      <c r="T4" s="1935"/>
      <c r="U4" s="22"/>
    </row>
    <row r="5" spans="2:25" ht="9" customHeight="1"/>
    <row r="6" spans="2:25">
      <c r="G6" s="1883" t="s">
        <v>43</v>
      </c>
      <c r="H6" s="1883"/>
      <c r="I6" s="1883"/>
      <c r="J6" s="1883"/>
      <c r="K6" s="1883"/>
      <c r="L6" s="1883"/>
      <c r="M6" s="1883"/>
      <c r="N6" s="1883"/>
      <c r="O6" s="1883"/>
      <c r="P6" s="1883"/>
      <c r="Q6" s="3" t="s">
        <v>3095</v>
      </c>
      <c r="R6" s="1923" t="s">
        <v>3096</v>
      </c>
      <c r="S6" s="1923"/>
      <c r="T6" s="1923"/>
    </row>
    <row r="7" spans="2:25" ht="9" customHeight="1">
      <c r="E7" s="4"/>
      <c r="F7" s="6"/>
      <c r="G7" s="7"/>
      <c r="H7" s="5"/>
      <c r="I7" s="4"/>
    </row>
    <row r="8" spans="2:25">
      <c r="B8" s="1901" t="s">
        <v>30</v>
      </c>
      <c r="C8" s="1901"/>
      <c r="D8" s="1901"/>
      <c r="E8" s="1901"/>
      <c r="F8" s="20"/>
      <c r="G8" s="1901" t="s">
        <v>94</v>
      </c>
      <c r="H8" s="1901"/>
      <c r="I8" s="1901"/>
      <c r="J8" s="1901"/>
      <c r="L8" s="1901" t="s">
        <v>95</v>
      </c>
      <c r="M8" s="1901"/>
      <c r="N8" s="1901"/>
      <c r="O8" s="1901"/>
      <c r="R8" s="1901" t="s">
        <v>29</v>
      </c>
      <c r="S8" s="1901"/>
      <c r="T8" s="1901"/>
      <c r="U8" s="1901"/>
    </row>
    <row r="9" spans="2:25" ht="12" customHeight="1">
      <c r="B9" s="1900" t="str">
        <f>IF(NAMES!$B$10=FALSE,IF(Source!$O$2&lt;&gt;"",Source!$O$3,"n/a"),PHname)</f>
        <v>IDOL YACHTING LIMITED</v>
      </c>
      <c r="C9" s="1900"/>
      <c r="D9" s="1900"/>
      <c r="E9" s="1900"/>
      <c r="F9" s="20"/>
      <c r="L9" s="1900" t="str">
        <f>MAname</f>
        <v>HILL ROBINSON Limited</v>
      </c>
      <c r="M9" s="1900"/>
      <c r="N9" s="1900"/>
      <c r="O9" s="1900"/>
      <c r="R9" s="1900" t="str">
        <f>IF(NAMES!$B$10=TRUE,APPORTEURS!E1,IF(Source!$P$2&lt;&gt;"",Source!$P$3,"n/a"))</f>
        <v>SOMECASSUR</v>
      </c>
      <c r="S9" s="1900"/>
      <c r="T9" s="1900"/>
      <c r="U9" s="1900"/>
      <c r="V9" s="1900" t="str">
        <f>IF(NAMES!$B$10=FALSE,IF(Source!$Q$2&lt;&gt;"",Source!$Q$3,"n/a"),EMname)</f>
        <v>Crew Employement Services Idol (a cell of Crew Employement Services PCC Ltd)</v>
      </c>
      <c r="W9" s="1900"/>
      <c r="X9" s="1900"/>
      <c r="Y9" s="1900"/>
    </row>
    <row r="10" spans="2:25">
      <c r="B10" s="1900" t="str">
        <f>IF(NAMES!$B$10=FALSE,IF($B$9="n/a","",Source!$O$4),PHaddress)</f>
        <v>Level 4, Suite 7; Rosa Marina Buildings</v>
      </c>
      <c r="C10" s="1900"/>
      <c r="D10" s="1900"/>
      <c r="E10" s="1900"/>
      <c r="F10" s="20"/>
      <c r="L10" s="1919" t="str">
        <f>MAaddress</f>
        <v/>
      </c>
      <c r="M10" s="1919"/>
      <c r="N10" s="1919"/>
      <c r="O10" s="1919"/>
      <c r="R10" s="1900" t="str">
        <f>IF(NAMES!$B$10=TRUE,APPORTEURS!H1,IF($R$9="n/a","",Source!$P$4))</f>
        <v>Le Gray d’Albion, 17 Boulevard de la Croisette</v>
      </c>
      <c r="S10" s="1900"/>
      <c r="T10" s="1900"/>
      <c r="U10" s="1900"/>
      <c r="V10" s="1919" t="str">
        <f>IF(NAMES!$B$10=FALSE,IF($V$9="n/a","",Source!$Q$4),EMaddress)</f>
        <v/>
      </c>
      <c r="W10" s="1919"/>
      <c r="X10" s="1919"/>
      <c r="Y10" s="1919"/>
    </row>
    <row r="11" spans="2:25">
      <c r="B11" s="570" t="str">
        <f>IF(NAMES!$B$10=FALSE,IF($B$9="n/a","",Source!$O$5),PHpostalcode)</f>
        <v>PTA 9041</v>
      </c>
      <c r="C11" s="1900" t="str">
        <f>IF(NAMES!$B$10=FALSE,IF($B$9="n/a","",Source!$O$6),PHcity)</f>
        <v>Pieta</v>
      </c>
      <c r="D11" s="1900"/>
      <c r="E11" s="1900"/>
      <c r="F11" s="20"/>
      <c r="L11" s="34" t="str">
        <f>MApostalcode</f>
        <v/>
      </c>
      <c r="M11" s="1919" t="str">
        <f>MAcity</f>
        <v/>
      </c>
      <c r="N11" s="1919"/>
      <c r="O11" s="1919"/>
      <c r="R11" s="24" t="str">
        <f>IF(NAMES!$B$10=TRUE,APPORTEURS!I1,IF($R$9="n/a","",Source!$P$5))</f>
        <v>F-06400</v>
      </c>
      <c r="S11" s="1900" t="str">
        <f>IF(NAMES!$B$10=TRUE,APPORTEURS!J1,IF($R$9="n/a","",Source!$P$6))</f>
        <v>Cannes</v>
      </c>
      <c r="T11" s="1900"/>
      <c r="U11" s="1900"/>
      <c r="V11" s="34" t="str">
        <f>IF(NAMES!$B$10=FALSE,IF($V$9="n/a","",Source!$Q$5),EMpostalcode)</f>
        <v/>
      </c>
      <c r="W11" s="1919" t="str">
        <f>IF(NAMES!$B$10=FALSE,IF($V$9="n/a","",Source!$Q$6),EMcity)</f>
        <v/>
      </c>
      <c r="X11" s="1919"/>
      <c r="Y11" s="1919"/>
    </row>
    <row r="12" spans="2:25">
      <c r="B12" s="1887" t="str">
        <f>IF(NAMES!$B$10=FALSE,IF($B$9="n/a","",Source!$O$7),PHcountry)</f>
        <v>Malta</v>
      </c>
      <c r="C12" s="1887"/>
      <c r="D12" s="1887"/>
      <c r="E12" s="1887"/>
      <c r="F12" s="20"/>
      <c r="L12" s="1887" t="str">
        <f>MAcountry</f>
        <v/>
      </c>
      <c r="M12" s="1887"/>
      <c r="N12" s="1887"/>
      <c r="O12" s="1887"/>
      <c r="R12" s="1887" t="str">
        <f>IF(NAMES!$B$10=TRUE,APPORTEURS!K1,IF($R$9="n/a","",Source!$P$7))</f>
        <v>France</v>
      </c>
      <c r="S12" s="1887"/>
      <c r="T12" s="1887"/>
      <c r="U12" s="1887"/>
      <c r="V12" s="1887" t="str">
        <f>IF(NAMES!$B$10=FALSE,IF($V$9="n/a","",Source!$Q$7),EMcountry)</f>
        <v/>
      </c>
      <c r="W12" s="1887"/>
      <c r="X12" s="1887"/>
      <c r="Y12" s="1887"/>
    </row>
    <row r="14" spans="2:25" ht="12.75" customHeight="1">
      <c r="B14" s="1351" t="s">
        <v>21</v>
      </c>
      <c r="C14" s="1352" t="s">
        <v>33</v>
      </c>
      <c r="D14" s="1352" t="s">
        <v>27</v>
      </c>
      <c r="E14" s="1352" t="s">
        <v>57</v>
      </c>
      <c r="F14" s="1909" t="s">
        <v>20</v>
      </c>
      <c r="G14" s="1910"/>
      <c r="H14" s="1353"/>
      <c r="I14" s="1352" t="s">
        <v>2173</v>
      </c>
      <c r="J14" s="1909" t="s">
        <v>2360</v>
      </c>
      <c r="K14" s="1909"/>
      <c r="L14" s="1354" t="s">
        <v>2253</v>
      </c>
      <c r="M14" s="1352" t="s">
        <v>23</v>
      </c>
      <c r="N14" s="1909" t="s">
        <v>2361</v>
      </c>
      <c r="O14" s="1909"/>
      <c r="P14" s="1910"/>
      <c r="Q14" s="1893" t="s">
        <v>48</v>
      </c>
      <c r="R14" s="1893"/>
      <c r="S14" s="509" t="s">
        <v>50</v>
      </c>
      <c r="T14" s="510">
        <v>42931</v>
      </c>
      <c r="U14" s="1163"/>
      <c r="W14" s="1344"/>
    </row>
    <row r="15" spans="2:25" ht="24.95" customHeight="1">
      <c r="B15" s="511">
        <f>IF(Modules!J83=0,"",Modules!J83)</f>
        <v>240303</v>
      </c>
      <c r="C15" s="495" t="str">
        <f>IF(B15="","",Source!$M$2)</f>
        <v>EUR</v>
      </c>
      <c r="D15" s="624">
        <f>IF(B15="","",IF(Modules!J102="",0,Modules!J102))</f>
        <v>11362.78</v>
      </c>
      <c r="E15" s="624">
        <f>IF(B15="","",D15*1.04)</f>
        <v>11817.291200000001</v>
      </c>
      <c r="F15" s="1911" t="str">
        <f>IF(B15="","",Modules!J112)</f>
        <v>Formula 3</v>
      </c>
      <c r="G15" s="1912"/>
      <c r="H15" s="1164" t="s">
        <v>2169</v>
      </c>
      <c r="I15" s="499" t="s">
        <v>2000</v>
      </c>
      <c r="J15" s="499" t="str">
        <f>IF(H15="NO","",Modules!$E$18)</f>
        <v/>
      </c>
      <c r="K15" s="499" t="str">
        <f>IF(H15="NO","",Modules!$E$47)</f>
        <v/>
      </c>
      <c r="L15" s="10"/>
      <c r="M15" s="578" t="str">
        <f>IF(H15="NO","","10%/10%")</f>
        <v/>
      </c>
      <c r="N15" s="1906" t="str">
        <f>IF(H15="NO","",Modules!$E$22&amp;"/ "&amp;Modules!$E$51)</f>
        <v/>
      </c>
      <c r="O15" s="1906"/>
      <c r="P15" s="1907"/>
      <c r="Q15" s="499"/>
      <c r="R15" s="499"/>
      <c r="S15" s="10" t="s">
        <v>46</v>
      </c>
      <c r="T15" s="500">
        <v>42749</v>
      </c>
      <c r="U15" s="512"/>
      <c r="V15" s="1913" t="str">
        <f>IF(H15="NO","",Modules!$E$22&amp;" "&amp;Modules!$E$51)</f>
        <v/>
      </c>
      <c r="W15" s="1914"/>
      <c r="X15" s="1915"/>
      <c r="Y15" s="3">
        <f ca="1">IF(NAMES!$B$10=FALSE,POLICY($Q$2,OFFSET(Source!$B$17,0,0,COUNTA(Source!$B$17:$B$24),4),17,D15),IF(Q2="AIG Luxembourg",Cotations!AB11,Cotations!AD11))</f>
        <v>13975.502148323099</v>
      </c>
    </row>
    <row r="16" spans="2:25" ht="24.95" customHeight="1">
      <c r="B16" s="511"/>
      <c r="C16" s="495"/>
      <c r="D16" s="624"/>
      <c r="E16" s="624"/>
      <c r="F16" s="1911"/>
      <c r="G16" s="1912"/>
      <c r="H16" s="1164" t="s">
        <v>2169</v>
      </c>
      <c r="I16" s="499" t="s">
        <v>2207</v>
      </c>
      <c r="J16" s="499" t="str">
        <f>IF(H16="NO","",Modules!$E$18)</f>
        <v/>
      </c>
      <c r="K16" s="499" t="str">
        <f>IF(H16="NO","",Modules!$E$47)</f>
        <v/>
      </c>
      <c r="L16" s="10"/>
      <c r="M16" s="578" t="str">
        <f>IF(H16="NO","","10%/10%")</f>
        <v/>
      </c>
      <c r="N16" s="1906" t="str">
        <f>IF(H16="NO","",Modules!$E$22&amp;"/ "&amp;Modules!$E$51)</f>
        <v/>
      </c>
      <c r="O16" s="1906"/>
      <c r="P16" s="1907"/>
      <c r="Q16" s="10"/>
      <c r="R16" s="10"/>
      <c r="S16" s="10"/>
      <c r="T16" s="499"/>
      <c r="U16" s="512"/>
      <c r="V16" s="1920" t="str">
        <f>IF(H16="NO","",Modules!$E$22&amp;" "&amp;Modules!$E$51)</f>
        <v/>
      </c>
      <c r="W16" s="1921"/>
      <c r="X16" s="1922"/>
      <c r="Y16" s="3">
        <f ca="1">IF(NAMES!$B$10=FALSE,POLICY($Q$2,OFFSET(Source!$B$17,0,0,COUNTA(Source!$B$17:$B$24),4),17,D16),Calcul!BI9)</f>
        <v>0</v>
      </c>
    </row>
    <row r="17" spans="1:35" ht="15" customHeight="1">
      <c r="B17" s="511" t="str">
        <f>IF(Modules!J85=0,"",Modules!J85)</f>
        <v/>
      </c>
      <c r="C17" s="495" t="str">
        <f>IF(B17="","",Source!$M$2)</f>
        <v/>
      </c>
      <c r="D17" s="624" t="str">
        <f>IF(B17="","",IF(Modules!J104="",0,Modules!J104))</f>
        <v/>
      </c>
      <c r="E17" s="624" t="str">
        <f t="shared" ref="E16:E20" si="0">IF(B17="","",D17*1.04)</f>
        <v/>
      </c>
      <c r="F17" s="1911" t="str">
        <f>IF(B17="","",Modules!J114)</f>
        <v/>
      </c>
      <c r="G17" s="1912"/>
      <c r="H17" s="1164" t="s">
        <v>2169</v>
      </c>
      <c r="I17" s="10" t="s">
        <v>2636</v>
      </c>
      <c r="J17" s="10"/>
      <c r="K17" s="10"/>
      <c r="L17" s="10"/>
      <c r="M17" s="578" t="str">
        <f t="shared" ref="M17" si="1">IF(H17="NO","",0%)</f>
        <v/>
      </c>
      <c r="N17" s="1921" t="str">
        <f>IF(H17="NO","",Modules!#REF!)</f>
        <v/>
      </c>
      <c r="O17" s="1921"/>
      <c r="P17" s="1922"/>
      <c r="Q17" s="1890" t="s">
        <v>47</v>
      </c>
      <c r="R17" s="1890"/>
      <c r="S17" s="10" t="s">
        <v>34</v>
      </c>
      <c r="T17" s="500">
        <f>MAX(Admin!H17:H18)</f>
        <v>41835</v>
      </c>
      <c r="U17" s="512"/>
      <c r="V17" s="36"/>
      <c r="W17" s="10"/>
      <c r="X17" s="512"/>
    </row>
    <row r="18" spans="1:35" ht="15" customHeight="1">
      <c r="B18" s="511" t="str">
        <f>IF(Modules!J86=0,"",Modules!J86)</f>
        <v/>
      </c>
      <c r="C18" s="495" t="str">
        <f>IF(B18="","",Source!$M$2)</f>
        <v/>
      </c>
      <c r="D18" s="624" t="str">
        <f>IF(B18="","",IF(Modules!J105="",0,Modules!J105))</f>
        <v/>
      </c>
      <c r="E18" s="624" t="str">
        <f t="shared" si="0"/>
        <v/>
      </c>
      <c r="F18" s="1911" t="str">
        <f>IF(B18="","",Modules!J115)</f>
        <v/>
      </c>
      <c r="G18" s="1912"/>
      <c r="H18" s="1164" t="s">
        <v>2169</v>
      </c>
      <c r="I18" s="10" t="s">
        <v>2637</v>
      </c>
      <c r="J18" s="10"/>
      <c r="K18" s="10"/>
      <c r="L18" s="10"/>
      <c r="M18" s="578" t="str">
        <f>IF(H18="NO","",0%)</f>
        <v/>
      </c>
      <c r="N18" s="1921" t="str">
        <f>IF(H18="NO","",Modules!#REF!)</f>
        <v/>
      </c>
      <c r="O18" s="1921"/>
      <c r="P18" s="1922"/>
      <c r="Q18" s="10"/>
      <c r="R18" s="10"/>
      <c r="S18" s="10" t="s">
        <v>49</v>
      </c>
      <c r="T18" s="930">
        <f>MAX(Admin!G17:G24)</f>
        <v>3</v>
      </c>
      <c r="U18" s="512"/>
      <c r="V18" s="38"/>
      <c r="W18" s="470"/>
      <c r="X18" s="516"/>
    </row>
    <row r="19" spans="1:35" ht="15" customHeight="1">
      <c r="B19" s="511" t="str">
        <f>IF(Modules!J87=0,"",Modules!J87)</f>
        <v/>
      </c>
      <c r="C19" s="495" t="str">
        <f>IF(B19="","",Source!$M$2)</f>
        <v/>
      </c>
      <c r="D19" s="624" t="str">
        <f>IF(B19="","",IF(Modules!J106="",0,Modules!J106))</f>
        <v/>
      </c>
      <c r="E19" s="624" t="str">
        <f t="shared" si="0"/>
        <v/>
      </c>
      <c r="F19" s="1911" t="str">
        <f>IF(B19="","",Modules!J116)</f>
        <v/>
      </c>
      <c r="G19" s="1912"/>
      <c r="H19" s="1164" t="s">
        <v>2168</v>
      </c>
      <c r="I19" s="499" t="s">
        <v>2245</v>
      </c>
      <c r="J19" s="849" t="str">
        <f>IF(H19="NO","",Modules!F10)</f>
        <v>300%</v>
      </c>
      <c r="K19" s="1349" t="str">
        <f>IF(H19="NO","",Modules!F39)</f>
        <v>300%</v>
      </c>
      <c r="L19" s="579">
        <v>1500000</v>
      </c>
      <c r="M19" s="499"/>
      <c r="N19" s="1921" t="str">
        <f>IF(H19="NO","",Modules!$F$22&amp;"/ "&amp;Modules!$F$51)</f>
        <v>Captain only/ All others on board</v>
      </c>
      <c r="O19" s="1921"/>
      <c r="P19" s="1922"/>
      <c r="Q19" s="10"/>
      <c r="R19" s="10"/>
      <c r="S19" s="10"/>
      <c r="T19" s="10"/>
      <c r="U19" s="512"/>
    </row>
    <row r="20" spans="1:35" ht="15" customHeight="1">
      <c r="B20" s="511" t="str">
        <f>IF(Modules!J88=0,"",Modules!J88)</f>
        <v/>
      </c>
      <c r="C20" s="847" t="str">
        <f>IF(B20="","",Source!$M$2)</f>
        <v/>
      </c>
      <c r="D20" s="624" t="str">
        <f>IF(B20="","",IF(Modules!J107="",0,Modules!J107))</f>
        <v/>
      </c>
      <c r="E20" s="624" t="str">
        <f t="shared" si="0"/>
        <v/>
      </c>
      <c r="F20" s="1911" t="str">
        <f>IF(B20="","",Modules!J117)</f>
        <v/>
      </c>
      <c r="G20" s="1912"/>
      <c r="H20" s="1164" t="s">
        <v>2168</v>
      </c>
      <c r="I20" s="499" t="s">
        <v>2238</v>
      </c>
      <c r="J20" s="849" t="str">
        <f>IF(H20="NO","",Modules!G10)</f>
        <v>300%</v>
      </c>
      <c r="K20" s="1349" t="str">
        <f>IF(H20="NO","",Modules!G39)</f>
        <v>300%</v>
      </c>
      <c r="L20" s="579">
        <v>1500000</v>
      </c>
      <c r="M20" s="10"/>
      <c r="N20" s="1921" t="str">
        <f>IF(H20="NO","",Modules!$F$22&amp;"/ "&amp;Modules!$F$51)</f>
        <v>Captain only/ All others on board</v>
      </c>
      <c r="O20" s="1921"/>
      <c r="P20" s="1922"/>
      <c r="Q20" s="1890" t="s">
        <v>14</v>
      </c>
      <c r="R20" s="1890"/>
      <c r="S20" s="10" t="str">
        <f>Source!$H$1</f>
        <v>Effective date</v>
      </c>
      <c r="T20" s="500">
        <f>Source!$H$2</f>
        <v>41760</v>
      </c>
      <c r="U20" s="512"/>
      <c r="V20" s="3" t="str">
        <f>"/ "&amp;Modules!$F$51</f>
        <v>/ All others on board</v>
      </c>
      <c r="W20" s="619">
        <v>2</v>
      </c>
    </row>
    <row r="21" spans="1:35" ht="15" customHeight="1">
      <c r="B21" s="1355" t="s">
        <v>59</v>
      </c>
      <c r="C21" s="1356"/>
      <c r="D21" s="1357">
        <f>SUM(D15:D20)</f>
        <v>11362.78</v>
      </c>
      <c r="E21" s="1357">
        <f>SUM(E15:E20)</f>
        <v>11817.291200000001</v>
      </c>
      <c r="F21" s="1924" t="s">
        <v>2509</v>
      </c>
      <c r="G21" s="1925"/>
      <c r="H21" s="1164" t="s">
        <v>2168</v>
      </c>
      <c r="I21" s="499" t="s">
        <v>2359</v>
      </c>
      <c r="J21" s="849" t="str">
        <f>IF(H21="NO","",Modules!H10)</f>
        <v>300%</v>
      </c>
      <c r="K21" s="1349" t="str">
        <f>IF(H21="NO","",Modules!H39)</f>
        <v>300%</v>
      </c>
      <c r="L21" s="579">
        <v>1500000</v>
      </c>
      <c r="M21" s="10"/>
      <c r="N21" s="1921" t="str">
        <f>IF(H21="NO","",Modules!$F$22&amp;"/ "&amp;Modules!$F$51)</f>
        <v>Captain only/ All others on board</v>
      </c>
      <c r="O21" s="1921"/>
      <c r="P21" s="1922"/>
      <c r="Q21" s="495"/>
      <c r="R21" s="495"/>
      <c r="S21" s="500" t="str">
        <f>IF(Source!$J$2="",Source!$I$1,Source!$J$1)</f>
        <v>Renewal date</v>
      </c>
      <c r="T21" s="500">
        <f>IF(Source!$J$2="",Source!$I$2,Source!$J$2)</f>
        <v>42930</v>
      </c>
      <c r="U21" s="512"/>
      <c r="V21" s="3" t="str">
        <f>"/ "&amp;Modules!$F$51</f>
        <v>/ All others on board</v>
      </c>
      <c r="W21" s="619">
        <v>2</v>
      </c>
    </row>
    <row r="22" spans="1:35" ht="15" customHeight="1">
      <c r="B22" s="36"/>
      <c r="C22" s="10"/>
      <c r="D22" s="501"/>
      <c r="E22" s="501">
        <f>D22*1.04</f>
        <v>0</v>
      </c>
      <c r="F22" s="1926" t="s">
        <v>2510</v>
      </c>
      <c r="G22" s="1927"/>
      <c r="H22" s="1164" t="s">
        <v>2168</v>
      </c>
      <c r="I22" s="499" t="s">
        <v>2239</v>
      </c>
      <c r="J22" s="849" t="str">
        <f>IF(H22="NO","",Modules!I10)</f>
        <v>300%</v>
      </c>
      <c r="K22" s="1349" t="str">
        <f>IF(H22="NO","",Modules!I39)</f>
        <v>300%</v>
      </c>
      <c r="L22" s="579">
        <v>1500000</v>
      </c>
      <c r="M22" s="10"/>
      <c r="N22" s="1921" t="str">
        <f>IF(H22="NO","",Modules!$F$22&amp;"/ "&amp;Modules!$F$51)</f>
        <v>Captain only/ All others on board</v>
      </c>
      <c r="O22" s="1921"/>
      <c r="P22" s="1922"/>
      <c r="Q22" s="845"/>
      <c r="R22" s="1146"/>
      <c r="S22" s="1146"/>
      <c r="T22" s="10"/>
      <c r="U22" s="512"/>
      <c r="V22" s="3" t="str">
        <f>"/ "&amp;Modules!$F$51</f>
        <v>/ All others on board</v>
      </c>
      <c r="W22" s="619">
        <v>2</v>
      </c>
    </row>
    <row r="23" spans="1:35" ht="15" customHeight="1">
      <c r="B23" s="1928" t="s">
        <v>2511</v>
      </c>
      <c r="C23" s="1929"/>
      <c r="D23" s="1929"/>
      <c r="E23" s="1929"/>
      <c r="F23" s="1929"/>
      <c r="G23" s="1930"/>
      <c r="H23" s="1164" t="s">
        <v>2168</v>
      </c>
      <c r="I23" s="499" t="s">
        <v>2362</v>
      </c>
      <c r="J23" s="849" t="str">
        <f>IF(H23="NO","",Modules!J10)</f>
        <v>100%</v>
      </c>
      <c r="K23" s="1349" t="str">
        <f>IF(H23="NO","",Modules!J39)</f>
        <v>100%</v>
      </c>
      <c r="L23" s="579">
        <v>598000</v>
      </c>
      <c r="M23" s="495"/>
      <c r="N23" s="1921" t="str">
        <f>IF(H23="NO","",Modules!$F$22&amp;"/ "&amp;Modules!$F$51)</f>
        <v>Captain only/ All others on board</v>
      </c>
      <c r="O23" s="1921"/>
      <c r="P23" s="1922"/>
      <c r="Q23" s="845"/>
      <c r="R23" s="1146"/>
      <c r="S23" s="1146"/>
      <c r="T23" s="10"/>
      <c r="U23" s="512"/>
      <c r="V23" s="3" t="str">
        <f>"/ "&amp;Modules!$F$51</f>
        <v>/ All others on board</v>
      </c>
      <c r="W23" s="619">
        <v>2</v>
      </c>
    </row>
    <row r="24" spans="1:35" ht="15" customHeight="1">
      <c r="B24" s="837"/>
      <c r="C24" s="838"/>
      <c r="D24" s="838"/>
      <c r="E24" s="838"/>
      <c r="F24" s="838"/>
      <c r="G24" s="839"/>
      <c r="H24" s="1164" t="s">
        <v>2168</v>
      </c>
      <c r="I24" s="513" t="s">
        <v>2240</v>
      </c>
      <c r="J24" s="1165" t="str">
        <f>IF(H24="NO","",Modules!K10)</f>
        <v>100%</v>
      </c>
      <c r="K24" s="838" t="str">
        <f>IF(H24="NO","",Modules!K39)</f>
        <v>100%</v>
      </c>
      <c r="L24" s="579">
        <v>598000</v>
      </c>
      <c r="M24" s="470"/>
      <c r="N24" s="1921" t="str">
        <f>IF(H24="NO","",Modules!$F$22&amp;"/ "&amp;Modules!$F$51)</f>
        <v>Captain only/ All others on board</v>
      </c>
      <c r="O24" s="1921"/>
      <c r="P24" s="1922"/>
      <c r="Q24" s="514"/>
      <c r="R24" s="1147"/>
      <c r="S24" s="1147"/>
      <c r="T24" s="470"/>
      <c r="U24" s="516"/>
      <c r="V24" s="3" t="str">
        <f>"/ "&amp;Modules!$F$51</f>
        <v>/ All others on board</v>
      </c>
      <c r="W24" s="619">
        <v>1</v>
      </c>
    </row>
    <row r="25" spans="1:35" ht="15" customHeight="1">
      <c r="B25" s="468"/>
      <c r="C25" s="468"/>
      <c r="D25" s="468"/>
      <c r="E25" s="468"/>
      <c r="F25" s="468"/>
      <c r="G25" s="468"/>
      <c r="Q25" s="12"/>
      <c r="R25" s="13"/>
      <c r="S25" s="13"/>
      <c r="W25" s="619">
        <v>1</v>
      </c>
    </row>
    <row r="26" spans="1:35" ht="45" customHeight="1">
      <c r="C26" s="1932"/>
      <c r="D26" s="1932"/>
      <c r="E26" s="1932"/>
      <c r="F26" s="1932"/>
      <c r="G26" s="1932"/>
      <c r="H26" s="1932"/>
      <c r="I26" s="1932"/>
      <c r="J26" s="1932"/>
      <c r="K26" s="1932"/>
      <c r="L26" s="1932"/>
      <c r="M26" s="1932"/>
      <c r="N26" s="1932"/>
      <c r="O26" s="1932"/>
      <c r="P26" s="1932"/>
      <c r="Q26" s="12"/>
      <c r="R26" s="13"/>
      <c r="S26" s="13"/>
      <c r="V26" s="1934" t="s">
        <v>3097</v>
      </c>
      <c r="W26" s="1934"/>
      <c r="X26" s="1934"/>
      <c r="Y26" s="1934"/>
      <c r="Z26" s="1934"/>
      <c r="AA26" s="1934"/>
      <c r="AB26" s="1934"/>
      <c r="AC26" s="1934"/>
      <c r="AD26" s="1934"/>
      <c r="AE26" s="1934"/>
      <c r="AF26" s="1934"/>
      <c r="AG26" s="1934"/>
      <c r="AH26" s="1934"/>
      <c r="AI26" s="1934"/>
    </row>
    <row r="27" spans="1:35" ht="15" customHeight="1">
      <c r="B27" s="1931"/>
      <c r="C27" s="1931"/>
      <c r="D27" s="14"/>
      <c r="E27" s="14"/>
      <c r="F27" s="14"/>
      <c r="G27" s="1458">
        <f>SUM(G55:G123)</f>
        <v>2260</v>
      </c>
      <c r="H27" s="1458">
        <f>SUM(H55:H123)</f>
        <v>75</v>
      </c>
      <c r="I27" s="15">
        <f t="shared" ref="I27:R27" ca="1" si="2">SUM(OFFSET(I30,0,0,COUNTA(I30:I10003),1))</f>
        <v>0</v>
      </c>
      <c r="J27" s="15">
        <f t="shared" ca="1" si="2"/>
        <v>0</v>
      </c>
      <c r="K27" s="15">
        <f t="shared" ca="1" si="2"/>
        <v>730.50485781766622</v>
      </c>
      <c r="L27" s="15">
        <f t="shared" ca="1" si="2"/>
        <v>1826.9911913084554</v>
      </c>
      <c r="M27" s="15">
        <f t="shared" ca="1" si="2"/>
        <v>902.55989418989122</v>
      </c>
      <c r="N27" s="15">
        <f t="shared" ca="1" si="2"/>
        <v>2171.1012640529048</v>
      </c>
      <c r="O27" s="15">
        <f t="shared" ca="1" si="2"/>
        <v>2782.8674199338684</v>
      </c>
      <c r="P27" s="15">
        <f t="shared" ca="1" si="2"/>
        <v>5561.4775210203125</v>
      </c>
      <c r="Q27" s="15">
        <f t="shared" ca="1" si="2"/>
        <v>13975.502148323099</v>
      </c>
      <c r="R27" s="15">
        <f t="shared" ca="1" si="2"/>
        <v>14534.522234256025</v>
      </c>
    </row>
    <row r="28" spans="1:35" s="9" customFormat="1" ht="30.75" customHeight="1">
      <c r="A28" s="1880" t="s">
        <v>2525</v>
      </c>
      <c r="B28" s="1880" t="s">
        <v>36</v>
      </c>
      <c r="C28" s="1880" t="s">
        <v>16</v>
      </c>
      <c r="D28" s="1880" t="s">
        <v>35</v>
      </c>
      <c r="E28" s="1880" t="s">
        <v>18</v>
      </c>
      <c r="F28" s="1880" t="s">
        <v>19</v>
      </c>
      <c r="G28" s="1908" t="s">
        <v>45</v>
      </c>
      <c r="H28" s="1908"/>
      <c r="I28" s="1880" t="s">
        <v>3</v>
      </c>
      <c r="J28" s="1880" t="s">
        <v>2635</v>
      </c>
      <c r="K28" s="1880" t="s">
        <v>6</v>
      </c>
      <c r="L28" s="1880" t="s">
        <v>8</v>
      </c>
      <c r="M28" s="1880" t="s">
        <v>9</v>
      </c>
      <c r="N28" s="1880" t="s">
        <v>10</v>
      </c>
      <c r="O28" s="1880" t="s">
        <v>40</v>
      </c>
      <c r="P28" s="1880" t="s">
        <v>41</v>
      </c>
      <c r="Q28" s="1933" t="s">
        <v>39</v>
      </c>
      <c r="R28" s="1933" t="s">
        <v>42</v>
      </c>
      <c r="S28" s="1880" t="s">
        <v>44</v>
      </c>
      <c r="T28" s="1880"/>
      <c r="U28" s="1880"/>
    </row>
    <row r="29" spans="1:35" s="9" customFormat="1">
      <c r="A29" s="1880"/>
      <c r="B29" s="1880"/>
      <c r="C29" s="1880"/>
      <c r="D29" s="1880"/>
      <c r="E29" s="1880"/>
      <c r="F29" s="1880"/>
      <c r="G29" s="473" t="s">
        <v>37</v>
      </c>
      <c r="H29" s="473" t="s">
        <v>38</v>
      </c>
      <c r="I29" s="1880"/>
      <c r="J29" s="1880"/>
      <c r="K29" s="1880"/>
      <c r="L29" s="1880"/>
      <c r="M29" s="1880"/>
      <c r="N29" s="1880"/>
      <c r="O29" s="1880"/>
      <c r="P29" s="1880"/>
      <c r="Q29" s="1933"/>
      <c r="R29" s="1933"/>
      <c r="S29" s="1880"/>
      <c r="T29" s="1880"/>
      <c r="U29" s="1880"/>
    </row>
    <row r="30" spans="1:35" s="11" customFormat="1" ht="12.75" hidden="1" customHeight="1">
      <c r="A30" s="11" t="str">
        <f>IF(NAMES!$B$10=TRUE,IF(Cotations!C15=FALSE,"",Cotations!D15),IF(Source!A38="","",YEAR(Source!$B$2)&amp;"-"&amp;YEAR(Source!$C$2)&amp;"!"))</f>
        <v/>
      </c>
      <c r="B30" s="11" t="str">
        <f>IF(NAMES!$B$10=FALSE,IF(Source!A38="","",Source!A38),Cotations!F15)</f>
        <v/>
      </c>
      <c r="C30" s="11" t="str">
        <f>IF(NAMES!$B$10=FALSE,IF($B30="","",Source!B38),IF($B30="","",Crewlist!J15))</f>
        <v/>
      </c>
      <c r="D30" s="11" t="str">
        <f>IF(NAMES!$B$10=FALSE,IF($B30="","",Source!C38),IF($B30="","",Cotations!H15))</f>
        <v/>
      </c>
      <c r="E30" s="11" t="str">
        <f>IF(NAMES!$B$10=FALSE,IF($B30="","",Source!D38),IF($B30="","",Crewlist!G15))</f>
        <v/>
      </c>
      <c r="F30" s="16" t="str">
        <f>IF(NAMES!$B$10=FALSE,IF($B30="","",Source!E38),IF($B30="","",Crewlist!K15))</f>
        <v/>
      </c>
      <c r="G30" s="17" t="str">
        <f>IF(NAMES!$B$10=FALSE,IF($B30="","",Source!F38),Cotations!O15)</f>
        <v/>
      </c>
      <c r="H30" s="17" t="str">
        <f>IF(NAMES!$B$10=FALSE,IF($B30="","",Source!G38),Cotations!M15)</f>
        <v/>
      </c>
      <c r="I30" s="18" t="str">
        <f ca="1">IF(NAMES!$B$10=FALSE,IF($B30="","",CIE_HT(I$28,$Q$2,OFFSET(Source!$A38,0,0,1,Config!$K$7))),IF($B30="","",IF(Calcul!$BC$7=$Q$2,Calcul!BE15,Calcul!BQ15)))</f>
        <v/>
      </c>
      <c r="J30" s="18" t="str">
        <f ca="1">IF(NAMES!$B$10=FALSE,IF($B30="","",CIE_HT(J$28,$Q$2,OFFSET(Source!$A38,0,0,1,Config!$K$7))),IF($B30="","",IF(Calcul!$BC$7=$Q$2,Calcul!BF15+Calcul!BG15+Calcul!BH15,Calcul!BR15)))</f>
        <v/>
      </c>
      <c r="K30" s="18" t="str">
        <f ca="1">IF(NAMES!$B$10=FALSE,IF($B30="","",CIE_HT(K$28,$Q$2,OFFSET(Source!$A38,0,0,1,Config!$K$7))),IF($B30="","",IF(Calcul!$BC$7=$Q$2,Calcul!BI15,Calcul!BS15)))</f>
        <v/>
      </c>
      <c r="L30" s="18" t="str">
        <f ca="1">IF(NAMES!$B$10=FALSE,IF($B30="","",CIE_HT(L$28,$Q$2,OFFSET(Source!$A38,0,0,1,Config!$K$7))),IF($B30="","",IF(Calcul!$BC$7=$Q$2,Calcul!BJ15,Calcul!BT15)))</f>
        <v/>
      </c>
      <c r="M30" s="18" t="str">
        <f ca="1">IF(NAMES!$B$10=FALSE,IF($B30="","",CIE_HT(M$28,$Q$2,OFFSET(Source!$A38,0,0,1,Config!$K$7))),IF($B30="","",IF(Calcul!$BC$7=$Q$2,Calcul!BK15,Calcul!BU15)))</f>
        <v/>
      </c>
      <c r="N30" s="18" t="str">
        <f ca="1">IF(NAMES!$B$10=FALSE,IF($B30="","",CIE_HT(N$28,$Q$2,OFFSET(Source!$A38,0,0,1,Config!$K$7))),IF($B30="","",IF(Calcul!$BC$7=$Q$2,Calcul!BL15,Calcul!BV15)))</f>
        <v/>
      </c>
      <c r="O30" s="18" t="str">
        <f ca="1">IF(NAMES!$B$10=FALSE,IF($B30="","",CIE_HT(O$28,$Q$2,OFFSET(Source!$A38,0,0,1,Config!$K$7))),IF($B30="","",IF(Calcul!$BC$7=$Q$2,Calcul!BM15,Calcul!BW15)))</f>
        <v/>
      </c>
      <c r="P30" s="18" t="str">
        <f ca="1">IF(NAMES!$B$10=FALSE,IF($B30="","",CIE_HT(P$28,$Q$2,OFFSET(Source!$A38,0,0,1,Config!$K$7))),IF($B30="","",IF(Calcul!$BC$7=$Q$2,Calcul!BN15,Calcul!BX15)))</f>
        <v/>
      </c>
      <c r="Q30" s="18" t="str">
        <f>IF($B30="","",SUM($I30:$P30))</f>
        <v/>
      </c>
      <c r="R30" s="18" t="str">
        <f ca="1">IF(NAMES!$B$10=FALSE,IF($B30="","",TOT_CIE_TC(I$28:P$28,$Q$2,OFFSET(Source!$A38,0,0,1,Config!$K$7))),IF($B30="","",Q30*TAXE))</f>
        <v/>
      </c>
      <c r="S30" s="1883" t="str">
        <f ca="1">IF(NAMES!$B$10=FALSE,IF($B30="","",_xludf.FORMULA($B30,$Q$2,OFFSET(Source!$A38,0,0,1,Config!$K$7))),IF($Q$2="AIG Luxembourg",Calcul!EE15,Calcul!IE15))</f>
        <v/>
      </c>
      <c r="T30" s="1883"/>
      <c r="U30" s="1883"/>
    </row>
    <row r="31" spans="1:35" ht="12" hidden="1" customHeight="1">
      <c r="A31" s="11" t="str">
        <f>IF(NAMES!$B$10=TRUE,IF(Cotations!C16=FALSE,"",Cotations!D16),IF(Source!A39="","",YEAR(Source!$B$2)&amp;"-"&amp;YEAR(Source!$C$2)&amp;"!"))</f>
        <v/>
      </c>
      <c r="B31" s="11" t="str">
        <f>IF(NAMES!$B$10=FALSE,IF(Source!A39="","",Source!A39),Cotations!F16)</f>
        <v/>
      </c>
      <c r="C31" s="11" t="str">
        <f>IF(NAMES!$B$10=FALSE,IF($B31="","",Source!B39),IF($B31="","",Crewlist!J16))</f>
        <v/>
      </c>
      <c r="D31" s="11" t="str">
        <f>IF(NAMES!$B$10=FALSE,IF($B31="","",Source!C39),IF($B31="","",Cotations!H16))</f>
        <v/>
      </c>
      <c r="E31" s="11" t="str">
        <f>IF(NAMES!$B$10=FALSE,IF($B31="","",Source!D39),IF($B31="","",Crewlist!G16))</f>
        <v/>
      </c>
      <c r="F31" s="16" t="str">
        <f>IF(NAMES!$B$10=FALSE,IF($B31="","",Source!E39),IF($B31="","",Crewlist!K16))</f>
        <v/>
      </c>
      <c r="G31" s="17" t="str">
        <f>IF(NAMES!$B$10=FALSE,IF($B31="","",Source!F39),Cotations!O16)</f>
        <v/>
      </c>
      <c r="H31" s="17" t="str">
        <f>IF(NAMES!$B$10=FALSE,IF($B31="","",Source!G39),Cotations!M16)</f>
        <v/>
      </c>
      <c r="I31" s="18" t="str">
        <f ca="1">IF(NAMES!$B$10=FALSE,IF($B31="","",CIE_HT(I$28,$Q$2,OFFSET(Source!$A39,0,0,1,Config!$K$7))),IF($B31="","",IF(Calcul!$BC$7=$Q$2,Calcul!BE16,Calcul!BQ16)))</f>
        <v/>
      </c>
      <c r="J31" s="18" t="str">
        <f ca="1">IF(NAMES!$B$10=FALSE,IF($B31="","",CIE_HT(J$28,$Q$2,OFFSET(Source!$A39,0,0,1,Config!$K$7))),IF($B31="","",IF(Calcul!$BC$7=$Q$2,Calcul!BF16+Calcul!BG16+Calcul!BH16,Calcul!BR16)))</f>
        <v/>
      </c>
      <c r="K31" s="18" t="str">
        <f ca="1">IF(NAMES!$B$10=FALSE,IF($B31="","",CIE_HT(K$28,$Q$2,OFFSET(Source!$A39,0,0,1,Config!$K$7))),IF($B31="","",IF(Calcul!$BC$7=$Q$2,Calcul!BI16,Calcul!BS16)))</f>
        <v/>
      </c>
      <c r="L31" s="18" t="str">
        <f ca="1">IF(NAMES!$B$10=FALSE,IF($B31="","",CIE_HT(L$28,$Q$2,OFFSET(Source!$A39,0,0,1,Config!$K$7))),IF($B31="","",IF(Calcul!$BC$7=$Q$2,Calcul!BJ16,Calcul!BT16)))</f>
        <v/>
      </c>
      <c r="M31" s="18" t="str">
        <f ca="1">IF(NAMES!$B$10=FALSE,IF($B31="","",CIE_HT(M$28,$Q$2,OFFSET(Source!$A39,0,0,1,Config!$K$7))),IF($B31="","",IF(Calcul!$BC$7=$Q$2,Calcul!BK16,Calcul!BU16)))</f>
        <v/>
      </c>
      <c r="N31" s="18" t="str">
        <f ca="1">IF(NAMES!$B$10=FALSE,IF($B31="","",CIE_HT(N$28,$Q$2,OFFSET(Source!$A39,0,0,1,Config!$K$7))),IF($B31="","",IF(Calcul!$BC$7=$Q$2,Calcul!BL16,Calcul!BV16)))</f>
        <v/>
      </c>
      <c r="O31" s="18" t="str">
        <f ca="1">IF(NAMES!$B$10=FALSE,IF($B31="","",CIE_HT(O$28,$Q$2,OFFSET(Source!$A39,0,0,1,Config!$K$7))),IF($B31="","",IF(Calcul!$BC$7=$Q$2,Calcul!BM16,Calcul!BW16)))</f>
        <v/>
      </c>
      <c r="P31" s="18" t="str">
        <f ca="1">IF(NAMES!$B$10=FALSE,IF($B31="","",CIE_HT(P$28,$Q$2,OFFSET(Source!$A39,0,0,1,Config!$K$7))),IF($B31="","",IF(Calcul!$BC$7=$Q$2,Calcul!BN16,Calcul!BX16)))</f>
        <v/>
      </c>
      <c r="Q31" s="18" t="str">
        <f t="shared" ref="Q31:Q94" si="3">IF($B31="","",SUM($I31:$P31))</f>
        <v/>
      </c>
      <c r="R31" s="18" t="str">
        <f ca="1">IF(NAMES!$B$10=FALSE,IF($B31="","",TOT_CIE_TC(I$28:P$28,$Q$2,OFFSET(Source!$A39,0,0,1,Config!$K$7))),IF($B31="","",Q31*TAXE))</f>
        <v/>
      </c>
      <c r="S31" s="1883" t="str">
        <f ca="1">IF(NAMES!$B$10=FALSE,IF($B31="","",_xludf.FORMULA($B31,$Q$2,OFFSET(Source!$A39,0,0,1,Config!$K$7))),IF($Q$2="AIG Luxembourg",Calcul!EE16,Calcul!IE16))</f>
        <v/>
      </c>
      <c r="T31" s="1883"/>
      <c r="U31" s="1883"/>
    </row>
    <row r="32" spans="1:35" hidden="1">
      <c r="A32" s="11" t="str">
        <f>IF(NAMES!$B$10=TRUE,IF(Cotations!C17=FALSE,"",Cotations!D17),IF(Source!A40="","",YEAR(Source!$B$2)&amp;"-"&amp;YEAR(Source!$C$2)&amp;"!"))</f>
        <v/>
      </c>
      <c r="B32" s="11" t="str">
        <f>IF(NAMES!$B$10=FALSE,IF(Source!A40="","",Source!A40),Cotations!F17)</f>
        <v/>
      </c>
      <c r="C32" s="11" t="str">
        <f>IF(NAMES!$B$10=FALSE,IF($B32="","",Source!B40),IF($B32="","",Crewlist!J17))</f>
        <v/>
      </c>
      <c r="D32" s="11" t="str">
        <f>IF(NAMES!$B$10=FALSE,IF($B32="","",Source!C40),IF($B32="","",Cotations!H17))</f>
        <v/>
      </c>
      <c r="E32" s="11" t="str">
        <f>IF(NAMES!$B$10=FALSE,IF($B32="","",Source!D40),IF($B32="","",Crewlist!G17))</f>
        <v/>
      </c>
      <c r="F32" s="16" t="str">
        <f>IF(NAMES!$B$10=FALSE,IF($B32="","",Source!E40),IF($B32="","",Crewlist!K17))</f>
        <v/>
      </c>
      <c r="G32" s="17" t="str">
        <f>IF(NAMES!$B$10=FALSE,IF($B32="","",Source!F40),Cotations!O17)</f>
        <v/>
      </c>
      <c r="H32" s="17" t="str">
        <f>IF(NAMES!$B$10=FALSE,IF($B32="","",Source!G40),Cotations!M17)</f>
        <v/>
      </c>
      <c r="I32" s="18" t="str">
        <f ca="1">IF(NAMES!$B$10=FALSE,IF($B32="","",CIE_HT(I$28,$Q$2,OFFSET(Source!$A40,0,0,1,Config!$K$7))),IF($B32="","",IF(Calcul!$BC$7=$Q$2,Calcul!BE17,Calcul!BQ17)))</f>
        <v/>
      </c>
      <c r="J32" s="18" t="str">
        <f ca="1">IF(NAMES!$B$10=FALSE,IF($B32="","",CIE_HT(J$28,$Q$2,OFFSET(Source!$A40,0,0,1,Config!$K$7))),IF($B32="","",IF(Calcul!$BC$7=$Q$2,Calcul!BF17+Calcul!BG17+Calcul!BH17,Calcul!BR17)))</f>
        <v/>
      </c>
      <c r="K32" s="18" t="str">
        <f ca="1">IF(NAMES!$B$10=FALSE,IF($B32="","",CIE_HT(K$28,$Q$2,OFFSET(Source!$A40,0,0,1,Config!$K$7))),IF($B32="","",IF(Calcul!$BC$7=$Q$2,Calcul!BI17,Calcul!BS17)))</f>
        <v/>
      </c>
      <c r="L32" s="18" t="str">
        <f ca="1">IF(NAMES!$B$10=FALSE,IF($B32="","",CIE_HT(L$28,$Q$2,OFFSET(Source!$A40,0,0,1,Config!$K$7))),IF($B32="","",IF(Calcul!$BC$7=$Q$2,Calcul!BJ17,Calcul!BT17)))</f>
        <v/>
      </c>
      <c r="M32" s="18" t="str">
        <f ca="1">IF(NAMES!$B$10=FALSE,IF($B32="","",CIE_HT(M$28,$Q$2,OFFSET(Source!$A40,0,0,1,Config!$K$7))),IF($B32="","",IF(Calcul!$BC$7=$Q$2,Calcul!BK17,Calcul!BU17)))</f>
        <v/>
      </c>
      <c r="N32" s="18" t="str">
        <f ca="1">IF(NAMES!$B$10=FALSE,IF($B32="","",CIE_HT(N$28,$Q$2,OFFSET(Source!$A40,0,0,1,Config!$K$7))),IF($B32="","",IF(Calcul!$BC$7=$Q$2,Calcul!BL17,Calcul!BV17)))</f>
        <v/>
      </c>
      <c r="O32" s="18" t="str">
        <f ca="1">IF(NAMES!$B$10=FALSE,IF($B32="","",CIE_HT(O$28,$Q$2,OFFSET(Source!$A40,0,0,1,Config!$K$7))),IF($B32="","",IF(Calcul!$BC$7=$Q$2,Calcul!BM17,Calcul!BW17)))</f>
        <v/>
      </c>
      <c r="P32" s="18" t="str">
        <f ca="1">IF(NAMES!$B$10=FALSE,IF($B32="","",CIE_HT(P$28,$Q$2,OFFSET(Source!$A40,0,0,1,Config!$K$7))),IF($B32="","",IF(Calcul!$BC$7=$Q$2,Calcul!BN17,Calcul!BX17)))</f>
        <v/>
      </c>
      <c r="Q32" s="18" t="str">
        <f t="shared" si="3"/>
        <v/>
      </c>
      <c r="R32" s="18" t="str">
        <f ca="1">IF(NAMES!$B$10=FALSE,IF($B32="","",TOT_CIE_TC(I$28:P$28,$Q$2,OFFSET(Source!$A40,0,0,1,Config!$K$7))),IF($B32="","",Q32*TAXE))</f>
        <v/>
      </c>
      <c r="S32" s="1883" t="str">
        <f ca="1">IF(NAMES!$B$10=FALSE,IF($B32="","",_xludf.FORMULA($B32,$Q$2,OFFSET(Source!$A40,0,0,1,Config!$K$7))),IF($Q$2="AIG Luxembourg",Calcul!EE17,Calcul!IE17))</f>
        <v/>
      </c>
      <c r="T32" s="1883"/>
      <c r="U32" s="1883"/>
    </row>
    <row r="33" spans="1:21" hidden="1">
      <c r="A33" s="11" t="str">
        <f>IF(NAMES!$B$10=TRUE,IF(Cotations!C18=FALSE,"",Cotations!D18),IF(Source!A41="","",YEAR(Source!$B$2)&amp;"-"&amp;YEAR(Source!$C$2)&amp;"!"))</f>
        <v/>
      </c>
      <c r="B33" s="11" t="str">
        <f>IF(NAMES!$B$10=FALSE,IF(Source!A41="","",Source!A41),Cotations!F18)</f>
        <v/>
      </c>
      <c r="C33" s="11" t="str">
        <f>IF(NAMES!$B$10=FALSE,IF($B33="","",Source!B41),IF($B33="","",Crewlist!J18))</f>
        <v/>
      </c>
      <c r="D33" s="11" t="str">
        <f>IF(NAMES!$B$10=FALSE,IF($B33="","",Source!C41),IF($B33="","",Cotations!H18))</f>
        <v/>
      </c>
      <c r="E33" s="11" t="str">
        <f>IF(NAMES!$B$10=FALSE,IF($B33="","",Source!D41),IF($B33="","",Crewlist!G18))</f>
        <v/>
      </c>
      <c r="F33" s="16" t="str">
        <f>IF(NAMES!$B$10=FALSE,IF($B33="","",Source!E41),IF($B33="","",Crewlist!K18))</f>
        <v/>
      </c>
      <c r="G33" s="17" t="str">
        <f>IF(NAMES!$B$10=FALSE,IF($B33="","",Source!F41),Cotations!O18)</f>
        <v/>
      </c>
      <c r="H33" s="17" t="str">
        <f>IF(NAMES!$B$10=FALSE,IF($B33="","",Source!G41),Cotations!M18)</f>
        <v/>
      </c>
      <c r="I33" s="18" t="str">
        <f ca="1">IF(NAMES!$B$10=FALSE,IF($B33="","",CIE_HT(I$28,$Q$2,OFFSET(Source!$A41,0,0,1,Config!$K$7))),IF($B33="","",IF(Calcul!$BC$7=$Q$2,Calcul!BE18,Calcul!BQ18)))</f>
        <v/>
      </c>
      <c r="J33" s="18" t="str">
        <f ca="1">IF(NAMES!$B$10=FALSE,IF($B33="","",CIE_HT(J$28,$Q$2,OFFSET(Source!$A41,0,0,1,Config!$K$7))),IF($B33="","",IF(Calcul!$BC$7=$Q$2,Calcul!BF18+Calcul!BG18+Calcul!BH18,Calcul!BR18)))</f>
        <v/>
      </c>
      <c r="K33" s="18" t="str">
        <f ca="1">IF(NAMES!$B$10=FALSE,IF($B33="","",CIE_HT(K$28,$Q$2,OFFSET(Source!$A41,0,0,1,Config!$K$7))),IF($B33="","",IF(Calcul!$BC$7=$Q$2,Calcul!BI18,Calcul!BS18)))</f>
        <v/>
      </c>
      <c r="L33" s="18" t="str">
        <f ca="1">IF(NAMES!$B$10=FALSE,IF($B33="","",CIE_HT(L$28,$Q$2,OFFSET(Source!$A41,0,0,1,Config!$K$7))),IF($B33="","",IF(Calcul!$BC$7=$Q$2,Calcul!BJ18,Calcul!BT18)))</f>
        <v/>
      </c>
      <c r="M33" s="18" t="str">
        <f ca="1">IF(NAMES!$B$10=FALSE,IF($B33="","",CIE_HT(M$28,$Q$2,OFFSET(Source!$A41,0,0,1,Config!$K$7))),IF($B33="","",IF(Calcul!$BC$7=$Q$2,Calcul!BK18,Calcul!BU18)))</f>
        <v/>
      </c>
      <c r="N33" s="18" t="str">
        <f ca="1">IF(NAMES!$B$10=FALSE,IF($B33="","",CIE_HT(N$28,$Q$2,OFFSET(Source!$A41,0,0,1,Config!$K$7))),IF($B33="","",IF(Calcul!$BC$7=$Q$2,Calcul!BL18,Calcul!BV18)))</f>
        <v/>
      </c>
      <c r="O33" s="18" t="str">
        <f ca="1">IF(NAMES!$B$10=FALSE,IF($B33="","",CIE_HT(O$28,$Q$2,OFFSET(Source!$A41,0,0,1,Config!$K$7))),IF($B33="","",IF(Calcul!$BC$7=$Q$2,Calcul!BM18,Calcul!BW18)))</f>
        <v/>
      </c>
      <c r="P33" s="18" t="str">
        <f ca="1">IF(NAMES!$B$10=FALSE,IF($B33="","",CIE_HT(P$28,$Q$2,OFFSET(Source!$A41,0,0,1,Config!$K$7))),IF($B33="","",IF(Calcul!$BC$7=$Q$2,Calcul!BN18,Calcul!BX18)))</f>
        <v/>
      </c>
      <c r="Q33" s="18" t="str">
        <f t="shared" si="3"/>
        <v/>
      </c>
      <c r="R33" s="18" t="str">
        <f ca="1">IF(NAMES!$B$10=FALSE,IF($B33="","",TOT_CIE_TC(I$28:P$28,$Q$2,OFFSET(Source!$A41,0,0,1,Config!$K$7))),IF($B33="","",Q33*TAXE))</f>
        <v/>
      </c>
      <c r="S33" s="1883" t="str">
        <f ca="1">IF(NAMES!$B$10=FALSE,IF($B33="","",_xludf.FORMULA($B33,$Q$2,OFFSET(Source!$A41,0,0,1,Config!$K$7))),IF($Q$2="AIG Luxembourg",Calcul!EE18,Calcul!IE18))</f>
        <v/>
      </c>
      <c r="T33" s="1883"/>
      <c r="U33" s="1883"/>
    </row>
    <row r="34" spans="1:21" ht="12" hidden="1" customHeight="1">
      <c r="A34" s="11" t="str">
        <f>IF(NAMES!$B$10=TRUE,IF(Cotations!C19=FALSE,"",Cotations!D19),IF(Source!A42="","",YEAR(Source!$B$2)&amp;"-"&amp;YEAR(Source!$C$2)&amp;"!"))</f>
        <v/>
      </c>
      <c r="B34" s="11" t="str">
        <f>IF(NAMES!$B$10=FALSE,IF(Source!A42="","",Source!A42),Cotations!F19)</f>
        <v/>
      </c>
      <c r="C34" s="11" t="str">
        <f>IF(NAMES!$B$10=FALSE,IF($B34="","",Source!B42),IF($B34="","",Crewlist!J19))</f>
        <v/>
      </c>
      <c r="D34" s="11" t="str">
        <f>IF(NAMES!$B$10=FALSE,IF($B34="","",Source!C42),IF($B34="","",Cotations!H19))</f>
        <v/>
      </c>
      <c r="E34" s="11" t="str">
        <f>IF(NAMES!$B$10=FALSE,IF($B34="","",Source!D42),IF($B34="","",Crewlist!G19))</f>
        <v/>
      </c>
      <c r="F34" s="16" t="str">
        <f>IF(NAMES!$B$10=FALSE,IF($B34="","",Source!E42),IF($B34="","",Crewlist!K19))</f>
        <v/>
      </c>
      <c r="G34" s="17" t="str">
        <f>IF(NAMES!$B$10=FALSE,IF($B34="","",Source!F42),Cotations!O19)</f>
        <v/>
      </c>
      <c r="H34" s="17" t="str">
        <f>IF(NAMES!$B$10=FALSE,IF($B34="","",Source!G42),Cotations!M19)</f>
        <v/>
      </c>
      <c r="I34" s="18" t="str">
        <f ca="1">IF(NAMES!$B$10=FALSE,IF($B34="","",CIE_HT(I$28,$Q$2,OFFSET(Source!$A42,0,0,1,Config!$K$7))),IF($B34="","",IF(Calcul!$BC$7=$Q$2,Calcul!BE19,Calcul!BQ19)))</f>
        <v/>
      </c>
      <c r="J34" s="18" t="str">
        <f ca="1">IF(NAMES!$B$10=FALSE,IF($B34="","",CIE_HT(J$28,$Q$2,OFFSET(Source!$A42,0,0,1,Config!$K$7))),IF($B34="","",IF(Calcul!$BC$7=$Q$2,Calcul!BF19+Calcul!BG19+Calcul!BH19,Calcul!BR19)))</f>
        <v/>
      </c>
      <c r="K34" s="18" t="str">
        <f ca="1">IF(NAMES!$B$10=FALSE,IF($B34="","",CIE_HT(K$28,$Q$2,OFFSET(Source!$A42,0,0,1,Config!$K$7))),IF($B34="","",IF(Calcul!$BC$7=$Q$2,Calcul!BI19,Calcul!BS19)))</f>
        <v/>
      </c>
      <c r="L34" s="18" t="str">
        <f ca="1">IF(NAMES!$B$10=FALSE,IF($B34="","",CIE_HT(L$28,$Q$2,OFFSET(Source!$A42,0,0,1,Config!$K$7))),IF($B34="","",IF(Calcul!$BC$7=$Q$2,Calcul!BJ19,Calcul!BT19)))</f>
        <v/>
      </c>
      <c r="M34" s="18" t="str">
        <f ca="1">IF(NAMES!$B$10=FALSE,IF($B34="","",CIE_HT(M$28,$Q$2,OFFSET(Source!$A42,0,0,1,Config!$K$7))),IF($B34="","",IF(Calcul!$BC$7=$Q$2,Calcul!BK19,Calcul!BU19)))</f>
        <v/>
      </c>
      <c r="N34" s="18" t="str">
        <f ca="1">IF(NAMES!$B$10=FALSE,IF($B34="","",CIE_HT(N$28,$Q$2,OFFSET(Source!$A42,0,0,1,Config!$K$7))),IF($B34="","",IF(Calcul!$BC$7=$Q$2,Calcul!BL19,Calcul!BV19)))</f>
        <v/>
      </c>
      <c r="O34" s="18" t="str">
        <f ca="1">IF(NAMES!$B$10=FALSE,IF($B34="","",CIE_HT(O$28,$Q$2,OFFSET(Source!$A42,0,0,1,Config!$K$7))),IF($B34="","",IF(Calcul!$BC$7=$Q$2,Calcul!BM19,Calcul!BW19)))</f>
        <v/>
      </c>
      <c r="P34" s="18" t="str">
        <f ca="1">IF(NAMES!$B$10=FALSE,IF($B34="","",CIE_HT(P$28,$Q$2,OFFSET(Source!$A42,0,0,1,Config!$K$7))),IF($B34="","",IF(Calcul!$BC$7=$Q$2,Calcul!BN19,Calcul!BX19)))</f>
        <v/>
      </c>
      <c r="Q34" s="18" t="str">
        <f t="shared" si="3"/>
        <v/>
      </c>
      <c r="R34" s="18" t="str">
        <f ca="1">IF(NAMES!$B$10=FALSE,IF($B34="","",TOT_CIE_TC(I$28:P$28,$Q$2,OFFSET(Source!$A42,0,0,1,Config!$K$7))),IF($B34="","",Q34*TAXE))</f>
        <v/>
      </c>
      <c r="S34" s="1883" t="str">
        <f ca="1">IF(NAMES!$B$10=FALSE,IF($B34="","",_xludf.FORMULA($B34,$Q$2,OFFSET(Source!$A42,0,0,1,Config!$K$7))),IF($Q$2="AIG Luxembourg",Calcul!EE19,Calcul!IE19))</f>
        <v/>
      </c>
      <c r="T34" s="1883"/>
      <c r="U34" s="1883"/>
    </row>
    <row r="35" spans="1:21" hidden="1">
      <c r="A35" s="11" t="str">
        <f>IF(NAMES!$B$10=TRUE,IF(Cotations!C20=FALSE,"",Cotations!D20),IF(Source!A43="","",YEAR(Source!$B$2)&amp;"-"&amp;YEAR(Source!$C$2)&amp;"!"))</f>
        <v/>
      </c>
      <c r="B35" s="11" t="str">
        <f>IF(NAMES!$B$10=FALSE,IF(Source!A43="","",Source!A43),Cotations!F20)</f>
        <v/>
      </c>
      <c r="C35" s="11" t="str">
        <f>IF(NAMES!$B$10=FALSE,IF($B35="","",Source!B43),IF($B35="","",Crewlist!J20))</f>
        <v/>
      </c>
      <c r="D35" s="11" t="str">
        <f>IF(NAMES!$B$10=FALSE,IF($B35="","",Source!C43),IF($B35="","",Cotations!H20))</f>
        <v/>
      </c>
      <c r="E35" s="11" t="str">
        <f>IF(NAMES!$B$10=FALSE,IF($B35="","",Source!D43),IF($B35="","",Crewlist!G20))</f>
        <v/>
      </c>
      <c r="F35" s="16" t="str">
        <f>IF(NAMES!$B$10=FALSE,IF($B35="","",Source!E43),IF($B35="","",Crewlist!K20))</f>
        <v/>
      </c>
      <c r="G35" s="17" t="str">
        <f>IF(NAMES!$B$10=FALSE,IF($B35="","",Source!F43),Cotations!O20)</f>
        <v/>
      </c>
      <c r="H35" s="17" t="str">
        <f>IF(NAMES!$B$10=FALSE,IF($B35="","",Source!G43),Cotations!M20)</f>
        <v/>
      </c>
      <c r="I35" s="18" t="str">
        <f ca="1">IF(NAMES!$B$10=FALSE,IF($B35="","",CIE_HT(I$28,$Q$2,OFFSET(Source!$A43,0,0,1,Config!$K$7))),IF($B35="","",IF(Calcul!$BC$7=$Q$2,Calcul!BE20,Calcul!BQ20)))</f>
        <v/>
      </c>
      <c r="J35" s="18" t="str">
        <f ca="1">IF(NAMES!$B$10=FALSE,IF($B35="","",CIE_HT(J$28,$Q$2,OFFSET(Source!$A43,0,0,1,Config!$K$7))),IF($B35="","",IF(Calcul!$BC$7=$Q$2,Calcul!BF20+Calcul!BG20+Calcul!BH20,Calcul!BR20)))</f>
        <v/>
      </c>
      <c r="K35" s="18" t="str">
        <f ca="1">IF(NAMES!$B$10=FALSE,IF($B35="","",CIE_HT(K$28,$Q$2,OFFSET(Source!$A43,0,0,1,Config!$K$7))),IF($B35="","",IF(Calcul!$BC$7=$Q$2,Calcul!BI20,Calcul!BS20)))</f>
        <v/>
      </c>
      <c r="L35" s="18" t="str">
        <f ca="1">IF(NAMES!$B$10=FALSE,IF($B35="","",CIE_HT(L$28,$Q$2,OFFSET(Source!$A43,0,0,1,Config!$K$7))),IF($B35="","",IF(Calcul!$BC$7=$Q$2,Calcul!BJ20,Calcul!BT20)))</f>
        <v/>
      </c>
      <c r="M35" s="18" t="str">
        <f ca="1">IF(NAMES!$B$10=FALSE,IF($B35="","",CIE_HT(M$28,$Q$2,OFFSET(Source!$A43,0,0,1,Config!$K$7))),IF($B35="","",IF(Calcul!$BC$7=$Q$2,Calcul!BK20,Calcul!BU20)))</f>
        <v/>
      </c>
      <c r="N35" s="18" t="str">
        <f ca="1">IF(NAMES!$B$10=FALSE,IF($B35="","",CIE_HT(N$28,$Q$2,OFFSET(Source!$A43,0,0,1,Config!$K$7))),IF($B35="","",IF(Calcul!$BC$7=$Q$2,Calcul!BL20,Calcul!BV20)))</f>
        <v/>
      </c>
      <c r="O35" s="18" t="str">
        <f ca="1">IF(NAMES!$B$10=FALSE,IF($B35="","",CIE_HT(O$28,$Q$2,OFFSET(Source!$A43,0,0,1,Config!$K$7))),IF($B35="","",IF(Calcul!$BC$7=$Q$2,Calcul!BM20,Calcul!BW20)))</f>
        <v/>
      </c>
      <c r="P35" s="18" t="str">
        <f ca="1">IF(NAMES!$B$10=FALSE,IF($B35="","",CIE_HT(P$28,$Q$2,OFFSET(Source!$A43,0,0,1,Config!$K$7))),IF($B35="","",IF(Calcul!$BC$7=$Q$2,Calcul!BN20,Calcul!BX20)))</f>
        <v/>
      </c>
      <c r="Q35" s="18" t="str">
        <f t="shared" si="3"/>
        <v/>
      </c>
      <c r="R35" s="18" t="str">
        <f ca="1">IF(NAMES!$B$10=FALSE,IF($B35="","",TOT_CIE_TC(I$28:P$28,$Q$2,OFFSET(Source!$A43,0,0,1,Config!$K$7))),IF($B35="","",Q35*TAXE))</f>
        <v/>
      </c>
      <c r="S35" s="1883" t="str">
        <f ca="1">IF(NAMES!$B$10=FALSE,IF($B35="","",_xludf.FORMULA($B35,$Q$2,OFFSET(Source!$A43,0,0,1,Config!$K$7))),IF($Q$2="AIG Luxembourg",Calcul!EE20,Calcul!IE20))</f>
        <v/>
      </c>
      <c r="T35" s="1883"/>
      <c r="U35" s="1883"/>
    </row>
    <row r="36" spans="1:21" hidden="1">
      <c r="A36" s="11" t="str">
        <f>IF(NAMES!$B$10=TRUE,IF(Cotations!C21=FALSE,"",Cotations!D21),IF(Source!A44="","",YEAR(Source!$B$2)&amp;"-"&amp;YEAR(Source!$C$2)&amp;"!"))</f>
        <v/>
      </c>
      <c r="B36" s="11" t="str">
        <f>IF(NAMES!$B$10=FALSE,IF(Source!A44="","",Source!A44),Cotations!F21)</f>
        <v/>
      </c>
      <c r="C36" s="11" t="str">
        <f>IF(NAMES!$B$10=FALSE,IF($B36="","",Source!B44),IF($B36="","",Crewlist!J21))</f>
        <v/>
      </c>
      <c r="D36" s="11" t="str">
        <f>IF(NAMES!$B$10=FALSE,IF($B36="","",Source!C44),IF($B36="","",Cotations!H21))</f>
        <v/>
      </c>
      <c r="E36" s="11" t="str">
        <f>IF(NAMES!$B$10=FALSE,IF($B36="","",Source!D44),IF($B36="","",Crewlist!G21))</f>
        <v/>
      </c>
      <c r="F36" s="16" t="str">
        <f>IF(NAMES!$B$10=FALSE,IF($B36="","",Source!E44),IF($B36="","",Crewlist!K21))</f>
        <v/>
      </c>
      <c r="G36" s="17" t="str">
        <f>IF(NAMES!$B$10=FALSE,IF($B36="","",Source!F44),Cotations!O21)</f>
        <v/>
      </c>
      <c r="H36" s="17" t="str">
        <f>IF(NAMES!$B$10=FALSE,IF($B36="","",Source!G44),Cotations!M21)</f>
        <v/>
      </c>
      <c r="I36" s="18" t="str">
        <f ca="1">IF(NAMES!$B$10=FALSE,IF($B36="","",CIE_HT(I$28,$Q$2,OFFSET(Source!$A44,0,0,1,Config!$K$7))),IF($B36="","",IF(Calcul!$BC$7=$Q$2,Calcul!BE21,Calcul!BQ21)))</f>
        <v/>
      </c>
      <c r="J36" s="18" t="str">
        <f ca="1">IF(NAMES!$B$10=FALSE,IF($B36="","",CIE_HT(J$28,$Q$2,OFFSET(Source!$A44,0,0,1,Config!$K$7))),IF($B36="","",IF(Calcul!$BC$7=$Q$2,Calcul!BF21+Calcul!BG21+Calcul!BH21,Calcul!BR21)))</f>
        <v/>
      </c>
      <c r="K36" s="18" t="str">
        <f ca="1">IF(NAMES!$B$10=FALSE,IF($B36="","",CIE_HT(K$28,$Q$2,OFFSET(Source!$A44,0,0,1,Config!$K$7))),IF($B36="","",IF(Calcul!$BC$7=$Q$2,Calcul!BI21,Calcul!BS21)))</f>
        <v/>
      </c>
      <c r="L36" s="18" t="str">
        <f ca="1">IF(NAMES!$B$10=FALSE,IF($B36="","",CIE_HT(L$28,$Q$2,OFFSET(Source!$A44,0,0,1,Config!$K$7))),IF($B36="","",IF(Calcul!$BC$7=$Q$2,Calcul!BJ21,Calcul!BT21)))</f>
        <v/>
      </c>
      <c r="M36" s="18" t="str">
        <f ca="1">IF(NAMES!$B$10=FALSE,IF($B36="","",CIE_HT(M$28,$Q$2,OFFSET(Source!$A44,0,0,1,Config!$K$7))),IF($B36="","",IF(Calcul!$BC$7=$Q$2,Calcul!BK21,Calcul!BU21)))</f>
        <v/>
      </c>
      <c r="N36" s="18" t="str">
        <f ca="1">IF(NAMES!$B$10=FALSE,IF($B36="","",CIE_HT(N$28,$Q$2,OFFSET(Source!$A44,0,0,1,Config!$K$7))),IF($B36="","",IF(Calcul!$BC$7=$Q$2,Calcul!BL21,Calcul!BV21)))</f>
        <v/>
      </c>
      <c r="O36" s="18" t="str">
        <f ca="1">IF(NAMES!$B$10=FALSE,IF($B36="","",CIE_HT(O$28,$Q$2,OFFSET(Source!$A44,0,0,1,Config!$K$7))),IF($B36="","",IF(Calcul!$BC$7=$Q$2,Calcul!BM21,Calcul!BW21)))</f>
        <v/>
      </c>
      <c r="P36" s="18" t="str">
        <f ca="1">IF(NAMES!$B$10=FALSE,IF($B36="","",CIE_HT(P$28,$Q$2,OFFSET(Source!$A44,0,0,1,Config!$K$7))),IF($B36="","",IF(Calcul!$BC$7=$Q$2,Calcul!BN21,Calcul!BX21)))</f>
        <v/>
      </c>
      <c r="Q36" s="18" t="str">
        <f t="shared" si="3"/>
        <v/>
      </c>
      <c r="R36" s="18" t="str">
        <f ca="1">IF(NAMES!$B$10=FALSE,IF($B36="","",TOT_CIE_TC(I$28:P$28,$Q$2,OFFSET(Source!$A44,0,0,1,Config!$K$7))),IF($B36="","",Q36*TAXE))</f>
        <v/>
      </c>
      <c r="S36" s="1883" t="str">
        <f ca="1">IF(NAMES!$B$10=FALSE,IF($B36="","",_xludf.FORMULA($B36,$Q$2,OFFSET(Source!$A44,0,0,1,Config!$K$7))),IF($Q$2="AIG Luxembourg",Calcul!EE21,Calcul!IE21))</f>
        <v/>
      </c>
      <c r="T36" s="1883"/>
      <c r="U36" s="1883"/>
    </row>
    <row r="37" spans="1:21" ht="12.75" hidden="1" customHeight="1">
      <c r="A37" s="11" t="str">
        <f>IF(NAMES!$B$10=TRUE,IF(Cotations!C22=FALSE,"",Cotations!D22),IF(Source!A45="","",YEAR(Source!$B$2)&amp;"-"&amp;YEAR(Source!$C$2)&amp;"!"))</f>
        <v/>
      </c>
      <c r="B37" s="11" t="str">
        <f>IF(NAMES!$B$10=FALSE,IF(Source!A45="","",Source!A45),Cotations!F22)</f>
        <v/>
      </c>
      <c r="C37" s="11" t="str">
        <f>IF(NAMES!$B$10=FALSE,IF($B37="","",Source!B45),IF($B37="","",Crewlist!J22))</f>
        <v/>
      </c>
      <c r="D37" s="11" t="str">
        <f>IF(NAMES!$B$10=FALSE,IF($B37="","",Source!C45),IF($B37="","",Cotations!H22))</f>
        <v/>
      </c>
      <c r="E37" s="11" t="str">
        <f>IF(NAMES!$B$10=FALSE,IF($B37="","",Source!D45),IF($B37="","",Crewlist!G22))</f>
        <v/>
      </c>
      <c r="F37" s="16" t="str">
        <f>IF(NAMES!$B$10=FALSE,IF($B37="","",Source!E45),IF($B37="","",Crewlist!K22))</f>
        <v/>
      </c>
      <c r="G37" s="17" t="str">
        <f>IF(NAMES!$B$10=FALSE,IF($B37="","",Source!F45),Cotations!O22)</f>
        <v/>
      </c>
      <c r="H37" s="17" t="str">
        <f>IF(NAMES!$B$10=FALSE,IF($B37="","",Source!G45),Cotations!M22)</f>
        <v/>
      </c>
      <c r="I37" s="18" t="str">
        <f ca="1">IF(NAMES!$B$10=FALSE,IF($B37="","",CIE_HT(I$28,$Q$2,OFFSET(Source!$A45,0,0,1,Config!$K$7))),IF($B37="","",IF(Calcul!$BC$7=$Q$2,Calcul!BE22,Calcul!BQ22)))</f>
        <v/>
      </c>
      <c r="J37" s="18" t="str">
        <f ca="1">IF(NAMES!$B$10=FALSE,IF($B37="","",CIE_HT(J$28,$Q$2,OFFSET(Source!$A45,0,0,1,Config!$K$7))),IF($B37="","",IF(Calcul!$BC$7=$Q$2,Calcul!BF22+Calcul!BG22+Calcul!BH22,Calcul!BR22)))</f>
        <v/>
      </c>
      <c r="K37" s="18" t="str">
        <f ca="1">IF(NAMES!$B$10=FALSE,IF($B37="","",CIE_HT(K$28,$Q$2,OFFSET(Source!$A45,0,0,1,Config!$K$7))),IF($B37="","",IF(Calcul!$BC$7=$Q$2,Calcul!BI22,Calcul!BS22)))</f>
        <v/>
      </c>
      <c r="L37" s="18" t="str">
        <f ca="1">IF(NAMES!$B$10=FALSE,IF($B37="","",CIE_HT(L$28,$Q$2,OFFSET(Source!$A45,0,0,1,Config!$K$7))),IF($B37="","",IF(Calcul!$BC$7=$Q$2,Calcul!BJ22,Calcul!BT22)))</f>
        <v/>
      </c>
      <c r="M37" s="18" t="str">
        <f ca="1">IF(NAMES!$B$10=FALSE,IF($B37="","",CIE_HT(M$28,$Q$2,OFFSET(Source!$A45,0,0,1,Config!$K$7))),IF($B37="","",IF(Calcul!$BC$7=$Q$2,Calcul!BK22,Calcul!BU22)))</f>
        <v/>
      </c>
      <c r="N37" s="18" t="str">
        <f ca="1">IF(NAMES!$B$10=FALSE,IF($B37="","",CIE_HT(N$28,$Q$2,OFFSET(Source!$A45,0,0,1,Config!$K$7))),IF($B37="","",IF(Calcul!$BC$7=$Q$2,Calcul!BL22,Calcul!BV22)))</f>
        <v/>
      </c>
      <c r="O37" s="18" t="str">
        <f ca="1">IF(NAMES!$B$10=FALSE,IF($B37="","",CIE_HT(O$28,$Q$2,OFFSET(Source!$A45,0,0,1,Config!$K$7))),IF($B37="","",IF(Calcul!$BC$7=$Q$2,Calcul!BM22,Calcul!BW22)))</f>
        <v/>
      </c>
      <c r="P37" s="18" t="str">
        <f ca="1">IF(NAMES!$B$10=FALSE,IF($B37="","",CIE_HT(P$28,$Q$2,OFFSET(Source!$A45,0,0,1,Config!$K$7))),IF($B37="","",IF(Calcul!$BC$7=$Q$2,Calcul!BN22,Calcul!BX22)))</f>
        <v/>
      </c>
      <c r="Q37" s="18" t="str">
        <f t="shared" si="3"/>
        <v/>
      </c>
      <c r="R37" s="18" t="str">
        <f ca="1">IF(NAMES!$B$10=FALSE,IF($B37="","",TOT_CIE_TC(I$28:P$28,$Q$2,OFFSET(Source!$A45,0,0,1,Config!$K$7))),IF($B37="","",Q37*TAXE))</f>
        <v/>
      </c>
      <c r="S37" s="1883" t="str">
        <f ca="1">IF(NAMES!$B$10=FALSE,IF($B37="","",_xludf.FORMULA($B37,$Q$2,OFFSET(Source!$A45,0,0,1,Config!$K$7))),IF($Q$2="AIG Luxembourg",Calcul!EE22,Calcul!IE22))</f>
        <v/>
      </c>
      <c r="T37" s="1883"/>
      <c r="U37" s="1883"/>
    </row>
    <row r="38" spans="1:21" hidden="1">
      <c r="A38" s="11" t="str">
        <f>IF(NAMES!$B$10=TRUE,IF(Cotations!C23=FALSE,"",Cotations!D23),IF(Source!A46="","",YEAR(Source!$B$2)&amp;"-"&amp;YEAR(Source!$C$2)&amp;"!"))</f>
        <v/>
      </c>
      <c r="B38" s="11" t="str">
        <f>IF(NAMES!$B$10=FALSE,IF(Source!A46="","",Source!A46),Cotations!F23)</f>
        <v/>
      </c>
      <c r="C38" s="11" t="str">
        <f>IF(NAMES!$B$10=FALSE,IF($B38="","",Source!B46),IF($B38="","",Crewlist!J23))</f>
        <v/>
      </c>
      <c r="D38" s="11" t="str">
        <f>IF(NAMES!$B$10=FALSE,IF($B38="","",Source!C46),IF($B38="","",Cotations!H23))</f>
        <v/>
      </c>
      <c r="E38" s="11" t="str">
        <f>IF(NAMES!$B$10=FALSE,IF($B38="","",Source!D46),IF($B38="","",Crewlist!G23))</f>
        <v/>
      </c>
      <c r="F38" s="16" t="str">
        <f>IF(NAMES!$B$10=FALSE,IF($B38="","",Source!E46),IF($B38="","",Crewlist!K23))</f>
        <v/>
      </c>
      <c r="G38" s="17" t="str">
        <f>IF(NAMES!$B$10=FALSE,IF($B38="","",Source!F46),Cotations!O23)</f>
        <v/>
      </c>
      <c r="H38" s="17">
        <f>IF(NAMES!$B$10=FALSE,IF($B38="","",Source!G46),Cotations!M23)</f>
        <v>3</v>
      </c>
      <c r="I38" s="18" t="str">
        <f ca="1">IF(NAMES!$B$10=FALSE,IF($B38="","",CIE_HT(I$28,$Q$2,OFFSET(Source!$A46,0,0,1,Config!$K$7))),IF($B38="","",IF(Calcul!$BC$7=$Q$2,Calcul!BE23,Calcul!BQ23)))</f>
        <v/>
      </c>
      <c r="J38" s="18" t="str">
        <f ca="1">IF(NAMES!$B$10=FALSE,IF($B38="","",CIE_HT(J$28,$Q$2,OFFSET(Source!$A46,0,0,1,Config!$K$7))),IF($B38="","",IF(Calcul!$BC$7=$Q$2,Calcul!BF23+Calcul!BG23+Calcul!BH23,Calcul!BR23)))</f>
        <v/>
      </c>
      <c r="K38" s="18" t="str">
        <f ca="1">IF(NAMES!$B$10=FALSE,IF($B38="","",CIE_HT(K$28,$Q$2,OFFSET(Source!$A46,0,0,1,Config!$K$7))),IF($B38="","",IF(Calcul!$BC$7=$Q$2,Calcul!BI23,Calcul!BS23)))</f>
        <v/>
      </c>
      <c r="L38" s="18" t="str">
        <f ca="1">IF(NAMES!$B$10=FALSE,IF($B38="","",CIE_HT(L$28,$Q$2,OFFSET(Source!$A46,0,0,1,Config!$K$7))),IF($B38="","",IF(Calcul!$BC$7=$Q$2,Calcul!BJ23,Calcul!BT23)))</f>
        <v/>
      </c>
      <c r="M38" s="18" t="str">
        <f ca="1">IF(NAMES!$B$10=FALSE,IF($B38="","",CIE_HT(M$28,$Q$2,OFFSET(Source!$A46,0,0,1,Config!$K$7))),IF($B38="","",IF(Calcul!$BC$7=$Q$2,Calcul!BK23,Calcul!BU23)))</f>
        <v/>
      </c>
      <c r="N38" s="18" t="str">
        <f ca="1">IF(NAMES!$B$10=FALSE,IF($B38="","",CIE_HT(N$28,$Q$2,OFFSET(Source!$A46,0,0,1,Config!$K$7))),IF($B38="","",IF(Calcul!$BC$7=$Q$2,Calcul!BL23,Calcul!BV23)))</f>
        <v/>
      </c>
      <c r="O38" s="18" t="str">
        <f ca="1">IF(NAMES!$B$10=FALSE,IF($B38="","",CIE_HT(O$28,$Q$2,OFFSET(Source!$A46,0,0,1,Config!$K$7))),IF($B38="","",IF(Calcul!$BC$7=$Q$2,Calcul!BM23,Calcul!BW23)))</f>
        <v/>
      </c>
      <c r="P38" s="18" t="str">
        <f ca="1">IF(NAMES!$B$10=FALSE,IF($B38="","",CIE_HT(P$28,$Q$2,OFFSET(Source!$A46,0,0,1,Config!$K$7))),IF($B38="","",IF(Calcul!$BC$7=$Q$2,Calcul!BN23,Calcul!BX23)))</f>
        <v/>
      </c>
      <c r="Q38" s="18" t="str">
        <f t="shared" si="3"/>
        <v/>
      </c>
      <c r="R38" s="18" t="str">
        <f ca="1">IF(NAMES!$B$10=FALSE,IF($B38="","",TOT_CIE_TC(I$28:P$28,$Q$2,OFFSET(Source!$A46,0,0,1,Config!$K$7))),IF($B38="","",Q38*TAXE))</f>
        <v/>
      </c>
      <c r="S38" s="1883" t="str">
        <f ca="1">IF(NAMES!$B$10=FALSE,IF($B38="","",_xludf.FORMULA($B38,$Q$2,OFFSET(Source!$A46,0,0,1,Config!$K$7))),IF($Q$2="AIG Luxembourg",Calcul!EE23,Calcul!IE23))</f>
        <v/>
      </c>
      <c r="T38" s="1883"/>
      <c r="U38" s="1883"/>
    </row>
    <row r="39" spans="1:21" ht="24" hidden="1" customHeight="1">
      <c r="A39" s="11" t="str">
        <f>IF(NAMES!$B$10=TRUE,IF(Cotations!C24=FALSE,"",Cotations!D24),IF(Source!A47="","",YEAR(Source!$B$2)&amp;"-"&amp;YEAR(Source!$C$2)&amp;"!"))</f>
        <v/>
      </c>
      <c r="B39" s="11" t="str">
        <f>IF(NAMES!$B$10=FALSE,IF(Source!A47="","",Source!A47),Cotations!F24)</f>
        <v/>
      </c>
      <c r="C39" s="11" t="str">
        <f>IF(NAMES!$B$10=FALSE,IF($B39="","",Source!B47),IF($B39="","",Crewlist!J24))</f>
        <v/>
      </c>
      <c r="D39" s="11" t="str">
        <f>IF(NAMES!$B$10=FALSE,IF($B39="","",Source!C47),IF($B39="","",Cotations!H24))</f>
        <v/>
      </c>
      <c r="E39" s="11" t="str">
        <f>IF(NAMES!$B$10=FALSE,IF($B39="","",Source!D47),IF($B39="","",Crewlist!G24))</f>
        <v/>
      </c>
      <c r="F39" s="16" t="str">
        <f>IF(NAMES!$B$10=FALSE,IF($B39="","",Source!E47),IF($B39="","",Crewlist!K24))</f>
        <v/>
      </c>
      <c r="G39" s="17" t="str">
        <f>IF(NAMES!$B$10=FALSE,IF($B39="","",Source!F47),Cotations!O24)</f>
        <v/>
      </c>
      <c r="H39" s="17" t="str">
        <f>IF(NAMES!$B$10=FALSE,IF($B39="","",Source!G47),Cotations!M24)</f>
        <v/>
      </c>
      <c r="I39" s="18" t="str">
        <f ca="1">IF(NAMES!$B$10=FALSE,IF($B39="","",CIE_HT(I$28,$Q$2,OFFSET(Source!$A47,0,0,1,Config!$K$7))),IF($B39="","",IF(Calcul!$BC$7=$Q$2,Calcul!BE24,Calcul!BQ24)))</f>
        <v/>
      </c>
      <c r="J39" s="18" t="str">
        <f ca="1">IF(NAMES!$B$10=FALSE,IF($B39="","",CIE_HT(J$28,$Q$2,OFFSET(Source!$A47,0,0,1,Config!$K$7))),IF($B39="","",IF(Calcul!$BC$7=$Q$2,Calcul!BF24+Calcul!BG24+Calcul!BH24,Calcul!BR24)))</f>
        <v/>
      </c>
      <c r="K39" s="18" t="str">
        <f ca="1">IF(NAMES!$B$10=FALSE,IF($B39="","",CIE_HT(K$28,$Q$2,OFFSET(Source!$A47,0,0,1,Config!$K$7))),IF($B39="","",IF(Calcul!$BC$7=$Q$2,Calcul!BI24,Calcul!BS24)))</f>
        <v/>
      </c>
      <c r="L39" s="18" t="str">
        <f ca="1">IF(NAMES!$B$10=FALSE,IF($B39="","",CIE_HT(L$28,$Q$2,OFFSET(Source!$A47,0,0,1,Config!$K$7))),IF($B39="","",IF(Calcul!$BC$7=$Q$2,Calcul!BJ24,Calcul!BT24)))</f>
        <v/>
      </c>
      <c r="M39" s="18" t="str">
        <f ca="1">IF(NAMES!$B$10=FALSE,IF($B39="","",CIE_HT(M$28,$Q$2,OFFSET(Source!$A47,0,0,1,Config!$K$7))),IF($B39="","",IF(Calcul!$BC$7=$Q$2,Calcul!BK24,Calcul!BU24)))</f>
        <v/>
      </c>
      <c r="N39" s="18" t="str">
        <f ca="1">IF(NAMES!$B$10=FALSE,IF($B39="","",CIE_HT(N$28,$Q$2,OFFSET(Source!$A47,0,0,1,Config!$K$7))),IF($B39="","",IF(Calcul!$BC$7=$Q$2,Calcul!BL24,Calcul!BV24)))</f>
        <v/>
      </c>
      <c r="O39" s="18" t="str">
        <f ca="1">IF(NAMES!$B$10=FALSE,IF($B39="","",CIE_HT(O$28,$Q$2,OFFSET(Source!$A47,0,0,1,Config!$K$7))),IF($B39="","",IF(Calcul!$BC$7=$Q$2,Calcul!BM24,Calcul!BW24)))</f>
        <v/>
      </c>
      <c r="P39" s="18" t="str">
        <f ca="1">IF(NAMES!$B$10=FALSE,IF($B39="","",CIE_HT(P$28,$Q$2,OFFSET(Source!$A47,0,0,1,Config!$K$7))),IF($B39="","",IF(Calcul!$BC$7=$Q$2,Calcul!BN24,Calcul!BX24)))</f>
        <v/>
      </c>
      <c r="Q39" s="18" t="str">
        <f t="shared" si="3"/>
        <v/>
      </c>
      <c r="R39" s="18" t="str">
        <f ca="1">IF(NAMES!$B$10=FALSE,IF($B39="","",TOT_CIE_TC(I$28:P$28,$Q$2,OFFSET(Source!$A47,0,0,1,Config!$K$7))),IF($B39="","",Q39*TAXE))</f>
        <v/>
      </c>
      <c r="S39" s="1883" t="str">
        <f ca="1">IF(NAMES!$B$10=FALSE,IF($B39="","",_xludf.FORMULA($B39,$Q$2,OFFSET(Source!$A47,0,0,1,Config!$K$7))),IF($Q$2="AIG Luxembourg",Calcul!EE24,Calcul!IE24))</f>
        <v/>
      </c>
      <c r="T39" s="1883"/>
      <c r="U39" s="1883"/>
    </row>
    <row r="40" spans="1:21" hidden="1">
      <c r="A40" s="11" t="str">
        <f>IF(NAMES!$B$10=TRUE,IF(Cotations!C25=FALSE,"",Cotations!D25),IF(Source!A48="","",YEAR(Source!$B$2)&amp;"-"&amp;YEAR(Source!$C$2)&amp;"!"))</f>
        <v/>
      </c>
      <c r="B40" s="11" t="str">
        <f>IF(NAMES!$B$10=FALSE,IF(Source!A48="","",Source!A48),Cotations!F25)</f>
        <v/>
      </c>
      <c r="C40" s="11" t="str">
        <f>IF(NAMES!$B$10=FALSE,IF($B40="","",Source!B48),IF($B40="","",Crewlist!J25))</f>
        <v/>
      </c>
      <c r="D40" s="11" t="str">
        <f>IF(NAMES!$B$10=FALSE,IF($B40="","",Source!C48),IF($B40="","",Cotations!H25))</f>
        <v/>
      </c>
      <c r="E40" s="11" t="str">
        <f>IF(NAMES!$B$10=FALSE,IF($B40="","",Source!D48),IF($B40="","",Crewlist!G25))</f>
        <v/>
      </c>
      <c r="F40" s="16" t="str">
        <f>IF(NAMES!$B$10=FALSE,IF($B40="","",Source!E48),IF($B40="","",Crewlist!K25))</f>
        <v/>
      </c>
      <c r="G40" s="17" t="str">
        <f>IF(NAMES!$B$10=FALSE,IF($B40="","",Source!F48),Cotations!O25)</f>
        <v/>
      </c>
      <c r="H40" s="17" t="str">
        <f>IF(NAMES!$B$10=FALSE,IF($B40="","",Source!G48),Cotations!M25)</f>
        <v/>
      </c>
      <c r="I40" s="18" t="str">
        <f ca="1">IF(NAMES!$B$10=FALSE,IF($B40="","",CIE_HT(I$28,$Q$2,OFFSET(Source!$A48,0,0,1,Config!$K$7))),IF($B40="","",IF(Calcul!$BC$7=$Q$2,Calcul!BE25,Calcul!BQ25)))</f>
        <v/>
      </c>
      <c r="J40" s="18" t="str">
        <f ca="1">IF(NAMES!$B$10=FALSE,IF($B40="","",CIE_HT(J$28,$Q$2,OFFSET(Source!$A48,0,0,1,Config!$K$7))),IF($B40="","",IF(Calcul!$BC$7=$Q$2,Calcul!BF25+Calcul!BG25+Calcul!BH25,Calcul!BR25)))</f>
        <v/>
      </c>
      <c r="K40" s="18" t="str">
        <f ca="1">IF(NAMES!$B$10=FALSE,IF($B40="","",CIE_HT(K$28,$Q$2,OFFSET(Source!$A48,0,0,1,Config!$K$7))),IF($B40="","",IF(Calcul!$BC$7=$Q$2,Calcul!BI25,Calcul!BS25)))</f>
        <v/>
      </c>
      <c r="L40" s="18" t="str">
        <f ca="1">IF(NAMES!$B$10=FALSE,IF($B40="","",CIE_HT(L$28,$Q$2,OFFSET(Source!$A48,0,0,1,Config!$K$7))),IF($B40="","",IF(Calcul!$BC$7=$Q$2,Calcul!BJ25,Calcul!BT25)))</f>
        <v/>
      </c>
      <c r="M40" s="18" t="str">
        <f ca="1">IF(NAMES!$B$10=FALSE,IF($B40="","",CIE_HT(M$28,$Q$2,OFFSET(Source!$A48,0,0,1,Config!$K$7))),IF($B40="","",IF(Calcul!$BC$7=$Q$2,Calcul!BK25,Calcul!BU25)))</f>
        <v/>
      </c>
      <c r="N40" s="18" t="str">
        <f ca="1">IF(NAMES!$B$10=FALSE,IF($B40="","",CIE_HT(N$28,$Q$2,OFFSET(Source!$A48,0,0,1,Config!$K$7))),IF($B40="","",IF(Calcul!$BC$7=$Q$2,Calcul!BL25,Calcul!BV25)))</f>
        <v/>
      </c>
      <c r="O40" s="18" t="str">
        <f ca="1">IF(NAMES!$B$10=FALSE,IF($B40="","",CIE_HT(O$28,$Q$2,OFFSET(Source!$A48,0,0,1,Config!$K$7))),IF($B40="","",IF(Calcul!$BC$7=$Q$2,Calcul!BM25,Calcul!BW25)))</f>
        <v/>
      </c>
      <c r="P40" s="18" t="str">
        <f ca="1">IF(NAMES!$B$10=FALSE,IF($B40="","",CIE_HT(P$28,$Q$2,OFFSET(Source!$A48,0,0,1,Config!$K$7))),IF($B40="","",IF(Calcul!$BC$7=$Q$2,Calcul!BN25,Calcul!BX25)))</f>
        <v/>
      </c>
      <c r="Q40" s="18" t="str">
        <f t="shared" si="3"/>
        <v/>
      </c>
      <c r="R40" s="18" t="str">
        <f ca="1">IF(NAMES!$B$10=FALSE,IF($B40="","",TOT_CIE_TC(I$28:P$28,$Q$2,OFFSET(Source!$A48,0,0,1,Config!$K$7))),IF($B40="","",Q40*TAXE))</f>
        <v/>
      </c>
      <c r="S40" s="1883" t="str">
        <f ca="1">IF(NAMES!$B$10=FALSE,IF($B40="","",_xludf.FORMULA($B40,$Q$2,OFFSET(Source!$A48,0,0,1,Config!$K$7))),IF($Q$2="AIG Luxembourg",Calcul!EE25,Calcul!IE25))</f>
        <v/>
      </c>
      <c r="T40" s="1883"/>
      <c r="U40" s="1883"/>
    </row>
    <row r="41" spans="1:21" hidden="1">
      <c r="A41" s="11" t="str">
        <f>IF(NAMES!$B$10=TRUE,IF(Cotations!C26=FALSE,"",Cotations!D26),IF(Source!A49="","",YEAR(Source!$B$2)&amp;"-"&amp;YEAR(Source!$C$2)&amp;"!"))</f>
        <v/>
      </c>
      <c r="B41" s="11" t="str">
        <f>IF(NAMES!$B$10=FALSE,IF(Source!A49="","",Source!A49),Cotations!F26)</f>
        <v/>
      </c>
      <c r="C41" s="11" t="str">
        <f>IF(NAMES!$B$10=FALSE,IF($B41="","",Source!B49),IF($B41="","",Crewlist!J26))</f>
        <v/>
      </c>
      <c r="D41" s="11" t="str">
        <f>IF(NAMES!$B$10=FALSE,IF($B41="","",Source!C49),IF($B41="","",Cotations!H26))</f>
        <v/>
      </c>
      <c r="E41" s="11" t="str">
        <f>IF(NAMES!$B$10=FALSE,IF($B41="","",Source!D49),IF($B41="","",Crewlist!G26))</f>
        <v/>
      </c>
      <c r="F41" s="16" t="str">
        <f>IF(NAMES!$B$10=FALSE,IF($B41="","",Source!E49),IF($B41="","",Crewlist!K26))</f>
        <v/>
      </c>
      <c r="G41" s="17" t="str">
        <f>IF(NAMES!$B$10=FALSE,IF($B41="","",Source!F49),Cotations!O26)</f>
        <v/>
      </c>
      <c r="H41" s="17" t="str">
        <f>IF(NAMES!$B$10=FALSE,IF($B41="","",Source!G49),Cotations!M26)</f>
        <v/>
      </c>
      <c r="I41" s="18" t="str">
        <f ca="1">IF(NAMES!$B$10=FALSE,IF($B41="","",CIE_HT(I$28,$Q$2,OFFSET(Source!$A49,0,0,1,Config!$K$7))),IF($B41="","",IF(Calcul!$BC$7=$Q$2,Calcul!BE26,Calcul!BQ26)))</f>
        <v/>
      </c>
      <c r="J41" s="18" t="str">
        <f ca="1">IF(NAMES!$B$10=FALSE,IF($B41="","",CIE_HT(J$28,$Q$2,OFFSET(Source!$A49,0,0,1,Config!$K$7))),IF($B41="","",IF(Calcul!$BC$7=$Q$2,Calcul!BF26+Calcul!BG26+Calcul!BH26,Calcul!BR26)))</f>
        <v/>
      </c>
      <c r="K41" s="18" t="str">
        <f ca="1">IF(NAMES!$B$10=FALSE,IF($B41="","",CIE_HT(K$28,$Q$2,OFFSET(Source!$A49,0,0,1,Config!$K$7))),IF($B41="","",IF(Calcul!$BC$7=$Q$2,Calcul!BI26,Calcul!BS26)))</f>
        <v/>
      </c>
      <c r="L41" s="18" t="str">
        <f ca="1">IF(NAMES!$B$10=FALSE,IF($B41="","",CIE_HT(L$28,$Q$2,OFFSET(Source!$A49,0,0,1,Config!$K$7))),IF($B41="","",IF(Calcul!$BC$7=$Q$2,Calcul!BJ26,Calcul!BT26)))</f>
        <v/>
      </c>
      <c r="M41" s="18" t="str">
        <f ca="1">IF(NAMES!$B$10=FALSE,IF($B41="","",CIE_HT(M$28,$Q$2,OFFSET(Source!$A49,0,0,1,Config!$K$7))),IF($B41="","",IF(Calcul!$BC$7=$Q$2,Calcul!BK26,Calcul!BU26)))</f>
        <v/>
      </c>
      <c r="N41" s="18" t="str">
        <f ca="1">IF(NAMES!$B$10=FALSE,IF($B41="","",CIE_HT(N$28,$Q$2,OFFSET(Source!$A49,0,0,1,Config!$K$7))),IF($B41="","",IF(Calcul!$BC$7=$Q$2,Calcul!BL26,Calcul!BV26)))</f>
        <v/>
      </c>
      <c r="O41" s="18" t="str">
        <f ca="1">IF(NAMES!$B$10=FALSE,IF($B41="","",CIE_HT(O$28,$Q$2,OFFSET(Source!$A49,0,0,1,Config!$K$7))),IF($B41="","",IF(Calcul!$BC$7=$Q$2,Calcul!BM26,Calcul!BW26)))</f>
        <v/>
      </c>
      <c r="P41" s="18" t="str">
        <f ca="1">IF(NAMES!$B$10=FALSE,IF($B41="","",CIE_HT(P$28,$Q$2,OFFSET(Source!$A49,0,0,1,Config!$K$7))),IF($B41="","",IF(Calcul!$BC$7=$Q$2,Calcul!BN26,Calcul!BX26)))</f>
        <v/>
      </c>
      <c r="Q41" s="18" t="str">
        <f t="shared" si="3"/>
        <v/>
      </c>
      <c r="R41" s="18" t="str">
        <f ca="1">IF(NAMES!$B$10=FALSE,IF($B41="","",TOT_CIE_TC(I$28:P$28,$Q$2,OFFSET(Source!$A49,0,0,1,Config!$K$7))),IF($B41="","",Q41*TAXE))</f>
        <v/>
      </c>
      <c r="S41" s="1883" t="str">
        <f ca="1">IF(NAMES!$B$10=FALSE,IF($B41="","",_xludf.FORMULA($B41,$Q$2,OFFSET(Source!$A49,0,0,1,Config!$K$7))),IF($Q$2="AIG Luxembourg",Calcul!EE26,Calcul!IE26))</f>
        <v/>
      </c>
      <c r="T41" s="1883"/>
      <c r="U41" s="1883"/>
    </row>
    <row r="42" spans="1:21" ht="24" hidden="1" customHeight="1">
      <c r="A42" s="11" t="str">
        <f>IF(NAMES!$B$10=TRUE,IF(Cotations!C27=FALSE,"",Cotations!D27),IF(Source!A50="","",YEAR(Source!$B$2)&amp;"-"&amp;YEAR(Source!$C$2)&amp;"!"))</f>
        <v/>
      </c>
      <c r="B42" s="11" t="str">
        <f>IF(NAMES!$B$10=FALSE,IF(Source!A50="","",Source!A50),Cotations!F27)</f>
        <v/>
      </c>
      <c r="C42" s="11" t="str">
        <f>IF(NAMES!$B$10=FALSE,IF($B42="","",Source!B50),IF($B42="","",Crewlist!J27))</f>
        <v/>
      </c>
      <c r="D42" s="11" t="str">
        <f>IF(NAMES!$B$10=FALSE,IF($B42="","",Source!C50),IF($B42="","",Cotations!H27))</f>
        <v/>
      </c>
      <c r="E42" s="11" t="str">
        <f>IF(NAMES!$B$10=FALSE,IF($B42="","",Source!D50),IF($B42="","",Crewlist!G27))</f>
        <v/>
      </c>
      <c r="F42" s="16" t="str">
        <f>IF(NAMES!$B$10=FALSE,IF($B42="","",Source!E50),IF($B42="","",Crewlist!K27))</f>
        <v/>
      </c>
      <c r="G42" s="17" t="str">
        <f>IF(NAMES!$B$10=FALSE,IF($B42="","",Source!F50),Cotations!O27)</f>
        <v/>
      </c>
      <c r="H42" s="17" t="str">
        <f>IF(NAMES!$B$10=FALSE,IF($B42="","",Source!G50),Cotations!M27)</f>
        <v/>
      </c>
      <c r="I42" s="18" t="str">
        <f ca="1">IF(NAMES!$B$10=FALSE,IF($B42="","",CIE_HT(I$28,$Q$2,OFFSET(Source!$A50,0,0,1,Config!$K$7))),IF($B42="","",IF(Calcul!$BC$7=$Q$2,Calcul!BE27,Calcul!BQ27)))</f>
        <v/>
      </c>
      <c r="J42" s="18" t="str">
        <f ca="1">IF(NAMES!$B$10=FALSE,IF($B42="","",CIE_HT(J$28,$Q$2,OFFSET(Source!$A50,0,0,1,Config!$K$7))),IF($B42="","",IF(Calcul!$BC$7=$Q$2,Calcul!BF27+Calcul!BG27+Calcul!BH27,Calcul!BR27)))</f>
        <v/>
      </c>
      <c r="K42" s="18" t="str">
        <f ca="1">IF(NAMES!$B$10=FALSE,IF($B42="","",CIE_HT(K$28,$Q$2,OFFSET(Source!$A50,0,0,1,Config!$K$7))),IF($B42="","",IF(Calcul!$BC$7=$Q$2,Calcul!BI27,Calcul!BS27)))</f>
        <v/>
      </c>
      <c r="L42" s="18" t="str">
        <f ca="1">IF(NAMES!$B$10=FALSE,IF($B42="","",CIE_HT(L$28,$Q$2,OFFSET(Source!$A50,0,0,1,Config!$K$7))),IF($B42="","",IF(Calcul!$BC$7=$Q$2,Calcul!BJ27,Calcul!BT27)))</f>
        <v/>
      </c>
      <c r="M42" s="18" t="str">
        <f ca="1">IF(NAMES!$B$10=FALSE,IF($B42="","",CIE_HT(M$28,$Q$2,OFFSET(Source!$A50,0,0,1,Config!$K$7))),IF($B42="","",IF(Calcul!$BC$7=$Q$2,Calcul!BK27,Calcul!BU27)))</f>
        <v/>
      </c>
      <c r="N42" s="18" t="str">
        <f ca="1">IF(NAMES!$B$10=FALSE,IF($B42="","",CIE_HT(N$28,$Q$2,OFFSET(Source!$A50,0,0,1,Config!$K$7))),IF($B42="","",IF(Calcul!$BC$7=$Q$2,Calcul!BL27,Calcul!BV27)))</f>
        <v/>
      </c>
      <c r="O42" s="18" t="str">
        <f ca="1">IF(NAMES!$B$10=FALSE,IF($B42="","",CIE_HT(O$28,$Q$2,OFFSET(Source!$A50,0,0,1,Config!$K$7))),IF($B42="","",IF(Calcul!$BC$7=$Q$2,Calcul!BM27,Calcul!BW27)))</f>
        <v/>
      </c>
      <c r="P42" s="18" t="str">
        <f ca="1">IF(NAMES!$B$10=FALSE,IF($B42="","",CIE_HT(P$28,$Q$2,OFFSET(Source!$A50,0,0,1,Config!$K$7))),IF($B42="","",IF(Calcul!$BC$7=$Q$2,Calcul!BN27,Calcul!BX27)))</f>
        <v/>
      </c>
      <c r="Q42" s="18" t="str">
        <f t="shared" si="3"/>
        <v/>
      </c>
      <c r="R42" s="18" t="str">
        <f ca="1">IF(NAMES!$B$10=FALSE,IF($B42="","",TOT_CIE_TC(I$28:P$28,$Q$2,OFFSET(Source!$A50,0,0,1,Config!$K$7))),IF($B42="","",Q42*TAXE))</f>
        <v/>
      </c>
      <c r="S42" s="1883" t="str">
        <f ca="1">IF(NAMES!$B$10=FALSE,IF($B42="","",_xludf.FORMULA($B42,$Q$2,OFFSET(Source!$A50,0,0,1,Config!$K$7))),IF($Q$2="AIG Luxembourg",Calcul!EE27,Calcul!IE27))</f>
        <v/>
      </c>
      <c r="T42" s="1883"/>
      <c r="U42" s="1883"/>
    </row>
    <row r="43" spans="1:21" ht="12.75" hidden="1" customHeight="1">
      <c r="A43" s="11" t="str">
        <f>IF(NAMES!$B$10=TRUE,IF(Cotations!C28=FALSE,"",Cotations!D28),IF(Source!A51="","",YEAR(Source!$B$2)&amp;"-"&amp;YEAR(Source!$C$2)&amp;"!"))</f>
        <v/>
      </c>
      <c r="B43" s="11" t="str">
        <f>IF(NAMES!$B$10=FALSE,IF(Source!A51="","",Source!A51),Cotations!F28)</f>
        <v/>
      </c>
      <c r="C43" s="11" t="str">
        <f>IF(NAMES!$B$10=FALSE,IF($B43="","",Source!B51),IF($B43="","",Crewlist!J28))</f>
        <v/>
      </c>
      <c r="D43" s="11" t="str">
        <f>IF(NAMES!$B$10=FALSE,IF($B43="","",Source!C51),IF($B43="","",Cotations!H28))</f>
        <v/>
      </c>
      <c r="E43" s="11" t="str">
        <f>IF(NAMES!$B$10=FALSE,IF($B43="","",Source!D51),IF($B43="","",Crewlist!G28))</f>
        <v/>
      </c>
      <c r="F43" s="16" t="str">
        <f>IF(NAMES!$B$10=FALSE,IF($B43="","",Source!E51),IF($B43="","",Crewlist!K28))</f>
        <v/>
      </c>
      <c r="G43" s="17" t="str">
        <f>IF(NAMES!$B$10=FALSE,IF($B43="","",Source!F51),Cotations!O28)</f>
        <v/>
      </c>
      <c r="H43" s="17" t="str">
        <f>IF(NAMES!$B$10=FALSE,IF($B43="","",Source!G51),Cotations!M28)</f>
        <v/>
      </c>
      <c r="I43" s="18" t="str">
        <f ca="1">IF(NAMES!$B$10=FALSE,IF($B43="","",CIE_HT(I$28,$Q$2,OFFSET(Source!$A51,0,0,1,Config!$K$7))),IF($B43="","",IF(Calcul!$BC$7=$Q$2,Calcul!BE28,Calcul!BQ28)))</f>
        <v/>
      </c>
      <c r="J43" s="18" t="str">
        <f ca="1">IF(NAMES!$B$10=FALSE,IF($B43="","",CIE_HT(J$28,$Q$2,OFFSET(Source!$A51,0,0,1,Config!$K$7))),IF($B43="","",IF(Calcul!$BC$7=$Q$2,Calcul!BF28+Calcul!BG28+Calcul!BH28,Calcul!BR28)))</f>
        <v/>
      </c>
      <c r="K43" s="18" t="str">
        <f ca="1">IF(NAMES!$B$10=FALSE,IF($B43="","",CIE_HT(K$28,$Q$2,OFFSET(Source!$A51,0,0,1,Config!$K$7))),IF($B43="","",IF(Calcul!$BC$7=$Q$2,Calcul!BI28,Calcul!BS28)))</f>
        <v/>
      </c>
      <c r="L43" s="18" t="str">
        <f ca="1">IF(NAMES!$B$10=FALSE,IF($B43="","",CIE_HT(L$28,$Q$2,OFFSET(Source!$A51,0,0,1,Config!$K$7))),IF($B43="","",IF(Calcul!$BC$7=$Q$2,Calcul!BJ28,Calcul!BT28)))</f>
        <v/>
      </c>
      <c r="M43" s="18" t="str">
        <f ca="1">IF(NAMES!$B$10=FALSE,IF($B43="","",CIE_HT(M$28,$Q$2,OFFSET(Source!$A51,0,0,1,Config!$K$7))),IF($B43="","",IF(Calcul!$BC$7=$Q$2,Calcul!BK28,Calcul!BU28)))</f>
        <v/>
      </c>
      <c r="N43" s="18" t="str">
        <f ca="1">IF(NAMES!$B$10=FALSE,IF($B43="","",CIE_HT(N$28,$Q$2,OFFSET(Source!$A51,0,0,1,Config!$K$7))),IF($B43="","",IF(Calcul!$BC$7=$Q$2,Calcul!BL28,Calcul!BV28)))</f>
        <v/>
      </c>
      <c r="O43" s="18" t="str">
        <f ca="1">IF(NAMES!$B$10=FALSE,IF($B43="","",CIE_HT(O$28,$Q$2,OFFSET(Source!$A51,0,0,1,Config!$K$7))),IF($B43="","",IF(Calcul!$BC$7=$Q$2,Calcul!BM28,Calcul!BW28)))</f>
        <v/>
      </c>
      <c r="P43" s="18" t="str">
        <f ca="1">IF(NAMES!$B$10=FALSE,IF($B43="","",CIE_HT(P$28,$Q$2,OFFSET(Source!$A51,0,0,1,Config!$K$7))),IF($B43="","",IF(Calcul!$BC$7=$Q$2,Calcul!BN28,Calcul!BX28)))</f>
        <v/>
      </c>
      <c r="Q43" s="18" t="str">
        <f t="shared" si="3"/>
        <v/>
      </c>
      <c r="R43" s="18" t="str">
        <f ca="1">IF(NAMES!$B$10=FALSE,IF($B43="","",TOT_CIE_TC(I$28:P$28,$Q$2,OFFSET(Source!$A51,0,0,1,Config!$K$7))),IF($B43="","",Q43*TAXE))</f>
        <v/>
      </c>
      <c r="S43" s="1883" t="str">
        <f ca="1">IF(NAMES!$B$10=FALSE,IF($B43="","",_xludf.FORMULA($B43,$Q$2,OFFSET(Source!$A51,0,0,1,Config!$K$7))),IF($Q$2="AIG Luxembourg",Calcul!EE28,Calcul!IE28))</f>
        <v/>
      </c>
      <c r="T43" s="1883"/>
      <c r="U43" s="1883"/>
    </row>
    <row r="44" spans="1:21" hidden="1">
      <c r="A44" s="11" t="str">
        <f>IF(NAMES!$B$10=TRUE,IF(Cotations!C29=FALSE,"",Cotations!D29),IF(Source!A52="","",YEAR(Source!$B$2)&amp;"-"&amp;YEAR(Source!$C$2)&amp;"!"))</f>
        <v/>
      </c>
      <c r="B44" s="11" t="str">
        <f>IF(NAMES!$B$10=FALSE,IF(Source!A52="","",Source!A52),Cotations!F29)</f>
        <v/>
      </c>
      <c r="C44" s="11" t="str">
        <f>IF(NAMES!$B$10=FALSE,IF($B44="","",Source!B52),IF($B44="","",Crewlist!J29))</f>
        <v/>
      </c>
      <c r="D44" s="11" t="str">
        <f>IF(NAMES!$B$10=FALSE,IF($B44="","",Source!C52),IF($B44="","",Cotations!H29))</f>
        <v/>
      </c>
      <c r="E44" s="11" t="str">
        <f>IF(NAMES!$B$10=FALSE,IF($B44="","",Source!D52),IF($B44="","",Crewlist!G29))</f>
        <v/>
      </c>
      <c r="F44" s="16" t="str">
        <f>IF(NAMES!$B$10=FALSE,IF($B44="","",Source!E52),IF($B44="","",Crewlist!K29))</f>
        <v/>
      </c>
      <c r="G44" s="17" t="str">
        <f>IF(NAMES!$B$10=FALSE,IF($B44="","",Source!F52),Cotations!O29)</f>
        <v/>
      </c>
      <c r="H44" s="17" t="str">
        <f>IF(NAMES!$B$10=FALSE,IF($B44="","",Source!G52),Cotations!M29)</f>
        <v/>
      </c>
      <c r="I44" s="18" t="str">
        <f ca="1">IF(NAMES!$B$10=FALSE,IF($B44="","",CIE_HT(I$28,$Q$2,OFFSET(Source!$A52,0,0,1,Config!$K$7))),IF($B44="","",IF(Calcul!$BC$7=$Q$2,Calcul!BE29,Calcul!BQ29)))</f>
        <v/>
      </c>
      <c r="J44" s="18" t="str">
        <f ca="1">IF(NAMES!$B$10=FALSE,IF($B44="","",CIE_HT(J$28,$Q$2,OFFSET(Source!$A52,0,0,1,Config!$K$7))),IF($B44="","",IF(Calcul!$BC$7=$Q$2,Calcul!BF29+Calcul!BG29+Calcul!BH29,Calcul!BR29)))</f>
        <v/>
      </c>
      <c r="K44" s="18" t="str">
        <f ca="1">IF(NAMES!$B$10=FALSE,IF($B44="","",CIE_HT(K$28,$Q$2,OFFSET(Source!$A52,0,0,1,Config!$K$7))),IF($B44="","",IF(Calcul!$BC$7=$Q$2,Calcul!BI29,Calcul!BS29)))</f>
        <v/>
      </c>
      <c r="L44" s="18" t="str">
        <f ca="1">IF(NAMES!$B$10=FALSE,IF($B44="","",CIE_HT(L$28,$Q$2,OFFSET(Source!$A52,0,0,1,Config!$K$7))),IF($B44="","",IF(Calcul!$BC$7=$Q$2,Calcul!BJ29,Calcul!BT29)))</f>
        <v/>
      </c>
      <c r="M44" s="18" t="str">
        <f ca="1">IF(NAMES!$B$10=FALSE,IF($B44="","",CIE_HT(M$28,$Q$2,OFFSET(Source!$A52,0,0,1,Config!$K$7))),IF($B44="","",IF(Calcul!$BC$7=$Q$2,Calcul!BK29,Calcul!BU29)))</f>
        <v/>
      </c>
      <c r="N44" s="18" t="str">
        <f ca="1">IF(NAMES!$B$10=FALSE,IF($B44="","",CIE_HT(N$28,$Q$2,OFFSET(Source!$A52,0,0,1,Config!$K$7))),IF($B44="","",IF(Calcul!$BC$7=$Q$2,Calcul!BL29,Calcul!BV29)))</f>
        <v/>
      </c>
      <c r="O44" s="18" t="str">
        <f ca="1">IF(NAMES!$B$10=FALSE,IF($B44="","",CIE_HT(O$28,$Q$2,OFFSET(Source!$A52,0,0,1,Config!$K$7))),IF($B44="","",IF(Calcul!$BC$7=$Q$2,Calcul!BM29,Calcul!BW29)))</f>
        <v/>
      </c>
      <c r="P44" s="18" t="str">
        <f ca="1">IF(NAMES!$B$10=FALSE,IF($B44="","",CIE_HT(P$28,$Q$2,OFFSET(Source!$A52,0,0,1,Config!$K$7))),IF($B44="","",IF(Calcul!$BC$7=$Q$2,Calcul!BN29,Calcul!BX29)))</f>
        <v/>
      </c>
      <c r="Q44" s="18" t="str">
        <f t="shared" si="3"/>
        <v/>
      </c>
      <c r="R44" s="18" t="str">
        <f ca="1">IF(NAMES!$B$10=FALSE,IF($B44="","",TOT_CIE_TC(I$28:P$28,$Q$2,OFFSET(Source!$A52,0,0,1,Config!$K$7))),IF($B44="","",Q44*TAXE))</f>
        <v/>
      </c>
      <c r="S44" s="1883" t="str">
        <f ca="1">IF(NAMES!$B$10=FALSE,IF($B44="","",_xludf.FORMULA($B44,$Q$2,OFFSET(Source!$A52,0,0,1,Config!$K$7))),IF($Q$2="AIG Luxembourg",Calcul!EE29,Calcul!IE29))</f>
        <v/>
      </c>
      <c r="T44" s="1883"/>
      <c r="U44" s="1883"/>
    </row>
    <row r="45" spans="1:21" hidden="1">
      <c r="A45" s="11" t="str">
        <f>IF(NAMES!$B$10=TRUE,IF(Cotations!C30=FALSE,"",Cotations!D30),IF(Source!A53="","",YEAR(Source!$B$2)&amp;"-"&amp;YEAR(Source!$C$2)&amp;"!"))</f>
        <v/>
      </c>
      <c r="B45" s="11" t="str">
        <f>IF(NAMES!$B$10=FALSE,IF(Source!A53="","",Source!A53),Cotations!F30)</f>
        <v/>
      </c>
      <c r="C45" s="11" t="str">
        <f>IF(NAMES!$B$10=FALSE,IF($B45="","",Source!B53),IF($B45="","",Crewlist!J30))</f>
        <v/>
      </c>
      <c r="D45" s="11" t="str">
        <f>IF(NAMES!$B$10=FALSE,IF($B45="","",Source!C53),IF($B45="","",Cotations!H30))</f>
        <v/>
      </c>
      <c r="E45" s="11" t="str">
        <f>IF(NAMES!$B$10=FALSE,IF($B45="","",Source!D53),IF($B45="","",Crewlist!G30))</f>
        <v/>
      </c>
      <c r="F45" s="16" t="str">
        <f>IF(NAMES!$B$10=FALSE,IF($B45="","",Source!E53),IF($B45="","",Crewlist!K30))</f>
        <v/>
      </c>
      <c r="G45" s="17" t="str">
        <f>IF(NAMES!$B$10=FALSE,IF($B45="","",Source!F53),Cotations!O30)</f>
        <v/>
      </c>
      <c r="H45" s="17" t="str">
        <f>IF(NAMES!$B$10=FALSE,IF($B45="","",Source!G53),Cotations!M30)</f>
        <v/>
      </c>
      <c r="I45" s="18" t="str">
        <f ca="1">IF(NAMES!$B$10=FALSE,IF($B45="","",CIE_HT(I$28,$Q$2,OFFSET(Source!$A53,0,0,1,Config!$K$7))),IF($B45="","",IF(Calcul!$BC$7=$Q$2,Calcul!BE30,Calcul!BQ30)))</f>
        <v/>
      </c>
      <c r="J45" s="18" t="str">
        <f ca="1">IF(NAMES!$B$10=FALSE,IF($B45="","",CIE_HT(J$28,$Q$2,OFFSET(Source!$A53,0,0,1,Config!$K$7))),IF($B45="","",IF(Calcul!$BC$7=$Q$2,Calcul!BF30+Calcul!BG30+Calcul!BH30,Calcul!BR30)))</f>
        <v/>
      </c>
      <c r="K45" s="18" t="str">
        <f ca="1">IF(NAMES!$B$10=FALSE,IF($B45="","",CIE_HT(K$28,$Q$2,OFFSET(Source!$A53,0,0,1,Config!$K$7))),IF($B45="","",IF(Calcul!$BC$7=$Q$2,Calcul!BI30,Calcul!BS30)))</f>
        <v/>
      </c>
      <c r="L45" s="18" t="str">
        <f ca="1">IF(NAMES!$B$10=FALSE,IF($B45="","",CIE_HT(L$28,$Q$2,OFFSET(Source!$A53,0,0,1,Config!$K$7))),IF($B45="","",IF(Calcul!$BC$7=$Q$2,Calcul!BJ30,Calcul!BT30)))</f>
        <v/>
      </c>
      <c r="M45" s="18" t="str">
        <f ca="1">IF(NAMES!$B$10=FALSE,IF($B45="","",CIE_HT(M$28,$Q$2,OFFSET(Source!$A53,0,0,1,Config!$K$7))),IF($B45="","",IF(Calcul!$BC$7=$Q$2,Calcul!BK30,Calcul!BU30)))</f>
        <v/>
      </c>
      <c r="N45" s="18" t="str">
        <f ca="1">IF(NAMES!$B$10=FALSE,IF($B45="","",CIE_HT(N$28,$Q$2,OFFSET(Source!$A53,0,0,1,Config!$K$7))),IF($B45="","",IF(Calcul!$BC$7=$Q$2,Calcul!BL30,Calcul!BV30)))</f>
        <v/>
      </c>
      <c r="O45" s="18" t="str">
        <f ca="1">IF(NAMES!$B$10=FALSE,IF($B45="","",CIE_HT(O$28,$Q$2,OFFSET(Source!$A53,0,0,1,Config!$K$7))),IF($B45="","",IF(Calcul!$BC$7=$Q$2,Calcul!BM30,Calcul!BW30)))</f>
        <v/>
      </c>
      <c r="P45" s="18" t="str">
        <f ca="1">IF(NAMES!$B$10=FALSE,IF($B45="","",CIE_HT(P$28,$Q$2,OFFSET(Source!$A53,0,0,1,Config!$K$7))),IF($B45="","",IF(Calcul!$BC$7=$Q$2,Calcul!BN30,Calcul!BX30)))</f>
        <v/>
      </c>
      <c r="Q45" s="18" t="str">
        <f t="shared" si="3"/>
        <v/>
      </c>
      <c r="R45" s="18" t="str">
        <f ca="1">IF(NAMES!$B$10=FALSE,IF($B45="","",TOT_CIE_TC(I$28:P$28,$Q$2,OFFSET(Source!$A53,0,0,1,Config!$K$7))),IF($B45="","",Q45*TAXE))</f>
        <v/>
      </c>
      <c r="S45" s="1883" t="str">
        <f ca="1">IF(NAMES!$B$10=FALSE,IF($B45="","",_xludf.FORMULA($B45,$Q$2,OFFSET(Source!$A53,0,0,1,Config!$K$7))),IF($Q$2="AIG Luxembourg",Calcul!EE30,Calcul!IE30))</f>
        <v/>
      </c>
      <c r="T45" s="1883"/>
      <c r="U45" s="1883"/>
    </row>
    <row r="46" spans="1:21" hidden="1">
      <c r="A46" s="11" t="str">
        <f>IF(NAMES!$B$10=TRUE,IF(Cotations!C31=FALSE,"",Cotations!D31),IF(Source!A54="","",YEAR(Source!$B$2)&amp;"-"&amp;YEAR(Source!$C$2)&amp;"!"))</f>
        <v/>
      </c>
      <c r="B46" s="11" t="str">
        <f>IF(NAMES!$B$10=FALSE,IF(Source!A54="","",Source!A54),Cotations!F31)</f>
        <v/>
      </c>
      <c r="C46" s="11" t="str">
        <f>IF(NAMES!$B$10=FALSE,IF($B46="","",Source!B54),IF($B46="","",Crewlist!J31))</f>
        <v/>
      </c>
      <c r="D46" s="11" t="str">
        <f>IF(NAMES!$B$10=FALSE,IF($B46="","",Source!C54),IF($B46="","",Cotations!H31))</f>
        <v/>
      </c>
      <c r="E46" s="11" t="str">
        <f>IF(NAMES!$B$10=FALSE,IF($B46="","",Source!D54),IF($B46="","",Crewlist!G31))</f>
        <v/>
      </c>
      <c r="F46" s="16" t="str">
        <f>IF(NAMES!$B$10=FALSE,IF($B46="","",Source!E54),IF($B46="","",Crewlist!K31))</f>
        <v/>
      </c>
      <c r="G46" s="17" t="str">
        <f>IF(NAMES!$B$10=FALSE,IF($B46="","",Source!F54),Cotations!O31)</f>
        <v/>
      </c>
      <c r="H46" s="17" t="str">
        <f>IF(NAMES!$B$10=FALSE,IF($B46="","",Source!G54),Cotations!M31)</f>
        <v/>
      </c>
      <c r="I46" s="18" t="str">
        <f ca="1">IF(NAMES!$B$10=FALSE,IF($B46="","",CIE_HT(I$28,$Q$2,OFFSET(Source!$A54,0,0,1,Config!$K$7))),IF($B46="","",IF(Calcul!$BC$7=$Q$2,Calcul!BE31,Calcul!BQ31)))</f>
        <v/>
      </c>
      <c r="J46" s="18" t="str">
        <f ca="1">IF(NAMES!$B$10=FALSE,IF($B46="","",CIE_HT(J$28,$Q$2,OFFSET(Source!$A54,0,0,1,Config!$K$7))),IF($B46="","",IF(Calcul!$BC$7=$Q$2,Calcul!BF31+Calcul!BG31+Calcul!BH31,Calcul!BR31)))</f>
        <v/>
      </c>
      <c r="K46" s="18" t="str">
        <f ca="1">IF(NAMES!$B$10=FALSE,IF($B46="","",CIE_HT(K$28,$Q$2,OFFSET(Source!$A54,0,0,1,Config!$K$7))),IF($B46="","",IF(Calcul!$BC$7=$Q$2,Calcul!BI31,Calcul!BS31)))</f>
        <v/>
      </c>
      <c r="L46" s="18" t="str">
        <f ca="1">IF(NAMES!$B$10=FALSE,IF($B46="","",CIE_HT(L$28,$Q$2,OFFSET(Source!$A54,0,0,1,Config!$K$7))),IF($B46="","",IF(Calcul!$BC$7=$Q$2,Calcul!BJ31,Calcul!BT31)))</f>
        <v/>
      </c>
      <c r="M46" s="18" t="str">
        <f ca="1">IF(NAMES!$B$10=FALSE,IF($B46="","",CIE_HT(M$28,$Q$2,OFFSET(Source!$A54,0,0,1,Config!$K$7))),IF($B46="","",IF(Calcul!$BC$7=$Q$2,Calcul!BK31,Calcul!BU31)))</f>
        <v/>
      </c>
      <c r="N46" s="18" t="str">
        <f ca="1">IF(NAMES!$B$10=FALSE,IF($B46="","",CIE_HT(N$28,$Q$2,OFFSET(Source!$A54,0,0,1,Config!$K$7))),IF($B46="","",IF(Calcul!$BC$7=$Q$2,Calcul!BL31,Calcul!BV31)))</f>
        <v/>
      </c>
      <c r="O46" s="18" t="str">
        <f ca="1">IF(NAMES!$B$10=FALSE,IF($B46="","",CIE_HT(O$28,$Q$2,OFFSET(Source!$A54,0,0,1,Config!$K$7))),IF($B46="","",IF(Calcul!$BC$7=$Q$2,Calcul!BM31,Calcul!BW31)))</f>
        <v/>
      </c>
      <c r="P46" s="18" t="str">
        <f ca="1">IF(NAMES!$B$10=FALSE,IF($B46="","",CIE_HT(P$28,$Q$2,OFFSET(Source!$A54,0,0,1,Config!$K$7))),IF($B46="","",IF(Calcul!$BC$7=$Q$2,Calcul!BN31,Calcul!BX31)))</f>
        <v/>
      </c>
      <c r="Q46" s="18" t="str">
        <f t="shared" si="3"/>
        <v/>
      </c>
      <c r="R46" s="18" t="str">
        <f ca="1">IF(NAMES!$B$10=FALSE,IF($B46="","",TOT_CIE_TC(I$28:P$28,$Q$2,OFFSET(Source!$A54,0,0,1,Config!$K$7))),IF($B46="","",Q46*TAXE))</f>
        <v/>
      </c>
      <c r="S46" s="1883" t="str">
        <f ca="1">IF(NAMES!$B$10=FALSE,IF($B46="","",_xludf.FORMULA($B46,$Q$2,OFFSET(Source!$A54,0,0,1,Config!$K$7))),IF($Q$2="AIG Luxembourg",Calcul!EE31,Calcul!IE31))</f>
        <v/>
      </c>
      <c r="T46" s="1883"/>
      <c r="U46" s="1883"/>
    </row>
    <row r="47" spans="1:21" hidden="1">
      <c r="A47" s="11" t="str">
        <f>IF(NAMES!$B$10=TRUE,IF(Cotations!C32=FALSE,"",Cotations!D32),IF(Source!A55="","",YEAR(Source!$B$2)&amp;"-"&amp;YEAR(Source!$C$2)&amp;"!"))</f>
        <v/>
      </c>
      <c r="B47" s="11" t="str">
        <f>IF(NAMES!$B$10=FALSE,IF(Source!A55="","",Source!A55),Cotations!F32)</f>
        <v/>
      </c>
      <c r="C47" s="11" t="str">
        <f>IF(NAMES!$B$10=FALSE,IF($B47="","",Source!B55),IF($B47="","",Crewlist!J32))</f>
        <v/>
      </c>
      <c r="D47" s="11" t="str">
        <f>IF(NAMES!$B$10=FALSE,IF($B47="","",Source!C55),IF($B47="","",Cotations!H32))</f>
        <v/>
      </c>
      <c r="E47" s="11" t="str">
        <f>IF(NAMES!$B$10=FALSE,IF($B47="","",Source!D55),IF($B47="","",Crewlist!G32))</f>
        <v/>
      </c>
      <c r="F47" s="16" t="str">
        <f>IF(NAMES!$B$10=FALSE,IF($B47="","",Source!E55),IF($B47="","",Crewlist!K32))</f>
        <v/>
      </c>
      <c r="G47" s="17" t="str">
        <f>IF(NAMES!$B$10=FALSE,IF($B47="","",Source!F55),Cotations!O32)</f>
        <v/>
      </c>
      <c r="H47" s="17" t="str">
        <f>IF(NAMES!$B$10=FALSE,IF($B47="","",Source!G55),Cotations!M32)</f>
        <v/>
      </c>
      <c r="I47" s="18" t="str">
        <f ca="1">IF(NAMES!$B$10=FALSE,IF($B47="","",CIE_HT(I$28,$Q$2,OFFSET(Source!$A55,0,0,1,Config!$K$7))),IF($B47="","",IF(Calcul!$BC$7=$Q$2,Calcul!BE32,Calcul!BQ32)))</f>
        <v/>
      </c>
      <c r="J47" s="18" t="str">
        <f ca="1">IF(NAMES!$B$10=FALSE,IF($B47="","",CIE_HT(J$28,$Q$2,OFFSET(Source!$A55,0,0,1,Config!$K$7))),IF($B47="","",IF(Calcul!$BC$7=$Q$2,Calcul!BF32+Calcul!BG32+Calcul!BH32,Calcul!BR32)))</f>
        <v/>
      </c>
      <c r="K47" s="18" t="str">
        <f ca="1">IF(NAMES!$B$10=FALSE,IF($B47="","",CIE_HT(K$28,$Q$2,OFFSET(Source!$A55,0,0,1,Config!$K$7))),IF($B47="","",IF(Calcul!$BC$7=$Q$2,Calcul!BI32,Calcul!BS32)))</f>
        <v/>
      </c>
      <c r="L47" s="18" t="str">
        <f ca="1">IF(NAMES!$B$10=FALSE,IF($B47="","",CIE_HT(L$28,$Q$2,OFFSET(Source!$A55,0,0,1,Config!$K$7))),IF($B47="","",IF(Calcul!$BC$7=$Q$2,Calcul!BJ32,Calcul!BT32)))</f>
        <v/>
      </c>
      <c r="M47" s="18" t="str">
        <f ca="1">IF(NAMES!$B$10=FALSE,IF($B47="","",CIE_HT(M$28,$Q$2,OFFSET(Source!$A55,0,0,1,Config!$K$7))),IF($B47="","",IF(Calcul!$BC$7=$Q$2,Calcul!BK32,Calcul!BU32)))</f>
        <v/>
      </c>
      <c r="N47" s="18" t="str">
        <f ca="1">IF(NAMES!$B$10=FALSE,IF($B47="","",CIE_HT(N$28,$Q$2,OFFSET(Source!$A55,0,0,1,Config!$K$7))),IF($B47="","",IF(Calcul!$BC$7=$Q$2,Calcul!BL32,Calcul!BV32)))</f>
        <v/>
      </c>
      <c r="O47" s="18" t="str">
        <f ca="1">IF(NAMES!$B$10=FALSE,IF($B47="","",CIE_HT(O$28,$Q$2,OFFSET(Source!$A55,0,0,1,Config!$K$7))),IF($B47="","",IF(Calcul!$BC$7=$Q$2,Calcul!BM32,Calcul!BW32)))</f>
        <v/>
      </c>
      <c r="P47" s="18" t="str">
        <f ca="1">IF(NAMES!$B$10=FALSE,IF($B47="","",CIE_HT(P$28,$Q$2,OFFSET(Source!$A55,0,0,1,Config!$K$7))),IF($B47="","",IF(Calcul!$BC$7=$Q$2,Calcul!BN32,Calcul!BX32)))</f>
        <v/>
      </c>
      <c r="Q47" s="18" t="str">
        <f t="shared" si="3"/>
        <v/>
      </c>
      <c r="R47" s="18" t="str">
        <f ca="1">IF(NAMES!$B$10=FALSE,IF($B47="","",TOT_CIE_TC(I$28:P$28,$Q$2,OFFSET(Source!$A55,0,0,1,Config!$K$7))),IF($B47="","",Q47*TAXE))</f>
        <v/>
      </c>
      <c r="S47" s="1883" t="str">
        <f ca="1">IF(NAMES!$B$10=FALSE,IF($B47="","",_xludf.FORMULA($B47,$Q$2,OFFSET(Source!$A55,0,0,1,Config!$K$7))),IF($Q$2="AIG Luxembourg",Calcul!EE32,Calcul!IE32))</f>
        <v/>
      </c>
      <c r="T47" s="1883"/>
      <c r="U47" s="1883"/>
    </row>
    <row r="48" spans="1:21" hidden="1">
      <c r="A48" s="11" t="str">
        <f>IF(NAMES!$B$10=TRUE,IF(Cotations!C33=FALSE,"",Cotations!D33),IF(Source!A56="","",YEAR(Source!$B$2)&amp;"-"&amp;YEAR(Source!$C$2)&amp;"!"))</f>
        <v/>
      </c>
      <c r="B48" s="11" t="str">
        <f>IF(NAMES!$B$10=FALSE,IF(Source!A56="","",Source!A56),Cotations!F33)</f>
        <v/>
      </c>
      <c r="C48" s="11" t="str">
        <f>IF(NAMES!$B$10=FALSE,IF($B48="","",Source!B56),IF($B48="","",Crewlist!J33))</f>
        <v/>
      </c>
      <c r="D48" s="11" t="str">
        <f>IF(NAMES!$B$10=FALSE,IF($B48="","",Source!C56),IF($B48="","",Cotations!H33))</f>
        <v/>
      </c>
      <c r="E48" s="11" t="str">
        <f>IF(NAMES!$B$10=FALSE,IF($B48="","",Source!D56),IF($B48="","",Crewlist!G33))</f>
        <v/>
      </c>
      <c r="F48" s="16" t="str">
        <f>IF(NAMES!$B$10=FALSE,IF($B48="","",Source!E56),IF($B48="","",Crewlist!K33))</f>
        <v/>
      </c>
      <c r="G48" s="17" t="str">
        <f>IF(NAMES!$B$10=FALSE,IF($B48="","",Source!F56),Cotations!O33)</f>
        <v/>
      </c>
      <c r="H48" s="17" t="str">
        <f>IF(NAMES!$B$10=FALSE,IF($B48="","",Source!G56),Cotations!M33)</f>
        <v/>
      </c>
      <c r="I48" s="18" t="str">
        <f ca="1">IF(NAMES!$B$10=FALSE,IF($B48="","",CIE_HT(I$28,$Q$2,OFFSET(Source!$A56,0,0,1,Config!$K$7))),IF($B48="","",IF(Calcul!$BC$7=$Q$2,Calcul!BE33,Calcul!BQ33)))</f>
        <v/>
      </c>
      <c r="J48" s="18" t="str">
        <f ca="1">IF(NAMES!$B$10=FALSE,IF($B48="","",CIE_HT(J$28,$Q$2,OFFSET(Source!$A56,0,0,1,Config!$K$7))),IF($B48="","",IF(Calcul!$BC$7=$Q$2,Calcul!BF33+Calcul!BG33+Calcul!BH33,Calcul!BR33)))</f>
        <v/>
      </c>
      <c r="K48" s="18" t="str">
        <f ca="1">IF(NAMES!$B$10=FALSE,IF($B48="","",CIE_HT(K$28,$Q$2,OFFSET(Source!$A56,0,0,1,Config!$K$7))),IF($B48="","",IF(Calcul!$BC$7=$Q$2,Calcul!BI33,Calcul!BS33)))</f>
        <v/>
      </c>
      <c r="L48" s="18" t="str">
        <f ca="1">IF(NAMES!$B$10=FALSE,IF($B48="","",CIE_HT(L$28,$Q$2,OFFSET(Source!$A56,0,0,1,Config!$K$7))),IF($B48="","",IF(Calcul!$BC$7=$Q$2,Calcul!BJ33,Calcul!BT33)))</f>
        <v/>
      </c>
      <c r="M48" s="18" t="str">
        <f ca="1">IF(NAMES!$B$10=FALSE,IF($B48="","",CIE_HT(M$28,$Q$2,OFFSET(Source!$A56,0,0,1,Config!$K$7))),IF($B48="","",IF(Calcul!$BC$7=$Q$2,Calcul!BK33,Calcul!BU33)))</f>
        <v/>
      </c>
      <c r="N48" s="18" t="str">
        <f ca="1">IF(NAMES!$B$10=FALSE,IF($B48="","",CIE_HT(N$28,$Q$2,OFFSET(Source!$A56,0,0,1,Config!$K$7))),IF($B48="","",IF(Calcul!$BC$7=$Q$2,Calcul!BL33,Calcul!BV33)))</f>
        <v/>
      </c>
      <c r="O48" s="18" t="str">
        <f ca="1">IF(NAMES!$B$10=FALSE,IF($B48="","",CIE_HT(O$28,$Q$2,OFFSET(Source!$A56,0,0,1,Config!$K$7))),IF($B48="","",IF(Calcul!$BC$7=$Q$2,Calcul!BM33,Calcul!BW33)))</f>
        <v/>
      </c>
      <c r="P48" s="18" t="str">
        <f ca="1">IF(NAMES!$B$10=FALSE,IF($B48="","",CIE_HT(P$28,$Q$2,OFFSET(Source!$A56,0,0,1,Config!$K$7))),IF($B48="","",IF(Calcul!$BC$7=$Q$2,Calcul!BN33,Calcul!BX33)))</f>
        <v/>
      </c>
      <c r="Q48" s="18" t="str">
        <f t="shared" si="3"/>
        <v/>
      </c>
      <c r="R48" s="18" t="str">
        <f ca="1">IF(NAMES!$B$10=FALSE,IF($B48="","",TOT_CIE_TC(I$28:P$28,$Q$2,OFFSET(Source!$A56,0,0,1,Config!$K$7))),IF($B48="","",Q48*TAXE))</f>
        <v/>
      </c>
      <c r="S48" s="1883" t="str">
        <f ca="1">IF(NAMES!$B$10=FALSE,IF($B48="","",_xludf.FORMULA($B48,$Q$2,OFFSET(Source!$A56,0,0,1,Config!$K$7))),IF($Q$2="AIG Luxembourg",Calcul!EE33,Calcul!IE33))</f>
        <v/>
      </c>
      <c r="T48" s="1883"/>
      <c r="U48" s="1883"/>
    </row>
    <row r="49" spans="1:21" hidden="1">
      <c r="A49" s="11" t="str">
        <f>IF(NAMES!$B$10=TRUE,IF(Cotations!C34=FALSE,"",Cotations!D34),IF(Source!A57="","",YEAR(Source!$B$2)&amp;"-"&amp;YEAR(Source!$C$2)&amp;"!"))</f>
        <v/>
      </c>
      <c r="B49" s="11" t="str">
        <f>IF(NAMES!$B$10=FALSE,IF(Source!A57="","",Source!A57),Cotations!F34)</f>
        <v/>
      </c>
      <c r="C49" s="11" t="str">
        <f>IF(NAMES!$B$10=FALSE,IF($B49="","",Source!B57),IF($B49="","",Crewlist!J34))</f>
        <v/>
      </c>
      <c r="D49" s="11" t="str">
        <f>IF(NAMES!$B$10=FALSE,IF($B49="","",Source!C57),IF($B49="","",Cotations!H34))</f>
        <v/>
      </c>
      <c r="E49" s="11" t="str">
        <f>IF(NAMES!$B$10=FALSE,IF($B49="","",Source!D57),IF($B49="","",Crewlist!G34))</f>
        <v/>
      </c>
      <c r="F49" s="16" t="str">
        <f>IF(NAMES!$B$10=FALSE,IF($B49="","",Source!E57),IF($B49="","",Crewlist!K34))</f>
        <v/>
      </c>
      <c r="G49" s="17" t="str">
        <f>IF(NAMES!$B$10=FALSE,IF($B49="","",Source!F57),Cotations!O34)</f>
        <v/>
      </c>
      <c r="H49" s="17" t="str">
        <f>IF(NAMES!$B$10=FALSE,IF($B49="","",Source!G57),Cotations!M34)</f>
        <v/>
      </c>
      <c r="I49" s="18" t="str">
        <f ca="1">IF(NAMES!$B$10=FALSE,IF($B49="","",CIE_HT(I$28,$Q$2,OFFSET(Source!$A57,0,0,1,Config!$K$7))),IF($B49="","",IF(Calcul!$BC$7=$Q$2,Calcul!BE34,Calcul!BQ34)))</f>
        <v/>
      </c>
      <c r="J49" s="18" t="str">
        <f ca="1">IF(NAMES!$B$10=FALSE,IF($B49="","",CIE_HT(J$28,$Q$2,OFFSET(Source!$A57,0,0,1,Config!$K$7))),IF($B49="","",IF(Calcul!$BC$7=$Q$2,Calcul!BF34+Calcul!BG34+Calcul!BH34,Calcul!BR34)))</f>
        <v/>
      </c>
      <c r="K49" s="18" t="str">
        <f ca="1">IF(NAMES!$B$10=FALSE,IF($B49="","",CIE_HT(K$28,$Q$2,OFFSET(Source!$A57,0,0,1,Config!$K$7))),IF($B49="","",IF(Calcul!$BC$7=$Q$2,Calcul!BI34,Calcul!BS34)))</f>
        <v/>
      </c>
      <c r="L49" s="18" t="str">
        <f ca="1">IF(NAMES!$B$10=FALSE,IF($B49="","",CIE_HT(L$28,$Q$2,OFFSET(Source!$A57,0,0,1,Config!$K$7))),IF($B49="","",IF(Calcul!$BC$7=$Q$2,Calcul!BJ34,Calcul!BT34)))</f>
        <v/>
      </c>
      <c r="M49" s="18" t="str">
        <f ca="1">IF(NAMES!$B$10=FALSE,IF($B49="","",CIE_HT(M$28,$Q$2,OFFSET(Source!$A57,0,0,1,Config!$K$7))),IF($B49="","",IF(Calcul!$BC$7=$Q$2,Calcul!BK34,Calcul!BU34)))</f>
        <v/>
      </c>
      <c r="N49" s="18" t="str">
        <f ca="1">IF(NAMES!$B$10=FALSE,IF($B49="","",CIE_HT(N$28,$Q$2,OFFSET(Source!$A57,0,0,1,Config!$K$7))),IF($B49="","",IF(Calcul!$BC$7=$Q$2,Calcul!BL34,Calcul!BV34)))</f>
        <v/>
      </c>
      <c r="O49" s="18" t="str">
        <f ca="1">IF(NAMES!$B$10=FALSE,IF($B49="","",CIE_HT(O$28,$Q$2,OFFSET(Source!$A57,0,0,1,Config!$K$7))),IF($B49="","",IF(Calcul!$BC$7=$Q$2,Calcul!BM34,Calcul!BW34)))</f>
        <v/>
      </c>
      <c r="P49" s="18" t="str">
        <f ca="1">IF(NAMES!$B$10=FALSE,IF($B49="","",CIE_HT(P$28,$Q$2,OFFSET(Source!$A57,0,0,1,Config!$K$7))),IF($B49="","",IF(Calcul!$BC$7=$Q$2,Calcul!BN34,Calcul!BX34)))</f>
        <v/>
      </c>
      <c r="Q49" s="18" t="str">
        <f t="shared" si="3"/>
        <v/>
      </c>
      <c r="R49" s="18" t="str">
        <f ca="1">IF(NAMES!$B$10=FALSE,IF($B49="","",TOT_CIE_TC(I$28:P$28,$Q$2,OFFSET(Source!$A57,0,0,1,Config!$K$7))),IF($B49="","",Q49*TAXE))</f>
        <v/>
      </c>
      <c r="S49" s="1883" t="str">
        <f ca="1">IF(NAMES!$B$10=FALSE,IF($B49="","",_xludf.FORMULA($B49,$Q$2,OFFSET(Source!$A57,0,0,1,Config!$K$7))),IF($Q$2="AIG Luxembourg",Calcul!EE34,Calcul!IE34))</f>
        <v/>
      </c>
      <c r="T49" s="1883"/>
      <c r="U49" s="1883"/>
    </row>
    <row r="50" spans="1:21" hidden="1">
      <c r="A50" s="11" t="str">
        <f>IF(NAMES!$B$10=TRUE,IF(Cotations!C35=FALSE,"",Cotations!D35),IF(Source!A58="","",YEAR(Source!$B$2)&amp;"-"&amp;YEAR(Source!$C$2)&amp;"!"))</f>
        <v/>
      </c>
      <c r="B50" s="11" t="str">
        <f>IF(NAMES!$B$10=FALSE,IF(Source!A58="","",Source!A58),Cotations!F35)</f>
        <v/>
      </c>
      <c r="C50" s="11" t="str">
        <f>IF(NAMES!$B$10=FALSE,IF($B50="","",Source!B58),IF($B50="","",Crewlist!J35))</f>
        <v/>
      </c>
      <c r="D50" s="11" t="str">
        <f>IF(NAMES!$B$10=FALSE,IF($B50="","",Source!C58),IF($B50="","",Cotations!H35))</f>
        <v/>
      </c>
      <c r="E50" s="11" t="str">
        <f>IF(NAMES!$B$10=FALSE,IF($B50="","",Source!D58),IF($B50="","",Crewlist!G35))</f>
        <v/>
      </c>
      <c r="F50" s="16" t="str">
        <f>IF(NAMES!$B$10=FALSE,IF($B50="","",Source!E58),IF($B50="","",Crewlist!K35))</f>
        <v/>
      </c>
      <c r="G50" s="17" t="str">
        <f>IF(NAMES!$B$10=FALSE,IF($B50="","",Source!F58),Cotations!O35)</f>
        <v/>
      </c>
      <c r="H50" s="17" t="str">
        <f>IF(NAMES!$B$10=FALSE,IF($B50="","",Source!G58),Cotations!M35)</f>
        <v/>
      </c>
      <c r="I50" s="18" t="str">
        <f ca="1">IF(NAMES!$B$10=FALSE,IF($B50="","",CIE_HT(I$28,$Q$2,OFFSET(Source!$A58,0,0,1,Config!$K$7))),IF($B50="","",IF(Calcul!$BC$7=$Q$2,Calcul!BE35,Calcul!BQ35)))</f>
        <v/>
      </c>
      <c r="J50" s="18" t="str">
        <f ca="1">IF(NAMES!$B$10=FALSE,IF($B50="","",CIE_HT(J$28,$Q$2,OFFSET(Source!$A58,0,0,1,Config!$K$7))),IF($B50="","",IF(Calcul!$BC$7=$Q$2,Calcul!BF35+Calcul!BG35+Calcul!BH35,Calcul!BR35)))</f>
        <v/>
      </c>
      <c r="K50" s="18" t="str">
        <f ca="1">IF(NAMES!$B$10=FALSE,IF($B50="","",CIE_HT(K$28,$Q$2,OFFSET(Source!$A58,0,0,1,Config!$K$7))),IF($B50="","",IF(Calcul!$BC$7=$Q$2,Calcul!BI35,Calcul!BS35)))</f>
        <v/>
      </c>
      <c r="L50" s="18" t="str">
        <f ca="1">IF(NAMES!$B$10=FALSE,IF($B50="","",CIE_HT(L$28,$Q$2,OFFSET(Source!$A58,0,0,1,Config!$K$7))),IF($B50="","",IF(Calcul!$BC$7=$Q$2,Calcul!BJ35,Calcul!BT35)))</f>
        <v/>
      </c>
      <c r="M50" s="18" t="str">
        <f ca="1">IF(NAMES!$B$10=FALSE,IF($B50="","",CIE_HT(M$28,$Q$2,OFFSET(Source!$A58,0,0,1,Config!$K$7))),IF($B50="","",IF(Calcul!$BC$7=$Q$2,Calcul!BK35,Calcul!BU35)))</f>
        <v/>
      </c>
      <c r="N50" s="18" t="str">
        <f ca="1">IF(NAMES!$B$10=FALSE,IF($B50="","",CIE_HT(N$28,$Q$2,OFFSET(Source!$A58,0,0,1,Config!$K$7))),IF($B50="","",IF(Calcul!$BC$7=$Q$2,Calcul!BL35,Calcul!BV35)))</f>
        <v/>
      </c>
      <c r="O50" s="18" t="str">
        <f ca="1">IF(NAMES!$B$10=FALSE,IF($B50="","",CIE_HT(O$28,$Q$2,OFFSET(Source!$A58,0,0,1,Config!$K$7))),IF($B50="","",IF(Calcul!$BC$7=$Q$2,Calcul!BM35,Calcul!BW35)))</f>
        <v/>
      </c>
      <c r="P50" s="18" t="str">
        <f ca="1">IF(NAMES!$B$10=FALSE,IF($B50="","",CIE_HT(P$28,$Q$2,OFFSET(Source!$A58,0,0,1,Config!$K$7))),IF($B50="","",IF(Calcul!$BC$7=$Q$2,Calcul!BN35,Calcul!BX35)))</f>
        <v/>
      </c>
      <c r="Q50" s="18" t="str">
        <f t="shared" si="3"/>
        <v/>
      </c>
      <c r="R50" s="18" t="str">
        <f ca="1">IF(NAMES!$B$10=FALSE,IF($B50="","",TOT_CIE_TC(I$28:P$28,$Q$2,OFFSET(Source!$A58,0,0,1,Config!$K$7))),IF($B50="","",Q50*TAXE))</f>
        <v/>
      </c>
      <c r="S50" s="1883" t="str">
        <f ca="1">IF(NAMES!$B$10=FALSE,IF($B50="","",_xludf.FORMULA($B50,$Q$2,OFFSET(Source!$A58,0,0,1,Config!$K$7))),IF($Q$2="AIG Luxembourg",Calcul!EE35,Calcul!IE35))</f>
        <v/>
      </c>
      <c r="T50" s="1883"/>
      <c r="U50" s="1883"/>
    </row>
    <row r="51" spans="1:21" ht="12.75" hidden="1" customHeight="1">
      <c r="A51" s="11" t="str">
        <f>IF(NAMES!$B$10=TRUE,IF(Cotations!C36=FALSE,"",Cotations!D36),IF(Source!A59="","",YEAR(Source!$B$2)&amp;"-"&amp;YEAR(Source!$C$2)&amp;"!"))</f>
        <v/>
      </c>
      <c r="B51" s="11" t="str">
        <f>IF(NAMES!$B$10=FALSE,IF(Source!A59="","",Source!A59),Cotations!F36)</f>
        <v/>
      </c>
      <c r="C51" s="11" t="str">
        <f>IF(NAMES!$B$10=FALSE,IF($B51="","",Source!B59),IF($B51="","",Crewlist!J36))</f>
        <v/>
      </c>
      <c r="D51" s="11" t="str">
        <f>IF(NAMES!$B$10=FALSE,IF($B51="","",Source!C59),IF($B51="","",Cotations!H36))</f>
        <v/>
      </c>
      <c r="E51" s="11" t="str">
        <f>IF(NAMES!$B$10=FALSE,IF($B51="","",Source!D59),IF($B51="","",Crewlist!G36))</f>
        <v/>
      </c>
      <c r="F51" s="16" t="str">
        <f>IF(NAMES!$B$10=FALSE,IF($B51="","",Source!E59),IF($B51="","",Crewlist!K36))</f>
        <v/>
      </c>
      <c r="G51" s="17" t="str">
        <f>IF(NAMES!$B$10=FALSE,IF($B51="","",Source!F59),Cotations!O36)</f>
        <v/>
      </c>
      <c r="H51" s="17" t="str">
        <f>IF(NAMES!$B$10=FALSE,IF($B51="","",Source!G59),Cotations!M36)</f>
        <v/>
      </c>
      <c r="I51" s="18" t="str">
        <f ca="1">IF(NAMES!$B$10=FALSE,IF($B51="","",CIE_HT(I$28,$Q$2,OFFSET(Source!$A59,0,0,1,Config!$K$7))),IF($B51="","",IF(Calcul!$BC$7=$Q$2,Calcul!BE36,Calcul!BQ36)))</f>
        <v/>
      </c>
      <c r="J51" s="18" t="str">
        <f ca="1">IF(NAMES!$B$10=FALSE,IF($B51="","",CIE_HT(J$28,$Q$2,OFFSET(Source!$A59,0,0,1,Config!$K$7))),IF($B51="","",IF(Calcul!$BC$7=$Q$2,Calcul!BF36+Calcul!BG36+Calcul!BH36,Calcul!BR36)))</f>
        <v/>
      </c>
      <c r="K51" s="18" t="str">
        <f ca="1">IF(NAMES!$B$10=FALSE,IF($B51="","",CIE_HT(K$28,$Q$2,OFFSET(Source!$A59,0,0,1,Config!$K$7))),IF($B51="","",IF(Calcul!$BC$7=$Q$2,Calcul!BI36,Calcul!BS36)))</f>
        <v/>
      </c>
      <c r="L51" s="18" t="str">
        <f ca="1">IF(NAMES!$B$10=FALSE,IF($B51="","",CIE_HT(L$28,$Q$2,OFFSET(Source!$A59,0,0,1,Config!$K$7))),IF($B51="","",IF(Calcul!$BC$7=$Q$2,Calcul!BJ36,Calcul!BT36)))</f>
        <v/>
      </c>
      <c r="M51" s="18" t="str">
        <f ca="1">IF(NAMES!$B$10=FALSE,IF($B51="","",CIE_HT(M$28,$Q$2,OFFSET(Source!$A59,0,0,1,Config!$K$7))),IF($B51="","",IF(Calcul!$BC$7=$Q$2,Calcul!BK36,Calcul!BU36)))</f>
        <v/>
      </c>
      <c r="N51" s="18" t="str">
        <f ca="1">IF(NAMES!$B$10=FALSE,IF($B51="","",CIE_HT(N$28,$Q$2,OFFSET(Source!$A59,0,0,1,Config!$K$7))),IF($B51="","",IF(Calcul!$BC$7=$Q$2,Calcul!BL36,Calcul!BV36)))</f>
        <v/>
      </c>
      <c r="O51" s="18" t="str">
        <f ca="1">IF(NAMES!$B$10=FALSE,IF($B51="","",CIE_HT(O$28,$Q$2,OFFSET(Source!$A59,0,0,1,Config!$K$7))),IF($B51="","",IF(Calcul!$BC$7=$Q$2,Calcul!BM36,Calcul!BW36)))</f>
        <v/>
      </c>
      <c r="P51" s="18" t="str">
        <f ca="1">IF(NAMES!$B$10=FALSE,IF($B51="","",CIE_HT(P$28,$Q$2,OFFSET(Source!$A59,0,0,1,Config!$K$7))),IF($B51="","",IF(Calcul!$BC$7=$Q$2,Calcul!BN36,Calcul!BX36)))</f>
        <v/>
      </c>
      <c r="Q51" s="18" t="str">
        <f t="shared" si="3"/>
        <v/>
      </c>
      <c r="R51" s="18" t="str">
        <f ca="1">IF(NAMES!$B$10=FALSE,IF($B51="","",TOT_CIE_TC(I$28:P$28,$Q$2,OFFSET(Source!$A59,0,0,1,Config!$K$7))),IF($B51="","",Q51*TAXE))</f>
        <v/>
      </c>
      <c r="S51" s="1883" t="str">
        <f ca="1">IF(NAMES!$B$10=FALSE,IF($B51="","",_xludf.FORMULA($B51,$Q$2,OFFSET(Source!$A59,0,0,1,Config!$K$7))),IF($Q$2="AIG Luxembourg",Calcul!EE36,Calcul!IE36))</f>
        <v/>
      </c>
      <c r="T51" s="1883"/>
      <c r="U51" s="1883"/>
    </row>
    <row r="52" spans="1:21" ht="12.75" hidden="1" customHeight="1">
      <c r="A52" s="11" t="str">
        <f>IF(NAMES!$B$10=TRUE,IF(Cotations!C37=FALSE,"",Cotations!D37),IF(Source!A60="","",YEAR(Source!$B$2)&amp;"-"&amp;YEAR(Source!$C$2)&amp;"!"))</f>
        <v/>
      </c>
      <c r="B52" s="11" t="str">
        <f>IF(NAMES!$B$10=FALSE,IF(Source!A60="","",Source!A60),Cotations!F37)</f>
        <v/>
      </c>
      <c r="C52" s="11" t="str">
        <f>IF(NAMES!$B$10=FALSE,IF($B52="","",Source!B60),IF($B52="","",Crewlist!J37))</f>
        <v/>
      </c>
      <c r="D52" s="11" t="str">
        <f>IF(NAMES!$B$10=FALSE,IF($B52="","",Source!C60),IF($B52="","",Cotations!H37))</f>
        <v/>
      </c>
      <c r="E52" s="11" t="str">
        <f>IF(NAMES!$B$10=FALSE,IF($B52="","",Source!D60),IF($B52="","",Crewlist!G37))</f>
        <v/>
      </c>
      <c r="F52" s="16" t="str">
        <f>IF(NAMES!$B$10=FALSE,IF($B52="","",Source!E60),IF($B52="","",Crewlist!K37))</f>
        <v/>
      </c>
      <c r="G52" s="17" t="str">
        <f>IF(NAMES!$B$10=FALSE,IF($B52="","",Source!F60),Cotations!O37)</f>
        <v/>
      </c>
      <c r="H52" s="17" t="str">
        <f>IF(NAMES!$B$10=FALSE,IF($B52="","",Source!G60),Cotations!M37)</f>
        <v/>
      </c>
      <c r="I52" s="18" t="str">
        <f ca="1">IF(NAMES!$B$10=FALSE,IF($B52="","",CIE_HT(I$28,$Q$2,OFFSET(Source!$A60,0,0,1,Config!$K$7))),IF($B52="","",IF(Calcul!$BC$7=$Q$2,Calcul!BE37,Calcul!BQ37)))</f>
        <v/>
      </c>
      <c r="J52" s="18" t="str">
        <f ca="1">IF(NAMES!$B$10=FALSE,IF($B52="","",CIE_HT(J$28,$Q$2,OFFSET(Source!$A60,0,0,1,Config!$K$7))),IF($B52="","",IF(Calcul!$BC$7=$Q$2,Calcul!BF37+Calcul!BG37+Calcul!BH37,Calcul!BR37)))</f>
        <v/>
      </c>
      <c r="K52" s="18" t="str">
        <f ca="1">IF(NAMES!$B$10=FALSE,IF($B52="","",CIE_HT(K$28,$Q$2,OFFSET(Source!$A60,0,0,1,Config!$K$7))),IF($B52="","",IF(Calcul!$BC$7=$Q$2,Calcul!BI37,Calcul!BS37)))</f>
        <v/>
      </c>
      <c r="L52" s="18" t="str">
        <f ca="1">IF(NAMES!$B$10=FALSE,IF($B52="","",CIE_HT(L$28,$Q$2,OFFSET(Source!$A60,0,0,1,Config!$K$7))),IF($B52="","",IF(Calcul!$BC$7=$Q$2,Calcul!BJ37,Calcul!BT37)))</f>
        <v/>
      </c>
      <c r="M52" s="18" t="str">
        <f ca="1">IF(NAMES!$B$10=FALSE,IF($B52="","",CIE_HT(M$28,$Q$2,OFFSET(Source!$A60,0,0,1,Config!$K$7))),IF($B52="","",IF(Calcul!$BC$7=$Q$2,Calcul!BK37,Calcul!BU37)))</f>
        <v/>
      </c>
      <c r="N52" s="18" t="str">
        <f ca="1">IF(NAMES!$B$10=FALSE,IF($B52="","",CIE_HT(N$28,$Q$2,OFFSET(Source!$A60,0,0,1,Config!$K$7))),IF($B52="","",IF(Calcul!$BC$7=$Q$2,Calcul!BL37,Calcul!BV37)))</f>
        <v/>
      </c>
      <c r="O52" s="18" t="str">
        <f ca="1">IF(NAMES!$B$10=FALSE,IF($B52="","",CIE_HT(O$28,$Q$2,OFFSET(Source!$A60,0,0,1,Config!$K$7))),IF($B52="","",IF(Calcul!$BC$7=$Q$2,Calcul!BM37,Calcul!BW37)))</f>
        <v/>
      </c>
      <c r="P52" s="18" t="str">
        <f ca="1">IF(NAMES!$B$10=FALSE,IF($B52="","",CIE_HT(P$28,$Q$2,OFFSET(Source!$A60,0,0,1,Config!$K$7))),IF($B52="","",IF(Calcul!$BC$7=$Q$2,Calcul!BN37,Calcul!BX37)))</f>
        <v/>
      </c>
      <c r="Q52" s="18" t="str">
        <f t="shared" si="3"/>
        <v/>
      </c>
      <c r="R52" s="18" t="str">
        <f ca="1">IF(NAMES!$B$10=FALSE,IF($B52="","",TOT_CIE_TC(I$28:P$28,$Q$2,OFFSET(Source!$A60,0,0,1,Config!$K$7))),IF($B52="","",Q52*TAXE))</f>
        <v/>
      </c>
      <c r="S52" s="1883" t="str">
        <f ca="1">IF(NAMES!$B$10=FALSE,IF($B52="","",_xludf.FORMULA($B52,$Q$2,OFFSET(Source!$A60,0,0,1,Config!$K$7))),IF($Q$2="AIG Luxembourg",Calcul!EE37,Calcul!IE37))</f>
        <v/>
      </c>
      <c r="T52" s="1883"/>
      <c r="U52" s="1883"/>
    </row>
    <row r="53" spans="1:21" hidden="1">
      <c r="A53" s="11" t="str">
        <f>IF(NAMES!$B$10=TRUE,IF(Cotations!C38=FALSE,"",Cotations!D38),IF(Source!A61="","",YEAR(Source!$B$2)&amp;"-"&amp;YEAR(Source!$C$2)&amp;"!"))</f>
        <v/>
      </c>
      <c r="B53" s="11" t="str">
        <f>IF(NAMES!$B$10=FALSE,IF(Source!A61="","",Source!A61),Cotations!F38)</f>
        <v/>
      </c>
      <c r="C53" s="11" t="str">
        <f>IF(NAMES!$B$10=FALSE,IF($B53="","",Source!B61),IF($B53="","",Crewlist!J38))</f>
        <v/>
      </c>
      <c r="D53" s="11" t="str">
        <f>IF(NAMES!$B$10=FALSE,IF($B53="","",Source!C61),IF($B53="","",Cotations!H38))</f>
        <v/>
      </c>
      <c r="E53" s="11" t="str">
        <f>IF(NAMES!$B$10=FALSE,IF($B53="","",Source!D61),IF($B53="","",Crewlist!G38))</f>
        <v/>
      </c>
      <c r="F53" s="16" t="str">
        <f>IF(NAMES!$B$10=FALSE,IF($B53="","",Source!E61),IF($B53="","",Crewlist!K38))</f>
        <v/>
      </c>
      <c r="G53" s="17" t="str">
        <f>IF(NAMES!$B$10=FALSE,IF($B53="","",Source!F61),Cotations!O38)</f>
        <v/>
      </c>
      <c r="H53" s="17" t="str">
        <f>IF(NAMES!$B$10=FALSE,IF($B53="","",Source!G61),Cotations!M38)</f>
        <v/>
      </c>
      <c r="I53" s="18" t="str">
        <f ca="1">IF(NAMES!$B$10=FALSE,IF($B53="","",CIE_HT(I$28,$Q$2,OFFSET(Source!$A61,0,0,1,Config!$K$7))),IF($B53="","",IF(Calcul!$BC$7=$Q$2,Calcul!BE38,Calcul!BQ38)))</f>
        <v/>
      </c>
      <c r="J53" s="18" t="str">
        <f ca="1">IF(NAMES!$B$10=FALSE,IF($B53="","",CIE_HT(J$28,$Q$2,OFFSET(Source!$A61,0,0,1,Config!$K$7))),IF($B53="","",IF(Calcul!$BC$7=$Q$2,Calcul!BF38+Calcul!BG38+Calcul!BH38,Calcul!BR38)))</f>
        <v/>
      </c>
      <c r="K53" s="18" t="str">
        <f ca="1">IF(NAMES!$B$10=FALSE,IF($B53="","",CIE_HT(K$28,$Q$2,OFFSET(Source!$A61,0,0,1,Config!$K$7))),IF($B53="","",IF(Calcul!$BC$7=$Q$2,Calcul!BI38,Calcul!BS38)))</f>
        <v/>
      </c>
      <c r="L53" s="18" t="str">
        <f ca="1">IF(NAMES!$B$10=FALSE,IF($B53="","",CIE_HT(L$28,$Q$2,OFFSET(Source!$A61,0,0,1,Config!$K$7))),IF($B53="","",IF(Calcul!$BC$7=$Q$2,Calcul!BJ38,Calcul!BT38)))</f>
        <v/>
      </c>
      <c r="M53" s="18" t="str">
        <f ca="1">IF(NAMES!$B$10=FALSE,IF($B53="","",CIE_HT(M$28,$Q$2,OFFSET(Source!$A61,0,0,1,Config!$K$7))),IF($B53="","",IF(Calcul!$BC$7=$Q$2,Calcul!BK38,Calcul!BU38)))</f>
        <v/>
      </c>
      <c r="N53" s="18" t="str">
        <f ca="1">IF(NAMES!$B$10=FALSE,IF($B53="","",CIE_HT(N$28,$Q$2,OFFSET(Source!$A61,0,0,1,Config!$K$7))),IF($B53="","",IF(Calcul!$BC$7=$Q$2,Calcul!BL38,Calcul!BV38)))</f>
        <v/>
      </c>
      <c r="O53" s="18" t="str">
        <f ca="1">IF(NAMES!$B$10=FALSE,IF($B53="","",CIE_HT(O$28,$Q$2,OFFSET(Source!$A61,0,0,1,Config!$K$7))),IF($B53="","",IF(Calcul!$BC$7=$Q$2,Calcul!BM38,Calcul!BW38)))</f>
        <v/>
      </c>
      <c r="P53" s="18" t="str">
        <f ca="1">IF(NAMES!$B$10=FALSE,IF($B53="","",CIE_HT(P$28,$Q$2,OFFSET(Source!$A61,0,0,1,Config!$K$7))),IF($B53="","",IF(Calcul!$BC$7=$Q$2,Calcul!BN38,Calcul!BX38)))</f>
        <v/>
      </c>
      <c r="Q53" s="18" t="str">
        <f t="shared" si="3"/>
        <v/>
      </c>
      <c r="R53" s="18" t="str">
        <f ca="1">IF(NAMES!$B$10=FALSE,IF($B53="","",TOT_CIE_TC(I$28:P$28,$Q$2,OFFSET(Source!$A61,0,0,1,Config!$K$7))),IF($B53="","",Q53*TAXE))</f>
        <v/>
      </c>
      <c r="S53" s="1883" t="str">
        <f ca="1">IF(NAMES!$B$10=FALSE,IF($B53="","",_xludf.FORMULA($B53,$Q$2,OFFSET(Source!$A61,0,0,1,Config!$K$7))),IF($Q$2="AIG Luxembourg",Calcul!EE38,Calcul!IE38))</f>
        <v/>
      </c>
      <c r="T53" s="1883"/>
      <c r="U53" s="1883"/>
    </row>
    <row r="54" spans="1:21" hidden="1">
      <c r="A54" s="11" t="str">
        <f>IF(NAMES!$B$10=TRUE,IF(Cotations!C39=FALSE,"",Cotations!D39),IF(Source!A62="","",YEAR(Source!$B$2)&amp;"-"&amp;YEAR(Source!$C$2)&amp;"!"))</f>
        <v/>
      </c>
      <c r="B54" s="11" t="str">
        <f>IF(NAMES!$B$10=FALSE,IF(Source!A62="","",Source!A62),Cotations!F39)</f>
        <v/>
      </c>
      <c r="C54" s="11" t="str">
        <f>IF(NAMES!$B$10=FALSE,IF($B54="","",Source!B62),IF($B54="","",Crewlist!J39))</f>
        <v/>
      </c>
      <c r="D54" s="11" t="str">
        <f>IF(NAMES!$B$10=FALSE,IF($B54="","",Source!C62),IF($B54="","",Cotations!H39))</f>
        <v/>
      </c>
      <c r="E54" s="11" t="str">
        <f>IF(NAMES!$B$10=FALSE,IF($B54="","",Source!D62),IF($B54="","",Crewlist!G39))</f>
        <v/>
      </c>
      <c r="F54" s="16" t="str">
        <f>IF(NAMES!$B$10=FALSE,IF($B54="","",Source!E62),IF($B54="","",Crewlist!K39))</f>
        <v/>
      </c>
      <c r="G54" s="17" t="str">
        <f>IF(NAMES!$B$10=FALSE,IF($B54="","",Source!F62),Cotations!O39)</f>
        <v/>
      </c>
      <c r="H54" s="17" t="str">
        <f>IF(NAMES!$B$10=FALSE,IF($B54="","",Source!G62),Cotations!M39)</f>
        <v/>
      </c>
      <c r="I54" s="18" t="str">
        <f ca="1">IF(NAMES!$B$10=FALSE,IF($B54="","",CIE_HT(I$28,$Q$2,OFFSET(Source!$A62,0,0,1,Config!$K$7))),IF($B54="","",IF(Calcul!$BC$7=$Q$2,Calcul!BE39,Calcul!BQ39)))</f>
        <v/>
      </c>
      <c r="J54" s="18" t="str">
        <f ca="1">IF(NAMES!$B$10=FALSE,IF($B54="","",CIE_HT(J$28,$Q$2,OFFSET(Source!$A62,0,0,1,Config!$K$7))),IF($B54="","",IF(Calcul!$BC$7=$Q$2,Calcul!BF39+Calcul!BG39+Calcul!BH39,Calcul!BR39)))</f>
        <v/>
      </c>
      <c r="K54" s="18" t="str">
        <f ca="1">IF(NAMES!$B$10=FALSE,IF($B54="","",CIE_HT(K$28,$Q$2,OFFSET(Source!$A62,0,0,1,Config!$K$7))),IF($B54="","",IF(Calcul!$BC$7=$Q$2,Calcul!BI39,Calcul!BS39)))</f>
        <v/>
      </c>
      <c r="L54" s="18" t="str">
        <f ca="1">IF(NAMES!$B$10=FALSE,IF($B54="","",CIE_HT(L$28,$Q$2,OFFSET(Source!$A62,0,0,1,Config!$K$7))),IF($B54="","",IF(Calcul!$BC$7=$Q$2,Calcul!BJ39,Calcul!BT39)))</f>
        <v/>
      </c>
      <c r="M54" s="18" t="str">
        <f ca="1">IF(NAMES!$B$10=FALSE,IF($B54="","",CIE_HT(M$28,$Q$2,OFFSET(Source!$A62,0,0,1,Config!$K$7))),IF($B54="","",IF(Calcul!$BC$7=$Q$2,Calcul!BK39,Calcul!BU39)))</f>
        <v/>
      </c>
      <c r="N54" s="18" t="str">
        <f ca="1">IF(NAMES!$B$10=FALSE,IF($B54="","",CIE_HT(N$28,$Q$2,OFFSET(Source!$A62,0,0,1,Config!$K$7))),IF($B54="","",IF(Calcul!$BC$7=$Q$2,Calcul!BL39,Calcul!BV39)))</f>
        <v/>
      </c>
      <c r="O54" s="18" t="str">
        <f ca="1">IF(NAMES!$B$10=FALSE,IF($B54="","",CIE_HT(O$28,$Q$2,OFFSET(Source!$A62,0,0,1,Config!$K$7))),IF($B54="","",IF(Calcul!$BC$7=$Q$2,Calcul!BM39,Calcul!BW39)))</f>
        <v/>
      </c>
      <c r="P54" s="18" t="str">
        <f ca="1">IF(NAMES!$B$10=FALSE,IF($B54="","",CIE_HT(P$28,$Q$2,OFFSET(Source!$A62,0,0,1,Config!$K$7))),IF($B54="","",IF(Calcul!$BC$7=$Q$2,Calcul!BN39,Calcul!BX39)))</f>
        <v/>
      </c>
      <c r="Q54" s="18" t="str">
        <f t="shared" si="3"/>
        <v/>
      </c>
      <c r="R54" s="18" t="str">
        <f ca="1">IF(NAMES!$B$10=FALSE,IF($B54="","",TOT_CIE_TC(I$28:P$28,$Q$2,OFFSET(Source!$A62,0,0,1,Config!$K$7))),IF($B54="","",Q54*TAXE))</f>
        <v/>
      </c>
      <c r="S54" s="1883" t="str">
        <f ca="1">IF(NAMES!$B$10=FALSE,IF($B54="","",_xludf.FORMULA($B54,$Q$2,OFFSET(Source!$A62,0,0,1,Config!$K$7))),IF($Q$2="AIG Luxembourg",Calcul!EE39,Calcul!IE39))</f>
        <v/>
      </c>
      <c r="T54" s="1883"/>
      <c r="U54" s="1883"/>
    </row>
    <row r="55" spans="1:21">
      <c r="A55" s="11" t="str">
        <f>IF(NAMES!$B$10=TRUE,IF(Cotations!C40=FALSE,"",Cotations!D40),IF(Source!A63="","",YEAR(Source!$B$2)&amp;"-"&amp;YEAR(Source!$C$2)&amp;"!"))</f>
        <v>2017-2017!</v>
      </c>
      <c r="B55" s="11">
        <f>IF(NAMES!$B$10=FALSE,IF(Source!A63="","",Source!A63),Cotations!F40)</f>
        <v>33</v>
      </c>
      <c r="C55" s="11" t="str">
        <f>IF(NAMES!$B$10=FALSE,IF($B55="","",Source!B63),IF($B55="","",Crewlist!J40))</f>
        <v>male</v>
      </c>
      <c r="D55" s="11" t="str">
        <f>IF(NAMES!$B$10=FALSE,IF($B55="","",Source!C63),IF($B55="","",Cotations!H40))</f>
        <v>PIALLES</v>
      </c>
      <c r="E55" s="11" t="str">
        <f>IF(NAMES!$B$10=FALSE,IF($B55="","",Source!D63),IF($B55="","",Crewlist!G40))</f>
        <v>Eric</v>
      </c>
      <c r="F55" s="16">
        <f>IF(NAMES!$B$10=FALSE,IF($B55="","",Source!E63),IF($B55="","",Crewlist!K40))</f>
        <v>23157</v>
      </c>
      <c r="G55" s="17">
        <f>IF(NAMES!$B$10=FALSE,IF($B55="","",Source!F63),Cotations!O40)</f>
        <v>181</v>
      </c>
      <c r="H55" s="17">
        <f>IF(NAMES!$B$10=FALSE,IF($B55="","",Source!G63),Cotations!M40)</f>
        <v>6</v>
      </c>
      <c r="I55" s="18">
        <f ca="1">IF(NAMES!$B$10=FALSE,IF($B55="","",CIE_HT(I$28,$Q$2,OFFSET(Source!$A63,0,0,1,Config!$K$7))),IF($B55="","",IF(Calcul!$BC$7=$Q$2,Calcul!BE40,Calcul!BQ40)))</f>
        <v>0</v>
      </c>
      <c r="J55" s="18">
        <f ca="1">IF(NAMES!$B$10=FALSE,IF($B55="","",CIE_HT(J$28,$Q$2,OFFSET(Source!$A63,0,0,1,Config!$K$7))),IF($B55="","",IF(Calcul!$BC$7=$Q$2,Calcul!BF40+Calcul!BG40+Calcul!BH40,Calcul!BR40)))</f>
        <v>0</v>
      </c>
      <c r="K55" s="18">
        <f ca="1">IF(NAMES!$B$10=FALSE,IF($B55="","",CIE_HT(K$28,$Q$2,OFFSET(Source!$A63,0,0,1,Config!$K$7))),IF($B55="","",IF(Calcul!$BC$7=$Q$2,Calcul!BI40,Calcul!BS40)))</f>
        <v>148.03662541332073</v>
      </c>
      <c r="L55" s="18">
        <f ca="1">IF(NAMES!$B$10=FALSE,IF($B55="","",CIE_HT(L$28,$Q$2,OFFSET(Source!$A63,0,0,1,Config!$K$7))),IF($B55="","",IF(Calcul!$BC$7=$Q$2,Calcul!BJ40,Calcul!BT40)))</f>
        <v>370.2393046764289</v>
      </c>
      <c r="M55" s="18">
        <f ca="1">IF(NAMES!$B$10=FALSE,IF($B55="","",CIE_HT(M$28,$Q$2,OFFSET(Source!$A63,0,0,1,Config!$K$7))),IF($B55="","",IF(Calcul!$BC$7=$Q$2,Calcul!BK40,Calcul!BU40)))</f>
        <v>182.90353519130846</v>
      </c>
      <c r="N55" s="18">
        <f ca="1">IF(NAMES!$B$10=FALSE,IF($B55="","",CIE_HT(N$28,$Q$2,OFFSET(Source!$A63,0,0,1,Config!$K$7))),IF($B55="","",IF(Calcul!$BC$7=$Q$2,Calcul!BL40,Calcul!BV40)))</f>
        <v>439.97312423240442</v>
      </c>
      <c r="O55" s="18">
        <f ca="1">IF(NAMES!$B$10=FALSE,IF($B55="","",CIE_HT(O$28,$Q$2,OFFSET(Source!$A63,0,0,1,Config!$K$7))),IF($B55="","",IF(Calcul!$BC$7=$Q$2,Calcul!BM40,Calcul!BW40)))</f>
        <v>502.98677373641948</v>
      </c>
      <c r="P55" s="18">
        <f ca="1">IF(NAMES!$B$10=FALSE,IF($B55="","",CIE_HT(P$28,$Q$2,OFFSET(Source!$A63,0,0,1,Config!$K$7))),IF($B55="","",IF(Calcul!$BC$7=$Q$2,Calcul!BN40,Calcul!BX40)))</f>
        <v>1005.2040623523856</v>
      </c>
      <c r="Q55" s="18">
        <f t="shared" ca="1" si="3"/>
        <v>2649.3434256022674</v>
      </c>
      <c r="R55" s="18">
        <f ca="1">IF(NAMES!$B$10=FALSE,IF($B55="","",TOT_CIE_TC(I$28:P$28,$Q$2,OFFSET(Source!$A63,0,0,1,Config!$K$7))),IF($B55="","",Q55*TAXE))</f>
        <v>2755.3171626263584</v>
      </c>
      <c r="S55" s="1883" t="str">
        <f ca="1">IF(NAMES!$B$10=FALSE,IF($B55="","",_xludf.FORMULA($B55,$Q$2,OFFSET(Source!$A63,0,0,1,Config!$K$7))),IF($Q$2="AIG Luxembourg",Calcul!EE40,Calcul!IE40))</f>
        <v>Formula 3</v>
      </c>
      <c r="T55" s="1883"/>
      <c r="U55" s="1883"/>
    </row>
    <row r="56" spans="1:21">
      <c r="A56" s="11" t="str">
        <f>IF(NAMES!$B$10=TRUE,IF(Cotations!C41=FALSE,"",Cotations!D41),IF(Source!A64="","",YEAR(Source!$B$2)&amp;"-"&amp;YEAR(Source!$C$2)&amp;"!"))</f>
        <v>2017-2017!</v>
      </c>
      <c r="B56" s="11">
        <f>IF(NAMES!$B$10=FALSE,IF(Source!A64="","",Source!A64),Cotations!F41)</f>
        <v>135202</v>
      </c>
      <c r="C56" s="11" t="str">
        <f>IF(NAMES!$B$10=FALSE,IF($B56="","",Source!B64),IF($B56="","",Crewlist!J41))</f>
        <v>male</v>
      </c>
      <c r="D56" s="11" t="str">
        <f>IF(NAMES!$B$10=FALSE,IF($B56="","",Source!C64),IF($B56="","",Cotations!H41))</f>
        <v>CSONGRADI</v>
      </c>
      <c r="E56" s="11" t="str">
        <f>IF(NAMES!$B$10=FALSE,IF($B56="","",Source!D64),IF($B56="","",Crewlist!G41))</f>
        <v>Balazs</v>
      </c>
      <c r="F56" s="16">
        <f>IF(NAMES!$B$10=FALSE,IF($B56="","",Source!E64),IF($B56="","",Crewlist!K41))</f>
        <v>29104</v>
      </c>
      <c r="G56" s="17">
        <f>IF(NAMES!$B$10=FALSE,IF($B56="","",Source!F64),Cotations!O41)</f>
        <v>181</v>
      </c>
      <c r="H56" s="17">
        <f>IF(NAMES!$B$10=FALSE,IF($B56="","",Source!G64),Cotations!M41)</f>
        <v>6</v>
      </c>
      <c r="I56" s="18">
        <f ca="1">IF(NAMES!$B$10=FALSE,IF($B56="","",CIE_HT(I$28,$Q$2,OFFSET(Source!$A64,0,0,1,Config!$K$7))),IF($B56="","",IF(Calcul!$BC$7=$Q$2,Calcul!BE41,Calcul!BQ41)))</f>
        <v>0</v>
      </c>
      <c r="J56" s="18">
        <f ca="1">IF(NAMES!$B$10=FALSE,IF($B56="","",CIE_HT(J$28,$Q$2,OFFSET(Source!$A64,0,0,1,Config!$K$7))),IF($B56="","",IF(Calcul!$BC$7=$Q$2,Calcul!BF41+Calcul!BG41+Calcul!BH41,Calcul!BR41)))</f>
        <v>0</v>
      </c>
      <c r="K56" s="18">
        <f ca="1">IF(NAMES!$B$10=FALSE,IF($B56="","",CIE_HT(K$28,$Q$2,OFFSET(Source!$A64,0,0,1,Config!$K$7))),IF($B56="","",IF(Calcul!$BC$7=$Q$2,Calcul!BI41,Calcul!BS41)))</f>
        <v>49.345541804440245</v>
      </c>
      <c r="L56" s="18">
        <f ca="1">IF(NAMES!$B$10=FALSE,IF($B56="","",CIE_HT(L$28,$Q$2,OFFSET(Source!$A64,0,0,1,Config!$K$7))),IF($B56="","",IF(Calcul!$BC$7=$Q$2,Calcul!BJ41,Calcul!BT41)))</f>
        <v>123.41310155880964</v>
      </c>
      <c r="M56" s="18">
        <f ca="1">IF(NAMES!$B$10=FALSE,IF($B56="","",CIE_HT(M$28,$Q$2,OFFSET(Source!$A64,0,0,1,Config!$K$7))),IF($B56="","",IF(Calcul!$BC$7=$Q$2,Calcul!BK41,Calcul!BU41)))</f>
        <v>60.967845063769481</v>
      </c>
      <c r="N56" s="18">
        <f ca="1">IF(NAMES!$B$10=FALSE,IF($B56="","",CIE_HT(N$28,$Q$2,OFFSET(Source!$A64,0,0,1,Config!$K$7))),IF($B56="","",IF(Calcul!$BC$7=$Q$2,Calcul!BL41,Calcul!BV41)))</f>
        <v>146.65770807746813</v>
      </c>
      <c r="O56" s="18">
        <f ca="1">IF(NAMES!$B$10=FALSE,IF($B56="","",CIE_HT(O$28,$Q$2,OFFSET(Source!$A64,0,0,1,Config!$K$7))),IF($B56="","",IF(Calcul!$BC$7=$Q$2,Calcul!BM41,Calcul!BW41)))</f>
        <v>193.14692111478507</v>
      </c>
      <c r="P56" s="18">
        <f ca="1">IF(NAMES!$B$10=FALSE,IF($B56="","",CIE_HT(P$28,$Q$2,OFFSET(Source!$A64,0,0,1,Config!$K$7))),IF($B56="","",IF(Calcul!$BC$7=$Q$2,Calcul!BN41,Calcul!BX41)))</f>
        <v>385.99835994331607</v>
      </c>
      <c r="Q56" s="18">
        <f t="shared" ca="1" si="3"/>
        <v>959.52947756258868</v>
      </c>
      <c r="R56" s="18">
        <f ca="1">IF(NAMES!$B$10=FALSE,IF($B56="","",TOT_CIE_TC(I$28:P$28,$Q$2,OFFSET(Source!$A64,0,0,1,Config!$K$7))),IF($B56="","",Q56*TAXE))</f>
        <v>997.91065666509223</v>
      </c>
      <c r="S56" s="1883" t="str">
        <f ca="1">IF(NAMES!$B$10=FALSE,IF($B56="","",_xludf.FORMULA($B56,$Q$2,OFFSET(Source!$A64,0,0,1,Config!$K$7))),IF($Q$2="AIG Luxembourg",Calcul!EE41,Calcul!IE41))</f>
        <v>Formula 3</v>
      </c>
      <c r="T56" s="1883"/>
      <c r="U56" s="1883"/>
    </row>
    <row r="57" spans="1:21" ht="12.75" customHeight="1">
      <c r="A57" s="11" t="str">
        <f>IF(NAMES!$B$10=TRUE,IF(Cotations!C42=FALSE,"",Cotations!D42),IF(Source!A65="","",YEAR(Source!$B$2)&amp;"-"&amp;YEAR(Source!$C$2)&amp;"!"))</f>
        <v>2017-2017!</v>
      </c>
      <c r="B57" s="11">
        <f>IF(NAMES!$B$10=FALSE,IF(Source!A65="","",Source!A65),Cotations!F42)</f>
        <v>133440</v>
      </c>
      <c r="C57" s="11" t="str">
        <f>IF(NAMES!$B$10=FALSE,IF($B57="","",Source!B65),IF($B57="","",Crewlist!J42))</f>
        <v>male</v>
      </c>
      <c r="D57" s="11" t="str">
        <f>IF(NAMES!$B$10=FALSE,IF($B57="","",Source!C65),IF($B57="","",Cotations!H42))</f>
        <v>ISAIC</v>
      </c>
      <c r="E57" s="11" t="str">
        <f>IF(NAMES!$B$10=FALSE,IF($B57="","",Source!D65),IF($B57="","",Crewlist!G42))</f>
        <v>Stefan</v>
      </c>
      <c r="F57" s="16">
        <f>IF(NAMES!$B$10=FALSE,IF($B57="","",Source!E65),IF($B57="","",Crewlist!K42))</f>
        <v>30123</v>
      </c>
      <c r="G57" s="17">
        <f>IF(NAMES!$B$10=FALSE,IF($B57="","",Source!F65),Cotations!O42)</f>
        <v>181</v>
      </c>
      <c r="H57" s="17">
        <f>IF(NAMES!$B$10=FALSE,IF($B57="","",Source!G65),Cotations!M42)</f>
        <v>6</v>
      </c>
      <c r="I57" s="18">
        <f ca="1">IF(NAMES!$B$10=FALSE,IF($B57="","",CIE_HT(I$28,$Q$2,OFFSET(Source!$A65,0,0,1,Config!$K$7))),IF($B57="","",IF(Calcul!$BC$7=$Q$2,Calcul!BE42,Calcul!BQ42)))</f>
        <v>0</v>
      </c>
      <c r="J57" s="18">
        <f ca="1">IF(NAMES!$B$10=FALSE,IF($B57="","",CIE_HT(J$28,$Q$2,OFFSET(Source!$A65,0,0,1,Config!$K$7))),IF($B57="","",IF(Calcul!$BC$7=$Q$2,Calcul!BF42+Calcul!BG42+Calcul!BH42,Calcul!BR42)))</f>
        <v>0</v>
      </c>
      <c r="K57" s="18">
        <f ca="1">IF(NAMES!$B$10=FALSE,IF($B57="","",CIE_HT(K$28,$Q$2,OFFSET(Source!$A65,0,0,1,Config!$K$7))),IF($B57="","",IF(Calcul!$BC$7=$Q$2,Calcul!BI42,Calcul!BS42)))</f>
        <v>49.345541804440245</v>
      </c>
      <c r="L57" s="18">
        <f ca="1">IF(NAMES!$B$10=FALSE,IF($B57="","",CIE_HT(L$28,$Q$2,OFFSET(Source!$A65,0,0,1,Config!$K$7))),IF($B57="","",IF(Calcul!$BC$7=$Q$2,Calcul!BJ42,Calcul!BT42)))</f>
        <v>123.41310155880964</v>
      </c>
      <c r="M57" s="18">
        <f ca="1">IF(NAMES!$B$10=FALSE,IF($B57="","",CIE_HT(M$28,$Q$2,OFFSET(Source!$A65,0,0,1,Config!$K$7))),IF($B57="","",IF(Calcul!$BC$7=$Q$2,Calcul!BK42,Calcul!BU42)))</f>
        <v>60.967845063769481</v>
      </c>
      <c r="N57" s="18">
        <f ca="1">IF(NAMES!$B$10=FALSE,IF($B57="","",CIE_HT(N$28,$Q$2,OFFSET(Source!$A65,0,0,1,Config!$K$7))),IF($B57="","",IF(Calcul!$BC$7=$Q$2,Calcul!BL42,Calcul!BV42)))</f>
        <v>146.65770807746813</v>
      </c>
      <c r="O57" s="18">
        <f ca="1">IF(NAMES!$B$10=FALSE,IF($B57="","",CIE_HT(O$28,$Q$2,OFFSET(Source!$A65,0,0,1,Config!$K$7))),IF($B57="","",IF(Calcul!$BC$7=$Q$2,Calcul!BM42,Calcul!BW42)))</f>
        <v>193.14692111478507</v>
      </c>
      <c r="P57" s="18">
        <f ca="1">IF(NAMES!$B$10=FALSE,IF($B57="","",CIE_HT(P$28,$Q$2,OFFSET(Source!$A65,0,0,1,Config!$K$7))),IF($B57="","",IF(Calcul!$BC$7=$Q$2,Calcul!BN42,Calcul!BX42)))</f>
        <v>385.99835994331607</v>
      </c>
      <c r="Q57" s="18">
        <f t="shared" ca="1" si="3"/>
        <v>959.52947756258868</v>
      </c>
      <c r="R57" s="18">
        <f ca="1">IF(NAMES!$B$10=FALSE,IF($B57="","",TOT_CIE_TC(I$28:P$28,$Q$2,OFFSET(Source!$A65,0,0,1,Config!$K$7))),IF($B57="","",Q57*TAXE))</f>
        <v>997.91065666509223</v>
      </c>
      <c r="S57" s="1883" t="str">
        <f ca="1">IF(NAMES!$B$10=FALSE,IF($B57="","",_xludf.FORMULA($B57,$Q$2,OFFSET(Source!$A65,0,0,1,Config!$K$7))),IF($Q$2="AIG Luxembourg",Calcul!EE42,Calcul!IE42))</f>
        <v>Formula 3</v>
      </c>
      <c r="T57" s="1883"/>
      <c r="U57" s="1883"/>
    </row>
    <row r="58" spans="1:21" ht="12.75" customHeight="1">
      <c r="A58" s="11" t="str">
        <f>IF(NAMES!$B$10=TRUE,IF(Cotations!C43=FALSE,"",Cotations!D43),IF(Source!A66="","",YEAR(Source!$B$2)&amp;"-"&amp;YEAR(Source!$C$2)&amp;"!"))</f>
        <v>2017-2017!</v>
      </c>
      <c r="B58" s="11">
        <f>IF(NAMES!$B$10=FALSE,IF(Source!A66="","",Source!A66),Cotations!F43)</f>
        <v>133586</v>
      </c>
      <c r="C58" s="11" t="str">
        <f>IF(NAMES!$B$10=FALSE,IF($B58="","",Source!B66),IF($B58="","",Crewlist!J43))</f>
        <v>male</v>
      </c>
      <c r="D58" s="11" t="str">
        <f>IF(NAMES!$B$10=FALSE,IF($B58="","",Source!C66),IF($B58="","",Cotations!H43))</f>
        <v>IVANCIU</v>
      </c>
      <c r="E58" s="11" t="str">
        <f>IF(NAMES!$B$10=FALSE,IF($B58="","",Source!D66),IF($B58="","",Crewlist!G43))</f>
        <v>Sorin</v>
      </c>
      <c r="F58" s="16">
        <f>IF(NAMES!$B$10=FALSE,IF($B58="","",Source!E66),IF($B58="","",Crewlist!K43))</f>
        <v>28337</v>
      </c>
      <c r="G58" s="17">
        <f>IF(NAMES!$B$10=FALSE,IF($B58="","",Source!F66),Cotations!O43)</f>
        <v>181</v>
      </c>
      <c r="H58" s="17">
        <f>IF(NAMES!$B$10=FALSE,IF($B58="","",Source!G66),Cotations!M43)</f>
        <v>6</v>
      </c>
      <c r="I58" s="18">
        <f ca="1">IF(NAMES!$B$10=FALSE,IF($B58="","",CIE_HT(I$28,$Q$2,OFFSET(Source!$A66,0,0,1,Config!$K$7))),IF($B58="","",IF(Calcul!$BC$7=$Q$2,Calcul!BE43,Calcul!BQ43)))</f>
        <v>0</v>
      </c>
      <c r="J58" s="18">
        <f ca="1">IF(NAMES!$B$10=FALSE,IF($B58="","",CIE_HT(J$28,$Q$2,OFFSET(Source!$A66,0,0,1,Config!$K$7))),IF($B58="","",IF(Calcul!$BC$7=$Q$2,Calcul!BF43+Calcul!BG43+Calcul!BH43,Calcul!BR43)))</f>
        <v>0</v>
      </c>
      <c r="K58" s="18">
        <f ca="1">IF(NAMES!$B$10=FALSE,IF($B58="","",CIE_HT(K$28,$Q$2,OFFSET(Source!$A66,0,0,1,Config!$K$7))),IF($B58="","",IF(Calcul!$BC$7=$Q$2,Calcul!BI43,Calcul!BS43)))</f>
        <v>86.354698157770429</v>
      </c>
      <c r="L58" s="18">
        <f ca="1">IF(NAMES!$B$10=FALSE,IF($B58="","",CIE_HT(L$28,$Q$2,OFFSET(Source!$A66,0,0,1,Config!$K$7))),IF($B58="","",IF(Calcul!$BC$7=$Q$2,Calcul!BJ43,Calcul!BT43)))</f>
        <v>215.97292772791687</v>
      </c>
      <c r="M58" s="18">
        <f ca="1">IF(NAMES!$B$10=FALSE,IF($B58="","",CIE_HT(M$28,$Q$2,OFFSET(Source!$A66,0,0,1,Config!$K$7))),IF($B58="","",IF(Calcul!$BC$7=$Q$2,Calcul!BK43,Calcul!BU43)))</f>
        <v>106.69372886159661</v>
      </c>
      <c r="N58" s="18">
        <f ca="1">IF(NAMES!$B$10=FALSE,IF($B58="","",CIE_HT(N$28,$Q$2,OFFSET(Source!$A66,0,0,1,Config!$K$7))),IF($B58="","",IF(Calcul!$BC$7=$Q$2,Calcul!BL43,Calcul!BV43)))</f>
        <v>256.65098913556926</v>
      </c>
      <c r="O58" s="18">
        <f ca="1">IF(NAMES!$B$10=FALSE,IF($B58="","",CIE_HT(O$28,$Q$2,OFFSET(Source!$A66,0,0,1,Config!$K$7))),IF($B58="","",IF(Calcul!$BC$7=$Q$2,Calcul!BM43,Calcul!BW43)))</f>
        <v>338.00711195087388</v>
      </c>
      <c r="P58" s="18">
        <f ca="1">IF(NAMES!$B$10=FALSE,IF($B58="","",CIE_HT(P$28,$Q$2,OFFSET(Source!$A66,0,0,1,Config!$K$7))),IF($B58="","",IF(Calcul!$BC$7=$Q$2,Calcul!BN43,Calcul!BX43)))</f>
        <v>675.49712990080309</v>
      </c>
      <c r="Q58" s="18">
        <f t="shared" ca="1" si="3"/>
        <v>1679.1765857345301</v>
      </c>
      <c r="R58" s="18">
        <f ca="1">IF(NAMES!$B$10=FALSE,IF($B58="","",TOT_CIE_TC(I$28:P$28,$Q$2,OFFSET(Source!$A66,0,0,1,Config!$K$7))),IF($B58="","",Q58*TAXE))</f>
        <v>1746.3436491639113</v>
      </c>
      <c r="S58" s="1883" t="str">
        <f ca="1">IF(NAMES!$B$10=FALSE,IF($B58="","",_xludf.FORMULA($B58,$Q$2,OFFSET(Source!$A66,0,0,1,Config!$K$7))),IF($Q$2="AIG Luxembourg",Calcul!EE43,Calcul!IE43))</f>
        <v>Formula 3</v>
      </c>
      <c r="T58" s="1883"/>
      <c r="U58" s="1883"/>
    </row>
    <row r="59" spans="1:21">
      <c r="A59" s="11" t="str">
        <f>IF(NAMES!$B$10=TRUE,IF(Cotations!C44=FALSE,"",Cotations!D44),IF(Source!A67="","",YEAR(Source!$B$2)&amp;"-"&amp;YEAR(Source!$C$2)&amp;"!"))</f>
        <v>2017-2017!</v>
      </c>
      <c r="B59" s="11">
        <f>IF(NAMES!$B$10=FALSE,IF(Source!A67="","",Source!A67),Cotations!F44)</f>
        <v>135203</v>
      </c>
      <c r="C59" s="11" t="str">
        <f>IF(NAMES!$B$10=FALSE,IF($B59="","",Source!B67),IF($B59="","",Crewlist!J44))</f>
        <v>female</v>
      </c>
      <c r="D59" s="11" t="str">
        <f>IF(NAMES!$B$10=FALSE,IF($B59="","",Source!C67),IF($B59="","",Cotations!H44))</f>
        <v>IZBRECHT</v>
      </c>
      <c r="E59" s="11" t="str">
        <f>IF(NAMES!$B$10=FALSE,IF($B59="","",Source!D67),IF($B59="","",Crewlist!G44))</f>
        <v>Barbara</v>
      </c>
      <c r="F59" s="16">
        <f>IF(NAMES!$B$10=FALSE,IF($B59="","",Source!E67),IF($B59="","",Crewlist!K44))</f>
        <v>32484</v>
      </c>
      <c r="G59" s="17">
        <f>IF(NAMES!$B$10=FALSE,IF($B59="","",Source!F67),Cotations!O44)</f>
        <v>181</v>
      </c>
      <c r="H59" s="17">
        <f>IF(NAMES!$B$10=FALSE,IF($B59="","",Source!G67),Cotations!M44)</f>
        <v>6</v>
      </c>
      <c r="I59" s="18">
        <f ca="1">IF(NAMES!$B$10=FALSE,IF($B59="","",CIE_HT(I$28,$Q$2,OFFSET(Source!$A67,0,0,1,Config!$K$7))),IF($B59="","",IF(Calcul!$BC$7=$Q$2,Calcul!BE44,Calcul!BQ44)))</f>
        <v>0</v>
      </c>
      <c r="J59" s="18">
        <f ca="1">IF(NAMES!$B$10=FALSE,IF($B59="","",CIE_HT(J$28,$Q$2,OFFSET(Source!$A67,0,0,1,Config!$K$7))),IF($B59="","",IF(Calcul!$BC$7=$Q$2,Calcul!BF44+Calcul!BG44+Calcul!BH44,Calcul!BR44)))</f>
        <v>0</v>
      </c>
      <c r="K59" s="18">
        <f ca="1">IF(NAMES!$B$10=FALSE,IF($B59="","",CIE_HT(K$28,$Q$2,OFFSET(Source!$A67,0,0,1,Config!$K$7))),IF($B59="","",IF(Calcul!$BC$7=$Q$2,Calcul!BI44,Calcul!BS44)))</f>
        <v>37.009156353330184</v>
      </c>
      <c r="L59" s="18">
        <f ca="1">IF(NAMES!$B$10=FALSE,IF($B59="","",CIE_HT(L$28,$Q$2,OFFSET(Source!$A67,0,0,1,Config!$K$7))),IF($B59="","",IF(Calcul!$BC$7=$Q$2,Calcul!BJ44,Calcul!BT44)))</f>
        <v>92.559826169107225</v>
      </c>
      <c r="M59" s="18">
        <f ca="1">IF(NAMES!$B$10=FALSE,IF($B59="","",CIE_HT(M$28,$Q$2,OFFSET(Source!$A67,0,0,1,Config!$K$7))),IF($B59="","",IF(Calcul!$BC$7=$Q$2,Calcul!BK44,Calcul!BU44)))</f>
        <v>45.725883797827116</v>
      </c>
      <c r="N59" s="18">
        <f ca="1">IF(NAMES!$B$10=FALSE,IF($B59="","",CIE_HT(N$28,$Q$2,OFFSET(Source!$A67,0,0,1,Config!$K$7))),IF($B59="","",IF(Calcul!$BC$7=$Q$2,Calcul!BL44,Calcul!BV44)))</f>
        <v>109.9932810581011</v>
      </c>
      <c r="O59" s="18">
        <f ca="1">IF(NAMES!$B$10=FALSE,IF($B59="","",CIE_HT(O$28,$Q$2,OFFSET(Source!$A67,0,0,1,Config!$K$7))),IF($B59="","",IF(Calcul!$BC$7=$Q$2,Calcul!BM44,Calcul!BW44)))</f>
        <v>144.8601908360888</v>
      </c>
      <c r="P59" s="18">
        <f ca="1">IF(NAMES!$B$10=FALSE,IF($B59="","",CIE_HT(P$28,$Q$2,OFFSET(Source!$A67,0,0,1,Config!$K$7))),IF($B59="","",IF(Calcul!$BC$7=$Q$2,Calcul!BN44,Calcul!BX44)))</f>
        <v>289.49876995748701</v>
      </c>
      <c r="Q59" s="18">
        <f t="shared" ca="1" si="3"/>
        <v>719.64710817194145</v>
      </c>
      <c r="R59" s="18">
        <f ca="1">IF(NAMES!$B$10=FALSE,IF($B59="","",TOT_CIE_TC(I$28:P$28,$Q$2,OFFSET(Source!$A67,0,0,1,Config!$K$7))),IF($B59="","",Q59*TAXE))</f>
        <v>748.43299249881909</v>
      </c>
      <c r="S59" s="1883" t="str">
        <f ca="1">IF(NAMES!$B$10=FALSE,IF($B59="","",_xludf.FORMULA($B59,$Q$2,OFFSET(Source!$A67,0,0,1,Config!$K$7))),IF($Q$2="AIG Luxembourg",Calcul!EE44,Calcul!IE44))</f>
        <v>Formula 3</v>
      </c>
      <c r="T59" s="1883"/>
      <c r="U59" s="1883"/>
    </row>
    <row r="60" spans="1:21">
      <c r="A60" s="11" t="str">
        <f>IF(NAMES!$B$10=TRUE,IF(Cotations!C45=FALSE,"",Cotations!D45),IF(Source!A68="","",YEAR(Source!$B$2)&amp;"-"&amp;YEAR(Source!$C$2)&amp;"!"))</f>
        <v>2017-2017!</v>
      </c>
      <c r="B60" s="11">
        <f>IF(NAMES!$B$10=FALSE,IF(Source!A68="","",Source!A68),Cotations!F45)</f>
        <v>130254</v>
      </c>
      <c r="C60" s="11" t="str">
        <f>IF(NAMES!$B$10=FALSE,IF($B60="","",Source!B68),IF($B60="","",Crewlist!J45))</f>
        <v>male</v>
      </c>
      <c r="D60" s="11" t="str">
        <f>IF(NAMES!$B$10=FALSE,IF($B60="","",Source!C68),IF($B60="","",Cotations!H45))</f>
        <v>LIO</v>
      </c>
      <c r="E60" s="11" t="str">
        <f>IF(NAMES!$B$10=FALSE,IF($B60="","",Source!D68),IF($B60="","",Crewlist!G45))</f>
        <v>GIANLUIGI</v>
      </c>
      <c r="F60" s="16">
        <f>IF(NAMES!$B$10=FALSE,IF($B60="","",Source!E68),IF($B60="","",Crewlist!K45))</f>
        <v>32017</v>
      </c>
      <c r="G60" s="17">
        <f>IF(NAMES!$B$10=FALSE,IF($B60="","",Source!F68),Cotations!O45)</f>
        <v>181</v>
      </c>
      <c r="H60" s="17">
        <f>IF(NAMES!$B$10=FALSE,IF($B60="","",Source!G68),Cotations!M45)</f>
        <v>6</v>
      </c>
      <c r="I60" s="18">
        <f ca="1">IF(NAMES!$B$10=FALSE,IF($B60="","",CIE_HT(I$28,$Q$2,OFFSET(Source!$A68,0,0,1,Config!$K$7))),IF($B60="","",IF(Calcul!$BC$7=$Q$2,Calcul!BE45,Calcul!BQ45)))</f>
        <v>0</v>
      </c>
      <c r="J60" s="18">
        <f ca="1">IF(NAMES!$B$10=FALSE,IF($B60="","",CIE_HT(J$28,$Q$2,OFFSET(Source!$A68,0,0,1,Config!$K$7))),IF($B60="","",IF(Calcul!$BC$7=$Q$2,Calcul!BF45+Calcul!BG45+Calcul!BH45,Calcul!BR45)))</f>
        <v>0</v>
      </c>
      <c r="K60" s="18">
        <f ca="1">IF(NAMES!$B$10=FALSE,IF($B60="","",CIE_HT(K$28,$Q$2,OFFSET(Source!$A68,0,0,1,Config!$K$7))),IF($B60="","",IF(Calcul!$BC$7=$Q$2,Calcul!BI45,Calcul!BS45)))</f>
        <v>43.177349078885214</v>
      </c>
      <c r="L60" s="18">
        <f ca="1">IF(NAMES!$B$10=FALSE,IF($B60="","",CIE_HT(L$28,$Q$2,OFFSET(Source!$A68,0,0,1,Config!$K$7))),IF($B60="","",IF(Calcul!$BC$7=$Q$2,Calcul!BJ45,Calcul!BT45)))</f>
        <v>107.98646386395843</v>
      </c>
      <c r="M60" s="18">
        <f ca="1">IF(NAMES!$B$10=FALSE,IF($B60="","",CIE_HT(M$28,$Q$2,OFFSET(Source!$A68,0,0,1,Config!$K$7))),IF($B60="","",IF(Calcul!$BC$7=$Q$2,Calcul!BK45,Calcul!BU45)))</f>
        <v>53.346864430798306</v>
      </c>
      <c r="N60" s="18">
        <f ca="1">IF(NAMES!$B$10=FALSE,IF($B60="","",CIE_HT(N$28,$Q$2,OFFSET(Source!$A68,0,0,1,Config!$K$7))),IF($B60="","",IF(Calcul!$BC$7=$Q$2,Calcul!BL45,Calcul!BV45)))</f>
        <v>128.32549456778463</v>
      </c>
      <c r="O60" s="18">
        <f ca="1">IF(NAMES!$B$10=FALSE,IF($B60="","",CIE_HT(O$28,$Q$2,OFFSET(Source!$A68,0,0,1,Config!$K$7))),IF($B60="","",IF(Calcul!$BC$7=$Q$2,Calcul!BM45,Calcul!BW45)))</f>
        <v>169.00355597543694</v>
      </c>
      <c r="P60" s="18">
        <f ca="1">IF(NAMES!$B$10=FALSE,IF($B60="","",CIE_HT(P$28,$Q$2,OFFSET(Source!$A68,0,0,1,Config!$K$7))),IF($B60="","",IF(Calcul!$BC$7=$Q$2,Calcul!BN45,Calcul!BX45)))</f>
        <v>337.74856495040154</v>
      </c>
      <c r="Q60" s="18">
        <f t="shared" ca="1" si="3"/>
        <v>839.58829286726507</v>
      </c>
      <c r="R60" s="18">
        <f ca="1">IF(NAMES!$B$10=FALSE,IF($B60="","",TOT_CIE_TC(I$28:P$28,$Q$2,OFFSET(Source!$A68,0,0,1,Config!$K$7))),IF($B60="","",Q60*TAXE))</f>
        <v>873.17182458195566</v>
      </c>
      <c r="S60" s="1883" t="str">
        <f ca="1">IF(NAMES!$B$10=FALSE,IF($B60="","",_xludf.FORMULA($B60,$Q$2,OFFSET(Source!$A68,0,0,1,Config!$K$7))),IF($Q$2="AIG Luxembourg",Calcul!EE45,Calcul!IE45))</f>
        <v>Formula 3</v>
      </c>
      <c r="T60" s="1883"/>
      <c r="U60" s="1883"/>
    </row>
    <row r="61" spans="1:21" ht="12.75" customHeight="1">
      <c r="A61" s="11" t="str">
        <f>IF(NAMES!$B$10=TRUE,IF(Cotations!C46=FALSE,"",Cotations!D46),IF(Source!A69="","",YEAR(Source!$B$2)&amp;"-"&amp;YEAR(Source!$C$2)&amp;"!"))</f>
        <v>2017-2017!</v>
      </c>
      <c r="B61" s="11">
        <f>IF(NAMES!$B$10=FALSE,IF(Source!A69="","",Source!A69),Cotations!F46)</f>
        <v>133442</v>
      </c>
      <c r="C61" s="11" t="str">
        <f>IF(NAMES!$B$10=FALSE,IF($B61="","",Source!B69),IF($B61="","",Crewlist!J46))</f>
        <v>male</v>
      </c>
      <c r="D61" s="11" t="str">
        <f>IF(NAMES!$B$10=FALSE,IF($B61="","",Source!C69),IF($B61="","",Cotations!H46))</f>
        <v>MEHIC</v>
      </c>
      <c r="E61" s="11" t="str">
        <f>IF(NAMES!$B$10=FALSE,IF($B61="","",Source!D69),IF($B61="","",Crewlist!G46))</f>
        <v>Slaven</v>
      </c>
      <c r="F61" s="16">
        <f>IF(NAMES!$B$10=FALSE,IF($B61="","",Source!E69),IF($B61="","",Crewlist!K46))</f>
        <v>26888</v>
      </c>
      <c r="G61" s="17">
        <f>IF(NAMES!$B$10=FALSE,IF($B61="","",Source!F69),Cotations!O46)</f>
        <v>181</v>
      </c>
      <c r="H61" s="17">
        <f>IF(NAMES!$B$10=FALSE,IF($B61="","",Source!G69),Cotations!M46)</f>
        <v>6</v>
      </c>
      <c r="I61" s="18">
        <f ca="1">IF(NAMES!$B$10=FALSE,IF($B61="","",CIE_HT(I$28,$Q$2,OFFSET(Source!$A69,0,0,1,Config!$K$7))),IF($B61="","",IF(Calcul!$BC$7=$Q$2,Calcul!BE46,Calcul!BQ46)))</f>
        <v>0</v>
      </c>
      <c r="J61" s="18">
        <f ca="1">IF(NAMES!$B$10=FALSE,IF($B61="","",CIE_HT(J$28,$Q$2,OFFSET(Source!$A69,0,0,1,Config!$K$7))),IF($B61="","",IF(Calcul!$BC$7=$Q$2,Calcul!BF46+Calcul!BG46+Calcul!BH46,Calcul!BR46)))</f>
        <v>0</v>
      </c>
      <c r="K61" s="18">
        <f ca="1">IF(NAMES!$B$10=FALSE,IF($B61="","",CIE_HT(K$28,$Q$2,OFFSET(Source!$A69,0,0,1,Config!$K$7))),IF($B61="","",IF(Calcul!$BC$7=$Q$2,Calcul!BI46,Calcul!BS46)))</f>
        <v>74.018312706660367</v>
      </c>
      <c r="L61" s="18">
        <f ca="1">IF(NAMES!$B$10=FALSE,IF($B61="","",CIE_HT(L$28,$Q$2,OFFSET(Source!$A69,0,0,1,Config!$K$7))),IF($B61="","",IF(Calcul!$BC$7=$Q$2,Calcul!BJ46,Calcul!BT46)))</f>
        <v>185.11965233821445</v>
      </c>
      <c r="M61" s="18">
        <f ca="1">IF(NAMES!$B$10=FALSE,IF($B61="","",CIE_HT(M$28,$Q$2,OFFSET(Source!$A69,0,0,1,Config!$K$7))),IF($B61="","",IF(Calcul!$BC$7=$Q$2,Calcul!BK46,Calcul!BU46)))</f>
        <v>91.451767595654232</v>
      </c>
      <c r="N61" s="18">
        <f ca="1">IF(NAMES!$B$10=FALSE,IF($B61="","",CIE_HT(N$28,$Q$2,OFFSET(Source!$A69,0,0,1,Config!$K$7))),IF($B61="","",IF(Calcul!$BC$7=$Q$2,Calcul!BL46,Calcul!BV46)))</f>
        <v>219.98656211620221</v>
      </c>
      <c r="O61" s="18">
        <f ca="1">IF(NAMES!$B$10=FALSE,IF($B61="","",CIE_HT(O$28,$Q$2,OFFSET(Source!$A69,0,0,1,Config!$K$7))),IF($B61="","",IF(Calcul!$BC$7=$Q$2,Calcul!BM46,Calcul!BW46)))</f>
        <v>289.72038167217761</v>
      </c>
      <c r="P61" s="18">
        <f ca="1">IF(NAMES!$B$10=FALSE,IF($B61="","",CIE_HT(P$28,$Q$2,OFFSET(Source!$A69,0,0,1,Config!$K$7))),IF($B61="","",IF(Calcul!$BC$7=$Q$2,Calcul!BN46,Calcul!BX46)))</f>
        <v>578.99753991497403</v>
      </c>
      <c r="Q61" s="18">
        <f t="shared" ca="1" si="3"/>
        <v>1439.2942163438829</v>
      </c>
      <c r="R61" s="18">
        <f ca="1">IF(NAMES!$B$10=FALSE,IF($B61="","",TOT_CIE_TC(I$28:P$28,$Q$2,OFFSET(Source!$A69,0,0,1,Config!$K$7))),IF($B61="","",Q61*TAXE))</f>
        <v>1496.8659849976382</v>
      </c>
      <c r="S61" s="1883" t="str">
        <f ca="1">IF(NAMES!$B$10=FALSE,IF($B61="","",_xludf.FORMULA($B61,$Q$2,OFFSET(Source!$A69,0,0,1,Config!$K$7))),IF($Q$2="AIG Luxembourg",Calcul!EE46,Calcul!IE46))</f>
        <v>Formula 3</v>
      </c>
      <c r="T61" s="1883"/>
      <c r="U61" s="1883"/>
    </row>
    <row r="62" spans="1:21">
      <c r="A62" s="11" t="str">
        <f>IF(NAMES!$B$10=TRUE,IF(Cotations!C47=FALSE,"",Cotations!D47),IF(Source!A70="","",YEAR(Source!$B$2)&amp;"-"&amp;YEAR(Source!$C$2)&amp;"!"))</f>
        <v>2017-2017!</v>
      </c>
      <c r="B62" s="11">
        <f>IF(NAMES!$B$10=FALSE,IF(Source!A70="","",Source!A70),Cotations!F47)</f>
        <v>135200</v>
      </c>
      <c r="C62" s="11" t="str">
        <f>IF(NAMES!$B$10=FALSE,IF($B62="","",Source!B70),IF($B62="","",Crewlist!J47))</f>
        <v>male</v>
      </c>
      <c r="D62" s="11" t="str">
        <f>IF(NAMES!$B$10=FALSE,IF($B62="","",Source!C70),IF($B62="","",Cotations!H47))</f>
        <v>SOLLITT</v>
      </c>
      <c r="E62" s="11" t="str">
        <f>IF(NAMES!$B$10=FALSE,IF($B62="","",Source!D70),IF($B62="","",Crewlist!G47))</f>
        <v>David</v>
      </c>
      <c r="F62" s="16">
        <f>IF(NAMES!$B$10=FALSE,IF($B62="","",Source!E70),IF($B62="","",Crewlist!K47))</f>
        <v>33165</v>
      </c>
      <c r="G62" s="17">
        <f>IF(NAMES!$B$10=FALSE,IF($B62="","",Source!F70),Cotations!O47)</f>
        <v>181</v>
      </c>
      <c r="H62" s="17">
        <f>IF(NAMES!$B$10=FALSE,IF($B62="","",Source!G70),Cotations!M47)</f>
        <v>6</v>
      </c>
      <c r="I62" s="18">
        <f ca="1">IF(NAMES!$B$10=FALSE,IF($B62="","",CIE_HT(I$28,$Q$2,OFFSET(Source!$A70,0,0,1,Config!$K$7))),IF($B62="","",IF(Calcul!$BC$7=$Q$2,Calcul!BE47,Calcul!BQ47)))</f>
        <v>0</v>
      </c>
      <c r="J62" s="18">
        <f ca="1">IF(NAMES!$B$10=FALSE,IF($B62="","",CIE_HT(J$28,$Q$2,OFFSET(Source!$A70,0,0,1,Config!$K$7))),IF($B62="","",IF(Calcul!$BC$7=$Q$2,Calcul!BF47+Calcul!BG47+Calcul!BH47,Calcul!BR47)))</f>
        <v>0</v>
      </c>
      <c r="K62" s="18">
        <f ca="1">IF(NAMES!$B$10=FALSE,IF($B62="","",CIE_HT(K$28,$Q$2,OFFSET(Source!$A70,0,0,1,Config!$K$7))),IF($B62="","",IF(Calcul!$BC$7=$Q$2,Calcul!BI47,Calcul!BS47)))</f>
        <v>43.177349078885214</v>
      </c>
      <c r="L62" s="18">
        <f ca="1">IF(NAMES!$B$10=FALSE,IF($B62="","",CIE_HT(L$28,$Q$2,OFFSET(Source!$A70,0,0,1,Config!$K$7))),IF($B62="","",IF(Calcul!$BC$7=$Q$2,Calcul!BJ47,Calcul!BT47)))</f>
        <v>107.98646386395843</v>
      </c>
      <c r="M62" s="18">
        <f ca="1">IF(NAMES!$B$10=FALSE,IF($B62="","",CIE_HT(M$28,$Q$2,OFFSET(Source!$A70,0,0,1,Config!$K$7))),IF($B62="","",IF(Calcul!$BC$7=$Q$2,Calcul!BK47,Calcul!BU47)))</f>
        <v>53.346864430798306</v>
      </c>
      <c r="N62" s="18">
        <f ca="1">IF(NAMES!$B$10=FALSE,IF($B62="","",CIE_HT(N$28,$Q$2,OFFSET(Source!$A70,0,0,1,Config!$K$7))),IF($B62="","",IF(Calcul!$BC$7=$Q$2,Calcul!BL47,Calcul!BV47)))</f>
        <v>128.32549456778463</v>
      </c>
      <c r="O62" s="18">
        <f ca="1">IF(NAMES!$B$10=FALSE,IF($B62="","",CIE_HT(O$28,$Q$2,OFFSET(Source!$A70,0,0,1,Config!$K$7))),IF($B62="","",IF(Calcul!$BC$7=$Q$2,Calcul!BM47,Calcul!BW47)))</f>
        <v>169.00355597543694</v>
      </c>
      <c r="P62" s="18">
        <f ca="1">IF(NAMES!$B$10=FALSE,IF($B62="","",CIE_HT(P$28,$Q$2,OFFSET(Source!$A70,0,0,1,Config!$K$7))),IF($B62="","",IF(Calcul!$BC$7=$Q$2,Calcul!BN47,Calcul!BX47)))</f>
        <v>337.74856495040154</v>
      </c>
      <c r="Q62" s="18">
        <f t="shared" ca="1" si="3"/>
        <v>839.58829286726507</v>
      </c>
      <c r="R62" s="18">
        <f ca="1">IF(NAMES!$B$10=FALSE,IF($B62="","",TOT_CIE_TC(I$28:P$28,$Q$2,OFFSET(Source!$A70,0,0,1,Config!$K$7))),IF($B62="","",Q62*TAXE))</f>
        <v>873.17182458195566</v>
      </c>
      <c r="S62" s="1883" t="str">
        <f ca="1">IF(NAMES!$B$10=FALSE,IF($B62="","",_xludf.FORMULA($B62,$Q$2,OFFSET(Source!$A70,0,0,1,Config!$K$7))),IF($Q$2="AIG Luxembourg",Calcul!EE47,Calcul!IE47))</f>
        <v>Formula 3</v>
      </c>
      <c r="T62" s="1883"/>
      <c r="U62" s="1883"/>
    </row>
    <row r="63" spans="1:21" ht="12.75" customHeight="1">
      <c r="A63" s="11" t="str">
        <f>IF(NAMES!$B$10=TRUE,IF(Cotations!C48=FALSE,"",Cotations!D48),IF(Source!A71="","",YEAR(Source!$B$2)&amp;"-"&amp;YEAR(Source!$C$2)&amp;"!"))</f>
        <v>2017-2017!</v>
      </c>
      <c r="B63" s="11">
        <f>IF(NAMES!$B$10=FALSE,IF(Source!A71="","",Source!A71),Cotations!F48)</f>
        <v>135199</v>
      </c>
      <c r="C63" s="11" t="str">
        <f>IF(NAMES!$B$10=FALSE,IF($B63="","",Source!B71),IF($B63="","",Crewlist!J48))</f>
        <v>male</v>
      </c>
      <c r="D63" s="11" t="str">
        <f>IF(NAMES!$B$10=FALSE,IF($B63="","",Source!C71),IF($B63="","",Cotations!H48))</f>
        <v>STURGE</v>
      </c>
      <c r="E63" s="11" t="str">
        <f>IF(NAMES!$B$10=FALSE,IF($B63="","",Source!D71),IF($B63="","",Crewlist!G48))</f>
        <v>Benjamin</v>
      </c>
      <c r="F63" s="16">
        <f>IF(NAMES!$B$10=FALSE,IF($B63="","",Source!E71),IF($B63="","",Crewlist!K48))</f>
        <v>29133</v>
      </c>
      <c r="G63" s="17">
        <f>IF(NAMES!$B$10=FALSE,IF($B63="","",Source!F71),Cotations!O48)</f>
        <v>181</v>
      </c>
      <c r="H63" s="17">
        <f>IF(NAMES!$B$10=FALSE,IF($B63="","",Source!G71),Cotations!M48)</f>
        <v>6</v>
      </c>
      <c r="I63" s="18">
        <f ca="1">IF(NAMES!$B$10=FALSE,IF($B63="","",CIE_HT(I$28,$Q$2,OFFSET(Source!$A71,0,0,1,Config!$K$7))),IF($B63="","",IF(Calcul!$BC$7=$Q$2,Calcul!BE48,Calcul!BQ48)))</f>
        <v>0</v>
      </c>
      <c r="J63" s="18">
        <f ca="1">IF(NAMES!$B$10=FALSE,IF($B63="","",CIE_HT(J$28,$Q$2,OFFSET(Source!$A71,0,0,1,Config!$K$7))),IF($B63="","",IF(Calcul!$BC$7=$Q$2,Calcul!BF48+Calcul!BG48+Calcul!BH48,Calcul!BR48)))</f>
        <v>0</v>
      </c>
      <c r="K63" s="18">
        <f ca="1">IF(NAMES!$B$10=FALSE,IF($B63="","",CIE_HT(K$28,$Q$2,OFFSET(Source!$A71,0,0,1,Config!$K$7))),IF($B63="","",IF(Calcul!$BC$7=$Q$2,Calcul!BI48,Calcul!BS48)))</f>
        <v>86.354698157770429</v>
      </c>
      <c r="L63" s="18">
        <f ca="1">IF(NAMES!$B$10=FALSE,IF($B63="","",CIE_HT(L$28,$Q$2,OFFSET(Source!$A71,0,0,1,Config!$K$7))),IF($B63="","",IF(Calcul!$BC$7=$Q$2,Calcul!BJ48,Calcul!BT48)))</f>
        <v>215.97292772791687</v>
      </c>
      <c r="M63" s="18">
        <f ca="1">IF(NAMES!$B$10=FALSE,IF($B63="","",CIE_HT(M$28,$Q$2,OFFSET(Source!$A71,0,0,1,Config!$K$7))),IF($B63="","",IF(Calcul!$BC$7=$Q$2,Calcul!BK48,Calcul!BU48)))</f>
        <v>106.69372886159661</v>
      </c>
      <c r="N63" s="18">
        <f ca="1">IF(NAMES!$B$10=FALSE,IF($B63="","",CIE_HT(N$28,$Q$2,OFFSET(Source!$A71,0,0,1,Config!$K$7))),IF($B63="","",IF(Calcul!$BC$7=$Q$2,Calcul!BL48,Calcul!BV48)))</f>
        <v>256.65098913556926</v>
      </c>
      <c r="O63" s="18">
        <f ca="1">IF(NAMES!$B$10=FALSE,IF($B63="","",CIE_HT(O$28,$Q$2,OFFSET(Source!$A71,0,0,1,Config!$K$7))),IF($B63="","",IF(Calcul!$BC$7=$Q$2,Calcul!BM48,Calcul!BW48)))</f>
        <v>338.00711195087388</v>
      </c>
      <c r="P63" s="18">
        <f ca="1">IF(NAMES!$B$10=FALSE,IF($B63="","",CIE_HT(P$28,$Q$2,OFFSET(Source!$A71,0,0,1,Config!$K$7))),IF($B63="","",IF(Calcul!$BC$7=$Q$2,Calcul!BN48,Calcul!BX48)))</f>
        <v>675.49712990080309</v>
      </c>
      <c r="Q63" s="18">
        <f t="shared" ca="1" si="3"/>
        <v>1679.1765857345301</v>
      </c>
      <c r="R63" s="18">
        <f ca="1">IF(NAMES!$B$10=FALSE,IF($B63="","",TOT_CIE_TC(I$28:P$28,$Q$2,OFFSET(Source!$A71,0,0,1,Config!$K$7))),IF($B63="","",Q63*TAXE))</f>
        <v>1746.3436491639113</v>
      </c>
      <c r="S63" s="1883" t="str">
        <f ca="1">IF(NAMES!$B$10=FALSE,IF($B63="","",_xludf.FORMULA($B63,$Q$2,OFFSET(Source!$A71,0,0,1,Config!$K$7))),IF($Q$2="AIG Luxembourg",Calcul!EE48,Calcul!IE48))</f>
        <v>Formula 3</v>
      </c>
      <c r="T63" s="1883"/>
      <c r="U63" s="1883"/>
    </row>
    <row r="64" spans="1:21">
      <c r="A64" s="11" t="str">
        <f>IF(NAMES!$B$10=TRUE,IF(Cotations!C49=FALSE,"",Cotations!D49),IF(Source!A72="","",YEAR(Source!$B$2)&amp;"-"&amp;YEAR(Source!$C$2)&amp;"!"))</f>
        <v>2017-2017!</v>
      </c>
      <c r="B64" s="11">
        <f>IF(NAMES!$B$10=FALSE,IF(Source!A72="","",Source!A72),Cotations!F49)</f>
        <v>135201</v>
      </c>
      <c r="C64" s="11" t="str">
        <f>IF(NAMES!$B$10=FALSE,IF($B64="","",Source!B72),IF($B64="","",Crewlist!J49))</f>
        <v>male</v>
      </c>
      <c r="D64" s="11" t="str">
        <f>IF(NAMES!$B$10=FALSE,IF($B64="","",Source!C72),IF($B64="","",Cotations!H49))</f>
        <v>VOLKER</v>
      </c>
      <c r="E64" s="11" t="str">
        <f>IF(NAMES!$B$10=FALSE,IF($B64="","",Source!D72),IF($B64="","",Crewlist!G49))</f>
        <v>Hans</v>
      </c>
      <c r="F64" s="16">
        <f>IF(NAMES!$B$10=FALSE,IF($B64="","",Source!E72),IF($B64="","",Crewlist!K49))</f>
        <v>29363</v>
      </c>
      <c r="G64" s="17">
        <f>IF(NAMES!$B$10=FALSE,IF($B64="","",Source!F72),Cotations!O49)</f>
        <v>181</v>
      </c>
      <c r="H64" s="17">
        <f>IF(NAMES!$B$10=FALSE,IF($B64="","",Source!G72),Cotations!M49)</f>
        <v>6</v>
      </c>
      <c r="I64" s="18">
        <f ca="1">IF(NAMES!$B$10=FALSE,IF($B64="","",CIE_HT(I$28,$Q$2,OFFSET(Source!$A72,0,0,1,Config!$K$7))),IF($B64="","",IF(Calcul!$BC$7=$Q$2,Calcul!BE49,Calcul!BQ49)))</f>
        <v>0</v>
      </c>
      <c r="J64" s="18">
        <f ca="1">IF(NAMES!$B$10=FALSE,IF($B64="","",CIE_HT(J$28,$Q$2,OFFSET(Source!$A72,0,0,1,Config!$K$7))),IF($B64="","",IF(Calcul!$BC$7=$Q$2,Calcul!BF49+Calcul!BG49+Calcul!BH49,Calcul!BR49)))</f>
        <v>0</v>
      </c>
      <c r="K64" s="18">
        <f ca="1">IF(NAMES!$B$10=FALSE,IF($B64="","",CIE_HT(K$28,$Q$2,OFFSET(Source!$A72,0,0,1,Config!$K$7))),IF($B64="","",IF(Calcul!$BC$7=$Q$2,Calcul!BI49,Calcul!BS49)))</f>
        <v>37.009156353330184</v>
      </c>
      <c r="L64" s="18">
        <f ca="1">IF(NAMES!$B$10=FALSE,IF($B64="","",CIE_HT(L$28,$Q$2,OFFSET(Source!$A72,0,0,1,Config!$K$7))),IF($B64="","",IF(Calcul!$BC$7=$Q$2,Calcul!BJ49,Calcul!BT49)))</f>
        <v>92.559826169107225</v>
      </c>
      <c r="M64" s="18">
        <f ca="1">IF(NAMES!$B$10=FALSE,IF($B64="","",CIE_HT(M$28,$Q$2,OFFSET(Source!$A72,0,0,1,Config!$K$7))),IF($B64="","",IF(Calcul!$BC$7=$Q$2,Calcul!BK49,Calcul!BU49)))</f>
        <v>45.725883797827116</v>
      </c>
      <c r="N64" s="18">
        <f ca="1">IF(NAMES!$B$10=FALSE,IF($B64="","",CIE_HT(N$28,$Q$2,OFFSET(Source!$A72,0,0,1,Config!$K$7))),IF($B64="","",IF(Calcul!$BC$7=$Q$2,Calcul!BL49,Calcul!BV49)))</f>
        <v>109.9932810581011</v>
      </c>
      <c r="O64" s="18">
        <f ca="1">IF(NAMES!$B$10=FALSE,IF($B64="","",CIE_HT(O$28,$Q$2,OFFSET(Source!$A72,0,0,1,Config!$K$7))),IF($B64="","",IF(Calcul!$BC$7=$Q$2,Calcul!BM49,Calcul!BW49)))</f>
        <v>144.8601908360888</v>
      </c>
      <c r="P64" s="18">
        <f ca="1">IF(NAMES!$B$10=FALSE,IF($B64="","",CIE_HT(P$28,$Q$2,OFFSET(Source!$A72,0,0,1,Config!$K$7))),IF($B64="","",IF(Calcul!$BC$7=$Q$2,Calcul!BN49,Calcul!BX49)))</f>
        <v>289.49876995748701</v>
      </c>
      <c r="Q64" s="18">
        <f t="shared" ca="1" si="3"/>
        <v>719.64710817194145</v>
      </c>
      <c r="R64" s="18">
        <f ca="1">IF(NAMES!$B$10=FALSE,IF($B64="","",TOT_CIE_TC(I$28:P$28,$Q$2,OFFSET(Source!$A72,0,0,1,Config!$K$7))),IF($B64="","",Q64*TAXE))</f>
        <v>748.43299249881909</v>
      </c>
      <c r="S64" s="1883" t="str">
        <f ca="1">IF(NAMES!$B$10=FALSE,IF($B64="","",_xludf.FORMULA($B64,$Q$2,OFFSET(Source!$A72,0,0,1,Config!$K$7))),IF($Q$2="AIG Luxembourg",Calcul!EE49,Calcul!IE49))</f>
        <v>Formula 3</v>
      </c>
      <c r="T64" s="1883"/>
      <c r="U64" s="1883"/>
    </row>
    <row r="65" spans="1:21">
      <c r="A65" s="11" t="str">
        <f>IF(NAMES!$B$10=TRUE,IF(Cotations!C50=FALSE,"",Cotations!D50),IF(Source!A73="","",YEAR(Source!$B$2)&amp;"-"&amp;YEAR(Source!$C$2)&amp;"!"))</f>
        <v>2017-2017!</v>
      </c>
      <c r="B65" s="11" t="str">
        <f>IF(NAMES!$B$10=FALSE,IF(Source!A73="","",Source!A73),Cotations!F50)</f>
        <v>X-1</v>
      </c>
      <c r="C65" s="11">
        <f>IF(NAMES!$B$10=FALSE,IF($B65="","",Source!B73),IF($B65="","",Crewlist!J50))</f>
        <v>0</v>
      </c>
      <c r="D65" s="11" t="str">
        <f>IF(NAMES!$B$10=FALSE,IF($B65="","",Source!C73),IF($B65="","",Cotations!H50))</f>
        <v/>
      </c>
      <c r="E65" s="11">
        <f>IF(NAMES!$B$10=FALSE,IF($B65="","",Source!D73),IF($B65="","",Crewlist!G50))</f>
        <v>0</v>
      </c>
      <c r="F65" s="16">
        <f>IF(NAMES!$B$10=FALSE,IF($B65="","",Source!E73),IF($B65="","",Crewlist!K50))</f>
        <v>0</v>
      </c>
      <c r="G65" s="17">
        <f>IF(NAMES!$B$10=FALSE,IF($B65="","",Source!F73),Cotations!O50)</f>
        <v>150</v>
      </c>
      <c r="H65" s="17">
        <f>IF(NAMES!$B$10=FALSE,IF($B65="","",Source!G73),Cotations!M50)</f>
        <v>5</v>
      </c>
      <c r="I65" s="18">
        <f ca="1">IF(NAMES!$B$10=FALSE,IF($B65="","",CIE_HT(I$28,$Q$2,OFFSET(Source!$A73,0,0,1,Config!$K$7))),IF($B65="","",IF(Calcul!$BC$7=$Q$2,Calcul!BE50,Calcul!BQ50)))</f>
        <v>0</v>
      </c>
      <c r="J65" s="18">
        <f ca="1">IF(NAMES!$B$10=FALSE,IF($B65="","",CIE_HT(J$28,$Q$2,OFFSET(Source!$A73,0,0,1,Config!$K$7))),IF($B65="","",IF(Calcul!$BC$7=$Q$2,Calcul!BF50+Calcul!BG50+Calcul!BH50,Calcul!BR50)))</f>
        <v>0</v>
      </c>
      <c r="K65" s="18">
        <f ca="1">IF(NAMES!$B$10=FALSE,IF($B65="","",CIE_HT(K$28,$Q$2,OFFSET(Source!$A73,0,0,1,Config!$K$7))),IF($B65="","",IF(Calcul!$BC$7=$Q$2,Calcul!BI50,Calcul!BS50)))</f>
        <v>25.558809636277754</v>
      </c>
      <c r="L65" s="18">
        <f ca="1">IF(NAMES!$B$10=FALSE,IF($B65="","",CIE_HT(L$28,$Q$2,OFFSET(Source!$A73,0,0,1,Config!$K$7))),IF($B65="","",IF(Calcul!$BC$7=$Q$2,Calcul!BJ50,Calcul!BT50)))</f>
        <v>63.922531884742568</v>
      </c>
      <c r="M65" s="18">
        <f ca="1">IF(NAMES!$B$10=FALSE,IF($B65="","",CIE_HT(M$28,$Q$2,OFFSET(Source!$A73,0,0,1,Config!$K$7))),IF($B65="","",IF(Calcul!$BC$7=$Q$2,Calcul!BK50,Calcul!BU50)))</f>
        <v>31.578649031648556</v>
      </c>
      <c r="N65" s="18">
        <f ca="1">IF(NAMES!$B$10=FALSE,IF($B65="","",CIE_HT(N$28,$Q$2,OFFSET(Source!$A73,0,0,1,Config!$K$7))),IF($B65="","",IF(Calcul!$BC$7=$Q$2,Calcul!BL50,Calcul!BV50)))</f>
        <v>75.962210675484158</v>
      </c>
      <c r="O65" s="18">
        <f ca="1">IF(NAMES!$B$10=FALSE,IF($B65="","",CIE_HT(O$28,$Q$2,OFFSET(Source!$A73,0,0,1,Config!$K$7))),IF($B65="","",IF(Calcul!$BC$7=$Q$2,Calcul!BM50,Calcul!BW50)))</f>
        <v>100.04156825696741</v>
      </c>
      <c r="P65" s="18">
        <f ca="1">IF(NAMES!$B$10=FALSE,IF($B65="","",CIE_HT(P$28,$Q$2,OFFSET(Source!$A73,0,0,1,Config!$K$7))),IF($B65="","",IF(Calcul!$BC$7=$Q$2,Calcul!BN50,Calcul!BX50)))</f>
        <v>199.93008974964573</v>
      </c>
      <c r="Q65" s="18">
        <f t="shared" ca="1" si="3"/>
        <v>496.99385923476621</v>
      </c>
      <c r="R65" s="18">
        <f ca="1">IF(NAMES!$B$10=FALSE,IF($B65="","",TOT_CIE_TC(I$28:P$28,$Q$2,OFFSET(Source!$A73,0,0,1,Config!$K$7))),IF($B65="","",Q65*TAXE))</f>
        <v>516.87361360415684</v>
      </c>
      <c r="S65" s="1883" t="str">
        <f ca="1">IF(NAMES!$B$10=FALSE,IF($B65="","",_xludf.FORMULA($B65,$Q$2,OFFSET(Source!$A73,0,0,1,Config!$K$7))),IF($Q$2="AIG Luxembourg",Calcul!EE50,Calcul!IE50))</f>
        <v>Formula 3</v>
      </c>
      <c r="T65" s="1883"/>
      <c r="U65" s="1883"/>
    </row>
    <row r="66" spans="1:21">
      <c r="A66" s="11" t="str">
        <f>IF(NAMES!$B$10=TRUE,IF(Cotations!C51=FALSE,"",Cotations!D51),IF(Source!A74="","",YEAR(Source!$B$2)&amp;"-"&amp;YEAR(Source!$C$2)&amp;"!"))</f>
        <v>2017-2017!</v>
      </c>
      <c r="B66" s="11" t="str">
        <f>IF(NAMES!$B$10=FALSE,IF(Source!A74="","",Source!A74),Cotations!F51)</f>
        <v>X-2</v>
      </c>
      <c r="C66" s="11">
        <f>IF(NAMES!$B$10=FALSE,IF($B66="","",Source!B74),IF($B66="","",Crewlist!J51))</f>
        <v>0</v>
      </c>
      <c r="D66" s="11" t="str">
        <f>IF(NAMES!$B$10=FALSE,IF($B66="","",Source!C74),IF($B66="","",Cotations!H51))</f>
        <v/>
      </c>
      <c r="E66" s="11">
        <f>IF(NAMES!$B$10=FALSE,IF($B66="","",Source!D74),IF($B66="","",Crewlist!G51))</f>
        <v>0</v>
      </c>
      <c r="F66" s="16">
        <f>IF(NAMES!$B$10=FALSE,IF($B66="","",Source!E74),IF($B66="","",Crewlist!K51))</f>
        <v>0</v>
      </c>
      <c r="G66" s="17">
        <f>IF(NAMES!$B$10=FALSE,IF($B66="","",Source!F74),Cotations!O51)</f>
        <v>150</v>
      </c>
      <c r="H66" s="17">
        <f>IF(NAMES!$B$10=FALSE,IF($B66="","",Source!G74),Cotations!M51)</f>
        <v>5</v>
      </c>
      <c r="I66" s="18">
        <f ca="1">IF(NAMES!$B$10=FALSE,IF($B66="","",CIE_HT(I$28,$Q$2,OFFSET(Source!$A74,0,0,1,Config!$K$7))),IF($B66="","",IF(Calcul!$BC$7=$Q$2,Calcul!BE51,Calcul!BQ51)))</f>
        <v>0</v>
      </c>
      <c r="J66" s="18">
        <f ca="1">IF(NAMES!$B$10=FALSE,IF($B66="","",CIE_HT(J$28,$Q$2,OFFSET(Source!$A74,0,0,1,Config!$K$7))),IF($B66="","",IF(Calcul!$BC$7=$Q$2,Calcul!BF51+Calcul!BG51+Calcul!BH51,Calcul!BR51)))</f>
        <v>0</v>
      </c>
      <c r="K66" s="18">
        <f ca="1">IF(NAMES!$B$10=FALSE,IF($B66="","",CIE_HT(K$28,$Q$2,OFFSET(Source!$A74,0,0,1,Config!$K$7))),IF($B66="","",IF(Calcul!$BC$7=$Q$2,Calcul!BI51,Calcul!BS51)))</f>
        <v>25.558809636277754</v>
      </c>
      <c r="L66" s="18">
        <f ca="1">IF(NAMES!$B$10=FALSE,IF($B66="","",CIE_HT(L$28,$Q$2,OFFSET(Source!$A74,0,0,1,Config!$K$7))),IF($B66="","",IF(Calcul!$BC$7=$Q$2,Calcul!BJ51,Calcul!BT51)))</f>
        <v>63.922531884742568</v>
      </c>
      <c r="M66" s="18">
        <f ca="1">IF(NAMES!$B$10=FALSE,IF($B66="","",CIE_HT(M$28,$Q$2,OFFSET(Source!$A74,0,0,1,Config!$K$7))),IF($B66="","",IF(Calcul!$BC$7=$Q$2,Calcul!BK51,Calcul!BU51)))</f>
        <v>31.578649031648556</v>
      </c>
      <c r="N66" s="18">
        <f ca="1">IF(NAMES!$B$10=FALSE,IF($B66="","",CIE_HT(N$28,$Q$2,OFFSET(Source!$A74,0,0,1,Config!$K$7))),IF($B66="","",IF(Calcul!$BC$7=$Q$2,Calcul!BL51,Calcul!BV51)))</f>
        <v>75.962210675484158</v>
      </c>
      <c r="O66" s="18">
        <f ca="1">IF(NAMES!$B$10=FALSE,IF($B66="","",CIE_HT(O$28,$Q$2,OFFSET(Source!$A74,0,0,1,Config!$K$7))),IF($B66="","",IF(Calcul!$BC$7=$Q$2,Calcul!BM51,Calcul!BW51)))</f>
        <v>100.04156825696741</v>
      </c>
      <c r="P66" s="18">
        <f ca="1">IF(NAMES!$B$10=FALSE,IF($B66="","",CIE_HT(P$28,$Q$2,OFFSET(Source!$A74,0,0,1,Config!$K$7))),IF($B66="","",IF(Calcul!$BC$7=$Q$2,Calcul!BN51,Calcul!BX51)))</f>
        <v>199.93008974964573</v>
      </c>
      <c r="Q66" s="18">
        <f t="shared" ca="1" si="3"/>
        <v>496.99385923476621</v>
      </c>
      <c r="R66" s="18">
        <f ca="1">IF(NAMES!$B$10=FALSE,IF($B66="","",TOT_CIE_TC(I$28:P$28,$Q$2,OFFSET(Source!$A74,0,0,1,Config!$K$7))),IF($B66="","",Q66*TAXE))</f>
        <v>516.87361360415684</v>
      </c>
      <c r="S66" s="1883" t="str">
        <f ca="1">IF(NAMES!$B$10=FALSE,IF($B66="","",_xludf.FORMULA($B66,$Q$2,OFFSET(Source!$A74,0,0,1,Config!$K$7))),IF($Q$2="AIG Luxembourg",Calcul!EE51,Calcul!IE51))</f>
        <v>Formula 3</v>
      </c>
      <c r="T66" s="1883"/>
      <c r="U66" s="1883"/>
    </row>
    <row r="67" spans="1:21">
      <c r="A67" s="11" t="str">
        <f>IF(NAMES!$B$10=TRUE,IF(Cotations!C52=FALSE,"",Cotations!D52),IF(Source!A75="","",YEAR(Source!$B$2)&amp;"-"&amp;YEAR(Source!$C$2)&amp;"!"))</f>
        <v>2017-2017!</v>
      </c>
      <c r="B67" s="11" t="str">
        <f>IF(NAMES!$B$10=FALSE,IF(Source!A75="","",Source!A75),Cotations!F52)</f>
        <v>X-3</v>
      </c>
      <c r="C67" s="11">
        <f>IF(NAMES!$B$10=FALSE,IF($B67="","",Source!B75),IF($B67="","",Crewlist!J52))</f>
        <v>0</v>
      </c>
      <c r="D67" s="11" t="str">
        <f>IF(NAMES!$B$10=FALSE,IF($B67="","",Source!C75),IF($B67="","",Cotations!H52))</f>
        <v/>
      </c>
      <c r="E67" s="11">
        <f>IF(NAMES!$B$10=FALSE,IF($B67="","",Source!D75),IF($B67="","",Crewlist!G52))</f>
        <v>0</v>
      </c>
      <c r="F67" s="16">
        <f>IF(NAMES!$B$10=FALSE,IF($B67="","",Source!E75),IF($B67="","",Crewlist!K52))</f>
        <v>0</v>
      </c>
      <c r="G67" s="17">
        <f>IF(NAMES!$B$10=FALSE,IF($B67="","",Source!F75),Cotations!O52)</f>
        <v>150</v>
      </c>
      <c r="H67" s="17">
        <f>IF(NAMES!$B$10=FALSE,IF($B67="","",Source!G75),Cotations!M52)</f>
        <v>5</v>
      </c>
      <c r="I67" s="18">
        <f ca="1">IF(NAMES!$B$10=FALSE,IF($B67="","",CIE_HT(I$28,$Q$2,OFFSET(Source!$A75,0,0,1,Config!$K$7))),IF($B67="","",IF(Calcul!$BC$7=$Q$2,Calcul!BE52,Calcul!BQ52)))</f>
        <v>0</v>
      </c>
      <c r="J67" s="18">
        <f ca="1">IF(NAMES!$B$10=FALSE,IF($B67="","",CIE_HT(J$28,$Q$2,OFFSET(Source!$A75,0,0,1,Config!$K$7))),IF($B67="","",IF(Calcul!$BC$7=$Q$2,Calcul!BF52+Calcul!BG52+Calcul!BH52,Calcul!BR52)))</f>
        <v>0</v>
      </c>
      <c r="K67" s="18">
        <f ca="1">IF(NAMES!$B$10=FALSE,IF($B67="","",CIE_HT(K$28,$Q$2,OFFSET(Source!$A75,0,0,1,Config!$K$7))),IF($B67="","",IF(Calcul!$BC$7=$Q$2,Calcul!BI52,Calcul!BS52)))</f>
        <v>25.558809636277754</v>
      </c>
      <c r="L67" s="18">
        <f ca="1">IF(NAMES!$B$10=FALSE,IF($B67="","",CIE_HT(L$28,$Q$2,OFFSET(Source!$A75,0,0,1,Config!$K$7))),IF($B67="","",IF(Calcul!$BC$7=$Q$2,Calcul!BJ52,Calcul!BT52)))</f>
        <v>63.922531884742568</v>
      </c>
      <c r="M67" s="18">
        <f ca="1">IF(NAMES!$B$10=FALSE,IF($B67="","",CIE_HT(M$28,$Q$2,OFFSET(Source!$A75,0,0,1,Config!$K$7))),IF($B67="","",IF(Calcul!$BC$7=$Q$2,Calcul!BK52,Calcul!BU52)))</f>
        <v>31.578649031648556</v>
      </c>
      <c r="N67" s="18">
        <f ca="1">IF(NAMES!$B$10=FALSE,IF($B67="","",CIE_HT(N$28,$Q$2,OFFSET(Source!$A75,0,0,1,Config!$K$7))),IF($B67="","",IF(Calcul!$BC$7=$Q$2,Calcul!BL52,Calcul!BV52)))</f>
        <v>75.962210675484158</v>
      </c>
      <c r="O67" s="18">
        <f ca="1">IF(NAMES!$B$10=FALSE,IF($B67="","",CIE_HT(O$28,$Q$2,OFFSET(Source!$A75,0,0,1,Config!$K$7))),IF($B67="","",IF(Calcul!$BC$7=$Q$2,Calcul!BM52,Calcul!BW52)))</f>
        <v>100.04156825696741</v>
      </c>
      <c r="P67" s="18">
        <f ca="1">IF(NAMES!$B$10=FALSE,IF($B67="","",CIE_HT(P$28,$Q$2,OFFSET(Source!$A75,0,0,1,Config!$K$7))),IF($B67="","",IF(Calcul!$BC$7=$Q$2,Calcul!BN52,Calcul!BX52)))</f>
        <v>199.93008974964573</v>
      </c>
      <c r="Q67" s="18">
        <f t="shared" ca="1" si="3"/>
        <v>496.99385923476621</v>
      </c>
      <c r="R67" s="18">
        <f ca="1">IF(NAMES!$B$10=FALSE,IF($B67="","",TOT_CIE_TC(I$28:P$28,$Q$2,OFFSET(Source!$A75,0,0,1,Config!$K$7))),IF($B67="","",Q67*TAXE))</f>
        <v>516.87361360415684</v>
      </c>
      <c r="S67" s="1883" t="str">
        <f ca="1">IF(NAMES!$B$10=FALSE,IF($B67="","",_xludf.FORMULA($B67,$Q$2,OFFSET(Source!$A75,0,0,1,Config!$K$7))),IF($Q$2="AIG Luxembourg",Calcul!EE52,Calcul!IE52))</f>
        <v>Formula 3</v>
      </c>
      <c r="T67" s="1883"/>
      <c r="U67" s="1883"/>
    </row>
    <row r="68" spans="1:21">
      <c r="A68" s="11" t="str">
        <f>IF(NAMES!$B$10=TRUE,IF(Cotations!C53=FALSE,"",Cotations!D53),IF(Source!A76="","",YEAR(Source!$B$2)&amp;"-"&amp;YEAR(Source!$C$2)&amp;"!"))</f>
        <v/>
      </c>
      <c r="B68" s="11" t="str">
        <f>IF(NAMES!$B$10=FALSE,IF(Source!A76="","",Source!A76),Cotations!F53)</f>
        <v/>
      </c>
      <c r="C68" s="11" t="str">
        <f>IF(NAMES!$B$10=FALSE,IF($B68="","",Source!B76),IF($B68="","",Crewlist!J53))</f>
        <v/>
      </c>
      <c r="D68" s="11" t="str">
        <f>IF(NAMES!$B$10=FALSE,IF($B68="","",Source!C76),IF($B68="","",Cotations!H53))</f>
        <v/>
      </c>
      <c r="E68" s="11" t="str">
        <f>IF(NAMES!$B$10=FALSE,IF($B68="","",Source!D76),IF($B68="","",Crewlist!G53))</f>
        <v/>
      </c>
      <c r="F68" s="16" t="str">
        <f>IF(NAMES!$B$10=FALSE,IF($B68="","",Source!E76),IF($B68="","",Crewlist!K53))</f>
        <v/>
      </c>
      <c r="G68" s="17" t="str">
        <f>IF(NAMES!$B$10=FALSE,IF($B68="","",Source!F76),Cotations!O53)</f>
        <v/>
      </c>
      <c r="H68" s="17" t="str">
        <f>IF(NAMES!$B$10=FALSE,IF($B68="","",Source!G76),Cotations!M53)</f>
        <v/>
      </c>
      <c r="I68" s="18" t="str">
        <f ca="1">IF(NAMES!$B$10=FALSE,IF($B68="","",CIE_HT(I$28,$Q$2,OFFSET(Source!$A76,0,0,1,Config!$K$7))),IF($B68="","",IF(Calcul!$BC$7=$Q$2,Calcul!BE53,Calcul!BQ53)))</f>
        <v/>
      </c>
      <c r="J68" s="18" t="str">
        <f ca="1">IF(NAMES!$B$10=FALSE,IF($B68="","",CIE_HT(J$28,$Q$2,OFFSET(Source!$A76,0,0,1,Config!$K$7))),IF($B68="","",IF(Calcul!$BC$7=$Q$2,Calcul!BF53+Calcul!BG53+Calcul!BH53,Calcul!BR53)))</f>
        <v/>
      </c>
      <c r="K68" s="18" t="str">
        <f ca="1">IF(NAMES!$B$10=FALSE,IF($B68="","",CIE_HT(K$28,$Q$2,OFFSET(Source!$A76,0,0,1,Config!$K$7))),IF($B68="","",IF(Calcul!$BC$7=$Q$2,Calcul!BI53,Calcul!BS53)))</f>
        <v/>
      </c>
      <c r="L68" s="18" t="str">
        <f ca="1">IF(NAMES!$B$10=FALSE,IF($B68="","",CIE_HT(L$28,$Q$2,OFFSET(Source!$A76,0,0,1,Config!$K$7))),IF($B68="","",IF(Calcul!$BC$7=$Q$2,Calcul!BJ53,Calcul!BT53)))</f>
        <v/>
      </c>
      <c r="M68" s="18" t="str">
        <f ca="1">IF(NAMES!$B$10=FALSE,IF($B68="","",CIE_HT(M$28,$Q$2,OFFSET(Source!$A76,0,0,1,Config!$K$7))),IF($B68="","",IF(Calcul!$BC$7=$Q$2,Calcul!BK53,Calcul!BU53)))</f>
        <v/>
      </c>
      <c r="N68" s="18" t="str">
        <f ca="1">IF(NAMES!$B$10=FALSE,IF($B68="","",CIE_HT(N$28,$Q$2,OFFSET(Source!$A76,0,0,1,Config!$K$7))),IF($B68="","",IF(Calcul!$BC$7=$Q$2,Calcul!BL53,Calcul!BV53)))</f>
        <v/>
      </c>
      <c r="O68" s="18" t="str">
        <f ca="1">IF(NAMES!$B$10=FALSE,IF($B68="","",CIE_HT(O$28,$Q$2,OFFSET(Source!$A76,0,0,1,Config!$K$7))),IF($B68="","",IF(Calcul!$BC$7=$Q$2,Calcul!BM53,Calcul!BW53)))</f>
        <v/>
      </c>
      <c r="P68" s="18" t="str">
        <f ca="1">IF(NAMES!$B$10=FALSE,IF($B68="","",CIE_HT(P$28,$Q$2,OFFSET(Source!$A76,0,0,1,Config!$K$7))),IF($B68="","",IF(Calcul!$BC$7=$Q$2,Calcul!BN53,Calcul!BX53)))</f>
        <v/>
      </c>
      <c r="Q68" s="18" t="str">
        <f t="shared" si="3"/>
        <v/>
      </c>
      <c r="R68" s="18" t="str">
        <f ca="1">IF(NAMES!$B$10=FALSE,IF($B68="","",TOT_CIE_TC(I$28:P$28,$Q$2,OFFSET(Source!$A76,0,0,1,Config!$K$7))),IF($B68="","",Q68*TAXE))</f>
        <v/>
      </c>
      <c r="S68" s="1883" t="str">
        <f ca="1">IF(NAMES!$B$10=FALSE,IF($B68="","",_xludf.FORMULA($B68,$Q$2,OFFSET(Source!$A76,0,0,1,Config!$K$7))),IF($Q$2="AIG Luxembourg",Calcul!EE53,Calcul!IE53))</f>
        <v/>
      </c>
      <c r="T68" s="1883"/>
      <c r="U68" s="1883"/>
    </row>
    <row r="69" spans="1:21">
      <c r="A69" s="11" t="str">
        <f>IF(NAMES!$B$10=TRUE,IF(Cotations!C54=FALSE,"",Cotations!D54),IF(Source!A77="","",YEAR(Source!$B$2)&amp;"-"&amp;YEAR(Source!$C$2)&amp;"!"))</f>
        <v/>
      </c>
      <c r="B69" s="11" t="str">
        <f>IF(NAMES!$B$10=FALSE,IF(Source!A77="","",Source!A77),Cotations!F54)</f>
        <v/>
      </c>
      <c r="C69" s="11" t="str">
        <f>IF(NAMES!$B$10=FALSE,IF($B69="","",Source!B77),IF($B69="","",Crewlist!J54))</f>
        <v/>
      </c>
      <c r="D69" s="11" t="str">
        <f>IF(NAMES!$B$10=FALSE,IF($B69="","",Source!C77),IF($B69="","",Cotations!H54))</f>
        <v/>
      </c>
      <c r="E69" s="11" t="str">
        <f>IF(NAMES!$B$10=FALSE,IF($B69="","",Source!D77),IF($B69="","",Crewlist!G54))</f>
        <v/>
      </c>
      <c r="F69" s="16" t="str">
        <f>IF(NAMES!$B$10=FALSE,IF($B69="","",Source!E77),IF($B69="","",Crewlist!K54))</f>
        <v/>
      </c>
      <c r="G69" s="17" t="str">
        <f>IF(NAMES!$B$10=FALSE,IF($B69="","",Source!F77),Cotations!O54)</f>
        <v/>
      </c>
      <c r="H69" s="17" t="str">
        <f>IF(NAMES!$B$10=FALSE,IF($B69="","",Source!G77),Cotations!M54)</f>
        <v/>
      </c>
      <c r="I69" s="18" t="str">
        <f ca="1">IF(NAMES!$B$10=FALSE,IF($B69="","",CIE_HT(I$28,$Q$2,OFFSET(Source!$A77,0,0,1,Config!$K$7))),IF($B69="","",IF(Calcul!$BC$7=$Q$2,Calcul!BE54,Calcul!BQ54)))</f>
        <v/>
      </c>
      <c r="J69" s="18" t="str">
        <f ca="1">IF(NAMES!$B$10=FALSE,IF($B69="","",CIE_HT(J$28,$Q$2,OFFSET(Source!$A77,0,0,1,Config!$K$7))),IF($B69="","",IF(Calcul!$BC$7=$Q$2,Calcul!BF54+Calcul!BG54+Calcul!BH54,Calcul!BR54)))</f>
        <v/>
      </c>
      <c r="K69" s="18" t="str">
        <f ca="1">IF(NAMES!$B$10=FALSE,IF($B69="","",CIE_HT(K$28,$Q$2,OFFSET(Source!$A77,0,0,1,Config!$K$7))),IF($B69="","",IF(Calcul!$BC$7=$Q$2,Calcul!BI54,Calcul!BS54)))</f>
        <v/>
      </c>
      <c r="L69" s="18" t="str">
        <f ca="1">IF(NAMES!$B$10=FALSE,IF($B69="","",CIE_HT(L$28,$Q$2,OFFSET(Source!$A77,0,0,1,Config!$K$7))),IF($B69="","",IF(Calcul!$BC$7=$Q$2,Calcul!BJ54,Calcul!BT54)))</f>
        <v/>
      </c>
      <c r="M69" s="18" t="str">
        <f ca="1">IF(NAMES!$B$10=FALSE,IF($B69="","",CIE_HT(M$28,$Q$2,OFFSET(Source!$A77,0,0,1,Config!$K$7))),IF($B69="","",IF(Calcul!$BC$7=$Q$2,Calcul!BK54,Calcul!BU54)))</f>
        <v/>
      </c>
      <c r="N69" s="18" t="str">
        <f ca="1">IF(NAMES!$B$10=FALSE,IF($B69="","",CIE_HT(N$28,$Q$2,OFFSET(Source!$A77,0,0,1,Config!$K$7))),IF($B69="","",IF(Calcul!$BC$7=$Q$2,Calcul!BL54,Calcul!BV54)))</f>
        <v/>
      </c>
      <c r="O69" s="18" t="str">
        <f ca="1">IF(NAMES!$B$10=FALSE,IF($B69="","",CIE_HT(O$28,$Q$2,OFFSET(Source!$A77,0,0,1,Config!$K$7))),IF($B69="","",IF(Calcul!$BC$7=$Q$2,Calcul!BM54,Calcul!BW54)))</f>
        <v/>
      </c>
      <c r="P69" s="18" t="str">
        <f ca="1">IF(NAMES!$B$10=FALSE,IF($B69="","",CIE_HT(P$28,$Q$2,OFFSET(Source!$A77,0,0,1,Config!$K$7))),IF($B69="","",IF(Calcul!$BC$7=$Q$2,Calcul!BN54,Calcul!BX54)))</f>
        <v/>
      </c>
      <c r="Q69" s="18" t="str">
        <f t="shared" si="3"/>
        <v/>
      </c>
      <c r="R69" s="18" t="str">
        <f ca="1">IF(NAMES!$B$10=FALSE,IF($B69="","",TOT_CIE_TC(I$28:P$28,$Q$2,OFFSET(Source!$A77,0,0,1,Config!$K$7))),IF($B69="","",Q69*TAXE))</f>
        <v/>
      </c>
      <c r="S69" s="1883" t="str">
        <f ca="1">IF(NAMES!$B$10=FALSE,IF($B69="","",_xludf.FORMULA($B69,$Q$2,OFFSET(Source!$A77,0,0,1,Config!$K$7))),IF($Q$2="AIG Luxembourg",Calcul!EE54,Calcul!IE54))</f>
        <v/>
      </c>
      <c r="T69" s="1883"/>
      <c r="U69" s="1883"/>
    </row>
    <row r="70" spans="1:21" ht="12.75" hidden="1" customHeight="1">
      <c r="A70" s="11" t="str">
        <f>IF(NAMES!$B$10=TRUE,IF(Cotations!C55=FALSE,"",Cotations!D55),IF(Source!A78="","",YEAR(Source!$B$2)&amp;"-"&amp;YEAR(Source!$C$2)&amp;"!"))</f>
        <v/>
      </c>
      <c r="B70" s="11" t="str">
        <f>IF(NAMES!$B$10=FALSE,IF(Source!A78="","",Source!A78),Cotations!F55)</f>
        <v/>
      </c>
      <c r="C70" s="11" t="str">
        <f>IF(NAMES!$B$10=FALSE,IF($B70="","",Source!B78),IF($B70="","",Crewlist!J55))</f>
        <v/>
      </c>
      <c r="D70" s="11" t="str">
        <f>IF(NAMES!$B$10=FALSE,IF($B70="","",Source!C78),IF($B70="","",Cotations!H55))</f>
        <v/>
      </c>
      <c r="E70" s="11" t="str">
        <f>IF(NAMES!$B$10=FALSE,IF($B70="","",Source!D78),IF($B70="","",Crewlist!G55))</f>
        <v/>
      </c>
      <c r="F70" s="16" t="str">
        <f>IF(NAMES!$B$10=FALSE,IF($B70="","",Source!E78),IF($B70="","",Crewlist!K55))</f>
        <v/>
      </c>
      <c r="G70" s="17" t="str">
        <f>IF(NAMES!$B$10=FALSE,IF($B70="","",Source!F78),Cotations!O55)</f>
        <v/>
      </c>
      <c r="H70" s="17" t="str">
        <f>IF(NAMES!$B$10=FALSE,IF($B70="","",Source!G78),Cotations!M55)</f>
        <v/>
      </c>
      <c r="I70" s="18" t="str">
        <f ca="1">IF(NAMES!$B$10=FALSE,IF($B70="","",CIE_HT(I$28,$Q$2,OFFSET(Source!$A78,0,0,1,Config!$K$7))),IF($B70="","",IF(Calcul!$BC$7=$Q$2,Calcul!BE55,Calcul!BQ55)))</f>
        <v/>
      </c>
      <c r="J70" s="18" t="str">
        <f ca="1">IF(NAMES!$B$10=FALSE,IF($B70="","",CIE_HT(J$28,$Q$2,OFFSET(Source!$A78,0,0,1,Config!$K$7))),IF($B70="","",IF(Calcul!$BC$7=$Q$2,Calcul!BF55+Calcul!BG55+Calcul!BH55,Calcul!BR55)))</f>
        <v/>
      </c>
      <c r="K70" s="18" t="str">
        <f ca="1">IF(NAMES!$B$10=FALSE,IF($B70="","",CIE_HT(K$28,$Q$2,OFFSET(Source!$A78,0,0,1,Config!$K$7))),IF($B70="","",IF(Calcul!$BC$7=$Q$2,Calcul!BI55,Calcul!BS55)))</f>
        <v/>
      </c>
      <c r="L70" s="18" t="str">
        <f ca="1">IF(NAMES!$B$10=FALSE,IF($B70="","",CIE_HT(L$28,$Q$2,OFFSET(Source!$A78,0,0,1,Config!$K$7))),IF($B70="","",IF(Calcul!$BC$7=$Q$2,Calcul!BJ55,Calcul!BT55)))</f>
        <v/>
      </c>
      <c r="M70" s="18" t="str">
        <f ca="1">IF(NAMES!$B$10=FALSE,IF($B70="","",CIE_HT(M$28,$Q$2,OFFSET(Source!$A78,0,0,1,Config!$K$7))),IF($B70="","",IF(Calcul!$BC$7=$Q$2,Calcul!BK55,Calcul!BU55)))</f>
        <v/>
      </c>
      <c r="N70" s="18" t="str">
        <f ca="1">IF(NAMES!$B$10=FALSE,IF($B70="","",CIE_HT(N$28,$Q$2,OFFSET(Source!$A78,0,0,1,Config!$K$7))),IF($B70="","",IF(Calcul!$BC$7=$Q$2,Calcul!BL55,Calcul!BV55)))</f>
        <v/>
      </c>
      <c r="O70" s="18" t="str">
        <f ca="1">IF(NAMES!$B$10=FALSE,IF($B70="","",CIE_HT(O$28,$Q$2,OFFSET(Source!$A78,0,0,1,Config!$K$7))),IF($B70="","",IF(Calcul!$BC$7=$Q$2,Calcul!BM55,Calcul!BW55)))</f>
        <v/>
      </c>
      <c r="P70" s="18" t="str">
        <f ca="1">IF(NAMES!$B$10=FALSE,IF($B70="","",CIE_HT(P$28,$Q$2,OFFSET(Source!$A78,0,0,1,Config!$K$7))),IF($B70="","",IF(Calcul!$BC$7=$Q$2,Calcul!BN55,Calcul!BX55)))</f>
        <v/>
      </c>
      <c r="Q70" s="18" t="str">
        <f t="shared" si="3"/>
        <v/>
      </c>
      <c r="R70" s="18" t="str">
        <f ca="1">IF(NAMES!$B$10=FALSE,IF($B70="","",TOT_CIE_TC(I$28:P$28,$Q$2,OFFSET(Source!$A78,0,0,1,Config!$K$7))),IF($B70="","",Q70*TAXE))</f>
        <v/>
      </c>
      <c r="S70" s="1883" t="str">
        <f ca="1">IF(NAMES!$B$10=FALSE,IF($B70="","",_xludf.FORMULA($B70,$Q$2,OFFSET(Source!$A78,0,0,1,Config!$K$7))),IF($Q$2="AIG Luxembourg",Calcul!EE55,Calcul!IE55))</f>
        <v/>
      </c>
      <c r="T70" s="1883"/>
      <c r="U70" s="1883"/>
    </row>
    <row r="71" spans="1:21" hidden="1">
      <c r="A71" s="11" t="str">
        <f>IF(NAMES!$B$10=TRUE,IF(Cotations!C56=FALSE,"",Cotations!D56),IF(Source!A79="","",YEAR(Source!$B$2)&amp;"-"&amp;YEAR(Source!$C$2)&amp;"!"))</f>
        <v/>
      </c>
      <c r="B71" s="11" t="str">
        <f>IF(NAMES!$B$10=FALSE,IF(Source!A79="","",Source!A79),Cotations!F56)</f>
        <v/>
      </c>
      <c r="C71" s="11" t="str">
        <f>IF(NAMES!$B$10=FALSE,IF($B71="","",Source!B79),IF($B71="","",Crewlist!J56))</f>
        <v/>
      </c>
      <c r="D71" s="11" t="str">
        <f>IF(NAMES!$B$10=FALSE,IF($B71="","",Source!C79),IF($B71="","",Cotations!H56))</f>
        <v/>
      </c>
      <c r="E71" s="11" t="str">
        <f>IF(NAMES!$B$10=FALSE,IF($B71="","",Source!D79),IF($B71="","",Crewlist!G56))</f>
        <v/>
      </c>
      <c r="F71" s="16" t="str">
        <f>IF(NAMES!$B$10=FALSE,IF($B71="","",Source!E79),IF($B71="","",Crewlist!K56))</f>
        <v/>
      </c>
      <c r="G71" s="17" t="str">
        <f>IF(NAMES!$B$10=FALSE,IF($B71="","",Source!F79),Cotations!O56)</f>
        <v/>
      </c>
      <c r="H71" s="17" t="str">
        <f>IF(NAMES!$B$10=FALSE,IF($B71="","",Source!G79),Cotations!M56)</f>
        <v/>
      </c>
      <c r="I71" s="18" t="str">
        <f ca="1">IF(NAMES!$B$10=FALSE,IF($B71="","",CIE_HT(I$28,$Q$2,OFFSET(Source!$A79,0,0,1,Config!$K$7))),IF($B71="","",IF(Calcul!$BC$7=$Q$2,Calcul!BE56,Calcul!BQ56)))</f>
        <v/>
      </c>
      <c r="J71" s="18" t="str">
        <f ca="1">IF(NAMES!$B$10=FALSE,IF($B71="","",CIE_HT(J$28,$Q$2,OFFSET(Source!$A79,0,0,1,Config!$K$7))),IF($B71="","",IF(Calcul!$BC$7=$Q$2,Calcul!BF56+Calcul!BG56+Calcul!BH56,Calcul!BR56)))</f>
        <v/>
      </c>
      <c r="K71" s="18" t="str">
        <f ca="1">IF(NAMES!$B$10=FALSE,IF($B71="","",CIE_HT(K$28,$Q$2,OFFSET(Source!$A79,0,0,1,Config!$K$7))),IF($B71="","",IF(Calcul!$BC$7=$Q$2,Calcul!BI56,Calcul!BS56)))</f>
        <v/>
      </c>
      <c r="L71" s="18" t="str">
        <f ca="1">IF(NAMES!$B$10=FALSE,IF($B71="","",CIE_HT(L$28,$Q$2,OFFSET(Source!$A79,0,0,1,Config!$K$7))),IF($B71="","",IF(Calcul!$BC$7=$Q$2,Calcul!BJ56,Calcul!BT56)))</f>
        <v/>
      </c>
      <c r="M71" s="18" t="str">
        <f ca="1">IF(NAMES!$B$10=FALSE,IF($B71="","",CIE_HT(M$28,$Q$2,OFFSET(Source!$A79,0,0,1,Config!$K$7))),IF($B71="","",IF(Calcul!$BC$7=$Q$2,Calcul!BK56,Calcul!BU56)))</f>
        <v/>
      </c>
      <c r="N71" s="18" t="str">
        <f ca="1">IF(NAMES!$B$10=FALSE,IF($B71="","",CIE_HT(N$28,$Q$2,OFFSET(Source!$A79,0,0,1,Config!$K$7))),IF($B71="","",IF(Calcul!$BC$7=$Q$2,Calcul!BL56,Calcul!BV56)))</f>
        <v/>
      </c>
      <c r="O71" s="18" t="str">
        <f ca="1">IF(NAMES!$B$10=FALSE,IF($B71="","",CIE_HT(O$28,$Q$2,OFFSET(Source!$A79,0,0,1,Config!$K$7))),IF($B71="","",IF(Calcul!$BC$7=$Q$2,Calcul!BM56,Calcul!BW56)))</f>
        <v/>
      </c>
      <c r="P71" s="18" t="str">
        <f ca="1">IF(NAMES!$B$10=FALSE,IF($B71="","",CIE_HT(P$28,$Q$2,OFFSET(Source!$A79,0,0,1,Config!$K$7))),IF($B71="","",IF(Calcul!$BC$7=$Q$2,Calcul!BN56,Calcul!BX56)))</f>
        <v/>
      </c>
      <c r="Q71" s="18" t="str">
        <f t="shared" si="3"/>
        <v/>
      </c>
      <c r="R71" s="18" t="str">
        <f ca="1">IF(NAMES!$B$10=FALSE,IF($B71="","",TOT_CIE_TC(I$28:P$28,$Q$2,OFFSET(Source!$A79,0,0,1,Config!$K$7))),IF($B71="","",Q71*TAXE))</f>
        <v/>
      </c>
      <c r="S71" s="1883" t="str">
        <f ca="1">IF(NAMES!$B$10=FALSE,IF($B71="","",_xludf.FORMULA($B71,$Q$2,OFFSET(Source!$A79,0,0,1,Config!$K$7))),IF($Q$2="AIG Luxembourg",Calcul!EE56,Calcul!IE56))</f>
        <v/>
      </c>
      <c r="T71" s="1883"/>
      <c r="U71" s="1883"/>
    </row>
    <row r="72" spans="1:21" hidden="1">
      <c r="A72" s="11" t="str">
        <f>IF(NAMES!$B$10=TRUE,IF(Cotations!C57=FALSE,"",Cotations!D57),IF(Source!A80="","",YEAR(Source!$B$2)&amp;"-"&amp;YEAR(Source!$C$2)&amp;"!"))</f>
        <v/>
      </c>
      <c r="B72" s="11" t="str">
        <f>IF(NAMES!$B$10=FALSE,IF(Source!A80="","",Source!A80),Cotations!F57)</f>
        <v/>
      </c>
      <c r="C72" s="11" t="str">
        <f>IF(NAMES!$B$10=FALSE,IF($B72="","",Source!B80),IF($B72="","",Crewlist!J57))</f>
        <v/>
      </c>
      <c r="D72" s="11" t="str">
        <f>IF(NAMES!$B$10=FALSE,IF($B72="","",Source!C80),IF($B72="","",Cotations!H57))</f>
        <v/>
      </c>
      <c r="E72" s="11" t="str">
        <f>IF(NAMES!$B$10=FALSE,IF($B72="","",Source!D80),IF($B72="","",Crewlist!G57))</f>
        <v/>
      </c>
      <c r="F72" s="16" t="str">
        <f>IF(NAMES!$B$10=FALSE,IF($B72="","",Source!E80),IF($B72="","",Crewlist!K57))</f>
        <v/>
      </c>
      <c r="G72" s="17" t="str">
        <f>IF(NAMES!$B$10=FALSE,IF($B72="","",Source!F80),Cotations!O57)</f>
        <v/>
      </c>
      <c r="H72" s="17" t="str">
        <f>IF(NAMES!$B$10=FALSE,IF($B72="","",Source!G80),Cotations!M57)</f>
        <v/>
      </c>
      <c r="I72" s="18" t="str">
        <f ca="1">IF(NAMES!$B$10=FALSE,IF($B72="","",CIE_HT(I$28,$Q$2,OFFSET(Source!$A80,0,0,1,Config!$K$7))),IF($B72="","",IF(Calcul!$BC$7=$Q$2,Calcul!BE57,Calcul!BQ57)))</f>
        <v/>
      </c>
      <c r="J72" s="18" t="str">
        <f ca="1">IF(NAMES!$B$10=FALSE,IF($B72="","",CIE_HT(J$28,$Q$2,OFFSET(Source!$A80,0,0,1,Config!$K$7))),IF($B72="","",IF(Calcul!$BC$7=$Q$2,Calcul!BF57+Calcul!BG57+Calcul!BH57,Calcul!BR57)))</f>
        <v/>
      </c>
      <c r="K72" s="18" t="str">
        <f ca="1">IF(NAMES!$B$10=FALSE,IF($B72="","",CIE_HT(K$28,$Q$2,OFFSET(Source!$A80,0,0,1,Config!$K$7))),IF($B72="","",IF(Calcul!$BC$7=$Q$2,Calcul!BI57,Calcul!BS57)))</f>
        <v/>
      </c>
      <c r="L72" s="18" t="str">
        <f ca="1">IF(NAMES!$B$10=FALSE,IF($B72="","",CIE_HT(L$28,$Q$2,OFFSET(Source!$A80,0,0,1,Config!$K$7))),IF($B72="","",IF(Calcul!$BC$7=$Q$2,Calcul!BJ57,Calcul!BT57)))</f>
        <v/>
      </c>
      <c r="M72" s="18" t="str">
        <f ca="1">IF(NAMES!$B$10=FALSE,IF($B72="","",CIE_HT(M$28,$Q$2,OFFSET(Source!$A80,0,0,1,Config!$K$7))),IF($B72="","",IF(Calcul!$BC$7=$Q$2,Calcul!BK57,Calcul!BU57)))</f>
        <v/>
      </c>
      <c r="N72" s="18" t="str">
        <f ca="1">IF(NAMES!$B$10=FALSE,IF($B72="","",CIE_HT(N$28,$Q$2,OFFSET(Source!$A80,0,0,1,Config!$K$7))),IF($B72="","",IF(Calcul!$BC$7=$Q$2,Calcul!BL57,Calcul!BV57)))</f>
        <v/>
      </c>
      <c r="O72" s="18" t="str">
        <f ca="1">IF(NAMES!$B$10=FALSE,IF($B72="","",CIE_HT(O$28,$Q$2,OFFSET(Source!$A80,0,0,1,Config!$K$7))),IF($B72="","",IF(Calcul!$BC$7=$Q$2,Calcul!BM57,Calcul!BW57)))</f>
        <v/>
      </c>
      <c r="P72" s="18" t="str">
        <f ca="1">IF(NAMES!$B$10=FALSE,IF($B72="","",CIE_HT(P$28,$Q$2,OFFSET(Source!$A80,0,0,1,Config!$K$7))),IF($B72="","",IF(Calcul!$BC$7=$Q$2,Calcul!BN57,Calcul!BX57)))</f>
        <v/>
      </c>
      <c r="Q72" s="18" t="str">
        <f t="shared" si="3"/>
        <v/>
      </c>
      <c r="R72" s="18" t="str">
        <f ca="1">IF(NAMES!$B$10=FALSE,IF($B72="","",TOT_CIE_TC(I$28:P$28,$Q$2,OFFSET(Source!$A80,0,0,1,Config!$K$7))),IF($B72="","",Q72*TAXE))</f>
        <v/>
      </c>
      <c r="S72" s="1883" t="str">
        <f ca="1">IF(NAMES!$B$10=FALSE,IF($B72="","",_xludf.FORMULA($B72,$Q$2,OFFSET(Source!$A80,0,0,1,Config!$K$7))),IF($Q$2="AIG Luxembourg",Calcul!EE57,Calcul!IE57))</f>
        <v/>
      </c>
      <c r="T72" s="1883"/>
      <c r="U72" s="1883"/>
    </row>
    <row r="73" spans="1:21" hidden="1">
      <c r="A73" s="11" t="str">
        <f>IF(NAMES!$B$10=TRUE,IF(Cotations!C58=FALSE,"",Cotations!D58),IF(Source!A81="","",YEAR(Source!$B$2)&amp;"-"&amp;YEAR(Source!$C$2)&amp;"!"))</f>
        <v/>
      </c>
      <c r="B73" s="11" t="str">
        <f>IF(NAMES!$B$10=FALSE,IF(Source!A81="","",Source!A81),Cotations!F58)</f>
        <v/>
      </c>
      <c r="C73" s="11" t="str">
        <f>IF(NAMES!$B$10=FALSE,IF($B73="","",Source!B81),IF($B73="","",Crewlist!J58))</f>
        <v/>
      </c>
      <c r="D73" s="11" t="str">
        <f>IF(NAMES!$B$10=FALSE,IF($B73="","",Source!C81),IF($B73="","",Cotations!H58))</f>
        <v/>
      </c>
      <c r="E73" s="11" t="str">
        <f>IF(NAMES!$B$10=FALSE,IF($B73="","",Source!D81),IF($B73="","",Crewlist!G58))</f>
        <v/>
      </c>
      <c r="F73" s="16" t="str">
        <f>IF(NAMES!$B$10=FALSE,IF($B73="","",Source!E81),IF($B73="","",Crewlist!K58))</f>
        <v/>
      </c>
      <c r="G73" s="17" t="str">
        <f>IF(NAMES!$B$10=FALSE,IF($B73="","",Source!F81),Cotations!O58)</f>
        <v/>
      </c>
      <c r="H73" s="17" t="str">
        <f>IF(NAMES!$B$10=FALSE,IF($B73="","",Source!G81),Cotations!M58)</f>
        <v/>
      </c>
      <c r="I73" s="18" t="str">
        <f ca="1">IF(NAMES!$B$10=FALSE,IF($B73="","",CIE_HT(I$28,$Q$2,OFFSET(Source!$A81,0,0,1,Config!$K$7))),IF($B73="","",IF(Calcul!$BC$7=$Q$2,Calcul!BE58,Calcul!BQ58)))</f>
        <v/>
      </c>
      <c r="J73" s="18" t="str">
        <f ca="1">IF(NAMES!$B$10=FALSE,IF($B73="","",CIE_HT(J$28,$Q$2,OFFSET(Source!$A81,0,0,1,Config!$K$7))),IF($B73="","",IF(Calcul!$BC$7=$Q$2,Calcul!BF58+Calcul!BG58+Calcul!BH58,Calcul!BR58)))</f>
        <v/>
      </c>
      <c r="K73" s="18" t="str">
        <f ca="1">IF(NAMES!$B$10=FALSE,IF($B73="","",CIE_HT(K$28,$Q$2,OFFSET(Source!$A81,0,0,1,Config!$K$7))),IF($B73="","",IF(Calcul!$BC$7=$Q$2,Calcul!BI58,Calcul!BS58)))</f>
        <v/>
      </c>
      <c r="L73" s="18" t="str">
        <f ca="1">IF(NAMES!$B$10=FALSE,IF($B73="","",CIE_HT(L$28,$Q$2,OFFSET(Source!$A81,0,0,1,Config!$K$7))),IF($B73="","",IF(Calcul!$BC$7=$Q$2,Calcul!BJ58,Calcul!BT58)))</f>
        <v/>
      </c>
      <c r="M73" s="18" t="str">
        <f ca="1">IF(NAMES!$B$10=FALSE,IF($B73="","",CIE_HT(M$28,$Q$2,OFFSET(Source!$A81,0,0,1,Config!$K$7))),IF($B73="","",IF(Calcul!$BC$7=$Q$2,Calcul!BK58,Calcul!BU58)))</f>
        <v/>
      </c>
      <c r="N73" s="18" t="str">
        <f ca="1">IF(NAMES!$B$10=FALSE,IF($B73="","",CIE_HT(N$28,$Q$2,OFFSET(Source!$A81,0,0,1,Config!$K$7))),IF($B73="","",IF(Calcul!$BC$7=$Q$2,Calcul!BL58,Calcul!BV58)))</f>
        <v/>
      </c>
      <c r="O73" s="18" t="str">
        <f ca="1">IF(NAMES!$B$10=FALSE,IF($B73="","",CIE_HT(O$28,$Q$2,OFFSET(Source!$A81,0,0,1,Config!$K$7))),IF($B73="","",IF(Calcul!$BC$7=$Q$2,Calcul!BM58,Calcul!BW58)))</f>
        <v/>
      </c>
      <c r="P73" s="18" t="str">
        <f ca="1">IF(NAMES!$B$10=FALSE,IF($B73="","",CIE_HT(P$28,$Q$2,OFFSET(Source!$A81,0,0,1,Config!$K$7))),IF($B73="","",IF(Calcul!$BC$7=$Q$2,Calcul!BN58,Calcul!BX58)))</f>
        <v/>
      </c>
      <c r="Q73" s="18" t="str">
        <f t="shared" si="3"/>
        <v/>
      </c>
      <c r="R73" s="18" t="str">
        <f ca="1">IF(NAMES!$B$10=FALSE,IF($B73="","",TOT_CIE_TC(I$28:P$28,$Q$2,OFFSET(Source!$A81,0,0,1,Config!$K$7))),IF($B73="","",Q73*TAXE))</f>
        <v/>
      </c>
      <c r="S73" s="1883" t="str">
        <f ca="1">IF(NAMES!$B$10=FALSE,IF($B73="","",_xludf.FORMULA($B73,$Q$2,OFFSET(Source!$A81,0,0,1,Config!$K$7))),IF($Q$2="AIG Luxembourg",Calcul!EE58,Calcul!IE58))</f>
        <v/>
      </c>
      <c r="T73" s="1883"/>
      <c r="U73" s="1883"/>
    </row>
    <row r="74" spans="1:21" hidden="1">
      <c r="A74" s="11" t="str">
        <f>IF(NAMES!$B$10=TRUE,IF(Cotations!C59=FALSE,"",Cotations!D59),IF(Source!A82="","",YEAR(Source!$B$2)&amp;"-"&amp;YEAR(Source!$C$2)&amp;"!"))</f>
        <v/>
      </c>
      <c r="B74" s="11" t="str">
        <f>IF(NAMES!$B$10=FALSE,IF(Source!A82="","",Source!A82),Cotations!F59)</f>
        <v/>
      </c>
      <c r="C74" s="11" t="str">
        <f>IF(NAMES!$B$10=FALSE,IF($B74="","",Source!B82),IF($B74="","",Crewlist!J59))</f>
        <v/>
      </c>
      <c r="D74" s="11" t="str">
        <f>IF(NAMES!$B$10=FALSE,IF($B74="","",Source!C82),IF($B74="","",Cotations!H59))</f>
        <v/>
      </c>
      <c r="E74" s="11" t="str">
        <f>IF(NAMES!$B$10=FALSE,IF($B74="","",Source!D82),IF($B74="","",Crewlist!G59))</f>
        <v/>
      </c>
      <c r="F74" s="16" t="str">
        <f>IF(NAMES!$B$10=FALSE,IF($B74="","",Source!E82),IF($B74="","",Crewlist!K59))</f>
        <v/>
      </c>
      <c r="G74" s="17" t="str">
        <f>IF(NAMES!$B$10=FALSE,IF($B74="","",Source!F82),Cotations!O59)</f>
        <v/>
      </c>
      <c r="H74" s="17" t="str">
        <f>IF(NAMES!$B$10=FALSE,IF($B74="","",Source!G82),Cotations!M59)</f>
        <v/>
      </c>
      <c r="I74" s="18" t="str">
        <f ca="1">IF(NAMES!$B$10=FALSE,IF($B74="","",CIE_HT(I$28,$Q$2,OFFSET(Source!$A82,0,0,1,Config!$K$7))),IF($B74="","",IF(Calcul!$BC$7=$Q$2,Calcul!BE59,Calcul!BQ59)))</f>
        <v/>
      </c>
      <c r="J74" s="18" t="str">
        <f ca="1">IF(NAMES!$B$10=FALSE,IF($B74="","",CIE_HT(J$28,$Q$2,OFFSET(Source!$A82,0,0,1,Config!$K$7))),IF($B74="","",IF(Calcul!$BC$7=$Q$2,Calcul!BF59+Calcul!BG59+Calcul!BH59,Calcul!BR59)))</f>
        <v/>
      </c>
      <c r="K74" s="18" t="str">
        <f ca="1">IF(NAMES!$B$10=FALSE,IF($B74="","",CIE_HT(K$28,$Q$2,OFFSET(Source!$A82,0,0,1,Config!$K$7))),IF($B74="","",IF(Calcul!$BC$7=$Q$2,Calcul!BI59,Calcul!BS59)))</f>
        <v/>
      </c>
      <c r="L74" s="18" t="str">
        <f ca="1">IF(NAMES!$B$10=FALSE,IF($B74="","",CIE_HT(L$28,$Q$2,OFFSET(Source!$A82,0,0,1,Config!$K$7))),IF($B74="","",IF(Calcul!$BC$7=$Q$2,Calcul!BJ59,Calcul!BT59)))</f>
        <v/>
      </c>
      <c r="M74" s="18" t="str">
        <f ca="1">IF(NAMES!$B$10=FALSE,IF($B74="","",CIE_HT(M$28,$Q$2,OFFSET(Source!$A82,0,0,1,Config!$K$7))),IF($B74="","",IF(Calcul!$BC$7=$Q$2,Calcul!BK59,Calcul!BU59)))</f>
        <v/>
      </c>
      <c r="N74" s="18" t="str">
        <f ca="1">IF(NAMES!$B$10=FALSE,IF($B74="","",CIE_HT(N$28,$Q$2,OFFSET(Source!$A82,0,0,1,Config!$K$7))),IF($B74="","",IF(Calcul!$BC$7=$Q$2,Calcul!BL59,Calcul!BV59)))</f>
        <v/>
      </c>
      <c r="O74" s="18" t="str">
        <f ca="1">IF(NAMES!$B$10=FALSE,IF($B74="","",CIE_HT(O$28,$Q$2,OFFSET(Source!$A82,0,0,1,Config!$K$7))),IF($B74="","",IF(Calcul!$BC$7=$Q$2,Calcul!BM59,Calcul!BW59)))</f>
        <v/>
      </c>
      <c r="P74" s="18" t="str">
        <f ca="1">IF(NAMES!$B$10=FALSE,IF($B74="","",CIE_HT(P$28,$Q$2,OFFSET(Source!$A82,0,0,1,Config!$K$7))),IF($B74="","",IF(Calcul!$BC$7=$Q$2,Calcul!BN59,Calcul!BX59)))</f>
        <v/>
      </c>
      <c r="Q74" s="18" t="str">
        <f t="shared" si="3"/>
        <v/>
      </c>
      <c r="R74" s="18" t="str">
        <f ca="1">IF(NAMES!$B$10=FALSE,IF($B74="","",TOT_CIE_TC(I$28:P$28,$Q$2,OFFSET(Source!$A82,0,0,1,Config!$K$7))),IF($B74="","",Q74*TAXE))</f>
        <v/>
      </c>
      <c r="S74" s="1883" t="str">
        <f ca="1">IF(NAMES!$B$10=FALSE,IF($B74="","",_xludf.FORMULA($B74,$Q$2,OFFSET(Source!$A82,0,0,1,Config!$K$7))),IF($Q$2="AIG Luxembourg",Calcul!EE59,Calcul!IE59))</f>
        <v/>
      </c>
      <c r="T74" s="1883"/>
      <c r="U74" s="1883"/>
    </row>
    <row r="75" spans="1:21" hidden="1">
      <c r="A75" s="11" t="str">
        <f>IF(NAMES!$B$10=TRUE,IF(Cotations!C60=FALSE,"",Cotations!D60),IF(Source!A83="","",YEAR(Source!$B$2)&amp;"-"&amp;YEAR(Source!$C$2)&amp;"!"))</f>
        <v/>
      </c>
      <c r="B75" s="11" t="str">
        <f>IF(NAMES!$B$10=FALSE,IF(Source!A83="","",Source!A83),Cotations!F60)</f>
        <v/>
      </c>
      <c r="C75" s="11" t="str">
        <f>IF(NAMES!$B$10=FALSE,IF($B75="","",Source!B83),IF($B75="","",Crewlist!J60))</f>
        <v/>
      </c>
      <c r="D75" s="11" t="str">
        <f>IF(NAMES!$B$10=FALSE,IF($B75="","",Source!C83),IF($B75="","",Cotations!H60))</f>
        <v/>
      </c>
      <c r="E75" s="11" t="str">
        <f>IF(NAMES!$B$10=FALSE,IF($B75="","",Source!D83),IF($B75="","",Crewlist!G60))</f>
        <v/>
      </c>
      <c r="F75" s="16" t="str">
        <f>IF(NAMES!$B$10=FALSE,IF($B75="","",Source!E83),IF($B75="","",Crewlist!K60))</f>
        <v/>
      </c>
      <c r="G75" s="17" t="str">
        <f>IF(NAMES!$B$10=FALSE,IF($B75="","",Source!F83),Cotations!O60)</f>
        <v/>
      </c>
      <c r="H75" s="17" t="str">
        <f>IF(NAMES!$B$10=FALSE,IF($B75="","",Source!G83),Cotations!M60)</f>
        <v/>
      </c>
      <c r="I75" s="18" t="str">
        <f ca="1">IF(NAMES!$B$10=FALSE,IF($B75="","",CIE_HT(I$28,$Q$2,OFFSET(Source!$A83,0,0,1,Config!$K$7))),IF($B75="","",IF(Calcul!$BC$7=$Q$2,Calcul!BE60,Calcul!BQ60)))</f>
        <v/>
      </c>
      <c r="J75" s="18" t="str">
        <f ca="1">IF(NAMES!$B$10=FALSE,IF($B75="","",CIE_HT(J$28,$Q$2,OFFSET(Source!$A83,0,0,1,Config!$K$7))),IF($B75="","",IF(Calcul!$BC$7=$Q$2,Calcul!BF60+Calcul!BG60+Calcul!BH60,Calcul!BR60)))</f>
        <v/>
      </c>
      <c r="K75" s="18" t="str">
        <f ca="1">IF(NAMES!$B$10=FALSE,IF($B75="","",CIE_HT(K$28,$Q$2,OFFSET(Source!$A83,0,0,1,Config!$K$7))),IF($B75="","",IF(Calcul!$BC$7=$Q$2,Calcul!BI60,Calcul!BS60)))</f>
        <v/>
      </c>
      <c r="L75" s="18" t="str">
        <f ca="1">IF(NAMES!$B$10=FALSE,IF($B75="","",CIE_HT(L$28,$Q$2,OFFSET(Source!$A83,0,0,1,Config!$K$7))),IF($B75="","",IF(Calcul!$BC$7=$Q$2,Calcul!BJ60,Calcul!BT60)))</f>
        <v/>
      </c>
      <c r="M75" s="18" t="str">
        <f ca="1">IF(NAMES!$B$10=FALSE,IF($B75="","",CIE_HT(M$28,$Q$2,OFFSET(Source!$A83,0,0,1,Config!$K$7))),IF($B75="","",IF(Calcul!$BC$7=$Q$2,Calcul!BK60,Calcul!BU60)))</f>
        <v/>
      </c>
      <c r="N75" s="18" t="str">
        <f ca="1">IF(NAMES!$B$10=FALSE,IF($B75="","",CIE_HT(N$28,$Q$2,OFFSET(Source!$A83,0,0,1,Config!$K$7))),IF($B75="","",IF(Calcul!$BC$7=$Q$2,Calcul!BL60,Calcul!BV60)))</f>
        <v/>
      </c>
      <c r="O75" s="18" t="str">
        <f ca="1">IF(NAMES!$B$10=FALSE,IF($B75="","",CIE_HT(O$28,$Q$2,OFFSET(Source!$A83,0,0,1,Config!$K$7))),IF($B75="","",IF(Calcul!$BC$7=$Q$2,Calcul!BM60,Calcul!BW60)))</f>
        <v/>
      </c>
      <c r="P75" s="18" t="str">
        <f ca="1">IF(NAMES!$B$10=FALSE,IF($B75="","",CIE_HT(P$28,$Q$2,OFFSET(Source!$A83,0,0,1,Config!$K$7))),IF($B75="","",IF(Calcul!$BC$7=$Q$2,Calcul!BN60,Calcul!BX60)))</f>
        <v/>
      </c>
      <c r="Q75" s="18" t="str">
        <f t="shared" si="3"/>
        <v/>
      </c>
      <c r="R75" s="18" t="str">
        <f ca="1">IF(NAMES!$B$10=FALSE,IF($B75="","",TOT_CIE_TC(I$28:P$28,$Q$2,OFFSET(Source!$A83,0,0,1,Config!$K$7))),IF($B75="","",Q75*TAXE))</f>
        <v/>
      </c>
      <c r="S75" s="1883" t="str">
        <f ca="1">IF(NAMES!$B$10=FALSE,IF($B75="","",_xludf.FORMULA($B75,$Q$2,OFFSET(Source!$A83,0,0,1,Config!$K$7))),IF($Q$2="AIG Luxembourg",Calcul!EE60,Calcul!IE60))</f>
        <v/>
      </c>
      <c r="T75" s="1883"/>
      <c r="U75" s="1883"/>
    </row>
    <row r="76" spans="1:21" hidden="1">
      <c r="A76" s="11" t="str">
        <f>IF(NAMES!$B$10=TRUE,IF(Cotations!C61=FALSE,"",Cotations!D61),IF(Source!A84="","",YEAR(Source!$B$2)&amp;"-"&amp;YEAR(Source!$C$2)&amp;"!"))</f>
        <v/>
      </c>
      <c r="B76" s="11" t="str">
        <f>IF(NAMES!$B$10=FALSE,IF(Source!A84="","",Source!A84),Cotations!F61)</f>
        <v/>
      </c>
      <c r="C76" s="11" t="str">
        <f>IF(NAMES!$B$10=FALSE,IF($B76="","",Source!B84),IF($B76="","",Crewlist!J61))</f>
        <v/>
      </c>
      <c r="D76" s="11" t="str">
        <f>IF(NAMES!$B$10=FALSE,IF($B76="","",Source!C84),IF($B76="","",Cotations!H61))</f>
        <v/>
      </c>
      <c r="E76" s="11" t="str">
        <f>IF(NAMES!$B$10=FALSE,IF($B76="","",Source!D84),IF($B76="","",Crewlist!G61))</f>
        <v/>
      </c>
      <c r="F76" s="16" t="str">
        <f>IF(NAMES!$B$10=FALSE,IF($B76="","",Source!E84),IF($B76="","",Crewlist!K61))</f>
        <v/>
      </c>
      <c r="G76" s="17" t="str">
        <f>IF(NAMES!$B$10=FALSE,IF($B76="","",Source!F84),Cotations!O61)</f>
        <v/>
      </c>
      <c r="H76" s="17" t="str">
        <f>IF(NAMES!$B$10=FALSE,IF($B76="","",Source!G84),Cotations!M61)</f>
        <v/>
      </c>
      <c r="I76" s="18" t="str">
        <f ca="1">IF(NAMES!$B$10=FALSE,IF($B76="","",CIE_HT(I$28,$Q$2,OFFSET(Source!$A84,0,0,1,Config!$K$7))),IF($B76="","",IF(Calcul!$BC$7=$Q$2,Calcul!BE61,Calcul!BQ61)))</f>
        <v/>
      </c>
      <c r="J76" s="18" t="str">
        <f ca="1">IF(NAMES!$B$10=FALSE,IF($B76="","",CIE_HT(J$28,$Q$2,OFFSET(Source!$A84,0,0,1,Config!$K$7))),IF($B76="","",IF(Calcul!$BC$7=$Q$2,Calcul!BF61+Calcul!BG61+Calcul!BH61,Calcul!BR61)))</f>
        <v/>
      </c>
      <c r="K76" s="18" t="str">
        <f ca="1">IF(NAMES!$B$10=FALSE,IF($B76="","",CIE_HT(K$28,$Q$2,OFFSET(Source!$A84,0,0,1,Config!$K$7))),IF($B76="","",IF(Calcul!$BC$7=$Q$2,Calcul!BI61,Calcul!BS61)))</f>
        <v/>
      </c>
      <c r="L76" s="18" t="str">
        <f ca="1">IF(NAMES!$B$10=FALSE,IF($B76="","",CIE_HT(L$28,$Q$2,OFFSET(Source!$A84,0,0,1,Config!$K$7))),IF($B76="","",IF(Calcul!$BC$7=$Q$2,Calcul!BJ61,Calcul!BT61)))</f>
        <v/>
      </c>
      <c r="M76" s="18" t="str">
        <f ca="1">IF(NAMES!$B$10=FALSE,IF($B76="","",CIE_HT(M$28,$Q$2,OFFSET(Source!$A84,0,0,1,Config!$K$7))),IF($B76="","",IF(Calcul!$BC$7=$Q$2,Calcul!BK61,Calcul!BU61)))</f>
        <v/>
      </c>
      <c r="N76" s="18" t="str">
        <f ca="1">IF(NAMES!$B$10=FALSE,IF($B76="","",CIE_HT(N$28,$Q$2,OFFSET(Source!$A84,0,0,1,Config!$K$7))),IF($B76="","",IF(Calcul!$BC$7=$Q$2,Calcul!BL61,Calcul!BV61)))</f>
        <v/>
      </c>
      <c r="O76" s="18" t="str">
        <f ca="1">IF(NAMES!$B$10=FALSE,IF($B76="","",CIE_HT(O$28,$Q$2,OFFSET(Source!$A84,0,0,1,Config!$K$7))),IF($B76="","",IF(Calcul!$BC$7=$Q$2,Calcul!BM61,Calcul!BW61)))</f>
        <v/>
      </c>
      <c r="P76" s="18" t="str">
        <f ca="1">IF(NAMES!$B$10=FALSE,IF($B76="","",CIE_HT(P$28,$Q$2,OFFSET(Source!$A84,0,0,1,Config!$K$7))),IF($B76="","",IF(Calcul!$BC$7=$Q$2,Calcul!BN61,Calcul!BX61)))</f>
        <v/>
      </c>
      <c r="Q76" s="18" t="str">
        <f t="shared" si="3"/>
        <v/>
      </c>
      <c r="R76" s="18" t="str">
        <f ca="1">IF(NAMES!$B$10=FALSE,IF($B76="","",TOT_CIE_TC(I$28:P$28,$Q$2,OFFSET(Source!$A84,0,0,1,Config!$K$7))),IF($B76="","",Q76*TAXE))</f>
        <v/>
      </c>
      <c r="S76" s="1883" t="str">
        <f ca="1">IF(NAMES!$B$10=FALSE,IF($B76="","",_xludf.FORMULA($B76,$Q$2,OFFSET(Source!$A84,0,0,1,Config!$K$7))),IF($Q$2="AIG Luxembourg",Calcul!EE61,Calcul!IE61))</f>
        <v/>
      </c>
      <c r="T76" s="1883"/>
      <c r="U76" s="1883"/>
    </row>
    <row r="77" spans="1:21" ht="12.75" hidden="1" customHeight="1">
      <c r="A77" s="11" t="str">
        <f>IF(NAMES!$B$10=TRUE,IF(Cotations!C62=FALSE,"",Cotations!D62),IF(Source!A85="","",YEAR(Source!$B$2)&amp;"-"&amp;YEAR(Source!$C$2)&amp;"!"))</f>
        <v/>
      </c>
      <c r="B77" s="11" t="str">
        <f>IF(NAMES!$B$10=FALSE,IF(Source!A85="","",Source!A85),Cotations!F62)</f>
        <v/>
      </c>
      <c r="C77" s="11" t="str">
        <f>IF(NAMES!$B$10=FALSE,IF($B77="","",Source!B85),IF($B77="","",Crewlist!J62))</f>
        <v/>
      </c>
      <c r="D77" s="11" t="str">
        <f>IF(NAMES!$B$10=FALSE,IF($B77="","",Source!C85),IF($B77="","",Cotations!H62))</f>
        <v/>
      </c>
      <c r="E77" s="11" t="str">
        <f>IF(NAMES!$B$10=FALSE,IF($B77="","",Source!D85),IF($B77="","",Crewlist!G62))</f>
        <v/>
      </c>
      <c r="F77" s="16" t="str">
        <f>IF(NAMES!$B$10=FALSE,IF($B77="","",Source!E85),IF($B77="","",Crewlist!K62))</f>
        <v/>
      </c>
      <c r="G77" s="17" t="str">
        <f>IF(NAMES!$B$10=FALSE,IF($B77="","",Source!F85),Cotations!O62)</f>
        <v/>
      </c>
      <c r="H77" s="17" t="str">
        <f>IF(NAMES!$B$10=FALSE,IF($B77="","",Source!G85),Cotations!M62)</f>
        <v/>
      </c>
      <c r="I77" s="18" t="str">
        <f ca="1">IF(NAMES!$B$10=FALSE,IF($B77="","",CIE_HT(I$28,$Q$2,OFFSET(Source!$A85,0,0,1,Config!$K$7))),IF($B77="","",IF(Calcul!$BC$7=$Q$2,Calcul!BE62,Calcul!BQ62)))</f>
        <v/>
      </c>
      <c r="J77" s="18" t="str">
        <f ca="1">IF(NAMES!$B$10=FALSE,IF($B77="","",CIE_HT(J$28,$Q$2,OFFSET(Source!$A85,0,0,1,Config!$K$7))),IF($B77="","",IF(Calcul!$BC$7=$Q$2,Calcul!BF62+Calcul!BG62+Calcul!BH62,Calcul!BR62)))</f>
        <v/>
      </c>
      <c r="K77" s="18" t="str">
        <f ca="1">IF(NAMES!$B$10=FALSE,IF($B77="","",CIE_HT(K$28,$Q$2,OFFSET(Source!$A85,0,0,1,Config!$K$7))),IF($B77="","",IF(Calcul!$BC$7=$Q$2,Calcul!BI62,Calcul!BS62)))</f>
        <v/>
      </c>
      <c r="L77" s="18" t="str">
        <f ca="1">IF(NAMES!$B$10=FALSE,IF($B77="","",CIE_HT(L$28,$Q$2,OFFSET(Source!$A85,0,0,1,Config!$K$7))),IF($B77="","",IF(Calcul!$BC$7=$Q$2,Calcul!BJ62,Calcul!BT62)))</f>
        <v/>
      </c>
      <c r="M77" s="18" t="str">
        <f ca="1">IF(NAMES!$B$10=FALSE,IF($B77="","",CIE_HT(M$28,$Q$2,OFFSET(Source!$A85,0,0,1,Config!$K$7))),IF($B77="","",IF(Calcul!$BC$7=$Q$2,Calcul!BK62,Calcul!BU62)))</f>
        <v/>
      </c>
      <c r="N77" s="18" t="str">
        <f ca="1">IF(NAMES!$B$10=FALSE,IF($B77="","",CIE_HT(N$28,$Q$2,OFFSET(Source!$A85,0,0,1,Config!$K$7))),IF($B77="","",IF(Calcul!$BC$7=$Q$2,Calcul!BL62,Calcul!BV62)))</f>
        <v/>
      </c>
      <c r="O77" s="18" t="str">
        <f ca="1">IF(NAMES!$B$10=FALSE,IF($B77="","",CIE_HT(O$28,$Q$2,OFFSET(Source!$A85,0,0,1,Config!$K$7))),IF($B77="","",IF(Calcul!$BC$7=$Q$2,Calcul!BM62,Calcul!BW62)))</f>
        <v/>
      </c>
      <c r="P77" s="18" t="str">
        <f ca="1">IF(NAMES!$B$10=FALSE,IF($B77="","",CIE_HT(P$28,$Q$2,OFFSET(Source!$A85,0,0,1,Config!$K$7))),IF($B77="","",IF(Calcul!$BC$7=$Q$2,Calcul!BN62,Calcul!BX62)))</f>
        <v/>
      </c>
      <c r="Q77" s="18" t="str">
        <f t="shared" si="3"/>
        <v/>
      </c>
      <c r="R77" s="18" t="str">
        <f ca="1">IF(NAMES!$B$10=FALSE,IF($B77="","",TOT_CIE_TC(I$28:P$28,$Q$2,OFFSET(Source!$A85,0,0,1,Config!$K$7))),IF($B77="","",Q77*TAXE))</f>
        <v/>
      </c>
      <c r="S77" s="1883" t="str">
        <f ca="1">IF(NAMES!$B$10=FALSE,IF($B77="","",_xludf.FORMULA($B77,$Q$2,OFFSET(Source!$A85,0,0,1,Config!$K$7))),IF($Q$2="AIG Luxembourg",Calcul!EE62,Calcul!IE62))</f>
        <v/>
      </c>
      <c r="T77" s="1883"/>
      <c r="U77" s="1883"/>
    </row>
    <row r="78" spans="1:21" hidden="1">
      <c r="A78" s="11" t="str">
        <f>IF(NAMES!$B$10=TRUE,IF(Cotations!C63=FALSE,"",Cotations!D63),IF(Source!A86="","",YEAR(Source!$B$2)&amp;"-"&amp;YEAR(Source!$C$2)&amp;"!"))</f>
        <v/>
      </c>
      <c r="B78" s="11" t="str">
        <f>IF(NAMES!$B$10=FALSE,IF(Source!A86="","",Source!A86),Cotations!F63)</f>
        <v/>
      </c>
      <c r="C78" s="11" t="str">
        <f>IF(NAMES!$B$10=FALSE,IF($B78="","",Source!B86),IF($B78="","",Crewlist!J63))</f>
        <v/>
      </c>
      <c r="D78" s="11" t="str">
        <f>IF(NAMES!$B$10=FALSE,IF($B78="","",Source!C86),IF($B78="","",Cotations!H63))</f>
        <v/>
      </c>
      <c r="E78" s="11" t="str">
        <f>IF(NAMES!$B$10=FALSE,IF($B78="","",Source!D86),IF($B78="","",Crewlist!G63))</f>
        <v/>
      </c>
      <c r="F78" s="16" t="str">
        <f>IF(NAMES!$B$10=FALSE,IF($B78="","",Source!E86),IF($B78="","",Crewlist!K63))</f>
        <v/>
      </c>
      <c r="G78" s="17" t="str">
        <f>IF(NAMES!$B$10=FALSE,IF($B78="","",Source!F86),Cotations!O63)</f>
        <v/>
      </c>
      <c r="H78" s="17" t="str">
        <f>IF(NAMES!$B$10=FALSE,IF($B78="","",Source!G86),Cotations!M63)</f>
        <v/>
      </c>
      <c r="I78" s="18" t="str">
        <f ca="1">IF(NAMES!$B$10=FALSE,IF($B78="","",CIE_HT(I$28,$Q$2,OFFSET(Source!$A86,0,0,1,Config!$K$7))),IF($B78="","",IF(Calcul!$BC$7=$Q$2,Calcul!BE63,Calcul!BQ63)))</f>
        <v/>
      </c>
      <c r="J78" s="18" t="str">
        <f ca="1">IF(NAMES!$B$10=FALSE,IF($B78="","",CIE_HT(J$28,$Q$2,OFFSET(Source!$A86,0,0,1,Config!$K$7))),IF($B78="","",IF(Calcul!$BC$7=$Q$2,Calcul!BF63+Calcul!BG63+Calcul!BH63,Calcul!BR63)))</f>
        <v/>
      </c>
      <c r="K78" s="18" t="str">
        <f ca="1">IF(NAMES!$B$10=FALSE,IF($B78="","",CIE_HT(K$28,$Q$2,OFFSET(Source!$A86,0,0,1,Config!$K$7))),IF($B78="","",IF(Calcul!$BC$7=$Q$2,Calcul!BI63,Calcul!BS63)))</f>
        <v/>
      </c>
      <c r="L78" s="18" t="str">
        <f ca="1">IF(NAMES!$B$10=FALSE,IF($B78="","",CIE_HT(L$28,$Q$2,OFFSET(Source!$A86,0,0,1,Config!$K$7))),IF($B78="","",IF(Calcul!$BC$7=$Q$2,Calcul!BJ63,Calcul!BT63)))</f>
        <v/>
      </c>
      <c r="M78" s="18" t="str">
        <f ca="1">IF(NAMES!$B$10=FALSE,IF($B78="","",CIE_HT(M$28,$Q$2,OFFSET(Source!$A86,0,0,1,Config!$K$7))),IF($B78="","",IF(Calcul!$BC$7=$Q$2,Calcul!BK63,Calcul!BU63)))</f>
        <v/>
      </c>
      <c r="N78" s="18" t="str">
        <f ca="1">IF(NAMES!$B$10=FALSE,IF($B78="","",CIE_HT(N$28,$Q$2,OFFSET(Source!$A86,0,0,1,Config!$K$7))),IF($B78="","",IF(Calcul!$BC$7=$Q$2,Calcul!BL63,Calcul!BV63)))</f>
        <v/>
      </c>
      <c r="O78" s="18" t="str">
        <f ca="1">IF(NAMES!$B$10=FALSE,IF($B78="","",CIE_HT(O$28,$Q$2,OFFSET(Source!$A86,0,0,1,Config!$K$7))),IF($B78="","",IF(Calcul!$BC$7=$Q$2,Calcul!BM63,Calcul!BW63)))</f>
        <v/>
      </c>
      <c r="P78" s="18" t="str">
        <f ca="1">IF(NAMES!$B$10=FALSE,IF($B78="","",CIE_HT(P$28,$Q$2,OFFSET(Source!$A86,0,0,1,Config!$K$7))),IF($B78="","",IF(Calcul!$BC$7=$Q$2,Calcul!BN63,Calcul!BX63)))</f>
        <v/>
      </c>
      <c r="Q78" s="18" t="str">
        <f t="shared" si="3"/>
        <v/>
      </c>
      <c r="R78" s="18" t="str">
        <f ca="1">IF(NAMES!$B$10=FALSE,IF($B78="","",TOT_CIE_TC(I$28:P$28,$Q$2,OFFSET(Source!$A86,0,0,1,Config!$K$7))),IF($B78="","",Q78*TAXE))</f>
        <v/>
      </c>
      <c r="S78" s="1883" t="str">
        <f ca="1">IF(NAMES!$B$10=FALSE,IF($B78="","",_xludf.FORMULA($B78,$Q$2,OFFSET(Source!$A86,0,0,1,Config!$K$7))),IF($Q$2="AIG Luxembourg",Calcul!EE63,Calcul!IE63))</f>
        <v/>
      </c>
      <c r="T78" s="1883"/>
      <c r="U78" s="1883"/>
    </row>
    <row r="79" spans="1:21" hidden="1">
      <c r="A79" s="11" t="str">
        <f>IF(NAMES!$B$10=TRUE,IF(Cotations!C64=FALSE,"",Cotations!D64),IF(Source!A87="","",YEAR(Source!$B$2)&amp;"-"&amp;YEAR(Source!$C$2)&amp;"!"))</f>
        <v/>
      </c>
      <c r="B79" s="11" t="str">
        <f>IF(NAMES!$B$10=FALSE,IF(Source!A87="","",Source!A87),Cotations!F64)</f>
        <v/>
      </c>
      <c r="C79" s="11" t="str">
        <f>IF(NAMES!$B$10=FALSE,IF($B79="","",Source!B87),IF($B79="","",Crewlist!J64))</f>
        <v/>
      </c>
      <c r="D79" s="11" t="str">
        <f>IF(NAMES!$B$10=FALSE,IF($B79="","",Source!C87),IF($B79="","",Cotations!H64))</f>
        <v/>
      </c>
      <c r="E79" s="11" t="str">
        <f>IF(NAMES!$B$10=FALSE,IF($B79="","",Source!D87),IF($B79="","",Crewlist!G64))</f>
        <v/>
      </c>
      <c r="F79" s="16" t="str">
        <f>IF(NAMES!$B$10=FALSE,IF($B79="","",Source!E87),IF($B79="","",Crewlist!K64))</f>
        <v/>
      </c>
      <c r="G79" s="17" t="str">
        <f>IF(NAMES!$B$10=FALSE,IF($B79="","",Source!F87),Cotations!O64)</f>
        <v/>
      </c>
      <c r="H79" s="17" t="str">
        <f>IF(NAMES!$B$10=FALSE,IF($B79="","",Source!G87),Cotations!M64)</f>
        <v/>
      </c>
      <c r="I79" s="18" t="str">
        <f ca="1">IF(NAMES!$B$10=FALSE,IF($B79="","",CIE_HT(I$28,$Q$2,OFFSET(Source!$A87,0,0,1,Config!$K$7))),IF($B79="","",IF(Calcul!$BC$7=$Q$2,Calcul!BE64,Calcul!BQ64)))</f>
        <v/>
      </c>
      <c r="J79" s="18" t="str">
        <f ca="1">IF(NAMES!$B$10=FALSE,IF($B79="","",CIE_HT(J$28,$Q$2,OFFSET(Source!$A87,0,0,1,Config!$K$7))),IF($B79="","",IF(Calcul!$BC$7=$Q$2,Calcul!BF64+Calcul!BG64+Calcul!BH64,Calcul!BR64)))</f>
        <v/>
      </c>
      <c r="K79" s="18" t="str">
        <f ca="1">IF(NAMES!$B$10=FALSE,IF($B79="","",CIE_HT(K$28,$Q$2,OFFSET(Source!$A87,0,0,1,Config!$K$7))),IF($B79="","",IF(Calcul!$BC$7=$Q$2,Calcul!BI64,Calcul!BS64)))</f>
        <v/>
      </c>
      <c r="L79" s="18" t="str">
        <f ca="1">IF(NAMES!$B$10=FALSE,IF($B79="","",CIE_HT(L$28,$Q$2,OFFSET(Source!$A87,0,0,1,Config!$K$7))),IF($B79="","",IF(Calcul!$BC$7=$Q$2,Calcul!BJ64,Calcul!BT64)))</f>
        <v/>
      </c>
      <c r="M79" s="18" t="str">
        <f ca="1">IF(NAMES!$B$10=FALSE,IF($B79="","",CIE_HT(M$28,$Q$2,OFFSET(Source!$A87,0,0,1,Config!$K$7))),IF($B79="","",IF(Calcul!$BC$7=$Q$2,Calcul!BK64,Calcul!BU64)))</f>
        <v/>
      </c>
      <c r="N79" s="18" t="str">
        <f ca="1">IF(NAMES!$B$10=FALSE,IF($B79="","",CIE_HT(N$28,$Q$2,OFFSET(Source!$A87,0,0,1,Config!$K$7))),IF($B79="","",IF(Calcul!$BC$7=$Q$2,Calcul!BL64,Calcul!BV64)))</f>
        <v/>
      </c>
      <c r="O79" s="18" t="str">
        <f ca="1">IF(NAMES!$B$10=FALSE,IF($B79="","",CIE_HT(O$28,$Q$2,OFFSET(Source!$A87,0,0,1,Config!$K$7))),IF($B79="","",IF(Calcul!$BC$7=$Q$2,Calcul!BM64,Calcul!BW64)))</f>
        <v/>
      </c>
      <c r="P79" s="18" t="str">
        <f ca="1">IF(NAMES!$B$10=FALSE,IF($B79="","",CIE_HT(P$28,$Q$2,OFFSET(Source!$A87,0,0,1,Config!$K$7))),IF($B79="","",IF(Calcul!$BC$7=$Q$2,Calcul!BN64,Calcul!BX64)))</f>
        <v/>
      </c>
      <c r="Q79" s="18" t="str">
        <f t="shared" si="3"/>
        <v/>
      </c>
      <c r="R79" s="18" t="str">
        <f ca="1">IF(NAMES!$B$10=FALSE,IF($B79="","",TOT_CIE_TC(I$28:P$28,$Q$2,OFFSET(Source!$A87,0,0,1,Config!$K$7))),IF($B79="","",Q79*1.04))</f>
        <v/>
      </c>
      <c r="S79" s="1883" t="str">
        <f ca="1">IF(NAMES!$B$10=FALSE,IF($B79="","",_xludf.FORMULA($B79,$Q$2,OFFSET(Source!$A87,0,0,1,Config!$K$7))),IF($Q$2="AIG Luxembourg",Calcul!EE64,Calcul!IE64))</f>
        <v/>
      </c>
      <c r="T79" s="1883"/>
      <c r="U79" s="1883"/>
    </row>
    <row r="80" spans="1:21" hidden="1">
      <c r="A80" s="11" t="str">
        <f>IF(NAMES!$B$10=TRUE,IF(Cotations!C65=FALSE,"",Cotations!D65),IF(Source!A88="","",YEAR(Source!$B$2)&amp;"-"&amp;YEAR(Source!$C$2)&amp;"!"))</f>
        <v/>
      </c>
      <c r="B80" s="11" t="str">
        <f>IF(NAMES!$B$10=FALSE,IF(Source!A88="","",Source!A88),Cotations!F65)</f>
        <v/>
      </c>
      <c r="C80" s="11" t="str">
        <f>IF(NAMES!$B$10=FALSE,IF($B80="","",Source!B88),IF($B80="","",Crewlist!J65))</f>
        <v/>
      </c>
      <c r="D80" s="11" t="str">
        <f>IF(NAMES!$B$10=FALSE,IF($B80="","",Source!C88),IF($B80="","",Cotations!H65))</f>
        <v/>
      </c>
      <c r="E80" s="11" t="str">
        <f>IF(NAMES!$B$10=FALSE,IF($B80="","",Source!D88),IF($B80="","",Crewlist!G65))</f>
        <v/>
      </c>
      <c r="F80" s="16" t="str">
        <f>IF(NAMES!$B$10=FALSE,IF($B80="","",Source!E88),IF($B80="","",Crewlist!K65))</f>
        <v/>
      </c>
      <c r="G80" s="17" t="str">
        <f>IF(NAMES!$B$10=FALSE,IF($B80="","",Source!F88),Cotations!O65)</f>
        <v/>
      </c>
      <c r="H80" s="17" t="str">
        <f>IF(NAMES!$B$10=FALSE,IF($B80="","",Source!G88),Cotations!M65)</f>
        <v/>
      </c>
      <c r="I80" s="18" t="str">
        <f ca="1">IF(NAMES!$B$10=FALSE,IF($B80="","",CIE_HT(I$28,$Q$2,OFFSET(Source!$A88,0,0,1,Config!$K$7))),IF($B80="","",IF(Calcul!$BC$7=$Q$2,Calcul!BE65,Calcul!BQ65)))</f>
        <v/>
      </c>
      <c r="J80" s="18" t="str">
        <f ca="1">IF(NAMES!$B$10=FALSE,IF($B80="","",CIE_HT(J$28,$Q$2,OFFSET(Source!$A88,0,0,1,Config!$K$7))),IF($B80="","",IF(Calcul!$BC$7=$Q$2,Calcul!BF65+Calcul!BG65+Calcul!BH65,Calcul!BR65)))</f>
        <v/>
      </c>
      <c r="K80" s="18" t="str">
        <f ca="1">IF(NAMES!$B$10=FALSE,IF($B80="","",CIE_HT(K$28,$Q$2,OFFSET(Source!$A88,0,0,1,Config!$K$7))),IF($B80="","",IF(Calcul!$BC$7=$Q$2,Calcul!BI65,Calcul!BS65)))</f>
        <v/>
      </c>
      <c r="L80" s="18" t="str">
        <f ca="1">IF(NAMES!$B$10=FALSE,IF($B80="","",CIE_HT(L$28,$Q$2,OFFSET(Source!$A88,0,0,1,Config!$K$7))),IF($B80="","",IF(Calcul!$BC$7=$Q$2,Calcul!BJ65,Calcul!BT65)))</f>
        <v/>
      </c>
      <c r="M80" s="18" t="str">
        <f ca="1">IF(NAMES!$B$10=FALSE,IF($B80="","",CIE_HT(M$28,$Q$2,OFFSET(Source!$A88,0,0,1,Config!$K$7))),IF($B80="","",IF(Calcul!$BC$7=$Q$2,Calcul!BK65,Calcul!BU65)))</f>
        <v/>
      </c>
      <c r="N80" s="18" t="str">
        <f ca="1">IF(NAMES!$B$10=FALSE,IF($B80="","",CIE_HT(N$28,$Q$2,OFFSET(Source!$A88,0,0,1,Config!$K$7))),IF($B80="","",IF(Calcul!$BC$7=$Q$2,Calcul!BL65,Calcul!BV65)))</f>
        <v/>
      </c>
      <c r="O80" s="18" t="str">
        <f ca="1">IF(NAMES!$B$10=FALSE,IF($B80="","",CIE_HT(O$28,$Q$2,OFFSET(Source!$A88,0,0,1,Config!$K$7))),IF($B80="","",IF(Calcul!$BC$7=$Q$2,Calcul!BM65,Calcul!BW65)))</f>
        <v/>
      </c>
      <c r="P80" s="18" t="str">
        <f ca="1">IF(NAMES!$B$10=FALSE,IF($B80="","",CIE_HT(P$28,$Q$2,OFFSET(Source!$A88,0,0,1,Config!$K$7))),IF($B80="","",IF(Calcul!$BC$7=$Q$2,Calcul!BN65,Calcul!BX65)))</f>
        <v/>
      </c>
      <c r="Q80" s="18" t="str">
        <f t="shared" si="3"/>
        <v/>
      </c>
      <c r="R80" s="18" t="str">
        <f ca="1">IF(NAMES!$B$10=FALSE,IF($B80="","",TOT_CIE_TC(I$28:P$28,$Q$2,OFFSET(Source!$A88,0,0,1,Config!$K$7))),IF($B80="","",Q80*1.04))</f>
        <v/>
      </c>
      <c r="S80" s="1883" t="str">
        <f ca="1">IF(NAMES!$B$10=FALSE,IF($B80="","",_xludf.FORMULA($B80,$Q$2,OFFSET(Source!$A88,0,0,1,Config!$K$7))),IF($Q$2="AIG Luxembourg",Calcul!EE65,Calcul!IE65))</f>
        <v/>
      </c>
      <c r="T80" s="1883"/>
      <c r="U80" s="1883"/>
    </row>
    <row r="81" spans="1:21" hidden="1">
      <c r="A81" s="11" t="str">
        <f>IF(NAMES!$B$10=TRUE,IF(Cotations!C66=FALSE,"",Cotations!D66),IF(Source!A89="","",YEAR(Source!$B$2)&amp;"-"&amp;YEAR(Source!$C$2)&amp;"!"))</f>
        <v/>
      </c>
      <c r="B81" s="11" t="str">
        <f>IF(NAMES!$B$10=FALSE,IF(Source!A89="","",Source!A89),Cotations!F66)</f>
        <v/>
      </c>
      <c r="C81" s="11" t="str">
        <f>IF(NAMES!$B$10=FALSE,IF($B81="","",Source!B89),IF($B81="","",Crewlist!J66))</f>
        <v/>
      </c>
      <c r="D81" s="11" t="str">
        <f>IF(NAMES!$B$10=FALSE,IF($B81="","",Source!C89),IF($B81="","",Cotations!H66))</f>
        <v/>
      </c>
      <c r="E81" s="11" t="str">
        <f>IF(NAMES!$B$10=FALSE,IF($B81="","",Source!D89),IF($B81="","",Crewlist!G66))</f>
        <v/>
      </c>
      <c r="F81" s="16" t="str">
        <f>IF(NAMES!$B$10=FALSE,IF($B81="","",Source!E89),IF($B81="","",Crewlist!K66))</f>
        <v/>
      </c>
      <c r="G81" s="17" t="str">
        <f>IF(NAMES!$B$10=FALSE,IF($B81="","",Source!F89),Cotations!O66)</f>
        <v/>
      </c>
      <c r="H81" s="17" t="str">
        <f>IF(NAMES!$B$10=FALSE,IF($B81="","",Source!G89),Cotations!M66)</f>
        <v/>
      </c>
      <c r="I81" s="18" t="str">
        <f ca="1">IF(NAMES!$B$10=FALSE,IF($B81="","",CIE_HT(I$28,$Q$2,OFFSET(Source!$A89,0,0,1,Config!$K$7))),IF($B81="","",IF(Calcul!$BC$7=$Q$2,Calcul!BE66,Calcul!BQ66)))</f>
        <v/>
      </c>
      <c r="J81" s="18" t="str">
        <f ca="1">IF(NAMES!$B$10=FALSE,IF($B81="","",CIE_HT(J$28,$Q$2,OFFSET(Source!$A89,0,0,1,Config!$K$7))),IF($B81="","",IF(Calcul!$BC$7=$Q$2,Calcul!BF66+Calcul!BG66+Calcul!BH66,Calcul!BR66)))</f>
        <v/>
      </c>
      <c r="K81" s="18" t="str">
        <f ca="1">IF(NAMES!$B$10=FALSE,IF($B81="","",CIE_HT(K$28,$Q$2,OFFSET(Source!$A89,0,0,1,Config!$K$7))),IF($B81="","",IF(Calcul!$BC$7=$Q$2,Calcul!BI66,Calcul!BS66)))</f>
        <v/>
      </c>
      <c r="L81" s="18" t="str">
        <f ca="1">IF(NAMES!$B$10=FALSE,IF($B81="","",CIE_HT(L$28,$Q$2,OFFSET(Source!$A89,0,0,1,Config!$K$7))),IF($B81="","",IF(Calcul!$BC$7=$Q$2,Calcul!BJ66,Calcul!BT66)))</f>
        <v/>
      </c>
      <c r="M81" s="18" t="str">
        <f ca="1">IF(NAMES!$B$10=FALSE,IF($B81="","",CIE_HT(M$28,$Q$2,OFFSET(Source!$A89,0,0,1,Config!$K$7))),IF($B81="","",IF(Calcul!$BC$7=$Q$2,Calcul!BK66,Calcul!BU66)))</f>
        <v/>
      </c>
      <c r="N81" s="18" t="str">
        <f ca="1">IF(NAMES!$B$10=FALSE,IF($B81="","",CIE_HT(N$28,$Q$2,OFFSET(Source!$A89,0,0,1,Config!$K$7))),IF($B81="","",IF(Calcul!$BC$7=$Q$2,Calcul!BL66,Calcul!BV66)))</f>
        <v/>
      </c>
      <c r="O81" s="18" t="str">
        <f ca="1">IF(NAMES!$B$10=FALSE,IF($B81="","",CIE_HT(O$28,$Q$2,OFFSET(Source!$A89,0,0,1,Config!$K$7))),IF($B81="","",IF(Calcul!$BC$7=$Q$2,Calcul!BM66,Calcul!BW66)))</f>
        <v/>
      </c>
      <c r="P81" s="18" t="str">
        <f ca="1">IF(NAMES!$B$10=FALSE,IF($B81="","",CIE_HT(P$28,$Q$2,OFFSET(Source!$A89,0,0,1,Config!$K$7))),IF($B81="","",IF(Calcul!$BC$7=$Q$2,Calcul!BN66,Calcul!BX66)))</f>
        <v/>
      </c>
      <c r="Q81" s="18" t="str">
        <f t="shared" si="3"/>
        <v/>
      </c>
      <c r="R81" s="18" t="str">
        <f ca="1">IF(NAMES!$B$10=FALSE,IF($B81="","",TOT_CIE_TC(I$28:P$28,$Q$2,OFFSET(Source!$A89,0,0,1,Config!$K$7))),IF($B81="","",Q81*1.04))</f>
        <v/>
      </c>
      <c r="S81" s="1883" t="str">
        <f ca="1">IF(NAMES!$B$10=FALSE,IF($B81="","",_xludf.FORMULA($B81,$Q$2,OFFSET(Source!$A89,0,0,1,Config!$K$7))),IF($Q$2="AIG Luxembourg",Calcul!EE66,Calcul!IE66))</f>
        <v/>
      </c>
      <c r="T81" s="1883"/>
      <c r="U81" s="1883"/>
    </row>
    <row r="82" spans="1:21" hidden="1">
      <c r="A82" s="11" t="str">
        <f>IF(NAMES!$B$10=TRUE,IF(Cotations!C67=FALSE,"",Cotations!D67),IF(Source!A90="","",YEAR(Source!$B$2)&amp;"-"&amp;YEAR(Source!$C$2)&amp;"!"))</f>
        <v/>
      </c>
      <c r="B82" s="11" t="str">
        <f>IF(NAMES!$B$10=FALSE,IF(Source!A90="","",Source!A90),Cotations!F67)</f>
        <v/>
      </c>
      <c r="C82" s="11" t="str">
        <f>IF(NAMES!$B$10=FALSE,IF($B82="","",Source!B90),IF($B82="","",Crewlist!J67))</f>
        <v/>
      </c>
      <c r="D82" s="11" t="str">
        <f>IF(NAMES!$B$10=FALSE,IF($B82="","",Source!C90),IF($B82="","",Cotations!H67))</f>
        <v/>
      </c>
      <c r="E82" s="11" t="str">
        <f>IF(NAMES!$B$10=FALSE,IF($B82="","",Source!D90),IF($B82="","",Crewlist!G67))</f>
        <v/>
      </c>
      <c r="F82" s="16" t="str">
        <f>IF(NAMES!$B$10=FALSE,IF($B82="","",Source!E90),IF($B82="","",Crewlist!K67))</f>
        <v/>
      </c>
      <c r="G82" s="17" t="str">
        <f>IF(NAMES!$B$10=FALSE,IF($B82="","",Source!F90),Cotations!O67)</f>
        <v/>
      </c>
      <c r="H82" s="17" t="str">
        <f>IF(NAMES!$B$10=FALSE,IF($B82="","",Source!G90),Cotations!M67)</f>
        <v/>
      </c>
      <c r="I82" s="18" t="str">
        <f ca="1">IF(NAMES!$B$10=FALSE,IF($B82="","",CIE_HT(I$28,$Q$2,OFFSET(Source!$A90,0,0,1,Config!$K$7))),IF($B82="","",IF(Calcul!$BC$7=$Q$2,Calcul!BE67,Calcul!BQ67)))</f>
        <v/>
      </c>
      <c r="J82" s="18" t="str">
        <f ca="1">IF(NAMES!$B$10=FALSE,IF($B82="","",CIE_HT(J$28,$Q$2,OFFSET(Source!$A90,0,0,1,Config!$K$7))),IF($B82="","",IF(Calcul!$BC$7=$Q$2,Calcul!BF67+Calcul!BG67+Calcul!BH67,Calcul!BR67)))</f>
        <v/>
      </c>
      <c r="K82" s="18" t="str">
        <f ca="1">IF(NAMES!$B$10=FALSE,IF($B82="","",CIE_HT(K$28,$Q$2,OFFSET(Source!$A90,0,0,1,Config!$K$7))),IF($B82="","",IF(Calcul!$BC$7=$Q$2,Calcul!BI67,Calcul!BS67)))</f>
        <v/>
      </c>
      <c r="L82" s="18" t="str">
        <f ca="1">IF(NAMES!$B$10=FALSE,IF($B82="","",CIE_HT(L$28,$Q$2,OFFSET(Source!$A90,0,0,1,Config!$K$7))),IF($B82="","",IF(Calcul!$BC$7=$Q$2,Calcul!BJ67,Calcul!BT67)))</f>
        <v/>
      </c>
      <c r="M82" s="18" t="str">
        <f ca="1">IF(NAMES!$B$10=FALSE,IF($B82="","",CIE_HT(M$28,$Q$2,OFFSET(Source!$A90,0,0,1,Config!$K$7))),IF($B82="","",IF(Calcul!$BC$7=$Q$2,Calcul!BK67,Calcul!BU67)))</f>
        <v/>
      </c>
      <c r="N82" s="18" t="str">
        <f ca="1">IF(NAMES!$B$10=FALSE,IF($B82="","",CIE_HT(N$28,$Q$2,OFFSET(Source!$A90,0,0,1,Config!$K$7))),IF($B82="","",IF(Calcul!$BC$7=$Q$2,Calcul!BL67,Calcul!BV67)))</f>
        <v/>
      </c>
      <c r="O82" s="18" t="str">
        <f ca="1">IF(NAMES!$B$10=FALSE,IF($B82="","",CIE_HT(O$28,$Q$2,OFFSET(Source!$A90,0,0,1,Config!$K$7))),IF($B82="","",IF(Calcul!$BC$7=$Q$2,Calcul!BM67,Calcul!BW67)))</f>
        <v/>
      </c>
      <c r="P82" s="18" t="str">
        <f ca="1">IF(NAMES!$B$10=FALSE,IF($B82="","",CIE_HT(P$28,$Q$2,OFFSET(Source!$A90,0,0,1,Config!$K$7))),IF($B82="","",IF(Calcul!$BC$7=$Q$2,Calcul!BN67,Calcul!BX67)))</f>
        <v/>
      </c>
      <c r="Q82" s="18" t="str">
        <f t="shared" si="3"/>
        <v/>
      </c>
      <c r="R82" s="18" t="str">
        <f ca="1">IF(NAMES!$B$10=FALSE,IF($B82="","",TOT_CIE_TC(I$28:P$28,$Q$2,OFFSET(Source!$A90,0,0,1,Config!$K$7))),IF($B82="","",Q82*1.04))</f>
        <v/>
      </c>
      <c r="S82" s="1883" t="str">
        <f ca="1">IF(NAMES!$B$10=FALSE,IF($B82="","",_xludf.FORMULA($B82,$Q$2,OFFSET(Source!$A90,0,0,1,Config!$K$7))),IF($Q$2="AIG Luxembourg",Calcul!EE67,Calcul!IE67))</f>
        <v/>
      </c>
      <c r="T82" s="1883"/>
      <c r="U82" s="1883"/>
    </row>
    <row r="83" spans="1:21" hidden="1">
      <c r="A83" s="11" t="str">
        <f>IF(Cotations!C68=FALSE,"",Cotations!D68)</f>
        <v/>
      </c>
      <c r="B83" s="11" t="str">
        <f>IF(NAMES!$B$10=FALSE,IF(Source!A91="","",Source!A91),Cotations!F68)</f>
        <v/>
      </c>
      <c r="C83" s="11" t="str">
        <f>IF(NAMES!$B$10=FALSE,IF($B83="","",Source!B91),IF($B83="","",Crewlist!J68))</f>
        <v/>
      </c>
      <c r="D83" s="11" t="str">
        <f>IF(NAMES!$B$10=FALSE,IF($B83="","",Source!C91),IF($B83="","",Cotations!H68))</f>
        <v/>
      </c>
      <c r="E83" s="11" t="str">
        <f>IF(NAMES!$B$10=FALSE,IF($B83="","",Source!D91),IF($B83="","",Crewlist!G68))</f>
        <v/>
      </c>
      <c r="F83" s="16" t="str">
        <f>IF(NAMES!$B$10=FALSE,IF($B83="","",Source!E91),IF($B83="","",Crewlist!K68))</f>
        <v/>
      </c>
      <c r="G83" s="17" t="str">
        <f>IF(NAMES!$B$10=FALSE,IF($B83="","",Source!F91),Cotations!O68)</f>
        <v/>
      </c>
      <c r="H83" s="17" t="str">
        <f>IF(NAMES!$B$10=FALSE,IF($B83="","",Source!G91),Cotations!M68)</f>
        <v/>
      </c>
      <c r="I83" s="18" t="str">
        <f ca="1">IF(NAMES!$B$10=FALSE,IF($B83="","",CIE_HT(I$28,$Q$2,OFFSET(Source!$A91,0,0,1,Config!$K$7))),IF($B83="","",IF(Calcul!$BC$7=$Q$2,Calcul!BE68,Calcul!BQ68)))</f>
        <v/>
      </c>
      <c r="J83" s="18" t="str">
        <f ca="1">IF(NAMES!$B$10=FALSE,IF($B83="","",CIE_HT(J$28,$Q$2,OFFSET(Source!$A91,0,0,1,Config!$K$7))),IF($B83="","",IF(Calcul!$BC$7=$Q$2,Calcul!BF68+Calcul!BG68+Calcul!BH68,Calcul!BR68)))</f>
        <v/>
      </c>
      <c r="K83" s="18" t="str">
        <f ca="1">IF(NAMES!$B$10=FALSE,IF($B83="","",CIE_HT(K$28,$Q$2,OFFSET(Source!$A91,0,0,1,Config!$K$7))),IF($B83="","",IF(Calcul!$BC$7=$Q$2,Calcul!BI68,Calcul!BS68)))</f>
        <v/>
      </c>
      <c r="L83" s="18" t="str">
        <f ca="1">IF(NAMES!$B$10=FALSE,IF($B83="","",CIE_HT(L$28,$Q$2,OFFSET(Source!$A91,0,0,1,Config!$K$7))),IF($B83="","",IF(Calcul!$BC$7=$Q$2,Calcul!BJ68,Calcul!BT68)))</f>
        <v/>
      </c>
      <c r="M83" s="18" t="str">
        <f ca="1">IF(NAMES!$B$10=FALSE,IF($B83="","",CIE_HT(M$28,$Q$2,OFFSET(Source!$A91,0,0,1,Config!$K$7))),IF($B83="","",IF(Calcul!$BC$7=$Q$2,Calcul!BK68,Calcul!BU68)))</f>
        <v/>
      </c>
      <c r="N83" s="18" t="str">
        <f ca="1">IF(NAMES!$B$10=FALSE,IF($B83="","",CIE_HT(N$28,$Q$2,OFFSET(Source!$A91,0,0,1,Config!$K$7))),IF($B83="","",IF(Calcul!$BC$7=$Q$2,Calcul!BL68,Calcul!BV68)))</f>
        <v/>
      </c>
      <c r="O83" s="18" t="str">
        <f ca="1">IF(NAMES!$B$10=FALSE,IF($B83="","",CIE_HT(O$28,$Q$2,OFFSET(Source!$A91,0,0,1,Config!$K$7))),IF($B83="","",IF(Calcul!$BC$7=$Q$2,Calcul!BM68,Calcul!BW68)))</f>
        <v/>
      </c>
      <c r="P83" s="18" t="str">
        <f ca="1">IF(NAMES!$B$10=FALSE,IF($B83="","",CIE_HT(P$28,$Q$2,OFFSET(Source!$A91,0,0,1,Config!$K$7))),IF($B83="","",IF(Calcul!$BC$7=$Q$2,Calcul!BN68,Calcul!BX68)))</f>
        <v/>
      </c>
      <c r="Q83" s="18" t="str">
        <f t="shared" si="3"/>
        <v/>
      </c>
      <c r="R83" s="18" t="str">
        <f ca="1">IF(NAMES!$B$10=FALSE,IF($B83="","",TOT_CIE_TC(I$28:P$28,$Q$2,OFFSET(Source!$A91,0,0,1,Config!$K$7))),IF($B83="","",Q83*1.04))</f>
        <v/>
      </c>
      <c r="S83" s="1883" t="str">
        <f ca="1">IF(NAMES!$B$10=FALSE,IF($B83="","",_xludf.FORMULA($B83,$Q$2,OFFSET(Source!$A91,0,0,1,Config!$K$7))),IF($Q$2="AIG Luxembourg",Calcul!EE68,Calcul!IE68))</f>
        <v/>
      </c>
      <c r="T83" s="1883"/>
      <c r="U83" s="1883"/>
    </row>
    <row r="84" spans="1:21" hidden="1">
      <c r="A84" s="11" t="str">
        <f>IF(Cotations!C69=FALSE,"",Cotations!D69)</f>
        <v/>
      </c>
      <c r="B84" s="11" t="str">
        <f>IF(NAMES!$B$10=FALSE,IF(Source!A92="","",Source!A92),Cotations!F69)</f>
        <v/>
      </c>
      <c r="C84" s="11" t="str">
        <f>IF(NAMES!$B$10=FALSE,IF($B84="","",Source!B92),IF($B84="","",Crewlist!J69))</f>
        <v/>
      </c>
      <c r="D84" s="11" t="str">
        <f>IF(NAMES!$B$10=FALSE,IF($B84="","",Source!C92),IF($B84="","",Cotations!H69))</f>
        <v/>
      </c>
      <c r="E84" s="11" t="str">
        <f>IF(NAMES!$B$10=FALSE,IF($B84="","",Source!D92),IF($B84="","",Crewlist!G69))</f>
        <v/>
      </c>
      <c r="F84" s="16" t="str">
        <f>IF(NAMES!$B$10=FALSE,IF($B84="","",Source!E92),IF($B84="","",Crewlist!K69))</f>
        <v/>
      </c>
      <c r="G84" s="17" t="str">
        <f>IF(NAMES!$B$10=FALSE,IF($B84="","",Source!F92),Cotations!O69)</f>
        <v/>
      </c>
      <c r="H84" s="17" t="str">
        <f>IF(NAMES!$B$10=FALSE,IF($B84="","",Source!G92),Cotations!M69)</f>
        <v/>
      </c>
      <c r="I84" s="18" t="str">
        <f ca="1">IF(NAMES!$B$10=FALSE,IF($B84="","",CIE_HT(I$28,$Q$2,OFFSET(Source!$A92,0,0,1,Config!$K$7))),IF($B84="","",IF(Calcul!$BC$7=$Q$2,Calcul!BE69,Calcul!BQ69)))</f>
        <v/>
      </c>
      <c r="J84" s="18" t="str">
        <f ca="1">IF(NAMES!$B$10=FALSE,IF($B84="","",CIE_HT(J$28,$Q$2,OFFSET(Source!$A92,0,0,1,Config!$K$7))),IF($B84="","",IF(Calcul!$BC$7=$Q$2,Calcul!BF69+Calcul!BG69+Calcul!BH69,Calcul!BR69)))</f>
        <v/>
      </c>
      <c r="K84" s="18" t="str">
        <f ca="1">IF(NAMES!$B$10=FALSE,IF($B84="","",CIE_HT(K$28,$Q$2,OFFSET(Source!$A92,0,0,1,Config!$K$7))),IF($B84="","",IF(Calcul!$BC$7=$Q$2,Calcul!BI69,Calcul!BS69)))</f>
        <v/>
      </c>
      <c r="L84" s="18" t="str">
        <f ca="1">IF(NAMES!$B$10=FALSE,IF($B84="","",CIE_HT(L$28,$Q$2,OFFSET(Source!$A92,0,0,1,Config!$K$7))),IF($B84="","",IF(Calcul!$BC$7=$Q$2,Calcul!BJ69,Calcul!BT69)))</f>
        <v/>
      </c>
      <c r="M84" s="18" t="str">
        <f ca="1">IF(NAMES!$B$10=FALSE,IF($B84="","",CIE_HT(M$28,$Q$2,OFFSET(Source!$A92,0,0,1,Config!$K$7))),IF($B84="","",IF(Calcul!$BC$7=$Q$2,Calcul!BK69,Calcul!BU69)))</f>
        <v/>
      </c>
      <c r="N84" s="18" t="str">
        <f ca="1">IF(NAMES!$B$10=FALSE,IF($B84="","",CIE_HT(N$28,$Q$2,OFFSET(Source!$A92,0,0,1,Config!$K$7))),IF($B84="","",IF(Calcul!$BC$7=$Q$2,Calcul!BL69,Calcul!BV69)))</f>
        <v/>
      </c>
      <c r="O84" s="18" t="str">
        <f ca="1">IF(NAMES!$B$10=FALSE,IF($B84="","",CIE_HT(O$28,$Q$2,OFFSET(Source!$A92,0,0,1,Config!$K$7))),IF($B84="","",IF(Calcul!$BC$7=$Q$2,Calcul!BM69,Calcul!BW69)))</f>
        <v/>
      </c>
      <c r="P84" s="18" t="str">
        <f ca="1">IF(NAMES!$B$10=FALSE,IF($B84="","",CIE_HT(P$28,$Q$2,OFFSET(Source!$A92,0,0,1,Config!$K$7))),IF($B84="","",IF(Calcul!$BC$7=$Q$2,Calcul!BN69,Calcul!BX69)))</f>
        <v/>
      </c>
      <c r="Q84" s="18" t="str">
        <f t="shared" si="3"/>
        <v/>
      </c>
      <c r="R84" s="18" t="str">
        <f ca="1">IF(NAMES!$B$10=FALSE,IF($B84="","",TOT_CIE_TC(I$28:P$28,$Q$2,OFFSET(Source!$A92,0,0,1,Config!$K$7))),IF($B84="","",Q84*1.04))</f>
        <v/>
      </c>
      <c r="S84" s="1883" t="str">
        <f ca="1">IF(NAMES!$B$10=FALSE,IF($B84="","",_xludf.FORMULA($B84,$Q$2,OFFSET(Source!$A92,0,0,1,Config!$K$7))),IF($Q$2="AIG Luxembourg",Calcul!EE69,Calcul!IE69))</f>
        <v/>
      </c>
      <c r="T84" s="1883"/>
      <c r="U84" s="1883"/>
    </row>
    <row r="85" spans="1:21" hidden="1">
      <c r="A85" s="11" t="str">
        <f>IF(Cotations!C70=FALSE,"",Cotations!D70)</f>
        <v/>
      </c>
      <c r="B85" s="11" t="str">
        <f>IF(NAMES!$B$10=FALSE,IF(Source!A93="","",Source!A93),Cotations!F70)</f>
        <v/>
      </c>
      <c r="C85" s="11" t="str">
        <f>IF(NAMES!$B$10=FALSE,IF($B85="","",Source!B93),IF($B85="","",Crewlist!J70))</f>
        <v/>
      </c>
      <c r="D85" s="11" t="str">
        <f>IF(NAMES!$B$10=FALSE,IF($B85="","",Source!C93),IF($B85="","",Cotations!H70))</f>
        <v/>
      </c>
      <c r="E85" s="11" t="str">
        <f>IF(NAMES!$B$10=FALSE,IF($B85="","",Source!D93),IF($B85="","",Crewlist!G70))</f>
        <v/>
      </c>
      <c r="F85" s="16" t="str">
        <f>IF(NAMES!$B$10=FALSE,IF($B85="","",Source!E93),IF($B85="","",Crewlist!K70))</f>
        <v/>
      </c>
      <c r="G85" s="17" t="str">
        <f>IF(NAMES!$B$10=FALSE,IF($B85="","",Source!F93),Cotations!O70)</f>
        <v/>
      </c>
      <c r="H85" s="17" t="str">
        <f>IF(NAMES!$B$10=FALSE,IF($B85="","",Source!G93),Cotations!M70)</f>
        <v/>
      </c>
      <c r="I85" s="18" t="str">
        <f ca="1">IF(NAMES!$B$10=FALSE,IF($B85="","",CIE_HT(I$28,$Q$2,OFFSET(Source!$A93,0,0,1,Config!$K$7))),IF($B85="","",IF(Calcul!$BC$7=$Q$2,Calcul!BE70,Calcul!BQ70)))</f>
        <v/>
      </c>
      <c r="J85" s="18" t="str">
        <f ca="1">IF(NAMES!$B$10=FALSE,IF($B85="","",CIE_HT(J$28,$Q$2,OFFSET(Source!$A93,0,0,1,Config!$K$7))),IF($B85="","",IF(Calcul!$BC$7=$Q$2,Calcul!BF70+Calcul!BG70+Calcul!BH70,Calcul!BR70)))</f>
        <v/>
      </c>
      <c r="K85" s="18" t="str">
        <f ca="1">IF(NAMES!$B$10=FALSE,IF($B85="","",CIE_HT(K$28,$Q$2,OFFSET(Source!$A93,0,0,1,Config!$K$7))),IF($B85="","",IF(Calcul!$BC$7=$Q$2,Calcul!BI70,Calcul!BS70)))</f>
        <v/>
      </c>
      <c r="L85" s="18" t="str">
        <f ca="1">IF(NAMES!$B$10=FALSE,IF($B85="","",CIE_HT(L$28,$Q$2,OFFSET(Source!$A93,0,0,1,Config!$K$7))),IF($B85="","",IF(Calcul!$BC$7=$Q$2,Calcul!BJ70,Calcul!BT70)))</f>
        <v/>
      </c>
      <c r="M85" s="18" t="str">
        <f ca="1">IF(NAMES!$B$10=FALSE,IF($B85="","",CIE_HT(M$28,$Q$2,OFFSET(Source!$A93,0,0,1,Config!$K$7))),IF($B85="","",IF(Calcul!$BC$7=$Q$2,Calcul!BK70,Calcul!BU70)))</f>
        <v/>
      </c>
      <c r="N85" s="18" t="str">
        <f ca="1">IF(NAMES!$B$10=FALSE,IF($B85="","",CIE_HT(N$28,$Q$2,OFFSET(Source!$A93,0,0,1,Config!$K$7))),IF($B85="","",IF(Calcul!$BC$7=$Q$2,Calcul!BL70,Calcul!BV70)))</f>
        <v/>
      </c>
      <c r="O85" s="18" t="str">
        <f ca="1">IF(NAMES!$B$10=FALSE,IF($B85="","",CIE_HT(O$28,$Q$2,OFFSET(Source!$A93,0,0,1,Config!$K$7))),IF($B85="","",IF(Calcul!$BC$7=$Q$2,Calcul!BM70,Calcul!BW70)))</f>
        <v/>
      </c>
      <c r="P85" s="18" t="str">
        <f ca="1">IF(NAMES!$B$10=FALSE,IF($B85="","",CIE_HT(P$28,$Q$2,OFFSET(Source!$A93,0,0,1,Config!$K$7))),IF($B85="","",IF(Calcul!$BC$7=$Q$2,Calcul!BN70,Calcul!BX70)))</f>
        <v/>
      </c>
      <c r="Q85" s="18" t="str">
        <f t="shared" si="3"/>
        <v/>
      </c>
      <c r="R85" s="18" t="str">
        <f ca="1">IF(NAMES!$B$10=FALSE,IF($B85="","",TOT_CIE_TC(I$28:P$28,$Q$2,OFFSET(Source!$A93,0,0,1,Config!$K$7))),IF($B85="","",Q85*1.04))</f>
        <v/>
      </c>
      <c r="S85" s="1883" t="str">
        <f ca="1">IF(NAMES!$B$10=FALSE,IF($B85="","",_xludf.FORMULA($B85,$Q$2,OFFSET(Source!$A93,0,0,1,Config!$K$7))),IF($Q$2="AIG Luxembourg",Calcul!EE70,Calcul!IE70))</f>
        <v/>
      </c>
      <c r="T85" s="1883"/>
      <c r="U85" s="1883"/>
    </row>
    <row r="86" spans="1:21" hidden="1">
      <c r="A86" s="11" t="str">
        <f>IF(Cotations!C71=FALSE,"",Cotations!D71)</f>
        <v/>
      </c>
      <c r="B86" s="11" t="str">
        <f>IF(NAMES!$B$10=FALSE,IF(Source!A94="","",Source!A94),Cotations!F71)</f>
        <v/>
      </c>
      <c r="C86" s="11" t="str">
        <f>IF(NAMES!$B$10=FALSE,IF($B86="","",Source!B94),IF($B86="","",Crewlist!J71))</f>
        <v/>
      </c>
      <c r="D86" s="11" t="str">
        <f>IF(NAMES!$B$10=FALSE,IF($B86="","",Source!C94),IF($B86="","",Cotations!H71))</f>
        <v/>
      </c>
      <c r="E86" s="11" t="str">
        <f>IF(NAMES!$B$10=FALSE,IF($B86="","",Source!D94),IF($B86="","",Crewlist!G71))</f>
        <v/>
      </c>
      <c r="F86" s="16" t="str">
        <f>IF(NAMES!$B$10=FALSE,IF($B86="","",Source!E94),IF($B86="","",Crewlist!K71))</f>
        <v/>
      </c>
      <c r="G86" s="17" t="str">
        <f>IF(NAMES!$B$10=FALSE,IF($B86="","",Source!F94),Cotations!O71)</f>
        <v/>
      </c>
      <c r="H86" s="17" t="str">
        <f>IF(NAMES!$B$10=FALSE,IF($B86="","",Source!G94),Cotations!M71)</f>
        <v/>
      </c>
      <c r="I86" s="18" t="str">
        <f ca="1">IF(NAMES!$B$10=FALSE,IF($B86="","",CIE_HT(I$28,$Q$2,OFFSET(Source!$A94,0,0,1,Config!$K$7))),IF($B86="","",IF(Calcul!$BC$7=$Q$2,Calcul!BE71,Calcul!BQ71)))</f>
        <v/>
      </c>
      <c r="J86" s="18" t="str">
        <f ca="1">IF(NAMES!$B$10=FALSE,IF($B86="","",CIE_HT(J$28,$Q$2,OFFSET(Source!$A94,0,0,1,Config!$K$7))),IF($B86="","",IF(Calcul!$BC$7=$Q$2,Calcul!BF71+Calcul!BG71+Calcul!BH71,Calcul!BR71)))</f>
        <v/>
      </c>
      <c r="K86" s="18" t="str">
        <f ca="1">IF(NAMES!$B$10=FALSE,IF($B86="","",CIE_HT(K$28,$Q$2,OFFSET(Source!$A94,0,0,1,Config!$K$7))),IF($B86="","",IF(Calcul!$BC$7=$Q$2,Calcul!BI71,Calcul!BS71)))</f>
        <v/>
      </c>
      <c r="L86" s="18" t="str">
        <f ca="1">IF(NAMES!$B$10=FALSE,IF($B86="","",CIE_HT(L$28,$Q$2,OFFSET(Source!$A94,0,0,1,Config!$K$7))),IF($B86="","",IF(Calcul!$BC$7=$Q$2,Calcul!BJ71,Calcul!BT71)))</f>
        <v/>
      </c>
      <c r="M86" s="18" t="str">
        <f ca="1">IF(NAMES!$B$10=FALSE,IF($B86="","",CIE_HT(M$28,$Q$2,OFFSET(Source!$A94,0,0,1,Config!$K$7))),IF($B86="","",IF(Calcul!$BC$7=$Q$2,Calcul!BK71,Calcul!BU71)))</f>
        <v/>
      </c>
      <c r="N86" s="18" t="str">
        <f ca="1">IF(NAMES!$B$10=FALSE,IF($B86="","",CIE_HT(N$28,$Q$2,OFFSET(Source!$A94,0,0,1,Config!$K$7))),IF($B86="","",IF(Calcul!$BC$7=$Q$2,Calcul!BL71,Calcul!BV71)))</f>
        <v/>
      </c>
      <c r="O86" s="18" t="str">
        <f ca="1">IF(NAMES!$B$10=FALSE,IF($B86="","",CIE_HT(O$28,$Q$2,OFFSET(Source!$A94,0,0,1,Config!$K$7))),IF($B86="","",IF(Calcul!$BC$7=$Q$2,Calcul!BM71,Calcul!BW71)))</f>
        <v/>
      </c>
      <c r="P86" s="18" t="str">
        <f ca="1">IF(NAMES!$B$10=FALSE,IF($B86="","",CIE_HT(P$28,$Q$2,OFFSET(Source!$A94,0,0,1,Config!$K$7))),IF($B86="","",IF(Calcul!$BC$7=$Q$2,Calcul!BN71,Calcul!BX71)))</f>
        <v/>
      </c>
      <c r="Q86" s="18" t="str">
        <f t="shared" si="3"/>
        <v/>
      </c>
      <c r="R86" s="18" t="str">
        <f ca="1">IF(NAMES!$B$10=FALSE,IF($B86="","",TOT_CIE_TC(I$28:P$28,$Q$2,OFFSET(Source!$A94,0,0,1,Config!$K$7))),IF($B86="","",Q86*1.04))</f>
        <v/>
      </c>
      <c r="S86" s="1883" t="str">
        <f ca="1">IF(NAMES!$B$10=FALSE,IF($B86="","",_xludf.FORMULA($B86,$Q$2,OFFSET(Source!$A94,0,0,1,Config!$K$7))),IF($Q$2="AIG Luxembourg",Calcul!EE71,Calcul!IE71))</f>
        <v/>
      </c>
      <c r="T86" s="1883"/>
      <c r="U86" s="1883"/>
    </row>
    <row r="87" spans="1:21" hidden="1">
      <c r="A87" s="11" t="str">
        <f>IF(Cotations!C72=FALSE,"",Cotations!D72)</f>
        <v/>
      </c>
      <c r="B87" s="11" t="str">
        <f>IF(NAMES!$B$10=FALSE,IF(Source!A95="","",Source!A95),Cotations!F72)</f>
        <v/>
      </c>
      <c r="C87" s="11" t="str">
        <f>IF(NAMES!$B$10=FALSE,IF($B87="","",Source!B95),IF($B87="","",Crewlist!J72))</f>
        <v/>
      </c>
      <c r="D87" s="11" t="str">
        <f>IF(NAMES!$B$10=FALSE,IF($B87="","",Source!C95),IF($B87="","",Cotations!H72))</f>
        <v/>
      </c>
      <c r="E87" s="11" t="str">
        <f>IF(NAMES!$B$10=FALSE,IF($B87="","",Source!D95),IF($B87="","",Crewlist!G72))</f>
        <v/>
      </c>
      <c r="F87" s="16" t="str">
        <f>IF(NAMES!$B$10=FALSE,IF($B87="","",Source!E95),IF($B87="","",Crewlist!K72))</f>
        <v/>
      </c>
      <c r="G87" s="17" t="str">
        <f>IF(NAMES!$B$10=FALSE,IF($B87="","",Source!F95),Cotations!O72)</f>
        <v/>
      </c>
      <c r="H87" s="17" t="str">
        <f>IF(NAMES!$B$10=FALSE,IF($B87="","",Source!G95),Cotations!M72)</f>
        <v/>
      </c>
      <c r="I87" s="18" t="str">
        <f ca="1">IF(NAMES!$B$10=FALSE,IF($B87="","",CIE_HT(I$28,$Q$2,OFFSET(Source!$A95,0,0,1,Config!$K$7))),IF($B87="","",IF(Calcul!$BC$7=$Q$2,Calcul!BE72,Calcul!BQ72)))</f>
        <v/>
      </c>
      <c r="J87" s="18" t="str">
        <f ca="1">IF(NAMES!$B$10=FALSE,IF($B87="","",CIE_HT(J$28,$Q$2,OFFSET(Source!$A95,0,0,1,Config!$K$7))),IF($B87="","",IF(Calcul!$BC$7=$Q$2,Calcul!BF72+Calcul!BG72+Calcul!BH72,Calcul!BR72)))</f>
        <v/>
      </c>
      <c r="K87" s="18" t="str">
        <f ca="1">IF(NAMES!$B$10=FALSE,IF($B87="","",CIE_HT(K$28,$Q$2,OFFSET(Source!$A95,0,0,1,Config!$K$7))),IF($B87="","",IF(Calcul!$BC$7=$Q$2,Calcul!BI72,Calcul!BS72)))</f>
        <v/>
      </c>
      <c r="L87" s="18" t="str">
        <f ca="1">IF(NAMES!$B$10=FALSE,IF($B87="","",CIE_HT(L$28,$Q$2,OFFSET(Source!$A95,0,0,1,Config!$K$7))),IF($B87="","",IF(Calcul!$BC$7=$Q$2,Calcul!BJ72,Calcul!BT72)))</f>
        <v/>
      </c>
      <c r="M87" s="18" t="str">
        <f ca="1">IF(NAMES!$B$10=FALSE,IF($B87="","",CIE_HT(M$28,$Q$2,OFFSET(Source!$A95,0,0,1,Config!$K$7))),IF($B87="","",IF(Calcul!$BC$7=$Q$2,Calcul!BK72,Calcul!BU72)))</f>
        <v/>
      </c>
      <c r="N87" s="18" t="str">
        <f ca="1">IF(NAMES!$B$10=FALSE,IF($B87="","",CIE_HT(N$28,$Q$2,OFFSET(Source!$A95,0,0,1,Config!$K$7))),IF($B87="","",IF(Calcul!$BC$7=$Q$2,Calcul!BL72,Calcul!BV72)))</f>
        <v/>
      </c>
      <c r="O87" s="18" t="str">
        <f ca="1">IF(NAMES!$B$10=FALSE,IF($B87="","",CIE_HT(O$28,$Q$2,OFFSET(Source!$A95,0,0,1,Config!$K$7))),IF($B87="","",IF(Calcul!$BC$7=$Q$2,Calcul!BM72,Calcul!BW72)))</f>
        <v/>
      </c>
      <c r="P87" s="18" t="str">
        <f ca="1">IF(NAMES!$B$10=FALSE,IF($B87="","",CIE_HT(P$28,$Q$2,OFFSET(Source!$A95,0,0,1,Config!$K$7))),IF($B87="","",IF(Calcul!$BC$7=$Q$2,Calcul!BN72,Calcul!BX72)))</f>
        <v/>
      </c>
      <c r="Q87" s="18" t="str">
        <f t="shared" si="3"/>
        <v/>
      </c>
      <c r="R87" s="18" t="str">
        <f ca="1">IF(NAMES!$B$10=FALSE,IF($B87="","",TOT_CIE_TC(I$28:P$28,$Q$2,OFFSET(Source!$A95,0,0,1,Config!$K$7))),IF($B87="","",Q87*1.04))</f>
        <v/>
      </c>
      <c r="S87" s="1883" t="str">
        <f ca="1">IF(NAMES!$B$10=FALSE,IF($B87="","",_xludf.FORMULA($B87,$Q$2,OFFSET(Source!$A95,0,0,1,Config!$K$7))),IF($Q$2="AIG Luxembourg",Calcul!EE72,Calcul!IE72))</f>
        <v/>
      </c>
      <c r="T87" s="1883"/>
      <c r="U87" s="1883"/>
    </row>
    <row r="88" spans="1:21" hidden="1">
      <c r="A88" s="11" t="str">
        <f>IF(Cotations!C73=FALSE,"",Cotations!D73)</f>
        <v/>
      </c>
      <c r="B88" s="11" t="str">
        <f>IF(NAMES!$B$10=FALSE,IF(Source!A96="","",Source!A96),Cotations!F73)</f>
        <v/>
      </c>
      <c r="C88" s="11" t="str">
        <f>IF(NAMES!$B$10=FALSE,IF($B88="","",Source!B96),IF($B88="","",Crewlist!J73))</f>
        <v/>
      </c>
      <c r="D88" s="11" t="str">
        <f>IF(NAMES!$B$10=FALSE,IF($B88="","",Source!C96),IF($B88="","",Cotations!H73))</f>
        <v/>
      </c>
      <c r="E88" s="11" t="str">
        <f>IF(NAMES!$B$10=FALSE,IF($B88="","",Source!D96),IF($B88="","",Crewlist!G73))</f>
        <v/>
      </c>
      <c r="F88" s="16" t="str">
        <f>IF(NAMES!$B$10=FALSE,IF($B88="","",Source!E96),IF($B88="","",Crewlist!K73))</f>
        <v/>
      </c>
      <c r="G88" s="17" t="str">
        <f>IF(NAMES!$B$10=FALSE,IF($B88="","",Source!F96),Cotations!O73)</f>
        <v/>
      </c>
      <c r="H88" s="17" t="str">
        <f>IF(NAMES!$B$10=FALSE,IF($B88="","",Source!G96),Cotations!M73)</f>
        <v/>
      </c>
      <c r="I88" s="18" t="str">
        <f ca="1">IF(NAMES!$B$10=FALSE,IF($B88="","",CIE_HT(I$28,$Q$2,OFFSET(Source!$A96,0,0,1,Config!$K$7))),IF($B88="","",IF(Calcul!$BC$7=$Q$2,Calcul!BE73,Calcul!BQ73)))</f>
        <v/>
      </c>
      <c r="J88" s="18" t="str">
        <f ca="1">IF(NAMES!$B$10=FALSE,IF($B88="","",CIE_HT(J$28,$Q$2,OFFSET(Source!$A96,0,0,1,Config!$K$7))),IF($B88="","",IF(Calcul!$BC$7=$Q$2,Calcul!BF73,Calcul!BR73)))</f>
        <v/>
      </c>
      <c r="K88" s="18" t="str">
        <f ca="1">IF(NAMES!$B$10=FALSE,IF($B88="","",CIE_HT(K$28,$Q$2,OFFSET(Source!$A96,0,0,1,Config!$K$7))),IF($B88="","",IF(Calcul!$BC$7=$Q$2,Calcul!BI73,Calcul!BS73)))</f>
        <v/>
      </c>
      <c r="L88" s="18" t="str">
        <f ca="1">IF(NAMES!$B$10=FALSE,IF($B88="","",CIE_HT(L$28,$Q$2,OFFSET(Source!$A96,0,0,1,Config!$K$7))),IF($B88="","",IF(Calcul!$BC$7=$Q$2,Calcul!BJ73,Calcul!BT73)))</f>
        <v/>
      </c>
      <c r="M88" s="18" t="str">
        <f ca="1">IF(NAMES!$B$10=FALSE,IF($B88="","",CIE_HT(M$28,$Q$2,OFFSET(Source!$A96,0,0,1,Config!$K$7))),IF($B88="","",IF(Calcul!$BC$7=$Q$2,Calcul!BK73,Calcul!BU73)))</f>
        <v/>
      </c>
      <c r="N88" s="18" t="str">
        <f ca="1">IF(NAMES!$B$10=FALSE,IF($B88="","",CIE_HT(N$28,$Q$2,OFFSET(Source!$A96,0,0,1,Config!$K$7))),IF($B88="","",IF(Calcul!$BC$7=$Q$2,Calcul!BL73,Calcul!BV73)))</f>
        <v/>
      </c>
      <c r="O88" s="18" t="str">
        <f ca="1">IF(NAMES!$B$10=FALSE,IF($B88="","",CIE_HT(O$28,$Q$2,OFFSET(Source!$A96,0,0,1,Config!$K$7))),IF($B88="","",IF(Calcul!$BC$7=$Q$2,Calcul!BM73,Calcul!BW73)))</f>
        <v/>
      </c>
      <c r="P88" s="18" t="str">
        <f ca="1">IF(NAMES!$B$10=FALSE,IF($B88="","",CIE_HT(P$28,$Q$2,OFFSET(Source!$A96,0,0,1,Config!$K$7))),IF($B88="","",IF(Calcul!$BC$7=$Q$2,Calcul!BN73,Calcul!BX73)))</f>
        <v/>
      </c>
      <c r="Q88" s="18" t="str">
        <f t="shared" si="3"/>
        <v/>
      </c>
      <c r="R88" s="18" t="str">
        <f ca="1">IF(NAMES!$B$10=FALSE,IF($B88="","",TOT_CIE_TC(I$28:P$28,$Q$2,OFFSET(Source!$A96,0,0,1,Config!$K$7))),IF($B88="","",Q88*1.04))</f>
        <v/>
      </c>
      <c r="S88" s="1883" t="str">
        <f ca="1">IF(NAMES!$B$10=FALSE,IF($B88="","",_xludf.FORMULA($B88,$Q$2,OFFSET(Source!$A96,0,0,1,Config!$K$7))),Calcul!IE73)</f>
        <v/>
      </c>
      <c r="T88" s="1883"/>
      <c r="U88" s="1883"/>
    </row>
    <row r="89" spans="1:21" hidden="1">
      <c r="A89" s="11" t="str">
        <f>IF(Cotations!C74=FALSE,"",Cotations!D74)</f>
        <v/>
      </c>
      <c r="B89" s="11" t="str">
        <f>IF(NAMES!$B$10=FALSE,IF(Source!A97="","",Source!A97),Cotations!F74)</f>
        <v/>
      </c>
      <c r="C89" s="11" t="str">
        <f>IF(NAMES!$B$10=FALSE,IF($B89="","",Source!B97),IF($B89="","",Crewlist!J74))</f>
        <v/>
      </c>
      <c r="D89" s="11" t="str">
        <f>IF(NAMES!$B$10=FALSE,IF($B89="","",Source!C97),IF($B89="","",Cotations!H74))</f>
        <v/>
      </c>
      <c r="E89" s="11" t="str">
        <f>IF(NAMES!$B$10=FALSE,IF($B89="","",Source!D97),IF($B89="","",Crewlist!G74))</f>
        <v/>
      </c>
      <c r="F89" s="16" t="str">
        <f>IF(NAMES!$B$10=FALSE,IF($B89="","",Source!E97),IF($B89="","",Crewlist!K74))</f>
        <v/>
      </c>
      <c r="G89" s="17" t="str">
        <f>IF(NAMES!$B$10=FALSE,IF($B89="","",Source!F97),Cotations!O74)</f>
        <v/>
      </c>
      <c r="H89" s="17" t="str">
        <f>IF(NAMES!$B$10=FALSE,IF($B89="","",Source!G97),Cotations!M74)</f>
        <v/>
      </c>
      <c r="I89" s="18" t="str">
        <f ca="1">IF(NAMES!$B$10=FALSE,IF($B89="","",CIE_HT(I$28,$Q$2,OFFSET(Source!$A97,0,0,1,Config!$K$7))),IF($B89="","",IF(Calcul!$BC$7=$Q$2,Calcul!BE74,Calcul!BQ74)))</f>
        <v/>
      </c>
      <c r="J89" s="18" t="str">
        <f ca="1">IF(NAMES!$B$10=FALSE,IF($B89="","",CIE_HT(J$28,$Q$2,OFFSET(Source!$A97,0,0,1,Config!$K$7))),IF($B89="","",IF(Calcul!$BC$7=$Q$2,Calcul!BF74,Calcul!BR74)))</f>
        <v/>
      </c>
      <c r="K89" s="18" t="str">
        <f ca="1">IF(NAMES!$B$10=FALSE,IF($B89="","",CIE_HT(K$28,$Q$2,OFFSET(Source!$A97,0,0,1,Config!$K$7))),IF($B89="","",IF(Calcul!$BC$7=$Q$2,Calcul!BI74,Calcul!BS74)))</f>
        <v/>
      </c>
      <c r="L89" s="18" t="str">
        <f ca="1">IF(NAMES!$B$10=FALSE,IF($B89="","",CIE_HT(L$28,$Q$2,OFFSET(Source!$A97,0,0,1,Config!$K$7))),IF($B89="","",IF(Calcul!$BC$7=$Q$2,Calcul!BJ74,Calcul!BT74)))</f>
        <v/>
      </c>
      <c r="M89" s="18" t="str">
        <f ca="1">IF(NAMES!$B$10=FALSE,IF($B89="","",CIE_HT(M$28,$Q$2,OFFSET(Source!$A97,0,0,1,Config!$K$7))),IF($B89="","",IF(Calcul!$BC$7=$Q$2,Calcul!BK74,Calcul!BU74)))</f>
        <v/>
      </c>
      <c r="N89" s="18" t="str">
        <f ca="1">IF(NAMES!$B$10=FALSE,IF($B89="","",CIE_HT(N$28,$Q$2,OFFSET(Source!$A97,0,0,1,Config!$K$7))),IF($B89="","",IF(Calcul!$BC$7=$Q$2,Calcul!BL74,Calcul!BV74)))</f>
        <v/>
      </c>
      <c r="O89" s="18" t="str">
        <f ca="1">IF(NAMES!$B$10=FALSE,IF($B89="","",CIE_HT(O$28,$Q$2,OFFSET(Source!$A97,0,0,1,Config!$K$7))),IF($B89="","",IF(Calcul!$BC$7=$Q$2,Calcul!BM74,Calcul!BW74)))</f>
        <v/>
      </c>
      <c r="P89" s="18" t="str">
        <f ca="1">IF(NAMES!$B$10=FALSE,IF($B89="","",CIE_HT(P$28,$Q$2,OFFSET(Source!$A97,0,0,1,Config!$K$7))),IF($B89="","",IF(Calcul!$BC$7=$Q$2,Calcul!BN74,Calcul!BX74)))</f>
        <v/>
      </c>
      <c r="Q89" s="18" t="str">
        <f t="shared" si="3"/>
        <v/>
      </c>
      <c r="R89" s="18" t="str">
        <f ca="1">IF(NAMES!$B$10=FALSE,IF($B89="","",TOT_CIE_TC(I$28:P$28,$Q$2,OFFSET(Source!$A97,0,0,1,Config!$K$7))),IF($B89="","",Q89*1.04))</f>
        <v/>
      </c>
      <c r="S89" s="1883" t="str">
        <f ca="1">IF(NAMES!$B$10=FALSE,IF($B89="","",_xludf.FORMULA($B89,$Q$2,OFFSET(Source!$A97,0,0,1,Config!$K$7))),Calcul!IE74)</f>
        <v/>
      </c>
      <c r="T89" s="1883"/>
      <c r="U89" s="1883"/>
    </row>
    <row r="90" spans="1:21" hidden="1">
      <c r="A90" s="11" t="str">
        <f>IF(Cotations!C75=FALSE,"",Cotations!D75)</f>
        <v/>
      </c>
      <c r="B90" s="11" t="str">
        <f>IF(NAMES!$B$10=FALSE,IF(Source!A98="","",Source!A98),Cotations!F75)</f>
        <v/>
      </c>
      <c r="C90" s="11" t="str">
        <f>IF(NAMES!$B$10=FALSE,IF($B90="","",Source!B98),IF($B90="","",Crewlist!J75))</f>
        <v/>
      </c>
      <c r="D90" s="11" t="str">
        <f>IF(NAMES!$B$10=FALSE,IF($B90="","",Source!C98),IF($B90="","",Cotations!H75))</f>
        <v/>
      </c>
      <c r="E90" s="11" t="str">
        <f>IF(NAMES!$B$10=FALSE,IF($B90="","",Source!D98),IF($B90="","",Crewlist!G75))</f>
        <v/>
      </c>
      <c r="F90" s="16" t="str">
        <f>IF(NAMES!$B$10=FALSE,IF($B90="","",Source!E98),IF($B90="","",Crewlist!K75))</f>
        <v/>
      </c>
      <c r="G90" s="17" t="str">
        <f>IF(NAMES!$B$10=FALSE,IF($B90="","",Source!F98),Cotations!O75)</f>
        <v/>
      </c>
      <c r="H90" s="17" t="str">
        <f>IF(NAMES!$B$10=FALSE,IF($B90="","",Source!G98),Cotations!M75)</f>
        <v/>
      </c>
      <c r="I90" s="18" t="str">
        <f ca="1">IF(NAMES!$B$10=FALSE,IF($B90="","",CIE_HT(I$28,$Q$2,OFFSET(Source!$A98,0,0,1,Config!$K$7))),IF($B90="","",IF(Calcul!$BC$7=$Q$2,Calcul!BE75,Calcul!BQ75)))</f>
        <v/>
      </c>
      <c r="J90" s="18" t="str">
        <f ca="1">IF(NAMES!$B$10=FALSE,IF($B90="","",CIE_HT(J$28,$Q$2,OFFSET(Source!$A98,0,0,1,Config!$K$7))),IF($B90="","",IF(Calcul!$BC$7=$Q$2,Calcul!BF75,Calcul!BR75)))</f>
        <v/>
      </c>
      <c r="K90" s="18" t="str">
        <f ca="1">IF(NAMES!$B$10=FALSE,IF($B90="","",CIE_HT(K$28,$Q$2,OFFSET(Source!$A98,0,0,1,Config!$K$7))),IF($B90="","",IF(Calcul!$BC$7=$Q$2,Calcul!BI75,Calcul!BS75)))</f>
        <v/>
      </c>
      <c r="L90" s="18" t="str">
        <f ca="1">IF(NAMES!$B$10=FALSE,IF($B90="","",CIE_HT(L$28,$Q$2,OFFSET(Source!$A98,0,0,1,Config!$K$7))),IF($B90="","",IF(Calcul!$BC$7=$Q$2,Calcul!BJ75,Calcul!BT75)))</f>
        <v/>
      </c>
      <c r="M90" s="18" t="str">
        <f ca="1">IF(NAMES!$B$10=FALSE,IF($B90="","",CIE_HT(M$28,$Q$2,OFFSET(Source!$A98,0,0,1,Config!$K$7))),IF($B90="","",IF(Calcul!$BC$7=$Q$2,Calcul!BK75,Calcul!BU75)))</f>
        <v/>
      </c>
      <c r="N90" s="18" t="str">
        <f ca="1">IF(NAMES!$B$10=FALSE,IF($B90="","",CIE_HT(N$28,$Q$2,OFFSET(Source!$A98,0,0,1,Config!$K$7))),IF($B90="","",IF(Calcul!$BC$7=$Q$2,Calcul!BL75,Calcul!BV75)))</f>
        <v/>
      </c>
      <c r="O90" s="18" t="str">
        <f ca="1">IF(NAMES!$B$10=FALSE,IF($B90="","",CIE_HT(O$28,$Q$2,OFFSET(Source!$A98,0,0,1,Config!$K$7))),IF($B90="","",IF(Calcul!$BC$7=$Q$2,Calcul!BM75,Calcul!BW75)))</f>
        <v/>
      </c>
      <c r="P90" s="18" t="str">
        <f ca="1">IF(NAMES!$B$10=FALSE,IF($B90="","",CIE_HT(P$28,$Q$2,OFFSET(Source!$A98,0,0,1,Config!$K$7))),IF($B90="","",IF(Calcul!$BC$7=$Q$2,Calcul!BN75,Calcul!BX75)))</f>
        <v/>
      </c>
      <c r="Q90" s="18" t="str">
        <f t="shared" si="3"/>
        <v/>
      </c>
      <c r="R90" s="18" t="str">
        <f ca="1">IF(NAMES!$B$10=FALSE,IF($B90="","",TOT_CIE_TC(I$28:P$28,$Q$2,OFFSET(Source!$A98,0,0,1,Config!$K$7))),IF($B90="","",Q90*1.04))</f>
        <v/>
      </c>
      <c r="S90" s="1883" t="str">
        <f ca="1">IF(NAMES!$B$10=FALSE,IF($B90="","",_xludf.FORMULA($B90,$Q$2,OFFSET(Source!$A98,0,0,1,Config!$K$7))),Calcul!IE75)</f>
        <v/>
      </c>
      <c r="T90" s="1883"/>
      <c r="U90" s="1883"/>
    </row>
    <row r="91" spans="1:21" hidden="1">
      <c r="A91" s="11" t="str">
        <f>IF(Cotations!C76=FALSE,"",Cotations!D76)</f>
        <v/>
      </c>
      <c r="B91" s="11" t="str">
        <f>IF(NAMES!$B$10=FALSE,IF(Source!A99="","",Source!A99),Cotations!F76)</f>
        <v/>
      </c>
      <c r="C91" s="11" t="str">
        <f>IF(NAMES!$B$10=FALSE,IF($B91="","",Source!B99),IF($B91="","",Crewlist!J76))</f>
        <v/>
      </c>
      <c r="D91" s="11" t="str">
        <f>IF(NAMES!$B$10=FALSE,IF($B91="","",Source!C99),IF($B91="","",Cotations!H76))</f>
        <v/>
      </c>
      <c r="E91" s="11" t="str">
        <f>IF(NAMES!$B$10=FALSE,IF($B91="","",Source!D99),IF($B91="","",Crewlist!G76))</f>
        <v/>
      </c>
      <c r="F91" s="16" t="str">
        <f>IF(NAMES!$B$10=FALSE,IF($B91="","",Source!E99),IF($B91="","",Crewlist!K76))</f>
        <v/>
      </c>
      <c r="G91" s="17" t="str">
        <f>IF(NAMES!$B$10=FALSE,IF($B91="","",Source!F99),Cotations!O76)</f>
        <v/>
      </c>
      <c r="H91" s="17" t="str">
        <f>IF(NAMES!$B$10=FALSE,IF($B91="","",Source!G99),Cotations!M76)</f>
        <v/>
      </c>
      <c r="I91" s="18" t="str">
        <f ca="1">IF(NAMES!$B$10=FALSE,IF($B91="","",CIE_HT(I$28,$Q$2,OFFSET(Source!$A99,0,0,1,Config!$K$7))),IF($B91="","",IF(Calcul!$BC$7=$Q$2,Calcul!BE76,Calcul!BQ76)))</f>
        <v/>
      </c>
      <c r="J91" s="18" t="str">
        <f ca="1">IF(NAMES!$B$10=FALSE,IF($B91="","",CIE_HT(J$28,$Q$2,OFFSET(Source!$A99,0,0,1,Config!$K$7))),IF($B91="","",IF(Calcul!$BC$7=$Q$2,Calcul!BF76,Calcul!BR76)))</f>
        <v/>
      </c>
      <c r="K91" s="18" t="str">
        <f ca="1">IF(NAMES!$B$10=FALSE,IF($B91="","",CIE_HT(K$28,$Q$2,OFFSET(Source!$A99,0,0,1,Config!$K$7))),IF($B91="","",IF(Calcul!$BC$7=$Q$2,Calcul!BI76,Calcul!BS76)))</f>
        <v/>
      </c>
      <c r="L91" s="18" t="str">
        <f ca="1">IF(NAMES!$B$10=FALSE,IF($B91="","",CIE_HT(L$28,$Q$2,OFFSET(Source!$A99,0,0,1,Config!$K$7))),IF($B91="","",IF(Calcul!$BC$7=$Q$2,Calcul!BJ76,Calcul!BT76)))</f>
        <v/>
      </c>
      <c r="M91" s="18" t="str">
        <f ca="1">IF(NAMES!$B$10=FALSE,IF($B91="","",CIE_HT(M$28,$Q$2,OFFSET(Source!$A99,0,0,1,Config!$K$7))),IF($B91="","",IF(Calcul!$BC$7=$Q$2,Calcul!BK76,Calcul!BU76)))</f>
        <v/>
      </c>
      <c r="N91" s="18" t="str">
        <f ca="1">IF(NAMES!$B$10=FALSE,IF($B91="","",CIE_HT(N$28,$Q$2,OFFSET(Source!$A99,0,0,1,Config!$K$7))),IF($B91="","",IF(Calcul!$BC$7=$Q$2,Calcul!BL76,Calcul!BV76)))</f>
        <v/>
      </c>
      <c r="O91" s="18" t="str">
        <f ca="1">IF(NAMES!$B$10=FALSE,IF($B91="","",CIE_HT(O$28,$Q$2,OFFSET(Source!$A99,0,0,1,Config!$K$7))),IF($B91="","",IF(Calcul!$BC$7=$Q$2,Calcul!BM76,Calcul!BW76)))</f>
        <v/>
      </c>
      <c r="P91" s="18" t="str">
        <f ca="1">IF(NAMES!$B$10=FALSE,IF($B91="","",CIE_HT(P$28,$Q$2,OFFSET(Source!$A99,0,0,1,Config!$K$7))),IF($B91="","",IF(Calcul!$BC$7=$Q$2,Calcul!BN76,Calcul!BX76)))</f>
        <v/>
      </c>
      <c r="Q91" s="18" t="str">
        <f t="shared" si="3"/>
        <v/>
      </c>
      <c r="R91" s="18" t="str">
        <f ca="1">IF(NAMES!$B$10=FALSE,IF($B91="","",TOT_CIE_TC(I$28:P$28,$Q$2,OFFSET(Source!$A99,0,0,1,Config!$K$7))),IF($B91="","",Q91*1.04))</f>
        <v/>
      </c>
      <c r="S91" s="1883" t="str">
        <f ca="1">IF(NAMES!$B$10=FALSE,IF($B91="","",_xludf.FORMULA($B91,$Q$2,OFFSET(Source!$A99,0,0,1,Config!$K$7))),Calcul!IE76)</f>
        <v/>
      </c>
      <c r="T91" s="1883"/>
      <c r="U91" s="1883"/>
    </row>
    <row r="92" spans="1:21" hidden="1">
      <c r="A92" s="11" t="str">
        <f>IF(Cotations!C77=FALSE,"",Cotations!D77)</f>
        <v/>
      </c>
      <c r="B92" s="11" t="str">
        <f>IF(NAMES!$B$10=FALSE,IF(Source!A100="","",Source!A100),Cotations!F77)</f>
        <v/>
      </c>
      <c r="C92" s="11" t="str">
        <f>IF(NAMES!$B$10=FALSE,IF($B92="","",Source!B100),IF($B92="","",Crewlist!J77))</f>
        <v/>
      </c>
      <c r="D92" s="11" t="str">
        <f>IF(NAMES!$B$10=FALSE,IF($B92="","",Source!C100),IF($B92="","",Cotations!H77))</f>
        <v/>
      </c>
      <c r="E92" s="11" t="str">
        <f>IF(NAMES!$B$10=FALSE,IF($B92="","",Source!D100),IF($B92="","",Crewlist!G77))</f>
        <v/>
      </c>
      <c r="F92" s="16" t="str">
        <f>IF(NAMES!$B$10=FALSE,IF($B92="","",Source!E100),IF($B92="","",Crewlist!K77))</f>
        <v/>
      </c>
      <c r="G92" s="17" t="str">
        <f>IF(NAMES!$B$10=FALSE,IF($B92="","",Source!F100),Cotations!O77)</f>
        <v/>
      </c>
      <c r="H92" s="17" t="str">
        <f>IF(NAMES!$B$10=FALSE,IF($B92="","",Source!G100),Cotations!M77)</f>
        <v/>
      </c>
      <c r="I92" s="18" t="str">
        <f ca="1">IF(NAMES!$B$10=FALSE,IF($B92="","",CIE_HT(I$28,$Q$2,OFFSET(Source!$A100,0,0,1,Config!$K$7))),IF($B92="","",IF(Calcul!$BC$7=$Q$2,Calcul!BE77,Calcul!BQ77)))</f>
        <v/>
      </c>
      <c r="J92" s="18" t="str">
        <f ca="1">IF(NAMES!$B$10=FALSE,IF($B92="","",CIE_HT(J$28,$Q$2,OFFSET(Source!$A100,0,0,1,Config!$K$7))),IF($B92="","",IF(Calcul!$BC$7=$Q$2,Calcul!BF77,Calcul!BR77)))</f>
        <v/>
      </c>
      <c r="K92" s="18" t="str">
        <f ca="1">IF(NAMES!$B$10=FALSE,IF($B92="","",CIE_HT(K$28,$Q$2,OFFSET(Source!$A100,0,0,1,Config!$K$7))),IF($B92="","",IF(Calcul!$BC$7=$Q$2,Calcul!BI77,Calcul!BS77)))</f>
        <v/>
      </c>
      <c r="L92" s="18" t="str">
        <f ca="1">IF(NAMES!$B$10=FALSE,IF($B92="","",CIE_HT(L$28,$Q$2,OFFSET(Source!$A100,0,0,1,Config!$K$7))),IF($B92="","",IF(Calcul!$BC$7=$Q$2,Calcul!BJ77,Calcul!BT77)))</f>
        <v/>
      </c>
      <c r="M92" s="18" t="str">
        <f ca="1">IF(NAMES!$B$10=FALSE,IF($B92="","",CIE_HT(M$28,$Q$2,OFFSET(Source!$A100,0,0,1,Config!$K$7))),IF($B92="","",IF(Calcul!$BC$7=$Q$2,Calcul!BK77,Calcul!BU77)))</f>
        <v/>
      </c>
      <c r="N92" s="18" t="str">
        <f ca="1">IF(NAMES!$B$10=FALSE,IF($B92="","",CIE_HT(N$28,$Q$2,OFFSET(Source!$A100,0,0,1,Config!$K$7))),IF($B92="","",IF(Calcul!$BC$7=$Q$2,Calcul!BL77,Calcul!BV77)))</f>
        <v/>
      </c>
      <c r="O92" s="18" t="str">
        <f ca="1">IF(NAMES!$B$10=FALSE,IF($B92="","",CIE_HT(O$28,$Q$2,OFFSET(Source!$A100,0,0,1,Config!$K$7))),IF($B92="","",IF(Calcul!$BC$7=$Q$2,Calcul!BM77,Calcul!BW77)))</f>
        <v/>
      </c>
      <c r="P92" s="18" t="str">
        <f ca="1">IF(NAMES!$B$10=FALSE,IF($B92="","",CIE_HT(P$28,$Q$2,OFFSET(Source!$A100,0,0,1,Config!$K$7))),IF($B92="","",IF(Calcul!$BC$7=$Q$2,Calcul!BN77,Calcul!BX77)))</f>
        <v/>
      </c>
      <c r="Q92" s="18" t="str">
        <f t="shared" si="3"/>
        <v/>
      </c>
      <c r="R92" s="18" t="str">
        <f ca="1">IF(NAMES!$B$10=FALSE,IF($B92="","",TOT_CIE_TC(I$28:P$28,$Q$2,OFFSET(Source!$A100,0,0,1,Config!$K$7))),IF($B92="","",Q92*1.04))</f>
        <v/>
      </c>
      <c r="S92" s="1883" t="str">
        <f ca="1">IF(NAMES!$B$10=FALSE,IF($B92="","",_xludf.FORMULA($B92,$Q$2,OFFSET(Source!$A100,0,0,1,Config!$K$7))),Calcul!IE77)</f>
        <v/>
      </c>
      <c r="T92" s="1883"/>
      <c r="U92" s="1883"/>
    </row>
    <row r="93" spans="1:21" hidden="1">
      <c r="A93" s="11" t="str">
        <f>IF(Cotations!C78=FALSE,"",Cotations!D78)</f>
        <v/>
      </c>
      <c r="B93" s="11" t="str">
        <f>IF(NAMES!$B$10=FALSE,IF(Source!A101="","",Source!A101),Cotations!F78)</f>
        <v/>
      </c>
      <c r="C93" s="11" t="str">
        <f>IF(NAMES!$B$10=FALSE,IF($B93="","",Source!B101),IF($B93="","",Crewlist!J78))</f>
        <v/>
      </c>
      <c r="D93" s="11" t="str">
        <f>IF(NAMES!$B$10=FALSE,IF($B93="","",Source!C101),IF($B93="","",Cotations!H78))</f>
        <v/>
      </c>
      <c r="E93" s="11" t="str">
        <f>IF(NAMES!$B$10=FALSE,IF($B93="","",Source!D101),IF($B93="","",Crewlist!G78))</f>
        <v/>
      </c>
      <c r="F93" s="16" t="str">
        <f>IF(NAMES!$B$10=FALSE,IF($B93="","",Source!E101),IF($B93="","",Crewlist!K78))</f>
        <v/>
      </c>
      <c r="G93" s="17" t="str">
        <f>IF(NAMES!$B$10=FALSE,IF($B93="","",Source!F101),Cotations!O78)</f>
        <v/>
      </c>
      <c r="H93" s="17" t="str">
        <f>IF(NAMES!$B$10=FALSE,IF($B93="","",Source!G101),Cotations!M78)</f>
        <v/>
      </c>
      <c r="I93" s="18" t="str">
        <f ca="1">IF(NAMES!$B$10=FALSE,IF($B93="","",CIE_HT(I$28,$Q$2,OFFSET(Source!$A101,0,0,1,Config!$K$7))),IF($B93="","",IF(Calcul!$BC$7=$Q$2,Calcul!BE78,Calcul!BQ78)))</f>
        <v/>
      </c>
      <c r="J93" s="18" t="str">
        <f ca="1">IF(NAMES!$B$10=FALSE,IF($B93="","",CIE_HT(J$28,$Q$2,OFFSET(Source!$A101,0,0,1,Config!$K$7))),IF($B93="","",IF(Calcul!$BC$7=$Q$2,Calcul!BF78,Calcul!BR78)))</f>
        <v/>
      </c>
      <c r="K93" s="18" t="str">
        <f ca="1">IF(NAMES!$B$10=FALSE,IF($B93="","",CIE_HT(K$28,$Q$2,OFFSET(Source!$A101,0,0,1,Config!$K$7))),IF($B93="","",IF(Calcul!$BC$7=$Q$2,Calcul!BI78,Calcul!BS78)))</f>
        <v/>
      </c>
      <c r="L93" s="18" t="str">
        <f ca="1">IF(NAMES!$B$10=FALSE,IF($B93="","",CIE_HT(L$28,$Q$2,OFFSET(Source!$A101,0,0,1,Config!$K$7))),IF($B93="","",IF(Calcul!$BC$7=$Q$2,Calcul!BJ78,Calcul!BT78)))</f>
        <v/>
      </c>
      <c r="M93" s="18" t="str">
        <f ca="1">IF(NAMES!$B$10=FALSE,IF($B93="","",CIE_HT(M$28,$Q$2,OFFSET(Source!$A101,0,0,1,Config!$K$7))),IF($B93="","",IF(Calcul!$BC$7=$Q$2,Calcul!BK78,Calcul!BU78)))</f>
        <v/>
      </c>
      <c r="N93" s="18" t="str">
        <f ca="1">IF(NAMES!$B$10=FALSE,IF($B93="","",CIE_HT(N$28,$Q$2,OFFSET(Source!$A101,0,0,1,Config!$K$7))),IF($B93="","",IF(Calcul!$BC$7=$Q$2,Calcul!BL78,Calcul!BV78)))</f>
        <v/>
      </c>
      <c r="O93" s="18" t="str">
        <f ca="1">IF(NAMES!$B$10=FALSE,IF($B93="","",CIE_HT(O$28,$Q$2,OFFSET(Source!$A101,0,0,1,Config!$K$7))),IF($B93="","",IF(Calcul!$BC$7=$Q$2,Calcul!BM78,Calcul!BW78)))</f>
        <v/>
      </c>
      <c r="P93" s="18" t="str">
        <f ca="1">IF(NAMES!$B$10=FALSE,IF($B93="","",CIE_HT(P$28,$Q$2,OFFSET(Source!$A101,0,0,1,Config!$K$7))),IF($B93="","",IF(Calcul!$BC$7=$Q$2,Calcul!BN78,Calcul!BX78)))</f>
        <v/>
      </c>
      <c r="Q93" s="18" t="str">
        <f t="shared" si="3"/>
        <v/>
      </c>
      <c r="R93" s="18" t="str">
        <f ca="1">IF(NAMES!$B$10=FALSE,IF($B93="","",TOT_CIE_TC(I$28:P$28,$Q$2,OFFSET(Source!$A101,0,0,1,Config!$K$7))),IF($B93="","",Q93*1.04))</f>
        <v/>
      </c>
      <c r="S93" s="1883" t="str">
        <f ca="1">IF(NAMES!$B$10=FALSE,IF($B93="","",_xludf.FORMULA($B93,$Q$2,OFFSET(Source!$A101,0,0,1,Config!$K$7))),Calcul!IE78)</f>
        <v/>
      </c>
      <c r="T93" s="1883"/>
      <c r="U93" s="1883"/>
    </row>
    <row r="94" spans="1:21" hidden="1">
      <c r="A94" s="11" t="str">
        <f>IF(Cotations!C79=FALSE,"",Cotations!D79)</f>
        <v/>
      </c>
      <c r="B94" s="11" t="str">
        <f>IF(NAMES!$B$10=FALSE,IF(Source!A102="","",Source!A102),Cotations!F79)</f>
        <v/>
      </c>
      <c r="C94" s="11" t="str">
        <f>IF(NAMES!$B$10=FALSE,IF($B94="","",Source!B102),IF($B94="","",Crewlist!J79))</f>
        <v/>
      </c>
      <c r="D94" s="11" t="str">
        <f>IF(NAMES!$B$10=FALSE,IF($B94="","",Source!C102),IF($B94="","",Cotations!H79))</f>
        <v/>
      </c>
      <c r="E94" s="11" t="str">
        <f>IF(NAMES!$B$10=FALSE,IF($B94="","",Source!D102),IF($B94="","",Crewlist!G79))</f>
        <v/>
      </c>
      <c r="F94" s="16" t="str">
        <f>IF(NAMES!$B$10=FALSE,IF($B94="","",Source!E102),IF($B94="","",Crewlist!K79))</f>
        <v/>
      </c>
      <c r="G94" s="17" t="str">
        <f>IF(NAMES!$B$10=FALSE,IF($B94="","",Source!F102),Cotations!O79)</f>
        <v/>
      </c>
      <c r="H94" s="17" t="str">
        <f>IF(NAMES!$B$10=FALSE,IF($B94="","",Source!G102),Cotations!M79)</f>
        <v/>
      </c>
      <c r="I94" s="18" t="str">
        <f ca="1">IF(NAMES!$B$10=FALSE,IF($B94="","",CIE_HT(I$28,$Q$2,OFFSET(Source!$A102,0,0,1,Config!$K$7))),IF($B94="","",IF(Calcul!$BC$7=$Q$2,Calcul!BE79,Calcul!BQ79)))</f>
        <v/>
      </c>
      <c r="J94" s="18" t="str">
        <f ca="1">IF(NAMES!$B$10=FALSE,IF($B94="","",CIE_HT(J$28,$Q$2,OFFSET(Source!$A102,0,0,1,Config!$K$7))),IF($B94="","",IF(Calcul!$BC$7=$Q$2,Calcul!BF79,Calcul!BR79)))</f>
        <v/>
      </c>
      <c r="K94" s="18" t="str">
        <f ca="1">IF(NAMES!$B$10=FALSE,IF($B94="","",CIE_HT(K$28,$Q$2,OFFSET(Source!$A102,0,0,1,Config!$K$7))),IF($B94="","",IF(Calcul!$BC$7=$Q$2,Calcul!BI79,Calcul!BS79)))</f>
        <v/>
      </c>
      <c r="L94" s="18" t="str">
        <f ca="1">IF(NAMES!$B$10=FALSE,IF($B94="","",CIE_HT(L$28,$Q$2,OFFSET(Source!$A102,0,0,1,Config!$K$7))),IF($B94="","",IF(Calcul!$BC$7=$Q$2,Calcul!BJ79,Calcul!BT79)))</f>
        <v/>
      </c>
      <c r="M94" s="18" t="str">
        <f ca="1">IF(NAMES!$B$10=FALSE,IF($B94="","",CIE_HT(M$28,$Q$2,OFFSET(Source!$A102,0,0,1,Config!$K$7))),IF($B94="","",IF(Calcul!$BC$7=$Q$2,Calcul!BK79,Calcul!BU79)))</f>
        <v/>
      </c>
      <c r="N94" s="18" t="str">
        <f ca="1">IF(NAMES!$B$10=FALSE,IF($B94="","",CIE_HT(N$28,$Q$2,OFFSET(Source!$A102,0,0,1,Config!$K$7))),IF($B94="","",IF(Calcul!$BC$7=$Q$2,Calcul!BL79,Calcul!BV79)))</f>
        <v/>
      </c>
      <c r="O94" s="18" t="str">
        <f ca="1">IF(NAMES!$B$10=FALSE,IF($B94="","",CIE_HT(O$28,$Q$2,OFFSET(Source!$A102,0,0,1,Config!$K$7))),IF($B94="","",IF(Calcul!$BC$7=$Q$2,Calcul!BM79,Calcul!BW79)))</f>
        <v/>
      </c>
      <c r="P94" s="18" t="str">
        <f ca="1">IF(NAMES!$B$10=FALSE,IF($B94="","",CIE_HT(P$28,$Q$2,OFFSET(Source!$A102,0,0,1,Config!$K$7))),IF($B94="","",IF(Calcul!$BC$7=$Q$2,Calcul!BN79,Calcul!BX79)))</f>
        <v/>
      </c>
      <c r="Q94" s="18" t="str">
        <f t="shared" si="3"/>
        <v/>
      </c>
      <c r="R94" s="18" t="str">
        <f ca="1">IF(NAMES!$B$10=FALSE,IF($B94="","",TOT_CIE_TC(I$28:P$28,$Q$2,OFFSET(Source!$A102,0,0,1,Config!$K$7))),IF($B94="","",Q94*1.04))</f>
        <v/>
      </c>
      <c r="S94" s="1883" t="str">
        <f ca="1">IF(NAMES!$B$10=FALSE,IF($B94="","",_xludf.FORMULA($B94,$Q$2,OFFSET(Source!$A102,0,0,1,Config!$K$7))),Calcul!IE79)</f>
        <v/>
      </c>
      <c r="T94" s="1883"/>
      <c r="U94" s="1883"/>
    </row>
    <row r="95" spans="1:21" ht="12.75" hidden="1" customHeight="1">
      <c r="A95" s="11" t="str">
        <f>IF(Cotations!C80=FALSE,"",Cotations!D80)</f>
        <v/>
      </c>
      <c r="B95" s="11" t="str">
        <f>IF(NAMES!$B$10=FALSE,IF(Source!A103="","",Source!A103),Cotations!F80)</f>
        <v/>
      </c>
      <c r="C95" s="11" t="str">
        <f>IF(NAMES!$B$10=FALSE,IF($B95="","",Source!B103),IF($B95="","",Crewlist!J80))</f>
        <v/>
      </c>
      <c r="D95" s="11" t="str">
        <f>IF(NAMES!$B$10=FALSE,IF($B95="","",Source!C103),IF($B95="","",Cotations!H80))</f>
        <v/>
      </c>
      <c r="E95" s="11" t="str">
        <f>IF(NAMES!$B$10=FALSE,IF($B95="","",Source!D103),IF($B95="","",Crewlist!G80))</f>
        <v/>
      </c>
      <c r="F95" s="16" t="str">
        <f>IF(NAMES!$B$10=FALSE,IF($B95="","",Source!E103),IF($B95="","",Crewlist!K80))</f>
        <v/>
      </c>
      <c r="G95" s="17" t="str">
        <f>IF(NAMES!$B$10=FALSE,IF($B95="","",Source!F103),Cotations!O80)</f>
        <v/>
      </c>
      <c r="H95" s="17" t="str">
        <f>IF(NAMES!$B$10=FALSE,IF($B95="","",Source!G103),Cotations!M80)</f>
        <v/>
      </c>
      <c r="I95" s="18" t="str">
        <f ca="1">IF(NAMES!$B$10=FALSE,IF($B95="","",CIE_HT(I$28,$Q$2,OFFSET(Source!$A103,0,0,1,Config!$K$7))),IF($B95="","",IF(Calcul!$BC$7=$Q$2,Calcul!BE80,Calcul!BQ80)))</f>
        <v/>
      </c>
      <c r="J95" s="18" t="str">
        <f ca="1">IF(NAMES!$B$10=FALSE,IF($B95="","",CIE_HT(J$28,$Q$2,OFFSET(Source!$A103,0,0,1,Config!$K$7))),IF($B95="","",IF(Calcul!$BC$7=$Q$2,Calcul!BF80,Calcul!BR80)))</f>
        <v/>
      </c>
      <c r="K95" s="18" t="str">
        <f ca="1">IF(NAMES!$B$10=FALSE,IF($B95="","",CIE_HT(K$28,$Q$2,OFFSET(Source!$A103,0,0,1,Config!$K$7))),IF($B95="","",IF(Calcul!$BC$7=$Q$2,Calcul!BI80,Calcul!BS80)))</f>
        <v/>
      </c>
      <c r="L95" s="18" t="str">
        <f ca="1">IF(NAMES!$B$10=FALSE,IF($B95="","",CIE_HT(L$28,$Q$2,OFFSET(Source!$A103,0,0,1,Config!$K$7))),IF($B95="","",IF(Calcul!$BC$7=$Q$2,Calcul!BJ80,Calcul!BT80)))</f>
        <v/>
      </c>
      <c r="M95" s="18" t="str">
        <f ca="1">IF(NAMES!$B$10=FALSE,IF($B95="","",CIE_HT(M$28,$Q$2,OFFSET(Source!$A103,0,0,1,Config!$K$7))),IF($B95="","",IF(Calcul!$BC$7=$Q$2,Calcul!BK80,Calcul!BU80)))</f>
        <v/>
      </c>
      <c r="N95" s="18" t="str">
        <f ca="1">IF(NAMES!$B$10=FALSE,IF($B95="","",CIE_HT(N$28,$Q$2,OFFSET(Source!$A103,0,0,1,Config!$K$7))),IF($B95="","",IF(Calcul!$BC$7=$Q$2,Calcul!BL80,Calcul!BV80)))</f>
        <v/>
      </c>
      <c r="O95" s="18" t="str">
        <f ca="1">IF(NAMES!$B$10=FALSE,IF($B95="","",CIE_HT(O$28,$Q$2,OFFSET(Source!$A103,0,0,1,Config!$K$7))),IF($B95="","",IF(Calcul!$BC$7=$Q$2,Calcul!BM80,Calcul!BW80)))</f>
        <v/>
      </c>
      <c r="P95" s="18" t="str">
        <f ca="1">IF(NAMES!$B$10=FALSE,IF($B95="","",CIE_HT(P$28,$Q$2,OFFSET(Source!$A103,0,0,1,Config!$K$7))),IF($B95="","",IF(Calcul!$BC$7=$Q$2,Calcul!BN80,Calcul!BX80)))</f>
        <v/>
      </c>
      <c r="Q95" s="18" t="str">
        <f t="shared" ref="Q95:Q120" si="4">IF($B95="","",SUM($I95:$P95))</f>
        <v/>
      </c>
      <c r="R95" s="18" t="str">
        <f ca="1">IF(NAMES!$B$10=FALSE,IF($B95="","",TOT_CIE_TC(I$28:P$28,$Q$2,OFFSET(Source!$A103,0,0,1,Config!$K$7))),IF($B95="","",Q95*1.04))</f>
        <v/>
      </c>
      <c r="S95" s="1883" t="str">
        <f ca="1">IF(NAMES!$B$10=FALSE,IF($B95="","",_xludf.FORMULA($B95,$Q$2,OFFSET(Source!$A103,0,0,1,Config!$K$7))),Calcul!IE80)</f>
        <v/>
      </c>
      <c r="T95" s="1883"/>
      <c r="U95" s="1883"/>
    </row>
    <row r="96" spans="1:21" hidden="1">
      <c r="A96" s="11" t="str">
        <f>IF(Cotations!C81=FALSE,"",Cotations!D81)</f>
        <v/>
      </c>
      <c r="B96" s="11" t="str">
        <f>IF(NAMES!$B$10=FALSE,IF(Source!A104="","",Source!A104),Cotations!F81)</f>
        <v/>
      </c>
      <c r="C96" s="11" t="str">
        <f>IF(NAMES!$B$10=FALSE,IF($B96="","",Source!B104),IF($B96="","",Crewlist!J81))</f>
        <v/>
      </c>
      <c r="D96" s="11" t="str">
        <f>IF(NAMES!$B$10=FALSE,IF($B96="","",Source!C104),IF($B96="","",Cotations!H81))</f>
        <v/>
      </c>
      <c r="E96" s="11" t="str">
        <f>IF(NAMES!$B$10=FALSE,IF($B96="","",Source!D104),IF($B96="","",Crewlist!G81))</f>
        <v/>
      </c>
      <c r="F96" s="16" t="str">
        <f>IF(NAMES!$B$10=FALSE,IF($B96="","",Source!E104),IF($B96="","",Crewlist!K81))</f>
        <v/>
      </c>
      <c r="G96" s="17" t="str">
        <f>IF(NAMES!$B$10=FALSE,IF($B96="","",Source!F104),Cotations!O81)</f>
        <v/>
      </c>
      <c r="H96" s="17" t="str">
        <f>IF(NAMES!$B$10=FALSE,IF($B96="","",Source!G104),Cotations!M81)</f>
        <v/>
      </c>
      <c r="I96" s="18" t="str">
        <f ca="1">IF(NAMES!$B$10=FALSE,IF($B96="","",CIE_HT(I$28,$Q$2,OFFSET(Source!$A104,0,0,1,Config!$K$7))),IF($B96="","",IF(Calcul!$BC$7=$Q$2,Calcul!BE81,Calcul!BQ81)))</f>
        <v/>
      </c>
      <c r="J96" s="18" t="str">
        <f ca="1">IF(NAMES!$B$10=FALSE,IF($B96="","",CIE_HT(J$28,$Q$2,OFFSET(Source!$A104,0,0,1,Config!$K$7))),IF($B96="","",IF(Calcul!$BC$7=$Q$2,Calcul!BF81,Calcul!BR81)))</f>
        <v/>
      </c>
      <c r="K96" s="18" t="str">
        <f ca="1">IF(NAMES!$B$10=FALSE,IF($B96="","",CIE_HT(K$28,$Q$2,OFFSET(Source!$A104,0,0,1,Config!$K$7))),IF($B96="","",IF(Calcul!$BC$7=$Q$2,Calcul!BI81,Calcul!BS81)))</f>
        <v/>
      </c>
      <c r="L96" s="18" t="str">
        <f ca="1">IF(NAMES!$B$10=FALSE,IF($B96="","",CIE_HT(L$28,$Q$2,OFFSET(Source!$A104,0,0,1,Config!$K$7))),IF($B96="","",IF(Calcul!$BC$7=$Q$2,Calcul!BJ81,Calcul!BT81)))</f>
        <v/>
      </c>
      <c r="M96" s="18" t="str">
        <f ca="1">IF(NAMES!$B$10=FALSE,IF($B96="","",CIE_HT(M$28,$Q$2,OFFSET(Source!$A104,0,0,1,Config!$K$7))),IF($B96="","",IF(Calcul!$BC$7=$Q$2,Calcul!BK81,Calcul!BU81)))</f>
        <v/>
      </c>
      <c r="N96" s="18" t="str">
        <f ca="1">IF(NAMES!$B$10=FALSE,IF($B96="","",CIE_HT(N$28,$Q$2,OFFSET(Source!$A104,0,0,1,Config!$K$7))),IF($B96="","",IF(Calcul!$BC$7=$Q$2,Calcul!BL81,Calcul!BV81)))</f>
        <v/>
      </c>
      <c r="O96" s="18" t="str">
        <f ca="1">IF(NAMES!$B$10=FALSE,IF($B96="","",CIE_HT(O$28,$Q$2,OFFSET(Source!$A104,0,0,1,Config!$K$7))),IF($B96="","",IF(Calcul!$BC$7=$Q$2,Calcul!BM81,Calcul!BW81)))</f>
        <v/>
      </c>
      <c r="P96" s="18" t="str">
        <f ca="1">IF(NAMES!$B$10=FALSE,IF($B96="","",CIE_HT(P$28,$Q$2,OFFSET(Source!$A104,0,0,1,Config!$K$7))),IF($B96="","",IF(Calcul!$BC$7=$Q$2,Calcul!BN81,Calcul!BX81)))</f>
        <v/>
      </c>
      <c r="Q96" s="18" t="str">
        <f t="shared" si="4"/>
        <v/>
      </c>
      <c r="R96" s="18" t="str">
        <f ca="1">IF(NAMES!$B$10=FALSE,IF($B96="","",TOT_CIE_TC(I$28:P$28,$Q$2,OFFSET(Source!$A104,0,0,1,Config!$K$7))),IF($B96="","",Q96*1.04))</f>
        <v/>
      </c>
      <c r="S96" s="1883" t="str">
        <f ca="1">IF(NAMES!$B$10=FALSE,IF($B96="","",_xludf.FORMULA($B96,$Q$2,OFFSET(Source!$A104,0,0,1,Config!$K$7))),Calcul!IE81)</f>
        <v/>
      </c>
      <c r="T96" s="1883"/>
      <c r="U96" s="1883"/>
    </row>
    <row r="97" spans="1:21" hidden="1">
      <c r="A97" s="11" t="str">
        <f>IF(Cotations!C82=FALSE,"",Cotations!D82)</f>
        <v/>
      </c>
      <c r="B97" s="11" t="str">
        <f>IF(NAMES!$B$10=FALSE,IF(Source!A105="","",Source!A105),Cotations!F82)</f>
        <v/>
      </c>
      <c r="C97" s="11" t="str">
        <f>IF(NAMES!$B$10=FALSE,IF($B97="","",Source!B105),IF($B97="","",Crewlist!J82))</f>
        <v/>
      </c>
      <c r="D97" s="11" t="str">
        <f>IF(NAMES!$B$10=FALSE,IF($B97="","",Source!C105),IF($B97="","",Cotations!H82))</f>
        <v/>
      </c>
      <c r="E97" s="11" t="str">
        <f>IF(NAMES!$B$10=FALSE,IF($B97="","",Source!D105),IF($B97="","",Crewlist!G82))</f>
        <v/>
      </c>
      <c r="F97" s="16" t="str">
        <f>IF(NAMES!$B$10=FALSE,IF($B97="","",Source!E105),IF($B97="","",Crewlist!K82))</f>
        <v/>
      </c>
      <c r="G97" s="17" t="str">
        <f>IF(NAMES!$B$10=FALSE,IF($B97="","",Source!F105),Cotations!O82)</f>
        <v/>
      </c>
      <c r="H97" s="17" t="str">
        <f>IF(NAMES!$B$10=FALSE,IF($B97="","",Source!G105),Cotations!M82)</f>
        <v/>
      </c>
      <c r="I97" s="18" t="str">
        <f ca="1">IF(NAMES!$B$10=FALSE,IF($B97="","",CIE_HT(I$28,$Q$2,OFFSET(Source!$A105,0,0,1,Config!$K$7))),IF($B97="","",IF(Calcul!$BC$7=$Q$2,Calcul!BE82,Calcul!BQ82)))</f>
        <v/>
      </c>
      <c r="J97" s="18" t="str">
        <f ca="1">IF(NAMES!$B$10=FALSE,IF($B97="","",CIE_HT(J$28,$Q$2,OFFSET(Source!$A105,0,0,1,Config!$K$7))),IF($B97="","",IF(Calcul!$BC$7=$Q$2,Calcul!BF82,Calcul!BR82)))</f>
        <v/>
      </c>
      <c r="K97" s="18" t="str">
        <f ca="1">IF(NAMES!$B$10=FALSE,IF($B97="","",CIE_HT(K$28,$Q$2,OFFSET(Source!$A105,0,0,1,Config!$K$7))),IF($B97="","",IF(Calcul!$BC$7=$Q$2,Calcul!BI82,Calcul!BS82)))</f>
        <v/>
      </c>
      <c r="L97" s="18" t="str">
        <f ca="1">IF(NAMES!$B$10=FALSE,IF($B97="","",CIE_HT(L$28,$Q$2,OFFSET(Source!$A105,0,0,1,Config!$K$7))),IF($B97="","",IF(Calcul!$BC$7=$Q$2,Calcul!BJ82,Calcul!BT82)))</f>
        <v/>
      </c>
      <c r="M97" s="18" t="str">
        <f ca="1">IF(NAMES!$B$10=FALSE,IF($B97="","",CIE_HT(M$28,$Q$2,OFFSET(Source!$A105,0,0,1,Config!$K$7))),IF($B97="","",IF(Calcul!$BC$7=$Q$2,Calcul!BK82,Calcul!BU82)))</f>
        <v/>
      </c>
      <c r="N97" s="18" t="str">
        <f ca="1">IF(NAMES!$B$10=FALSE,IF($B97="","",CIE_HT(N$28,$Q$2,OFFSET(Source!$A105,0,0,1,Config!$K$7))),IF($B97="","",IF(Calcul!$BC$7=$Q$2,Calcul!BL82,Calcul!BV82)))</f>
        <v/>
      </c>
      <c r="O97" s="18" t="str">
        <f ca="1">IF(NAMES!$B$10=FALSE,IF($B97="","",CIE_HT(O$28,$Q$2,OFFSET(Source!$A105,0,0,1,Config!$K$7))),IF($B97="","",IF(Calcul!$BC$7=$Q$2,Calcul!BM82,Calcul!BW82)))</f>
        <v/>
      </c>
      <c r="P97" s="18" t="str">
        <f ca="1">IF(NAMES!$B$10=FALSE,IF($B97="","",CIE_HT(P$28,$Q$2,OFFSET(Source!$A105,0,0,1,Config!$K$7))),IF($B97="","",IF(Calcul!$BC$7=$Q$2,Calcul!BN82,Calcul!BX82)))</f>
        <v/>
      </c>
      <c r="Q97" s="18" t="str">
        <f t="shared" si="4"/>
        <v/>
      </c>
      <c r="R97" s="18" t="str">
        <f ca="1">IF(NAMES!$B$10=FALSE,IF($B97="","",TOT_CIE_TC(I$28:P$28,$Q$2,OFFSET(Source!$A105,0,0,1,Config!$K$7))),IF($B97="","",Q97*1.04))</f>
        <v/>
      </c>
      <c r="S97" s="1883" t="str">
        <f ca="1">IF(NAMES!$B$10=FALSE,IF($B97="","",_xludf.FORMULA($B97,$Q$2,OFFSET(Source!$A105,0,0,1,Config!$K$7))),Calcul!IE82)</f>
        <v/>
      </c>
      <c r="T97" s="1883"/>
      <c r="U97" s="1883"/>
    </row>
    <row r="98" spans="1:21" hidden="1">
      <c r="A98" s="11" t="str">
        <f>IF(Cotations!C83=FALSE,"",Cotations!D83)</f>
        <v/>
      </c>
      <c r="B98" s="11" t="str">
        <f>IF(NAMES!$B$10=FALSE,IF(Source!A106="","",Source!A106),Cotations!F83)</f>
        <v/>
      </c>
      <c r="C98" s="11" t="str">
        <f>IF(NAMES!$B$10=FALSE,IF($B98="","",Source!B106),IF($B98="","",Crewlist!J83))</f>
        <v/>
      </c>
      <c r="D98" s="11" t="str">
        <f>IF(NAMES!$B$10=FALSE,IF($B98="","",Source!C106),IF($B98="","",Cotations!H83))</f>
        <v/>
      </c>
      <c r="E98" s="11" t="str">
        <f>IF(NAMES!$B$10=FALSE,IF($B98="","",Source!D106),IF($B98="","",Crewlist!G83))</f>
        <v/>
      </c>
      <c r="F98" s="16" t="str">
        <f>IF(NAMES!$B$10=FALSE,IF($B98="","",Source!E106),IF($B98="","",Crewlist!K83))</f>
        <v/>
      </c>
      <c r="G98" s="17" t="str">
        <f>IF(NAMES!$B$10=FALSE,IF($B98="","",Source!F106),Cotations!O83)</f>
        <v/>
      </c>
      <c r="H98" s="17" t="str">
        <f>IF(NAMES!$B$10=FALSE,IF($B98="","",Source!G106),Cotations!M83)</f>
        <v/>
      </c>
      <c r="I98" s="18" t="str">
        <f ca="1">IF(NAMES!$B$10=FALSE,IF($B98="","",CIE_HT(I$28,$Q$2,OFFSET(Source!$A106,0,0,1,Config!$K$7))),IF($B98="","",IF(Calcul!$BC$7=$Q$2,Calcul!BE83,Calcul!BQ83)))</f>
        <v/>
      </c>
      <c r="J98" s="18" t="str">
        <f ca="1">IF(NAMES!$B$10=FALSE,IF($B98="","",CIE_HT(J$28,$Q$2,OFFSET(Source!$A106,0,0,1,Config!$K$7))),IF($B98="","",IF(Calcul!$BC$7=$Q$2,Calcul!BF83,Calcul!BR83)))</f>
        <v/>
      </c>
      <c r="K98" s="18" t="str">
        <f ca="1">IF(NAMES!$B$10=FALSE,IF($B98="","",CIE_HT(K$28,$Q$2,OFFSET(Source!$A106,0,0,1,Config!$K$7))),IF($B98="","",IF(Calcul!$BC$7=$Q$2,Calcul!BI83,Calcul!BS83)))</f>
        <v/>
      </c>
      <c r="L98" s="18" t="str">
        <f ca="1">IF(NAMES!$B$10=FALSE,IF($B98="","",CIE_HT(L$28,$Q$2,OFFSET(Source!$A106,0,0,1,Config!$K$7))),IF($B98="","",IF(Calcul!$BC$7=$Q$2,Calcul!BJ83,Calcul!BT83)))</f>
        <v/>
      </c>
      <c r="M98" s="18" t="str">
        <f ca="1">IF(NAMES!$B$10=FALSE,IF($B98="","",CIE_HT(M$28,$Q$2,OFFSET(Source!$A106,0,0,1,Config!$K$7))),IF($B98="","",IF(Calcul!$BC$7=$Q$2,Calcul!BK83,Calcul!BU83)))</f>
        <v/>
      </c>
      <c r="N98" s="18" t="str">
        <f ca="1">IF(NAMES!$B$10=FALSE,IF($B98="","",CIE_HT(N$28,$Q$2,OFFSET(Source!$A106,0,0,1,Config!$K$7))),IF($B98="","",IF(Calcul!$BC$7=$Q$2,Calcul!BL83,Calcul!BV83)))</f>
        <v/>
      </c>
      <c r="O98" s="18" t="str">
        <f ca="1">IF(NAMES!$B$10=FALSE,IF($B98="","",CIE_HT(O$28,$Q$2,OFFSET(Source!$A106,0,0,1,Config!$K$7))),IF($B98="","",IF(Calcul!$BC$7=$Q$2,Calcul!BM83,Calcul!BW83)))</f>
        <v/>
      </c>
      <c r="P98" s="18" t="str">
        <f ca="1">IF(NAMES!$B$10=FALSE,IF($B98="","",CIE_HT(P$28,$Q$2,OFFSET(Source!$A106,0,0,1,Config!$K$7))),IF($B98="","",IF(Calcul!$BC$7=$Q$2,Calcul!BN83,Calcul!BX83)))</f>
        <v/>
      </c>
      <c r="Q98" s="18" t="str">
        <f t="shared" si="4"/>
        <v/>
      </c>
      <c r="R98" s="18" t="str">
        <f ca="1">IF(NAMES!$B$10=FALSE,IF($B98="","",TOT_CIE_TC(I$28:P$28,$Q$2,OFFSET(Source!$A106,0,0,1,Config!$K$7))),IF($B98="","",Q98*1.04))</f>
        <v/>
      </c>
      <c r="S98" s="1883" t="str">
        <f ca="1">IF(NAMES!$B$10=FALSE,IF($B98="","",_xludf.FORMULA($B98,$Q$2,OFFSET(Source!$A106,0,0,1,Config!$K$7))),Calcul!IE83)</f>
        <v/>
      </c>
      <c r="T98" s="1883"/>
      <c r="U98" s="1883"/>
    </row>
    <row r="99" spans="1:21" hidden="1">
      <c r="A99" s="11" t="str">
        <f>IF(Cotations!C84=FALSE,"",Cotations!D84)</f>
        <v/>
      </c>
      <c r="B99" s="11" t="str">
        <f>IF(NAMES!$B$10=FALSE,IF(Source!A107="","",Source!A107),Cotations!F84)</f>
        <v/>
      </c>
      <c r="C99" s="11" t="str">
        <f>IF(NAMES!$B$10=FALSE,IF($B99="","",Source!B107),IF($B99="","",Crewlist!J84))</f>
        <v/>
      </c>
      <c r="D99" s="11" t="str">
        <f>IF(NAMES!$B$10=FALSE,IF($B99="","",Source!C107),IF($B99="","",Cotations!H84))</f>
        <v/>
      </c>
      <c r="E99" s="11" t="str">
        <f>IF(NAMES!$B$10=FALSE,IF($B99="","",Source!D107),IF($B99="","",Crewlist!G84))</f>
        <v/>
      </c>
      <c r="F99" s="16" t="str">
        <f>IF(NAMES!$B$10=FALSE,IF($B99="","",Source!E107),IF($B99="","",Crewlist!K84))</f>
        <v/>
      </c>
      <c r="G99" s="17" t="str">
        <f>IF(NAMES!$B$10=FALSE,IF($B99="","",Source!F107),Cotations!O84)</f>
        <v/>
      </c>
      <c r="H99" s="17" t="str">
        <f>IF(NAMES!$B$10=FALSE,IF($B99="","",Source!G107),Cotations!M84)</f>
        <v/>
      </c>
      <c r="I99" s="18" t="str">
        <f ca="1">IF(NAMES!$B$10=FALSE,IF($B99="","",CIE_HT(I$28,$Q$2,OFFSET(Source!$A107,0,0,1,Config!$K$7))),IF($B99="","",IF(Calcul!$BC$7=$Q$2,Calcul!BE84,Calcul!BQ84)))</f>
        <v/>
      </c>
      <c r="J99" s="18" t="str">
        <f ca="1">IF(NAMES!$B$10=FALSE,IF($B99="","",CIE_HT(J$28,$Q$2,OFFSET(Source!$A107,0,0,1,Config!$K$7))),IF($B99="","",IF(Calcul!$BC$7=$Q$2,Calcul!BF84,Calcul!BR84)))</f>
        <v/>
      </c>
      <c r="K99" s="18" t="str">
        <f ca="1">IF(NAMES!$B$10=FALSE,IF($B99="","",CIE_HT(K$28,$Q$2,OFFSET(Source!$A107,0,0,1,Config!$K$7))),IF($B99="","",IF(Calcul!$BC$7=$Q$2,Calcul!BI84,Calcul!BS84)))</f>
        <v/>
      </c>
      <c r="L99" s="18" t="str">
        <f ca="1">IF(NAMES!$B$10=FALSE,IF($B99="","",CIE_HT(L$28,$Q$2,OFFSET(Source!$A107,0,0,1,Config!$K$7))),IF($B99="","",IF(Calcul!$BC$7=$Q$2,Calcul!BJ84,Calcul!BT84)))</f>
        <v/>
      </c>
      <c r="M99" s="18" t="str">
        <f ca="1">IF(NAMES!$B$10=FALSE,IF($B99="","",CIE_HT(M$28,$Q$2,OFFSET(Source!$A107,0,0,1,Config!$K$7))),IF($B99="","",IF(Calcul!$BC$7=$Q$2,Calcul!BK84,Calcul!BU84)))</f>
        <v/>
      </c>
      <c r="N99" s="18" t="str">
        <f ca="1">IF(NAMES!$B$10=FALSE,IF($B99="","",CIE_HT(N$28,$Q$2,OFFSET(Source!$A107,0,0,1,Config!$K$7))),IF($B99="","",IF(Calcul!$BC$7=$Q$2,Calcul!BL84,Calcul!BV84)))</f>
        <v/>
      </c>
      <c r="O99" s="18" t="str">
        <f ca="1">IF(NAMES!$B$10=FALSE,IF($B99="","",CIE_HT(O$28,$Q$2,OFFSET(Source!$A107,0,0,1,Config!$K$7))),IF($B99="","",IF(Calcul!$BC$7=$Q$2,Calcul!BM84,Calcul!BW84)))</f>
        <v/>
      </c>
      <c r="P99" s="18" t="str">
        <f ca="1">IF(NAMES!$B$10=FALSE,IF($B99="","",CIE_HT(P$28,$Q$2,OFFSET(Source!$A107,0,0,1,Config!$K$7))),IF($B99="","",IF(Calcul!$BC$7=$Q$2,Calcul!BN84,Calcul!BX84)))</f>
        <v/>
      </c>
      <c r="Q99" s="18" t="str">
        <f t="shared" si="4"/>
        <v/>
      </c>
      <c r="R99" s="18" t="str">
        <f ca="1">IF(NAMES!$B$10=FALSE,IF($B99="","",TOT_CIE_TC(I$28:P$28,$Q$2,OFFSET(Source!$A107,0,0,1,Config!$K$7))),IF($B99="","",Q99*1.04))</f>
        <v/>
      </c>
      <c r="S99" s="1883" t="str">
        <f ca="1">IF(NAMES!$B$10=FALSE,IF($B99="","",_xludf.FORMULA($B99,$Q$2,OFFSET(Source!$A107,0,0,1,Config!$K$7))),Calcul!IE84)</f>
        <v/>
      </c>
      <c r="T99" s="1883"/>
      <c r="U99" s="1883"/>
    </row>
    <row r="100" spans="1:21" hidden="1">
      <c r="A100" s="11" t="str">
        <f>IF(Cotations!C85=FALSE,"",Cotations!D85)</f>
        <v/>
      </c>
      <c r="B100" s="11" t="str">
        <f>IF(NAMES!$B$10=FALSE,IF(Source!A108="","",Source!A108),Cotations!F85)</f>
        <v/>
      </c>
      <c r="C100" s="11" t="str">
        <f>IF(NAMES!$B$10=FALSE,IF($B100="","",Source!B108),IF($B100="","",Crewlist!J85))</f>
        <v/>
      </c>
      <c r="D100" s="11" t="str">
        <f>IF(NAMES!$B$10=FALSE,IF($B100="","",Source!C108),IF($B100="","",Cotations!H85))</f>
        <v/>
      </c>
      <c r="E100" s="11" t="str">
        <f>IF(NAMES!$B$10=FALSE,IF($B100="","",Source!D108),IF($B100="","",Crewlist!G85))</f>
        <v/>
      </c>
      <c r="F100" s="16" t="str">
        <f>IF(NAMES!$B$10=FALSE,IF($B100="","",Source!E108),IF($B100="","",Crewlist!K85))</f>
        <v/>
      </c>
      <c r="G100" s="17" t="str">
        <f>IF(NAMES!$B$10=FALSE,IF($B100="","",Source!F108),Cotations!O85)</f>
        <v/>
      </c>
      <c r="H100" s="17" t="str">
        <f>IF(NAMES!$B$10=FALSE,IF($B100="","",Source!G108),Cotations!M85)</f>
        <v/>
      </c>
      <c r="I100" s="18" t="str">
        <f ca="1">IF(NAMES!$B$10=FALSE,IF($B100="","",CIE_HT(I$28,$Q$2,OFFSET(Source!$A108,0,0,1,Config!$K$7))),IF($B100="","",IF(Calcul!$BC$7=$Q$2,Calcul!BE85,Calcul!BQ85)))</f>
        <v/>
      </c>
      <c r="J100" s="18" t="str">
        <f ca="1">IF(NAMES!$B$10=FALSE,IF($B100="","",CIE_HT(J$28,$Q$2,OFFSET(Source!$A108,0,0,1,Config!$K$7))),IF($B100="","",IF(Calcul!$BC$7=$Q$2,Calcul!BF85,Calcul!BR85)))</f>
        <v/>
      </c>
      <c r="K100" s="18" t="str">
        <f ca="1">IF(NAMES!$B$10=FALSE,IF($B100="","",CIE_HT(K$28,$Q$2,OFFSET(Source!$A108,0,0,1,Config!$K$7))),IF($B100="","",IF(Calcul!$BC$7=$Q$2,Calcul!BI85,Calcul!BS85)))</f>
        <v/>
      </c>
      <c r="L100" s="18" t="str">
        <f ca="1">IF(NAMES!$B$10=FALSE,IF($B100="","",CIE_HT(L$28,$Q$2,OFFSET(Source!$A108,0,0,1,Config!$K$7))),IF($B100="","",IF(Calcul!$BC$7=$Q$2,Calcul!BJ85,Calcul!BT85)))</f>
        <v/>
      </c>
      <c r="M100" s="18" t="str">
        <f ca="1">IF(NAMES!$B$10=FALSE,IF($B100="","",CIE_HT(M$28,$Q$2,OFFSET(Source!$A108,0,0,1,Config!$K$7))),IF($B100="","",IF(Calcul!$BC$7=$Q$2,Calcul!BK85,Calcul!BU85)))</f>
        <v/>
      </c>
      <c r="N100" s="18" t="str">
        <f ca="1">IF(NAMES!$B$10=FALSE,IF($B100="","",CIE_HT(N$28,$Q$2,OFFSET(Source!$A108,0,0,1,Config!$K$7))),IF($B100="","",IF(Calcul!$BC$7=$Q$2,Calcul!BL85,Calcul!BV85)))</f>
        <v/>
      </c>
      <c r="O100" s="18" t="str">
        <f ca="1">IF(NAMES!$B$10=FALSE,IF($B100="","",CIE_HT(O$28,$Q$2,OFFSET(Source!$A108,0,0,1,Config!$K$7))),IF($B100="","",IF(Calcul!$BC$7=$Q$2,Calcul!BM85,Calcul!BW85)))</f>
        <v/>
      </c>
      <c r="P100" s="18" t="str">
        <f ca="1">IF(NAMES!$B$10=FALSE,IF($B100="","",CIE_HT(P$28,$Q$2,OFFSET(Source!$A108,0,0,1,Config!$K$7))),IF($B100="","",IF(Calcul!$BC$7=$Q$2,Calcul!BN85,Calcul!BX85)))</f>
        <v/>
      </c>
      <c r="Q100" s="18" t="str">
        <f t="shared" si="4"/>
        <v/>
      </c>
      <c r="R100" s="18" t="str">
        <f ca="1">IF(NAMES!$B$10=FALSE,IF($B100="","",TOT_CIE_TC(I$28:P$28,$Q$2,OFFSET(Source!$A108,0,0,1,Config!$K$7))),IF($B100="","",Q100*1.04))</f>
        <v/>
      </c>
      <c r="S100" s="1883" t="str">
        <f ca="1">IF(NAMES!$B$10=FALSE,IF($B100="","",_xludf.FORMULA($B100,$Q$2,OFFSET(Source!$A108,0,0,1,Config!$K$7))),Calcul!IE85)</f>
        <v/>
      </c>
      <c r="T100" s="1883"/>
      <c r="U100" s="1883"/>
    </row>
    <row r="101" spans="1:21" hidden="1">
      <c r="A101" s="11" t="str">
        <f>IF(Cotations!C86=FALSE,"",Cotations!D86)</f>
        <v/>
      </c>
      <c r="B101" s="11" t="str">
        <f>IF(NAMES!$B$10=FALSE,IF(Source!A109="","",Source!A109),Cotations!F86)</f>
        <v/>
      </c>
      <c r="C101" s="11" t="str">
        <f>IF(NAMES!$B$10=FALSE,IF($B101="","",Source!B109),IF($B101="","",Crewlist!J86))</f>
        <v/>
      </c>
      <c r="D101" s="11" t="str">
        <f>IF(NAMES!$B$10=FALSE,IF($B101="","",Source!C109),IF($B101="","",Cotations!H86))</f>
        <v/>
      </c>
      <c r="E101" s="11" t="str">
        <f>IF(NAMES!$B$10=FALSE,IF($B101="","",Source!D109),IF($B101="","",Crewlist!G86))</f>
        <v/>
      </c>
      <c r="F101" s="16" t="str">
        <f>IF(NAMES!$B$10=FALSE,IF($B101="","",Source!E109),IF($B101="","",Crewlist!K86))</f>
        <v/>
      </c>
      <c r="G101" s="17" t="str">
        <f>IF(NAMES!$B$10=FALSE,IF($B101="","",Source!F109),Cotations!O86)</f>
        <v/>
      </c>
      <c r="H101" s="17" t="str">
        <f>IF(NAMES!$B$10=FALSE,IF($B101="","",Source!G109),Cotations!M86)</f>
        <v/>
      </c>
      <c r="I101" s="18" t="str">
        <f ca="1">IF(NAMES!$B$10=FALSE,IF($B101="","",CIE_HT(I$28,$Q$2,OFFSET(Source!$A109,0,0,1,Config!$K$7))),IF($B101="","",IF(Calcul!$BC$7=$Q$2,Calcul!BE86,Calcul!BQ86)))</f>
        <v/>
      </c>
      <c r="J101" s="18" t="str">
        <f ca="1">IF(NAMES!$B$10=FALSE,IF($B101="","",CIE_HT(J$28,$Q$2,OFFSET(Source!$A109,0,0,1,Config!$K$7))),IF($B101="","",IF(Calcul!$BC$7=$Q$2,Calcul!BF86,Calcul!BR86)))</f>
        <v/>
      </c>
      <c r="K101" s="18" t="str">
        <f ca="1">IF(NAMES!$B$10=FALSE,IF($B101="","",CIE_HT(K$28,$Q$2,OFFSET(Source!$A109,0,0,1,Config!$K$7))),IF($B101="","",IF(Calcul!$BC$7=$Q$2,Calcul!BI86,Calcul!BS86)))</f>
        <v/>
      </c>
      <c r="L101" s="18" t="str">
        <f ca="1">IF(NAMES!$B$10=FALSE,IF($B101="","",CIE_HT(L$28,$Q$2,OFFSET(Source!$A109,0,0,1,Config!$K$7))),IF($B101="","",IF(Calcul!$BC$7=$Q$2,Calcul!BJ86,Calcul!BT86)))</f>
        <v/>
      </c>
      <c r="M101" s="18" t="str">
        <f ca="1">IF(NAMES!$B$10=FALSE,IF($B101="","",CIE_HT(M$28,$Q$2,OFFSET(Source!$A109,0,0,1,Config!$K$7))),IF($B101="","",IF(Calcul!$BC$7=$Q$2,Calcul!BK86,Calcul!BU86)))</f>
        <v/>
      </c>
      <c r="N101" s="18" t="str">
        <f ca="1">IF(NAMES!$B$10=FALSE,IF($B101="","",CIE_HT(N$28,$Q$2,OFFSET(Source!$A109,0,0,1,Config!$K$7))),IF($B101="","",IF(Calcul!$BC$7=$Q$2,Calcul!BL86,Calcul!BV86)))</f>
        <v/>
      </c>
      <c r="O101" s="18" t="str">
        <f ca="1">IF(NAMES!$B$10=FALSE,IF($B101="","",CIE_HT(O$28,$Q$2,OFFSET(Source!$A109,0,0,1,Config!$K$7))),IF($B101="","",IF(Calcul!$BC$7=$Q$2,Calcul!BM86,Calcul!BW86)))</f>
        <v/>
      </c>
      <c r="P101" s="18" t="str">
        <f ca="1">IF(NAMES!$B$10=FALSE,IF($B101="","",CIE_HT(P$28,$Q$2,OFFSET(Source!$A109,0,0,1,Config!$K$7))),IF($B101="","",IF(Calcul!$BC$7=$Q$2,Calcul!BN86,Calcul!BX86)))</f>
        <v/>
      </c>
      <c r="Q101" s="18" t="str">
        <f t="shared" si="4"/>
        <v/>
      </c>
      <c r="R101" s="18" t="str">
        <f ca="1">IF(NAMES!$B$10=FALSE,IF($B101="","",TOT_CIE_TC(I$28:P$28,$Q$2,OFFSET(Source!$A109,0,0,1,Config!$K$7))),IF($B101="","",Q101*1.04))</f>
        <v/>
      </c>
      <c r="S101" s="1883" t="str">
        <f ca="1">IF(NAMES!$B$10=FALSE,IF($B101="","",_xludf.FORMULA($B101,$Q$2,OFFSET(Source!$A109,0,0,1,Config!$K$7))),Calcul!IE86)</f>
        <v/>
      </c>
      <c r="T101" s="1883"/>
      <c r="U101" s="1883"/>
    </row>
    <row r="102" spans="1:21" ht="12.75" hidden="1" customHeight="1">
      <c r="A102" s="11" t="str">
        <f>IF(Cotations!C87=FALSE,"",Cotations!D87)</f>
        <v/>
      </c>
      <c r="B102" s="11" t="str">
        <f>IF(NAMES!$B$10=FALSE,IF(Source!A110="","",Source!A110),Cotations!F87)</f>
        <v/>
      </c>
      <c r="C102" s="11" t="str">
        <f>IF(NAMES!$B$10=FALSE,IF($B102="","",Source!B110),IF($B102="","",Crewlist!J87))</f>
        <v/>
      </c>
      <c r="D102" s="11" t="str">
        <f>IF(NAMES!$B$10=FALSE,IF($B102="","",Source!C110),IF($B102="","",Cotations!H87))</f>
        <v/>
      </c>
      <c r="E102" s="11" t="str">
        <f>IF(NAMES!$B$10=FALSE,IF($B102="","",Source!D110),IF($B102="","",Crewlist!G87))</f>
        <v/>
      </c>
      <c r="F102" s="16" t="str">
        <f>IF(NAMES!$B$10=FALSE,IF($B102="","",Source!E110),IF($B102="","",Crewlist!K87))</f>
        <v/>
      </c>
      <c r="G102" s="17" t="str">
        <f>IF(NAMES!$B$10=FALSE,IF($B102="","",Source!F110),Cotations!O87)</f>
        <v/>
      </c>
      <c r="H102" s="17" t="str">
        <f>IF(NAMES!$B$10=FALSE,IF($B102="","",Source!G110),Cotations!M87)</f>
        <v/>
      </c>
      <c r="I102" s="18" t="str">
        <f ca="1">IF(NAMES!$B$10=FALSE,IF($B102="","",CIE_HT(I$28,$Q$2,OFFSET(Source!$A110,0,0,1,Config!$K$7))),IF($B102="","",IF(Calcul!$BC$7=$Q$2,Calcul!BE87,Calcul!BQ87)))</f>
        <v/>
      </c>
      <c r="J102" s="18" t="str">
        <f ca="1">IF(NAMES!$B$10=FALSE,IF($B102="","",CIE_HT(J$28,$Q$2,OFFSET(Source!$A110,0,0,1,Config!$K$7))),IF($B102="","",IF(Calcul!$BC$7=$Q$2,Calcul!BF87,Calcul!BR87)))</f>
        <v/>
      </c>
      <c r="K102" s="18" t="str">
        <f ca="1">IF(NAMES!$B$10=FALSE,IF($B102="","",CIE_HT(K$28,$Q$2,OFFSET(Source!$A110,0,0,1,Config!$K$7))),IF($B102="","",IF(Calcul!$BC$7=$Q$2,Calcul!BI87,Calcul!BS87)))</f>
        <v/>
      </c>
      <c r="L102" s="18" t="str">
        <f ca="1">IF(NAMES!$B$10=FALSE,IF($B102="","",CIE_HT(L$28,$Q$2,OFFSET(Source!$A110,0,0,1,Config!$K$7))),IF($B102="","",IF(Calcul!$BC$7=$Q$2,Calcul!BJ87,Calcul!BT87)))</f>
        <v/>
      </c>
      <c r="M102" s="18" t="str">
        <f ca="1">IF(NAMES!$B$10=FALSE,IF($B102="","",CIE_HT(M$28,$Q$2,OFFSET(Source!$A110,0,0,1,Config!$K$7))),IF($B102="","",IF(Calcul!$BC$7=$Q$2,Calcul!BK87,Calcul!BU87)))</f>
        <v/>
      </c>
      <c r="N102" s="18" t="str">
        <f ca="1">IF(NAMES!$B$10=FALSE,IF($B102="","",CIE_HT(N$28,$Q$2,OFFSET(Source!$A110,0,0,1,Config!$K$7))),IF($B102="","",IF(Calcul!$BC$7=$Q$2,Calcul!BL87,Calcul!BV87)))</f>
        <v/>
      </c>
      <c r="O102" s="18" t="str">
        <f ca="1">IF(NAMES!$B$10=FALSE,IF($B102="","",CIE_HT(O$28,$Q$2,OFFSET(Source!$A110,0,0,1,Config!$K$7))),IF($B102="","",IF(Calcul!$BC$7=$Q$2,Calcul!BM87,Calcul!BW87)))</f>
        <v/>
      </c>
      <c r="P102" s="18" t="str">
        <f ca="1">IF(NAMES!$B$10=FALSE,IF($B102="","",CIE_HT(P$28,$Q$2,OFFSET(Source!$A110,0,0,1,Config!$K$7))),IF($B102="","",IF(Calcul!$BC$7=$Q$2,Calcul!BN87,Calcul!BX87)))</f>
        <v/>
      </c>
      <c r="Q102" s="18" t="str">
        <f t="shared" si="4"/>
        <v/>
      </c>
      <c r="R102" s="18" t="str">
        <f ca="1">IF(NAMES!$B$10=FALSE,IF($B102="","",TOT_CIE_TC(I$28:P$28,$Q$2,OFFSET(Source!$A110,0,0,1,Config!$K$7))),IF($B102="","",Q102*1.04))</f>
        <v/>
      </c>
      <c r="S102" s="1883" t="str">
        <f ca="1">IF(NAMES!$B$10=FALSE,IF($B102="","",_xludf.FORMULA($B102,$Q$2,OFFSET(Source!$A110,0,0,1,Config!$K$7))),Calcul!IE87)</f>
        <v/>
      </c>
      <c r="T102" s="1883"/>
      <c r="U102" s="1883"/>
    </row>
    <row r="103" spans="1:21" hidden="1">
      <c r="A103" s="11" t="str">
        <f>IF(Cotations!C88=FALSE,"",Cotations!D88)</f>
        <v/>
      </c>
      <c r="B103" s="11" t="str">
        <f>IF(NAMES!$B$10=FALSE,IF(Source!A111="","",Source!A111),Cotations!F88)</f>
        <v/>
      </c>
      <c r="C103" s="11" t="str">
        <f>IF(NAMES!$B$10=FALSE,IF($B103="","",Source!B111),IF($B103="","",Crewlist!J88))</f>
        <v/>
      </c>
      <c r="D103" s="11" t="str">
        <f>IF(NAMES!$B$10=FALSE,IF($B103="","",Source!C111),IF($B103="","",Cotations!H88))</f>
        <v/>
      </c>
      <c r="E103" s="11" t="str">
        <f>IF(NAMES!$B$10=FALSE,IF($B103="","",Source!D111),IF($B103="","",Crewlist!G88))</f>
        <v/>
      </c>
      <c r="F103" s="16" t="str">
        <f>IF(NAMES!$B$10=FALSE,IF($B103="","",Source!E111),IF($B103="","",Crewlist!K88))</f>
        <v/>
      </c>
      <c r="G103" s="17" t="str">
        <f>IF(NAMES!$B$10=FALSE,IF($B103="","",Source!F111),Cotations!O88)</f>
        <v/>
      </c>
      <c r="H103" s="17" t="str">
        <f>IF(NAMES!$B$10=FALSE,IF($B103="","",Source!G111),Cotations!M88)</f>
        <v/>
      </c>
      <c r="I103" s="18" t="str">
        <f ca="1">IF(NAMES!$B$10=FALSE,IF($B103="","",CIE_HT(I$28,$Q$2,OFFSET(Source!$A111,0,0,1,Config!$K$7))),IF($B103="","",IF(Calcul!$BC$7=$Q$2,Calcul!BE88,Calcul!BQ88)))</f>
        <v/>
      </c>
      <c r="J103" s="18" t="str">
        <f ca="1">IF(NAMES!$B$10=FALSE,IF($B103="","",CIE_HT(J$28,$Q$2,OFFSET(Source!$A111,0,0,1,Config!$K$7))),IF($B103="","",IF(Calcul!$BC$7=$Q$2,Calcul!BF88,Calcul!BR88)))</f>
        <v/>
      </c>
      <c r="K103" s="18" t="str">
        <f ca="1">IF(NAMES!$B$10=FALSE,IF($B103="","",CIE_HT(K$28,$Q$2,OFFSET(Source!$A111,0,0,1,Config!$K$7))),IF($B103="","",IF(Calcul!$BC$7=$Q$2,Calcul!BI88,Calcul!BS88)))</f>
        <v/>
      </c>
      <c r="L103" s="18" t="str">
        <f ca="1">IF(NAMES!$B$10=FALSE,IF($B103="","",CIE_HT(L$28,$Q$2,OFFSET(Source!$A111,0,0,1,Config!$K$7))),IF($B103="","",IF(Calcul!$BC$7=$Q$2,Calcul!BJ88,Calcul!BT88)))</f>
        <v/>
      </c>
      <c r="M103" s="18" t="str">
        <f ca="1">IF(NAMES!$B$10=FALSE,IF($B103="","",CIE_HT(M$28,$Q$2,OFFSET(Source!$A111,0,0,1,Config!$K$7))),IF($B103="","",IF(Calcul!$BC$7=$Q$2,Calcul!BK88,Calcul!BU88)))</f>
        <v/>
      </c>
      <c r="N103" s="18" t="str">
        <f ca="1">IF(NAMES!$B$10=FALSE,IF($B103="","",CIE_HT(N$28,$Q$2,OFFSET(Source!$A111,0,0,1,Config!$K$7))),IF($B103="","",IF(Calcul!$BC$7=$Q$2,Calcul!BL88,Calcul!BV88)))</f>
        <v/>
      </c>
      <c r="O103" s="18" t="str">
        <f ca="1">IF(NAMES!$B$10=FALSE,IF($B103="","",CIE_HT(O$28,$Q$2,OFFSET(Source!$A111,0,0,1,Config!$K$7))),IF($B103="","",IF(Calcul!$BC$7=$Q$2,Calcul!BM88,Calcul!BW88)))</f>
        <v/>
      </c>
      <c r="P103" s="18" t="str">
        <f ca="1">IF(NAMES!$B$10=FALSE,IF($B103="","",CIE_HT(P$28,$Q$2,OFFSET(Source!$A111,0,0,1,Config!$K$7))),IF($B103="","",IF(Calcul!$BC$7=$Q$2,Calcul!BN88,Calcul!BX88)))</f>
        <v/>
      </c>
      <c r="Q103" s="18" t="str">
        <f t="shared" si="4"/>
        <v/>
      </c>
      <c r="R103" s="18" t="str">
        <f ca="1">IF(NAMES!$B$10=FALSE,IF($B103="","",TOT_CIE_TC(I$28:P$28,$Q$2,OFFSET(Source!$A111,0,0,1,Config!$K$7))),IF($B103="","",Q103*1.04))</f>
        <v/>
      </c>
      <c r="S103" s="1883" t="str">
        <f ca="1">IF(NAMES!$B$10=FALSE,IF($B103="","",_xludf.FORMULA($B103,$Q$2,OFFSET(Source!$A111,0,0,1,Config!$K$7))),Calcul!IE88)</f>
        <v/>
      </c>
      <c r="T103" s="1883"/>
      <c r="U103" s="1883"/>
    </row>
    <row r="104" spans="1:21" hidden="1">
      <c r="A104" s="11" t="str">
        <f>IF(Cotations!C89=FALSE,"",Cotations!D89)</f>
        <v/>
      </c>
      <c r="B104" s="11" t="str">
        <f>IF(NAMES!$B$10=FALSE,IF(Source!A112="","",Source!A112),Cotations!F89)</f>
        <v/>
      </c>
      <c r="C104" s="11" t="str">
        <f>IF(NAMES!$B$10=FALSE,IF($B104="","",Source!B112),IF($B104="","",Crewlist!J89))</f>
        <v/>
      </c>
      <c r="D104" s="11" t="str">
        <f>IF(NAMES!$B$10=FALSE,IF($B104="","",Source!C112),IF($B104="","",Cotations!H89))</f>
        <v/>
      </c>
      <c r="E104" s="11" t="str">
        <f>IF(NAMES!$B$10=FALSE,IF($B104="","",Source!D112),IF($B104="","",Crewlist!G89))</f>
        <v/>
      </c>
      <c r="F104" s="16" t="str">
        <f>IF(NAMES!$B$10=FALSE,IF($B104="","",Source!E112),IF($B104="","",Crewlist!K89))</f>
        <v/>
      </c>
      <c r="G104" s="17" t="str">
        <f>IF(NAMES!$B$10=FALSE,IF($B104="","",Source!F112),Cotations!O89)</f>
        <v/>
      </c>
      <c r="H104" s="17" t="str">
        <f>IF(NAMES!$B$10=FALSE,IF($B104="","",Source!G112),Cotations!M89)</f>
        <v/>
      </c>
      <c r="I104" s="18" t="str">
        <f ca="1">IF(NAMES!$B$10=FALSE,IF($B104="","",CIE_HT(I$28,$Q$2,OFFSET(Source!$A112,0,0,1,Config!$K$7))),IF($B104="","",IF(Calcul!$BC$7=$Q$2,Calcul!BE89,Calcul!BQ89)))</f>
        <v/>
      </c>
      <c r="J104" s="18" t="str">
        <f ca="1">IF(NAMES!$B$10=FALSE,IF($B104="","",CIE_HT(J$28,$Q$2,OFFSET(Source!$A112,0,0,1,Config!$K$7))),IF($B104="","",IF(Calcul!$BC$7=$Q$2,Calcul!BF89,Calcul!BR89)))</f>
        <v/>
      </c>
      <c r="K104" s="18" t="str">
        <f ca="1">IF(NAMES!$B$10=FALSE,IF($B104="","",CIE_HT(K$28,$Q$2,OFFSET(Source!$A112,0,0,1,Config!$K$7))),IF($B104="","",IF(Calcul!$BC$7=$Q$2,Calcul!BI89,Calcul!BS89)))</f>
        <v/>
      </c>
      <c r="L104" s="18" t="str">
        <f ca="1">IF(NAMES!$B$10=FALSE,IF($B104="","",CIE_HT(L$28,$Q$2,OFFSET(Source!$A112,0,0,1,Config!$K$7))),IF($B104="","",IF(Calcul!$BC$7=$Q$2,Calcul!BJ89,Calcul!BT89)))</f>
        <v/>
      </c>
      <c r="M104" s="18" t="str">
        <f ca="1">IF(NAMES!$B$10=FALSE,IF($B104="","",CIE_HT(M$28,$Q$2,OFFSET(Source!$A112,0,0,1,Config!$K$7))),IF($B104="","",IF(Calcul!$BC$7=$Q$2,Calcul!BK89,Calcul!BU89)))</f>
        <v/>
      </c>
      <c r="N104" s="18" t="str">
        <f ca="1">IF(NAMES!$B$10=FALSE,IF($B104="","",CIE_HT(N$28,$Q$2,OFFSET(Source!$A112,0,0,1,Config!$K$7))),IF($B104="","",IF(Calcul!$BC$7=$Q$2,Calcul!BL89,Calcul!BV89)))</f>
        <v/>
      </c>
      <c r="O104" s="18" t="str">
        <f ca="1">IF(NAMES!$B$10=FALSE,IF($B104="","",CIE_HT(O$28,$Q$2,OFFSET(Source!$A112,0,0,1,Config!$K$7))),IF($B104="","",IF(Calcul!$BC$7=$Q$2,Calcul!BM89,Calcul!BW89)))</f>
        <v/>
      </c>
      <c r="P104" s="18" t="str">
        <f ca="1">IF(NAMES!$B$10=FALSE,IF($B104="","",CIE_HT(P$28,$Q$2,OFFSET(Source!$A112,0,0,1,Config!$K$7))),IF($B104="","",IF(Calcul!$BC$7=$Q$2,Calcul!BN89,Calcul!BX89)))</f>
        <v/>
      </c>
      <c r="Q104" s="18" t="str">
        <f t="shared" si="4"/>
        <v/>
      </c>
      <c r="R104" s="18" t="str">
        <f ca="1">IF(NAMES!$B$10=FALSE,IF($B104="","",TOT_CIE_TC(I$28:P$28,$Q$2,OFFSET(Source!$A112,0,0,1,Config!$K$7))),IF($B104="","",Q104*1.04))</f>
        <v/>
      </c>
      <c r="S104" s="1883" t="str">
        <f ca="1">IF(NAMES!$B$10=FALSE,IF($B104="","",_xludf.FORMULA($B104,$Q$2,OFFSET(Source!$A112,0,0,1,Config!$K$7))),Calcul!IE89)</f>
        <v/>
      </c>
      <c r="T104" s="1883"/>
      <c r="U104" s="1883"/>
    </row>
    <row r="105" spans="1:21" hidden="1">
      <c r="A105" s="11" t="str">
        <f>IF(Cotations!C90=FALSE,"",Cotations!D90)</f>
        <v/>
      </c>
      <c r="B105" s="11" t="str">
        <f>IF(NAMES!$B$10=FALSE,IF(Source!A113="","",Source!A113),Cotations!F90)</f>
        <v/>
      </c>
      <c r="C105" s="11" t="str">
        <f>IF(NAMES!$B$10=FALSE,IF($B105="","",Source!B113),IF($B105="","",Crewlist!J90))</f>
        <v/>
      </c>
      <c r="D105" s="11" t="str">
        <f>IF(NAMES!$B$10=FALSE,IF($B105="","",Source!C113),IF($B105="","",Cotations!H90))</f>
        <v/>
      </c>
      <c r="E105" s="11" t="str">
        <f>IF(NAMES!$B$10=FALSE,IF($B105="","",Source!D113),IF($B105="","",Crewlist!G90))</f>
        <v/>
      </c>
      <c r="F105" s="16" t="str">
        <f>IF(NAMES!$B$10=FALSE,IF($B105="","",Source!E113),IF($B105="","",Crewlist!K90))</f>
        <v/>
      </c>
      <c r="G105" s="17" t="str">
        <f>IF(NAMES!$B$10=FALSE,IF($B105="","",Source!F113),Cotations!O90)</f>
        <v/>
      </c>
      <c r="H105" s="17" t="str">
        <f>IF(NAMES!$B$10=FALSE,IF($B105="","",Source!G113),Cotations!M90)</f>
        <v/>
      </c>
      <c r="I105" s="18" t="str">
        <f ca="1">IF(NAMES!$B$10=FALSE,IF($B105="","",CIE_HT(I$28,$Q$2,OFFSET(Source!$A113,0,0,1,Config!$K$7))),IF($B105="","",IF(Calcul!$BC$7=$Q$2,Calcul!BE90,Calcul!BQ90)))</f>
        <v/>
      </c>
      <c r="J105" s="18" t="str">
        <f ca="1">IF(NAMES!$B$10=FALSE,IF($B105="","",CIE_HT(J$28,$Q$2,OFFSET(Source!$A113,0,0,1,Config!$K$7))),IF($B105="","",IF(Calcul!$BC$7=$Q$2,Calcul!BF90,Calcul!BR90)))</f>
        <v/>
      </c>
      <c r="K105" s="18" t="str">
        <f ca="1">IF(NAMES!$B$10=FALSE,IF($B105="","",CIE_HT(K$28,$Q$2,OFFSET(Source!$A113,0,0,1,Config!$K$7))),IF($B105="","",IF(Calcul!$BC$7=$Q$2,Calcul!BI90,Calcul!BS90)))</f>
        <v/>
      </c>
      <c r="L105" s="18" t="str">
        <f ca="1">IF(NAMES!$B$10=FALSE,IF($B105="","",CIE_HT(L$28,$Q$2,OFFSET(Source!$A113,0,0,1,Config!$K$7))),IF($B105="","",IF(Calcul!$BC$7=$Q$2,Calcul!BJ90,Calcul!BT90)))</f>
        <v/>
      </c>
      <c r="M105" s="18" t="str">
        <f ca="1">IF(NAMES!$B$10=FALSE,IF($B105="","",CIE_HT(M$28,$Q$2,OFFSET(Source!$A113,0,0,1,Config!$K$7))),IF($B105="","",IF(Calcul!$BC$7=$Q$2,Calcul!BK90,Calcul!BU90)))</f>
        <v/>
      </c>
      <c r="N105" s="18" t="str">
        <f ca="1">IF(NAMES!$B$10=FALSE,IF($B105="","",CIE_HT(N$28,$Q$2,OFFSET(Source!$A113,0,0,1,Config!$K$7))),IF($B105="","",IF(Calcul!$BC$7=$Q$2,Calcul!BL90,Calcul!BV90)))</f>
        <v/>
      </c>
      <c r="O105" s="18" t="str">
        <f ca="1">IF(NAMES!$B$10=FALSE,IF($B105="","",CIE_HT(O$28,$Q$2,OFFSET(Source!$A113,0,0,1,Config!$K$7))),IF($B105="","",IF(Calcul!$BC$7=$Q$2,Calcul!BM90,Calcul!BW90)))</f>
        <v/>
      </c>
      <c r="P105" s="18" t="str">
        <f ca="1">IF(NAMES!$B$10=FALSE,IF($B105="","",CIE_HT(P$28,$Q$2,OFFSET(Source!$A113,0,0,1,Config!$K$7))),IF($B105="","",IF(Calcul!$BC$7=$Q$2,Calcul!BN90,Calcul!BX90)))</f>
        <v/>
      </c>
      <c r="Q105" s="18" t="str">
        <f t="shared" si="4"/>
        <v/>
      </c>
      <c r="R105" s="18" t="str">
        <f ca="1">IF(NAMES!$B$10=FALSE,IF($B105="","",TOT_CIE_TC(I$28:P$28,$Q$2,OFFSET(Source!$A113,0,0,1,Config!$K$7))),IF($B105="","",Q105*1.04))</f>
        <v/>
      </c>
      <c r="S105" s="1883" t="str">
        <f ca="1">IF(NAMES!$B$10=FALSE,IF($B105="","",_xludf.FORMULA($B105,$Q$2,OFFSET(Source!$A113,0,0,1,Config!$K$7))),Calcul!IE90)</f>
        <v/>
      </c>
      <c r="T105" s="1883"/>
      <c r="U105" s="1883"/>
    </row>
    <row r="106" spans="1:21" hidden="1">
      <c r="A106" s="11" t="str">
        <f>IF(Cotations!C91=FALSE,"",Cotations!D91)</f>
        <v/>
      </c>
      <c r="B106" s="11" t="str">
        <f>IF(NAMES!$B$10=FALSE,IF(Source!A114="","",Source!A114),Cotations!F91)</f>
        <v/>
      </c>
      <c r="C106" s="11" t="str">
        <f>IF(NAMES!$B$10=FALSE,IF($B106="","",Source!B114),IF($B106="","",Crewlist!J91))</f>
        <v/>
      </c>
      <c r="D106" s="11" t="str">
        <f>IF(NAMES!$B$10=FALSE,IF($B106="","",Source!C114),IF($B106="","",Cotations!H91))</f>
        <v/>
      </c>
      <c r="E106" s="11" t="str">
        <f>IF(NAMES!$B$10=FALSE,IF($B106="","",Source!D114),IF($B106="","",Crewlist!G91))</f>
        <v/>
      </c>
      <c r="F106" s="16" t="str">
        <f>IF(NAMES!$B$10=FALSE,IF($B106="","",Source!E114),IF($B106="","",Crewlist!K91))</f>
        <v/>
      </c>
      <c r="G106" s="17" t="str">
        <f>IF(NAMES!$B$10=FALSE,IF($B106="","",Source!F114),Cotations!O91)</f>
        <v/>
      </c>
      <c r="H106" s="17" t="str">
        <f>IF(NAMES!$B$10=FALSE,IF($B106="","",Source!G114),Cotations!M91)</f>
        <v/>
      </c>
      <c r="I106" s="18" t="str">
        <f ca="1">IF(NAMES!$B$10=FALSE,IF($B106="","",CIE_HT(I$28,$Q$2,OFFSET(Source!$A114,0,0,1,Config!$K$7))),IF($B106="","",IF(Calcul!$BC$7=$Q$2,Calcul!BE91,Calcul!BQ91)))</f>
        <v/>
      </c>
      <c r="J106" s="18" t="str">
        <f ca="1">IF(NAMES!$B$10=FALSE,IF($B106="","",CIE_HT(J$28,$Q$2,OFFSET(Source!$A114,0,0,1,Config!$K$7))),IF($B106="","",IF(Calcul!$BC$7=$Q$2,Calcul!BF91,Calcul!BR91)))</f>
        <v/>
      </c>
      <c r="K106" s="18" t="str">
        <f ca="1">IF(NAMES!$B$10=FALSE,IF($B106="","",CIE_HT(K$28,$Q$2,OFFSET(Source!$A114,0,0,1,Config!$K$7))),IF($B106="","",IF(Calcul!$BC$7=$Q$2,Calcul!BI91,Calcul!BS91)))</f>
        <v/>
      </c>
      <c r="L106" s="18" t="str">
        <f ca="1">IF(NAMES!$B$10=FALSE,IF($B106="","",CIE_HT(L$28,$Q$2,OFFSET(Source!$A114,0,0,1,Config!$K$7))),IF($B106="","",IF(Calcul!$BC$7=$Q$2,Calcul!BJ91,Calcul!BT91)))</f>
        <v/>
      </c>
      <c r="M106" s="18" t="str">
        <f ca="1">IF(NAMES!$B$10=FALSE,IF($B106="","",CIE_HT(M$28,$Q$2,OFFSET(Source!$A114,0,0,1,Config!$K$7))),IF($B106="","",IF(Calcul!$BC$7=$Q$2,Calcul!BK91,Calcul!BU91)))</f>
        <v/>
      </c>
      <c r="N106" s="18" t="str">
        <f ca="1">IF(NAMES!$B$10=FALSE,IF($B106="","",CIE_HT(N$28,$Q$2,OFFSET(Source!$A114,0,0,1,Config!$K$7))),IF($B106="","",IF(Calcul!$BC$7=$Q$2,Calcul!BL91,Calcul!BV91)))</f>
        <v/>
      </c>
      <c r="O106" s="18" t="str">
        <f ca="1">IF(NAMES!$B$10=FALSE,IF($B106="","",CIE_HT(O$28,$Q$2,OFFSET(Source!$A114,0,0,1,Config!$K$7))),IF($B106="","",IF(Calcul!$BC$7=$Q$2,Calcul!BM91,Calcul!BW91)))</f>
        <v/>
      </c>
      <c r="P106" s="18" t="str">
        <f ca="1">IF(NAMES!$B$10=FALSE,IF($B106="","",CIE_HT(P$28,$Q$2,OFFSET(Source!$A114,0,0,1,Config!$K$7))),IF($B106="","",IF(Calcul!$BC$7=$Q$2,Calcul!BN91,Calcul!BX91)))</f>
        <v/>
      </c>
      <c r="Q106" s="18" t="str">
        <f t="shared" si="4"/>
        <v/>
      </c>
      <c r="R106" s="18" t="str">
        <f ca="1">IF(NAMES!$B$10=FALSE,IF($B106="","",TOT_CIE_TC(I$28:P$28,$Q$2,OFFSET(Source!$A114,0,0,1,Config!$K$7))),IF($B106="","",Q106*1.04))</f>
        <v/>
      </c>
      <c r="S106" s="1883" t="str">
        <f ca="1">IF(NAMES!$B$10=FALSE,IF($B106="","",_xludf.FORMULA($B106,$Q$2,OFFSET(Source!$A114,0,0,1,Config!$K$7))),Calcul!IE91)</f>
        <v/>
      </c>
      <c r="T106" s="1883"/>
      <c r="U106" s="1883"/>
    </row>
    <row r="107" spans="1:21" hidden="1">
      <c r="A107" s="11" t="str">
        <f>IF(Cotations!C92=FALSE,"",Cotations!D92)</f>
        <v/>
      </c>
      <c r="B107" s="11" t="str">
        <f>IF(NAMES!$B$10=FALSE,IF(Source!A115="","",Source!A115),Cotations!F92)</f>
        <v/>
      </c>
      <c r="C107" s="11" t="str">
        <f>IF(NAMES!$B$10=FALSE,IF($B107="","",Source!B115),IF($B107="","",Crewlist!J92))</f>
        <v/>
      </c>
      <c r="D107" s="11" t="str">
        <f>IF(NAMES!$B$10=FALSE,IF($B107="","",Source!C115),IF($B107="","",Cotations!H92))</f>
        <v/>
      </c>
      <c r="E107" s="11" t="str">
        <f>IF(NAMES!$B$10=FALSE,IF($B107="","",Source!D115),IF($B107="","",Crewlist!G92))</f>
        <v/>
      </c>
      <c r="F107" s="16" t="str">
        <f>IF(NAMES!$B$10=FALSE,IF($B107="","",Source!E115),IF($B107="","",Crewlist!K92))</f>
        <v/>
      </c>
      <c r="G107" s="17" t="str">
        <f>IF(NAMES!$B$10=FALSE,IF($B107="","",Source!F115),Cotations!O92)</f>
        <v/>
      </c>
      <c r="H107" s="17" t="str">
        <f>IF(NAMES!$B$10=FALSE,IF($B107="","",Source!G115),Cotations!M92)</f>
        <v/>
      </c>
      <c r="I107" s="18" t="str">
        <f ca="1">IF(NAMES!$B$10=FALSE,IF($B107="","",CIE_HT(I$28,$Q$2,OFFSET(Source!$A115,0,0,1,Config!$K$7))),IF($B107="","",IF(Calcul!$BC$7=$Q$2,Calcul!BE92,Calcul!BQ92)))</f>
        <v/>
      </c>
      <c r="J107" s="18" t="str">
        <f ca="1">IF(NAMES!$B$10=FALSE,IF($B107="","",CIE_HT(J$28,$Q$2,OFFSET(Source!$A115,0,0,1,Config!$K$7))),IF($B107="","",IF(Calcul!$BC$7=$Q$2,Calcul!BF92,Calcul!BR92)))</f>
        <v/>
      </c>
      <c r="K107" s="18" t="str">
        <f ca="1">IF(NAMES!$B$10=FALSE,IF($B107="","",CIE_HT(K$28,$Q$2,OFFSET(Source!$A115,0,0,1,Config!$K$7))),IF($B107="","",IF(Calcul!$BC$7=$Q$2,Calcul!BI92,Calcul!BS92)))</f>
        <v/>
      </c>
      <c r="L107" s="18" t="str">
        <f ca="1">IF(NAMES!$B$10=FALSE,IF($B107="","",CIE_HT(L$28,$Q$2,OFFSET(Source!$A115,0,0,1,Config!$K$7))),IF($B107="","",IF(Calcul!$BC$7=$Q$2,Calcul!BJ92,Calcul!BT92)))</f>
        <v/>
      </c>
      <c r="M107" s="18" t="str">
        <f ca="1">IF(NAMES!$B$10=FALSE,IF($B107="","",CIE_HT(M$28,$Q$2,OFFSET(Source!$A115,0,0,1,Config!$K$7))),IF($B107="","",IF(Calcul!$BC$7=$Q$2,Calcul!BK92,Calcul!BU92)))</f>
        <v/>
      </c>
      <c r="N107" s="18" t="str">
        <f ca="1">IF(NAMES!$B$10=FALSE,IF($B107="","",CIE_HT(N$28,$Q$2,OFFSET(Source!$A115,0,0,1,Config!$K$7))),IF($B107="","",IF(Calcul!$BC$7=$Q$2,Calcul!BL92,Calcul!BV92)))</f>
        <v/>
      </c>
      <c r="O107" s="18" t="str">
        <f ca="1">IF(NAMES!$B$10=FALSE,IF($B107="","",CIE_HT(O$28,$Q$2,OFFSET(Source!$A115,0,0,1,Config!$K$7))),IF($B107="","",IF(Calcul!$BC$7=$Q$2,Calcul!BM92,Calcul!BW92)))</f>
        <v/>
      </c>
      <c r="P107" s="18" t="str">
        <f ca="1">IF(NAMES!$B$10=FALSE,IF($B107="","",CIE_HT(P$28,$Q$2,OFFSET(Source!$A115,0,0,1,Config!$K$7))),IF($B107="","",IF(Calcul!$BC$7=$Q$2,Calcul!BN92,Calcul!BX92)))</f>
        <v/>
      </c>
      <c r="Q107" s="18" t="str">
        <f t="shared" si="4"/>
        <v/>
      </c>
      <c r="R107" s="18" t="str">
        <f ca="1">IF(NAMES!$B$10=FALSE,IF($B107="","",TOT_CIE_TC(I$28:P$28,$Q$2,OFFSET(Source!$A115,0,0,1,Config!$K$7))),IF($B107="","",Q107*1.04))</f>
        <v/>
      </c>
      <c r="S107" s="1883" t="str">
        <f ca="1">IF(NAMES!$B$10=FALSE,IF($B107="","",_xludf.FORMULA($B107,$Q$2,OFFSET(Source!$A115,0,0,1,Config!$K$7))),Calcul!IE92)</f>
        <v/>
      </c>
      <c r="T107" s="1883"/>
      <c r="U107" s="1883"/>
    </row>
    <row r="108" spans="1:21" hidden="1">
      <c r="A108" s="11" t="str">
        <f>IF(Cotations!C93=FALSE,"",Cotations!D93)</f>
        <v/>
      </c>
      <c r="B108" s="11" t="str">
        <f>IF(NAMES!$B$10=FALSE,IF(Source!A116="","",Source!A116),Cotations!F93)</f>
        <v/>
      </c>
      <c r="C108" s="11" t="str">
        <f>IF(NAMES!$B$10=FALSE,IF($B108="","",Source!B116),IF($B108="","",Crewlist!J93))</f>
        <v/>
      </c>
      <c r="D108" s="11" t="str">
        <f>IF(NAMES!$B$10=FALSE,IF($B108="","",Source!C116),IF($B108="","",Cotations!H93))</f>
        <v/>
      </c>
      <c r="E108" s="11" t="str">
        <f>IF(NAMES!$B$10=FALSE,IF($B108="","",Source!D116),IF($B108="","",Crewlist!G93))</f>
        <v/>
      </c>
      <c r="F108" s="16" t="str">
        <f>IF(NAMES!$B$10=FALSE,IF($B108="","",Source!E116),IF($B108="","",Crewlist!K93))</f>
        <v/>
      </c>
      <c r="G108" s="17" t="str">
        <f>IF(NAMES!$B$10=FALSE,IF($B108="","",Source!F116),Cotations!O93)</f>
        <v/>
      </c>
      <c r="H108" s="17" t="str">
        <f>IF(NAMES!$B$10=FALSE,IF($B108="","",Source!G116),Cotations!M93)</f>
        <v/>
      </c>
      <c r="I108" s="18" t="str">
        <f ca="1">IF(NAMES!$B$10=FALSE,IF($B108="","",CIE_HT(I$28,$Q$2,OFFSET(Source!$A116,0,0,1,Config!$K$7))),IF($B108="","",IF(Calcul!$BC$7=$Q$2,Calcul!BE93,Calcul!BQ93)))</f>
        <v/>
      </c>
      <c r="J108" s="18" t="str">
        <f ca="1">IF(NAMES!$B$10=FALSE,IF($B108="","",CIE_HT(J$28,$Q$2,OFFSET(Source!$A116,0,0,1,Config!$K$7))),IF($B108="","",IF(Calcul!$BC$7=$Q$2,Calcul!BF93,Calcul!BR93)))</f>
        <v/>
      </c>
      <c r="K108" s="18" t="str">
        <f ca="1">IF(NAMES!$B$10=FALSE,IF($B108="","",CIE_HT(K$28,$Q$2,OFFSET(Source!$A116,0,0,1,Config!$K$7))),IF($B108="","",IF(Calcul!$BC$7=$Q$2,Calcul!BI93,Calcul!BS93)))</f>
        <v/>
      </c>
      <c r="L108" s="18" t="str">
        <f ca="1">IF(NAMES!$B$10=FALSE,IF($B108="","",CIE_HT(L$28,$Q$2,OFFSET(Source!$A116,0,0,1,Config!$K$7))),IF($B108="","",IF(Calcul!$BC$7=$Q$2,Calcul!BJ93,Calcul!BT93)))</f>
        <v/>
      </c>
      <c r="M108" s="18" t="str">
        <f ca="1">IF(NAMES!$B$10=FALSE,IF($B108="","",CIE_HT(M$28,$Q$2,OFFSET(Source!$A116,0,0,1,Config!$K$7))),IF($B108="","",IF(Calcul!$BC$7=$Q$2,Calcul!BK93,Calcul!BU93)))</f>
        <v/>
      </c>
      <c r="N108" s="18" t="str">
        <f ca="1">IF(NAMES!$B$10=FALSE,IF($B108="","",CIE_HT(N$28,$Q$2,OFFSET(Source!$A116,0,0,1,Config!$K$7))),IF($B108="","",IF(Calcul!$BC$7=$Q$2,Calcul!BL93,Calcul!BV93)))</f>
        <v/>
      </c>
      <c r="O108" s="18" t="str">
        <f ca="1">IF(NAMES!$B$10=FALSE,IF($B108="","",CIE_HT(O$28,$Q$2,OFFSET(Source!$A116,0,0,1,Config!$K$7))),IF($B108="","",IF(Calcul!$BC$7=$Q$2,Calcul!BM93,Calcul!BW93)))</f>
        <v/>
      </c>
      <c r="P108" s="18" t="str">
        <f ca="1">IF(NAMES!$B$10=FALSE,IF($B108="","",CIE_HT(P$28,$Q$2,OFFSET(Source!$A116,0,0,1,Config!$K$7))),IF($B108="","",IF(Calcul!$BC$7=$Q$2,Calcul!BN93,Calcul!BX93)))</f>
        <v/>
      </c>
      <c r="Q108" s="18" t="str">
        <f t="shared" si="4"/>
        <v/>
      </c>
      <c r="R108" s="18" t="str">
        <f ca="1">IF(NAMES!$B$10=FALSE,IF($B108="","",TOT_CIE_TC(I$28:P$28,$Q$2,OFFSET(Source!$A116,0,0,1,Config!$K$7))),IF($B108="","",Q108*1.04))</f>
        <v/>
      </c>
      <c r="S108" s="1883" t="str">
        <f ca="1">IF(NAMES!$B$10=FALSE,IF($B108="","",_xludf.FORMULA($B108,$Q$2,OFFSET(Source!$A116,0,0,1,Config!$K$7))),Calcul!IE93)</f>
        <v/>
      </c>
      <c r="T108" s="1883"/>
      <c r="U108" s="1883"/>
    </row>
    <row r="109" spans="1:21" hidden="1">
      <c r="A109" s="11" t="str">
        <f>IF(Cotations!C94=FALSE,"",Cotations!D94)</f>
        <v/>
      </c>
      <c r="B109" s="11" t="str">
        <f>IF(NAMES!$B$10=FALSE,IF(Source!A117="","",Source!A117),Cotations!F94)</f>
        <v/>
      </c>
      <c r="C109" s="11" t="str">
        <f>IF(NAMES!$B$10=FALSE,IF($B109="","",Source!B117),IF($B109="","",Crewlist!J94))</f>
        <v/>
      </c>
      <c r="D109" s="11" t="str">
        <f>IF(NAMES!$B$10=FALSE,IF($B109="","",Source!C117),IF($B109="","",Cotations!H94))</f>
        <v/>
      </c>
      <c r="E109" s="11" t="str">
        <f>IF(NAMES!$B$10=FALSE,IF($B109="","",Source!D117),IF($B109="","",Crewlist!G94))</f>
        <v/>
      </c>
      <c r="F109" s="16" t="str">
        <f>IF(NAMES!$B$10=FALSE,IF($B109="","",Source!E117),IF($B109="","",Crewlist!K94))</f>
        <v/>
      </c>
      <c r="G109" s="17" t="str">
        <f>IF(NAMES!$B$10=FALSE,IF($B109="","",Source!F117),Cotations!O94)</f>
        <v/>
      </c>
      <c r="H109" s="17" t="str">
        <f>IF(NAMES!$B$10=FALSE,IF($B109="","",Source!G117),Cotations!M94)</f>
        <v/>
      </c>
      <c r="I109" s="18" t="str">
        <f ca="1">IF(NAMES!$B$10=FALSE,IF($B109="","",CIE_HT(I$28,$Q$2,OFFSET(Source!$A117,0,0,1,Config!$K$7))),IF($B109="","",IF(Calcul!$BC$7=$Q$2,Calcul!BE94,Calcul!BQ94)))</f>
        <v/>
      </c>
      <c r="J109" s="18" t="str">
        <f ca="1">IF(NAMES!$B$10=FALSE,IF($B109="","",CIE_HT(J$28,$Q$2,OFFSET(Source!$A117,0,0,1,Config!$K$7))),IF($B109="","",IF(Calcul!$BC$7=$Q$2,Calcul!BF94,Calcul!BR94)))</f>
        <v/>
      </c>
      <c r="K109" s="18" t="str">
        <f ca="1">IF(NAMES!$B$10=FALSE,IF($B109="","",CIE_HT(K$28,$Q$2,OFFSET(Source!$A117,0,0,1,Config!$K$7))),IF($B109="","",IF(Calcul!$BC$7=$Q$2,Calcul!BI94,Calcul!BS94)))</f>
        <v/>
      </c>
      <c r="L109" s="18" t="str">
        <f ca="1">IF(NAMES!$B$10=FALSE,IF($B109="","",CIE_HT(L$28,$Q$2,OFFSET(Source!$A117,0,0,1,Config!$K$7))),IF($B109="","",IF(Calcul!$BC$7=$Q$2,Calcul!BJ94,Calcul!BT94)))</f>
        <v/>
      </c>
      <c r="M109" s="18" t="str">
        <f ca="1">IF(NAMES!$B$10=FALSE,IF($B109="","",CIE_HT(M$28,$Q$2,OFFSET(Source!$A117,0,0,1,Config!$K$7))),IF($B109="","",IF(Calcul!$BC$7=$Q$2,Calcul!BK94,Calcul!BU94)))</f>
        <v/>
      </c>
      <c r="N109" s="18" t="str">
        <f ca="1">IF(NAMES!$B$10=FALSE,IF($B109="","",CIE_HT(N$28,$Q$2,OFFSET(Source!$A117,0,0,1,Config!$K$7))),IF($B109="","",IF(Calcul!$BC$7=$Q$2,Calcul!BL94,Calcul!BV94)))</f>
        <v/>
      </c>
      <c r="O109" s="18" t="str">
        <f ca="1">IF(NAMES!$B$10=FALSE,IF($B109="","",CIE_HT(O$28,$Q$2,OFFSET(Source!$A117,0,0,1,Config!$K$7))),IF($B109="","",IF(Calcul!$BC$7=$Q$2,Calcul!BM94,Calcul!BW94)))</f>
        <v/>
      </c>
      <c r="P109" s="18" t="str">
        <f ca="1">IF(NAMES!$B$10=FALSE,IF($B109="","",CIE_HT(P$28,$Q$2,OFFSET(Source!$A117,0,0,1,Config!$K$7))),IF($B109="","",IF(Calcul!$BC$7=$Q$2,Calcul!BN94,Calcul!BX94)))</f>
        <v/>
      </c>
      <c r="Q109" s="18" t="str">
        <f t="shared" si="4"/>
        <v/>
      </c>
      <c r="R109" s="18" t="str">
        <f ca="1">IF(NAMES!$B$10=FALSE,IF($B109="","",TOT_CIE_TC(I$28:P$28,$Q$2,OFFSET(Source!$A117,0,0,1,Config!$K$7))),IF($B109="","",Q109*1.04))</f>
        <v/>
      </c>
      <c r="S109" s="1883" t="str">
        <f ca="1">IF(NAMES!$B$10=FALSE,IF($B109="","",_xludf.FORMULA($B109,$Q$2,OFFSET(Source!$A117,0,0,1,Config!$K$7))),Calcul!IE94)</f>
        <v/>
      </c>
      <c r="T109" s="1883"/>
      <c r="U109" s="1883"/>
    </row>
    <row r="110" spans="1:21" hidden="1">
      <c r="A110" s="11" t="str">
        <f>IF(Cotations!C95=FALSE,"",Cotations!D95)</f>
        <v/>
      </c>
      <c r="B110" s="11" t="str">
        <f>IF(NAMES!$B$10=FALSE,IF(Source!A118="","",Source!A118),Cotations!F95)</f>
        <v/>
      </c>
      <c r="C110" s="11" t="str">
        <f>IF(NAMES!$B$10=FALSE,IF($B110="","",Source!B118),IF($B110="","",Crewlist!J95))</f>
        <v/>
      </c>
      <c r="D110" s="11" t="str">
        <f>IF(NAMES!$B$10=FALSE,IF($B110="","",Source!C118),IF($B110="","",Cotations!H95))</f>
        <v/>
      </c>
      <c r="E110" s="11" t="str">
        <f>IF(NAMES!$B$10=FALSE,IF($B110="","",Source!D118),IF($B110="","",Crewlist!G95))</f>
        <v/>
      </c>
      <c r="F110" s="16" t="str">
        <f>IF(NAMES!$B$10=FALSE,IF($B110="","",Source!E118),IF($B110="","",Crewlist!K95))</f>
        <v/>
      </c>
      <c r="G110" s="17" t="str">
        <f>IF(NAMES!$B$10=FALSE,IF($B110="","",Source!F118),Cotations!O95)</f>
        <v/>
      </c>
      <c r="H110" s="17" t="str">
        <f>IF(NAMES!$B$10=FALSE,IF($B110="","",Source!G118),Cotations!M95)</f>
        <v/>
      </c>
      <c r="I110" s="18" t="str">
        <f ca="1">IF(NAMES!$B$10=FALSE,IF($B110="","",CIE_HT(I$28,$Q$2,OFFSET(Source!$A118,0,0,1,Config!$K$7))),IF($B110="","",IF(Calcul!$BC$7=$Q$2,Calcul!BE95,Calcul!BQ95)))</f>
        <v/>
      </c>
      <c r="J110" s="18" t="str">
        <f ca="1">IF(NAMES!$B$10=FALSE,IF($B110="","",CIE_HT(J$28,$Q$2,OFFSET(Source!$A118,0,0,1,Config!$K$7))),IF($B110="","",IF(Calcul!$BC$7=$Q$2,Calcul!BF95,Calcul!BR95)))</f>
        <v/>
      </c>
      <c r="K110" s="18" t="str">
        <f ca="1">IF(NAMES!$B$10=FALSE,IF($B110="","",CIE_HT(K$28,$Q$2,OFFSET(Source!$A118,0,0,1,Config!$K$7))),IF($B110="","",IF(Calcul!$BC$7=$Q$2,Calcul!BI95,Calcul!BS95)))</f>
        <v/>
      </c>
      <c r="L110" s="18" t="str">
        <f ca="1">IF(NAMES!$B$10=FALSE,IF($B110="","",CIE_HT(L$28,$Q$2,OFFSET(Source!$A118,0,0,1,Config!$K$7))),IF($B110="","",IF(Calcul!$BC$7=$Q$2,Calcul!BJ95,Calcul!BT95)))</f>
        <v/>
      </c>
      <c r="M110" s="18" t="str">
        <f ca="1">IF(NAMES!$B$10=FALSE,IF($B110="","",CIE_HT(M$28,$Q$2,OFFSET(Source!$A118,0,0,1,Config!$K$7))),IF($B110="","",IF(Calcul!$BC$7=$Q$2,Calcul!BK95,Calcul!BU95)))</f>
        <v/>
      </c>
      <c r="N110" s="18" t="str">
        <f ca="1">IF(NAMES!$B$10=FALSE,IF($B110="","",CIE_HT(N$28,$Q$2,OFFSET(Source!$A118,0,0,1,Config!$K$7))),IF($B110="","",IF(Calcul!$BC$7=$Q$2,Calcul!BL95,Calcul!BV95)))</f>
        <v/>
      </c>
      <c r="O110" s="18" t="str">
        <f ca="1">IF(NAMES!$B$10=FALSE,IF($B110="","",CIE_HT(O$28,$Q$2,OFFSET(Source!$A118,0,0,1,Config!$K$7))),IF($B110="","",IF(Calcul!$BC$7=$Q$2,Calcul!BM95,Calcul!BW95)))</f>
        <v/>
      </c>
      <c r="P110" s="18" t="str">
        <f ca="1">IF(NAMES!$B$10=FALSE,IF($B110="","",CIE_HT(P$28,$Q$2,OFFSET(Source!$A118,0,0,1,Config!$K$7))),IF($B110="","",IF(Calcul!$BC$7=$Q$2,Calcul!BN95,Calcul!BX95)))</f>
        <v/>
      </c>
      <c r="Q110" s="18" t="str">
        <f t="shared" si="4"/>
        <v/>
      </c>
      <c r="R110" s="18" t="str">
        <f ca="1">IF(NAMES!$B$10=FALSE,IF($B110="","",TOT_CIE_TC(I$28:P$28,$Q$2,OFFSET(Source!$A118,0,0,1,Config!$K$7))),IF($B110="","",Q110*1.04))</f>
        <v/>
      </c>
      <c r="S110" s="1883" t="str">
        <f ca="1">IF(NAMES!$B$10=FALSE,IF($B110="","",_xludf.FORMULA($B110,$Q$2,OFFSET(Source!$A118,0,0,1,Config!$K$7))),Calcul!IE95)</f>
        <v/>
      </c>
      <c r="T110" s="1883"/>
      <c r="U110" s="1883"/>
    </row>
    <row r="111" spans="1:21" hidden="1">
      <c r="A111" s="11" t="str">
        <f>IF(Cotations!C96=FALSE,"",Cotations!D96)</f>
        <v/>
      </c>
      <c r="B111" s="11" t="str">
        <f>IF(NAMES!$B$10=FALSE,IF(Source!A119="","",Source!A119),Cotations!F96)</f>
        <v/>
      </c>
      <c r="C111" s="11" t="str">
        <f>IF(NAMES!$B$10=FALSE,IF($B111="","",Source!B119),IF($B111="","",Crewlist!J96))</f>
        <v/>
      </c>
      <c r="D111" s="11" t="str">
        <f>IF(NAMES!$B$10=FALSE,IF($B111="","",Source!C119),IF($B111="","",Cotations!H96))</f>
        <v/>
      </c>
      <c r="E111" s="11" t="str">
        <f>IF(NAMES!$B$10=FALSE,IF($B111="","",Source!D119),IF($B111="","",Crewlist!G96))</f>
        <v/>
      </c>
      <c r="F111" s="16" t="str">
        <f>IF(NAMES!$B$10=FALSE,IF($B111="","",Source!E119),IF($B111="","",Crewlist!K96))</f>
        <v/>
      </c>
      <c r="G111" s="17" t="str">
        <f>IF(NAMES!$B$10=FALSE,IF($B111="","",Source!F119),Cotations!O96)</f>
        <v/>
      </c>
      <c r="H111" s="17" t="str">
        <f>IF(NAMES!$B$10=FALSE,IF($B111="","",Source!G119),Cotations!M96)</f>
        <v/>
      </c>
      <c r="I111" s="18" t="str">
        <f ca="1">IF(NAMES!$B$10=FALSE,IF($B111="","",CIE_HT(I$28,$Q$2,OFFSET(Source!$A119,0,0,1,Config!$K$7))),IF($B111="","",IF(Calcul!$BC$7=$Q$2,Calcul!BE96,Calcul!BQ96)))</f>
        <v/>
      </c>
      <c r="J111" s="18" t="str">
        <f ca="1">IF(NAMES!$B$10=FALSE,IF($B111="","",CIE_HT(J$28,$Q$2,OFFSET(Source!$A119,0,0,1,Config!$K$7))),IF($B111="","",IF(Calcul!$BC$7=$Q$2,Calcul!BF96,Calcul!BR96)))</f>
        <v/>
      </c>
      <c r="K111" s="18" t="str">
        <f ca="1">IF(NAMES!$B$10=FALSE,IF($B111="","",CIE_HT(K$28,$Q$2,OFFSET(Source!$A119,0,0,1,Config!$K$7))),IF($B111="","",IF(Calcul!$BC$7=$Q$2,Calcul!BI96,Calcul!BS96)))</f>
        <v/>
      </c>
      <c r="L111" s="18" t="str">
        <f ca="1">IF(NAMES!$B$10=FALSE,IF($B111="","",CIE_HT(L$28,$Q$2,OFFSET(Source!$A119,0,0,1,Config!$K$7))),IF($B111="","",IF(Calcul!$BC$7=$Q$2,Calcul!BJ96,Calcul!BT96)))</f>
        <v/>
      </c>
      <c r="M111" s="18" t="str">
        <f ca="1">IF(NAMES!$B$10=FALSE,IF($B111="","",CIE_HT(M$28,$Q$2,OFFSET(Source!$A119,0,0,1,Config!$K$7))),IF($B111="","",IF(Calcul!$BC$7=$Q$2,Calcul!BK96,Calcul!BU96)))</f>
        <v/>
      </c>
      <c r="N111" s="18" t="str">
        <f ca="1">IF(NAMES!$B$10=FALSE,IF($B111="","",CIE_HT(N$28,$Q$2,OFFSET(Source!$A119,0,0,1,Config!$K$7))),IF($B111="","",IF(Calcul!$BC$7=$Q$2,Calcul!BL96,Calcul!BV96)))</f>
        <v/>
      </c>
      <c r="O111" s="18" t="str">
        <f ca="1">IF(NAMES!$B$10=FALSE,IF($B111="","",CIE_HT(O$28,$Q$2,OFFSET(Source!$A119,0,0,1,Config!$K$7))),IF($B111="","",IF(Calcul!$BC$7=$Q$2,Calcul!BM96,Calcul!BW96)))</f>
        <v/>
      </c>
      <c r="P111" s="18" t="str">
        <f ca="1">IF(NAMES!$B$10=FALSE,IF($B111="","",CIE_HT(P$28,$Q$2,OFFSET(Source!$A119,0,0,1,Config!$K$7))),IF($B111="","",IF(Calcul!$BC$7=$Q$2,Calcul!BN96,Calcul!BX96)))</f>
        <v/>
      </c>
      <c r="Q111" s="18" t="str">
        <f t="shared" si="4"/>
        <v/>
      </c>
      <c r="R111" s="18" t="str">
        <f ca="1">IF(NAMES!$B$10=FALSE,IF($B111="","",TOT_CIE_TC(I$28:P$28,$Q$2,OFFSET(Source!$A119,0,0,1,Config!$K$7))),IF($B111="","",Q111*1.04))</f>
        <v/>
      </c>
      <c r="S111" s="1883" t="str">
        <f ca="1">IF(NAMES!$B$10=FALSE,IF($B111="","",_xludf.FORMULA($B111,$Q$2,OFFSET(Source!$A119,0,0,1,Config!$K$7))),Calcul!IE96)</f>
        <v/>
      </c>
      <c r="T111" s="1883"/>
      <c r="U111" s="1883"/>
    </row>
    <row r="112" spans="1:21" hidden="1">
      <c r="A112" s="11" t="str">
        <f>IF(Cotations!C97=FALSE,"",Cotations!D97)</f>
        <v/>
      </c>
      <c r="B112" s="11" t="str">
        <f>IF(NAMES!$B$10=FALSE,IF(Source!A120="","",Source!A120),Cotations!F97)</f>
        <v/>
      </c>
      <c r="C112" s="11" t="str">
        <f>IF(NAMES!$B$10=FALSE,IF($B112="","",Source!B120),IF($B112="","",Crewlist!J97))</f>
        <v/>
      </c>
      <c r="D112" s="11" t="str">
        <f>IF(NAMES!$B$10=FALSE,IF($B112="","",Source!C120),IF($B112="","",Cotations!H97))</f>
        <v/>
      </c>
      <c r="E112" s="11" t="str">
        <f>IF(NAMES!$B$10=FALSE,IF($B112="","",Source!D120),IF($B112="","",Crewlist!G97))</f>
        <v/>
      </c>
      <c r="F112" s="16" t="str">
        <f>IF(NAMES!$B$10=FALSE,IF($B112="","",Source!E120),IF($B112="","",Crewlist!K97))</f>
        <v/>
      </c>
      <c r="G112" s="17" t="str">
        <f>IF(NAMES!$B$10=FALSE,IF($B112="","",Source!F120),Cotations!O97)</f>
        <v/>
      </c>
      <c r="H112" s="17" t="str">
        <f>IF(NAMES!$B$10=FALSE,IF($B112="","",Source!G120),Cotations!M97)</f>
        <v/>
      </c>
      <c r="I112" s="18" t="str">
        <f ca="1">IF(NAMES!$B$10=FALSE,IF($B112="","",CIE_HT(I$28,$Q$2,OFFSET(Source!$A120,0,0,1,Config!$K$7))),IF($B112="","",IF(Calcul!$BC$7=$Q$2,Calcul!BE97,Calcul!BQ97)))</f>
        <v/>
      </c>
      <c r="J112" s="18" t="str">
        <f ca="1">IF(NAMES!$B$10=FALSE,IF($B112="","",CIE_HT(J$28,$Q$2,OFFSET(Source!$A120,0,0,1,Config!$K$7))),IF($B112="","",IF(Calcul!$BC$7=$Q$2,Calcul!BF97,Calcul!BR97)))</f>
        <v/>
      </c>
      <c r="K112" s="18" t="str">
        <f ca="1">IF(NAMES!$B$10=FALSE,IF($B112="","",CIE_HT(K$28,$Q$2,OFFSET(Source!$A120,0,0,1,Config!$K$7))),IF($B112="","",IF(Calcul!$BC$7=$Q$2,Calcul!BI97,Calcul!BS97)))</f>
        <v/>
      </c>
      <c r="L112" s="18" t="str">
        <f ca="1">IF(NAMES!$B$10=FALSE,IF($B112="","",CIE_HT(L$28,$Q$2,OFFSET(Source!$A120,0,0,1,Config!$K$7))),IF($B112="","",IF(Calcul!$BC$7=$Q$2,Calcul!BJ97,Calcul!BT97)))</f>
        <v/>
      </c>
      <c r="M112" s="18" t="str">
        <f ca="1">IF(NAMES!$B$10=FALSE,IF($B112="","",CIE_HT(M$28,$Q$2,OFFSET(Source!$A120,0,0,1,Config!$K$7))),IF($B112="","",IF(Calcul!$BC$7=$Q$2,Calcul!BK97,Calcul!BU97)))</f>
        <v/>
      </c>
      <c r="N112" s="18" t="str">
        <f ca="1">IF(NAMES!$B$10=FALSE,IF($B112="","",CIE_HT(N$28,$Q$2,OFFSET(Source!$A120,0,0,1,Config!$K$7))),IF($B112="","",IF(Calcul!$BC$7=$Q$2,Calcul!BL97,Calcul!BV97)))</f>
        <v/>
      </c>
      <c r="O112" s="18" t="str">
        <f ca="1">IF(NAMES!$B$10=FALSE,IF($B112="","",CIE_HT(O$28,$Q$2,OFFSET(Source!$A120,0,0,1,Config!$K$7))),IF($B112="","",IF(Calcul!$BC$7=$Q$2,Calcul!BM97,Calcul!BW97)))</f>
        <v/>
      </c>
      <c r="P112" s="18" t="str">
        <f ca="1">IF(NAMES!$B$10=FALSE,IF($B112="","",CIE_HT(P$28,$Q$2,OFFSET(Source!$A120,0,0,1,Config!$K$7))),IF($B112="","",IF(Calcul!$BC$7=$Q$2,Calcul!BN97,Calcul!BX97)))</f>
        <v/>
      </c>
      <c r="Q112" s="18" t="str">
        <f t="shared" si="4"/>
        <v/>
      </c>
      <c r="R112" s="18" t="str">
        <f ca="1">IF(NAMES!$B$10=FALSE,IF($B112="","",TOT_CIE_TC(I$28:P$28,$Q$2,OFFSET(Source!$A120,0,0,1,Config!$K$7))),IF($B112="","",Q112*1.04))</f>
        <v/>
      </c>
      <c r="S112" s="1883" t="str">
        <f ca="1">IF(NAMES!$B$10=FALSE,IF($B112="","",_xludf.FORMULA($B112,$Q$2,OFFSET(Source!$A120,0,0,1,Config!$K$7))),Calcul!IE97)</f>
        <v/>
      </c>
      <c r="T112" s="1883"/>
      <c r="U112" s="1883"/>
    </row>
    <row r="113" spans="1:21" hidden="1">
      <c r="A113" s="11" t="str">
        <f>IF(Cotations!C98=FALSE,"",Cotations!D98)</f>
        <v/>
      </c>
      <c r="B113" s="11" t="str">
        <f>IF(NAMES!$B$10=FALSE,IF(Source!A121="","",Source!A121),Cotations!F98)</f>
        <v/>
      </c>
      <c r="C113" s="11" t="str">
        <f>IF(NAMES!$B$10=FALSE,IF($B113="","",Source!B121),IF($B113="","",Crewlist!J98))</f>
        <v/>
      </c>
      <c r="D113" s="11" t="str">
        <f>IF(NAMES!$B$10=FALSE,IF($B113="","",Source!C121),IF($B113="","",Cotations!H98))</f>
        <v/>
      </c>
      <c r="E113" s="11" t="str">
        <f>IF(NAMES!$B$10=FALSE,IF($B113="","",Source!D121),IF($B113="","",Crewlist!G98))</f>
        <v/>
      </c>
      <c r="F113" s="16" t="str">
        <f>IF(NAMES!$B$10=FALSE,IF($B113="","",Source!E121),IF($B113="","",Crewlist!K98))</f>
        <v/>
      </c>
      <c r="G113" s="17" t="str">
        <f>IF(NAMES!$B$10=FALSE,IF($B113="","",Source!F121),Cotations!O98)</f>
        <v/>
      </c>
      <c r="H113" s="17" t="str">
        <f>IF(NAMES!$B$10=FALSE,IF($B113="","",Source!G121),Cotations!M98)</f>
        <v/>
      </c>
      <c r="I113" s="18" t="str">
        <f ca="1">IF(NAMES!$B$10=FALSE,IF($B113="","",CIE_HT(I$28,$Q$2,OFFSET(Source!$A121,0,0,1,Config!$K$7))),IF($B113="","",IF(Calcul!$BC$7=$Q$2,Calcul!BE98,Calcul!BQ98)))</f>
        <v/>
      </c>
      <c r="J113" s="18" t="str">
        <f ca="1">IF(NAMES!$B$10=FALSE,IF($B113="","",CIE_HT(J$28,$Q$2,OFFSET(Source!$A121,0,0,1,Config!$K$7))),IF($B113="","",IF(Calcul!$BC$7=$Q$2,Calcul!BF98,Calcul!BR98)))</f>
        <v/>
      </c>
      <c r="K113" s="18" t="str">
        <f ca="1">IF(NAMES!$B$10=FALSE,IF($B113="","",CIE_HT(K$28,$Q$2,OFFSET(Source!$A121,0,0,1,Config!$K$7))),IF($B113="","",IF(Calcul!$BC$7=$Q$2,Calcul!BI98,Calcul!BS98)))</f>
        <v/>
      </c>
      <c r="L113" s="18" t="str">
        <f ca="1">IF(NAMES!$B$10=FALSE,IF($B113="","",CIE_HT(L$28,$Q$2,OFFSET(Source!$A121,0,0,1,Config!$K$7))),IF($B113="","",IF(Calcul!$BC$7=$Q$2,Calcul!BJ98,Calcul!BT98)))</f>
        <v/>
      </c>
      <c r="M113" s="18" t="str">
        <f ca="1">IF(NAMES!$B$10=FALSE,IF($B113="","",CIE_HT(M$28,$Q$2,OFFSET(Source!$A121,0,0,1,Config!$K$7))),IF($B113="","",IF(Calcul!$BC$7=$Q$2,Calcul!BK98,Calcul!BU98)))</f>
        <v/>
      </c>
      <c r="N113" s="18" t="str">
        <f ca="1">IF(NAMES!$B$10=FALSE,IF($B113="","",CIE_HT(N$28,$Q$2,OFFSET(Source!$A121,0,0,1,Config!$K$7))),IF($B113="","",IF(Calcul!$BC$7=$Q$2,Calcul!BL98,Calcul!BV98)))</f>
        <v/>
      </c>
      <c r="O113" s="18" t="str">
        <f ca="1">IF(NAMES!$B$10=FALSE,IF($B113="","",CIE_HT(O$28,$Q$2,OFFSET(Source!$A121,0,0,1,Config!$K$7))),IF($B113="","",IF(Calcul!$BC$7=$Q$2,Calcul!BM98,Calcul!BW98)))</f>
        <v/>
      </c>
      <c r="P113" s="18" t="str">
        <f ca="1">IF(NAMES!$B$10=FALSE,IF($B113="","",CIE_HT(P$28,$Q$2,OFFSET(Source!$A121,0,0,1,Config!$K$7))),IF($B113="","",IF(Calcul!$BC$7=$Q$2,Calcul!BN98,Calcul!BX98)))</f>
        <v/>
      </c>
      <c r="Q113" s="18" t="str">
        <f t="shared" si="4"/>
        <v/>
      </c>
      <c r="R113" s="18" t="str">
        <f ca="1">IF(NAMES!$B$10=FALSE,IF($B113="","",TOT_CIE_TC(I$28:P$28,$Q$2,OFFSET(Source!$A121,0,0,1,Config!$K$7))),IF($B113="","",Q113*1.04))</f>
        <v/>
      </c>
      <c r="S113" s="1883" t="str">
        <f ca="1">IF(NAMES!$B$10=FALSE,IF($B113="","",_xludf.FORMULA($B113,$Q$2,OFFSET(Source!$A121,0,0,1,Config!$K$7))),Calcul!IE98)</f>
        <v/>
      </c>
      <c r="T113" s="1883"/>
      <c r="U113" s="1883"/>
    </row>
    <row r="114" spans="1:21" hidden="1">
      <c r="A114" s="11" t="str">
        <f>IF(Cotations!C99=FALSE,"",Cotations!D99)</f>
        <v/>
      </c>
      <c r="B114" s="11" t="str">
        <f>IF(NAMES!$B$10=FALSE,IF(Source!A122="","",Source!A122),Cotations!F99)</f>
        <v/>
      </c>
      <c r="C114" s="11" t="str">
        <f>IF(NAMES!$B$10=FALSE,IF($B114="","",Source!B122),IF($B114="","",Crewlist!J99))</f>
        <v/>
      </c>
      <c r="D114" s="11" t="str">
        <f>IF(NAMES!$B$10=FALSE,IF($B114="","",Source!C122),IF($B114="","",Cotations!H99))</f>
        <v/>
      </c>
      <c r="E114" s="11" t="str">
        <f>IF(NAMES!$B$10=FALSE,IF($B114="","",Source!D122),IF($B114="","",Crewlist!G99))</f>
        <v/>
      </c>
      <c r="F114" s="16" t="str">
        <f>IF(NAMES!$B$10=FALSE,IF($B114="","",Source!E122),IF($B114="","",Crewlist!K99))</f>
        <v/>
      </c>
      <c r="G114" s="17" t="str">
        <f>IF(NAMES!$B$10=FALSE,IF($B114="","",Source!F122),Cotations!O99)</f>
        <v/>
      </c>
      <c r="H114" s="17" t="str">
        <f>IF(NAMES!$B$10=FALSE,IF($B114="","",Source!G122),Cotations!M99)</f>
        <v/>
      </c>
      <c r="I114" s="18" t="str">
        <f ca="1">IF(NAMES!$B$10=FALSE,IF($B114="","",CIE_HT(I$28,$Q$2,OFFSET(Source!$A122,0,0,1,Config!$K$7))),IF($B114="","",IF(Calcul!$BC$7=$Q$2,Calcul!BE99,Calcul!BQ99)))</f>
        <v/>
      </c>
      <c r="J114" s="18" t="str">
        <f ca="1">IF(NAMES!$B$10=FALSE,IF($B114="","",CIE_HT(J$28,$Q$2,OFFSET(Source!$A122,0,0,1,Config!$K$7))),IF($B114="","",IF(Calcul!$BC$7=$Q$2,Calcul!BF99,Calcul!BR99)))</f>
        <v/>
      </c>
      <c r="K114" s="18" t="str">
        <f ca="1">IF(NAMES!$B$10=FALSE,IF($B114="","",CIE_HT(K$28,$Q$2,OFFSET(Source!$A122,0,0,1,Config!$K$7))),IF($B114="","",IF(Calcul!$BC$7=$Q$2,Calcul!BI99,Calcul!BS99)))</f>
        <v/>
      </c>
      <c r="L114" s="18" t="str">
        <f ca="1">IF(NAMES!$B$10=FALSE,IF($B114="","",CIE_HT(L$28,$Q$2,OFFSET(Source!$A122,0,0,1,Config!$K$7))),IF($B114="","",IF(Calcul!$BC$7=$Q$2,Calcul!BJ99,Calcul!BT99)))</f>
        <v/>
      </c>
      <c r="M114" s="18" t="str">
        <f ca="1">IF(NAMES!$B$10=FALSE,IF($B114="","",CIE_HT(M$28,$Q$2,OFFSET(Source!$A122,0,0,1,Config!$K$7))),IF($B114="","",IF(Calcul!$BC$7=$Q$2,Calcul!BK99,Calcul!BU99)))</f>
        <v/>
      </c>
      <c r="N114" s="18" t="str">
        <f ca="1">IF(NAMES!$B$10=FALSE,IF($B114="","",CIE_HT(N$28,$Q$2,OFFSET(Source!$A122,0,0,1,Config!$K$7))),IF($B114="","",IF(Calcul!$BC$7=$Q$2,Calcul!BL99,Calcul!BV99)))</f>
        <v/>
      </c>
      <c r="O114" s="18" t="str">
        <f ca="1">IF(NAMES!$B$10=FALSE,IF($B114="","",CIE_HT(O$28,$Q$2,OFFSET(Source!$A122,0,0,1,Config!$K$7))),IF($B114="","",IF(Calcul!$BC$7=$Q$2,Calcul!BM99,Calcul!BW99)))</f>
        <v/>
      </c>
      <c r="P114" s="18" t="str">
        <f ca="1">IF(NAMES!$B$10=FALSE,IF($B114="","",CIE_HT(P$28,$Q$2,OFFSET(Source!$A122,0,0,1,Config!$K$7))),IF($B114="","",IF(Calcul!$BC$7=$Q$2,Calcul!BN99,Calcul!BX99)))</f>
        <v/>
      </c>
      <c r="Q114" s="18" t="str">
        <f t="shared" si="4"/>
        <v/>
      </c>
      <c r="R114" s="18" t="str">
        <f ca="1">IF(NAMES!$B$10=FALSE,IF($B114="","",TOT_CIE_TC(I$28:P$28,$Q$2,OFFSET(Source!$A122,0,0,1,Config!$K$7))),IF($B114="","",Q114*1.04))</f>
        <v/>
      </c>
      <c r="S114" s="1883" t="str">
        <f ca="1">IF(NAMES!$B$10=FALSE,IF($B114="","",_xludf.FORMULA($B114,$Q$2,OFFSET(Source!$A122,0,0,1,Config!$K$7))),Calcul!IE99)</f>
        <v/>
      </c>
      <c r="T114" s="1883"/>
      <c r="U114" s="1883"/>
    </row>
    <row r="115" spans="1:21" hidden="1">
      <c r="A115" s="11" t="str">
        <f>IF(Cotations!C100=FALSE,"",Cotations!D100)</f>
        <v/>
      </c>
      <c r="B115" s="11" t="str">
        <f>IF(NAMES!$B$10=FALSE,IF(Source!A123="","",Source!A123),Cotations!F100)</f>
        <v/>
      </c>
      <c r="C115" s="11" t="str">
        <f>IF(NAMES!$B$10=FALSE,IF($B115="","",Source!B123),IF($B115="","",Crewlist!J100))</f>
        <v/>
      </c>
      <c r="D115" s="11" t="str">
        <f>IF(NAMES!$B$10=FALSE,IF($B115="","",Source!C123),IF($B115="","",Cotations!H100))</f>
        <v/>
      </c>
      <c r="E115" s="11" t="str">
        <f>IF(NAMES!$B$10=FALSE,IF($B115="","",Source!D123),IF($B115="","",Crewlist!G100))</f>
        <v/>
      </c>
      <c r="F115" s="16" t="str">
        <f>IF(NAMES!$B$10=FALSE,IF($B115="","",Source!E123),IF($B115="","",Crewlist!K100))</f>
        <v/>
      </c>
      <c r="G115" s="17" t="str">
        <f>IF(NAMES!$B$10=FALSE,IF($B115="","",Source!F123),Cotations!O100)</f>
        <v/>
      </c>
      <c r="H115" s="17" t="str">
        <f>IF(NAMES!$B$10=FALSE,IF($B115="","",Source!G123),Cotations!M100)</f>
        <v/>
      </c>
      <c r="I115" s="18" t="str">
        <f ca="1">IF(NAMES!$B$10=FALSE,IF($B115="","",CIE_HT(I$28,$Q$2,OFFSET(Source!$A123,0,0,1,Config!$K$7))),IF($B115="","",IF(Calcul!$BC$7=$Q$2,Calcul!BE100,Calcul!BQ100)))</f>
        <v/>
      </c>
      <c r="J115" s="18" t="str">
        <f ca="1">IF(NAMES!$B$10=FALSE,IF($B115="","",CIE_HT(J$28,$Q$2,OFFSET(Source!$A123,0,0,1,Config!$K$7))),IF($B115="","",IF(Calcul!$BC$7=$Q$2,Calcul!BF100,Calcul!BR100)))</f>
        <v/>
      </c>
      <c r="K115" s="18" t="str">
        <f ca="1">IF(NAMES!$B$10=FALSE,IF($B115="","",CIE_HT(K$28,$Q$2,OFFSET(Source!$A123,0,0,1,Config!$K$7))),IF($B115="","",IF(Calcul!$BC$7=$Q$2,Calcul!BI100,Calcul!BS100)))</f>
        <v/>
      </c>
      <c r="L115" s="18" t="str">
        <f ca="1">IF(NAMES!$B$10=FALSE,IF($B115="","",CIE_HT(L$28,$Q$2,OFFSET(Source!$A123,0,0,1,Config!$K$7))),IF($B115="","",IF(Calcul!$BC$7=$Q$2,Calcul!BJ100,Calcul!BT100)))</f>
        <v/>
      </c>
      <c r="M115" s="18" t="str">
        <f ca="1">IF(NAMES!$B$10=FALSE,IF($B115="","",CIE_HT(M$28,$Q$2,OFFSET(Source!$A123,0,0,1,Config!$K$7))),IF($B115="","",IF(Calcul!$BC$7=$Q$2,Calcul!BK100,Calcul!BU100)))</f>
        <v/>
      </c>
      <c r="N115" s="18" t="str">
        <f ca="1">IF(NAMES!$B$10=FALSE,IF($B115="","",CIE_HT(N$28,$Q$2,OFFSET(Source!$A123,0,0,1,Config!$K$7))),IF($B115="","",IF(Calcul!$BC$7=$Q$2,Calcul!BL100,Calcul!BV100)))</f>
        <v/>
      </c>
      <c r="O115" s="18" t="str">
        <f ca="1">IF(NAMES!$B$10=FALSE,IF($B115="","",CIE_HT(O$28,$Q$2,OFFSET(Source!$A123,0,0,1,Config!$K$7))),IF($B115="","",IF(Calcul!$BC$7=$Q$2,Calcul!BM100,Calcul!BW100)))</f>
        <v/>
      </c>
      <c r="P115" s="18" t="str">
        <f ca="1">IF(NAMES!$B$10=FALSE,IF($B115="","",CIE_HT(P$28,$Q$2,OFFSET(Source!$A123,0,0,1,Config!$K$7))),IF($B115="","",IF(Calcul!$BC$7=$Q$2,Calcul!BN100,Calcul!BX100)))</f>
        <v/>
      </c>
      <c r="Q115" s="18" t="str">
        <f t="shared" si="4"/>
        <v/>
      </c>
      <c r="R115" s="18" t="str">
        <f ca="1">IF(NAMES!$B$10=FALSE,IF($B115="","",TOT_CIE_TC(I$28:P$28,$Q$2,OFFSET(Source!$A123,0,0,1,Config!$K$7))),IF($B115="","",Q115*1.04))</f>
        <v/>
      </c>
      <c r="S115" s="1883" t="str">
        <f ca="1">IF(NAMES!$B$10=FALSE,IF($B115="","",_xludf.FORMULA($B115,$Q$2,OFFSET(Source!$A123,0,0,1,Config!$K$7))),Calcul!IE100)</f>
        <v/>
      </c>
      <c r="T115" s="1883"/>
      <c r="U115" s="1883"/>
    </row>
    <row r="116" spans="1:21" ht="12.75" hidden="1" customHeight="1">
      <c r="A116" s="11" t="str">
        <f>IF(Cotations!C101=FALSE,"",Cotations!D101)</f>
        <v/>
      </c>
      <c r="B116" s="11" t="str">
        <f>IF(NAMES!$B$10=FALSE,IF(Source!A124="","",Source!A124),Cotations!F101)</f>
        <v/>
      </c>
      <c r="C116" s="11" t="str">
        <f>IF(NAMES!$B$10=FALSE,IF($B116="","",Source!B124),IF($B116="","",Crewlist!J101))</f>
        <v/>
      </c>
      <c r="D116" s="11" t="str">
        <f>IF(NAMES!$B$10=FALSE,IF($B116="","",Source!C124),IF($B116="","",Cotations!H101))</f>
        <v/>
      </c>
      <c r="E116" s="11" t="str">
        <f>IF(NAMES!$B$10=FALSE,IF($B116="","",Source!D124),IF($B116="","",Crewlist!G101))</f>
        <v/>
      </c>
      <c r="F116" s="16" t="str">
        <f>IF(NAMES!$B$10=FALSE,IF($B116="","",Source!E124),IF($B116="","",Crewlist!K101))</f>
        <v/>
      </c>
      <c r="G116" s="17" t="str">
        <f>IF(NAMES!$B$10=FALSE,IF($B116="","",Source!F124),Cotations!O101)</f>
        <v/>
      </c>
      <c r="H116" s="17" t="str">
        <f>IF(NAMES!$B$10=FALSE,IF($B116="","",Source!G124),Cotations!M101)</f>
        <v/>
      </c>
      <c r="I116" s="18" t="str">
        <f ca="1">IF(NAMES!$B$10=FALSE,IF($B116="","",CIE_HT(I$28,$Q$2,OFFSET(Source!$A124,0,0,1,Config!$K$7))),IF($B116="","",IF(Calcul!$BC$7=$Q$2,Calcul!BE101,Calcul!BQ101)))</f>
        <v/>
      </c>
      <c r="J116" s="18" t="str">
        <f ca="1">IF(NAMES!$B$10=FALSE,IF($B116="","",CIE_HT(J$28,$Q$2,OFFSET(Source!$A124,0,0,1,Config!$K$7))),IF($B116="","",IF(Calcul!$BC$7=$Q$2,Calcul!BF101,Calcul!BR101)))</f>
        <v/>
      </c>
      <c r="K116" s="18" t="str">
        <f ca="1">IF(NAMES!$B$10=FALSE,IF($B116="","",CIE_HT(K$28,$Q$2,OFFSET(Source!$A124,0,0,1,Config!$K$7))),IF($B116="","",IF(Calcul!$BC$7=$Q$2,Calcul!BI101,Calcul!BS101)))</f>
        <v/>
      </c>
      <c r="L116" s="18" t="str">
        <f ca="1">IF(NAMES!$B$10=FALSE,IF($B116="","",CIE_HT(L$28,$Q$2,OFFSET(Source!$A124,0,0,1,Config!$K$7))),IF($B116="","",IF(Calcul!$BC$7=$Q$2,Calcul!BJ101,Calcul!BT101)))</f>
        <v/>
      </c>
      <c r="M116" s="18" t="str">
        <f ca="1">IF(NAMES!$B$10=FALSE,IF($B116="","",CIE_HT(M$28,$Q$2,OFFSET(Source!$A124,0,0,1,Config!$K$7))),IF($B116="","",IF(Calcul!$BC$7=$Q$2,Calcul!BK101,Calcul!BU101)))</f>
        <v/>
      </c>
      <c r="N116" s="18" t="str">
        <f ca="1">IF(NAMES!$B$10=FALSE,IF($B116="","",CIE_HT(N$28,$Q$2,OFFSET(Source!$A124,0,0,1,Config!$K$7))),IF($B116="","",IF(Calcul!$BC$7=$Q$2,Calcul!BL101,Calcul!BV101)))</f>
        <v/>
      </c>
      <c r="O116" s="18" t="str">
        <f ca="1">IF(NAMES!$B$10=FALSE,IF($B116="","",CIE_HT(O$28,$Q$2,OFFSET(Source!$A124,0,0,1,Config!$K$7))),IF($B116="","",IF(Calcul!$BC$7=$Q$2,Calcul!BM101,Calcul!BW101)))</f>
        <v/>
      </c>
      <c r="P116" s="18" t="str">
        <f ca="1">IF(NAMES!$B$10=FALSE,IF($B116="","",CIE_HT(P$28,$Q$2,OFFSET(Source!$A124,0,0,1,Config!$K$7))),IF($B116="","",IF(Calcul!$BC$7=$Q$2,Calcul!BN101,Calcul!BX101)))</f>
        <v/>
      </c>
      <c r="Q116" s="18" t="str">
        <f t="shared" si="4"/>
        <v/>
      </c>
      <c r="R116" s="18" t="str">
        <f ca="1">IF(NAMES!$B$10=FALSE,IF($B116="","",TOT_CIE_TC(I$28:P$28,$Q$2,OFFSET(Source!$A124,0,0,1,Config!$K$7))),IF($B116="","",Q116*1.04))</f>
        <v/>
      </c>
      <c r="S116" s="1883" t="str">
        <f ca="1">IF(NAMES!$B$10=FALSE,IF($B116="","",_xludf.FORMULA($B116,$Q$2,OFFSET(Source!$A124,0,0,1,Config!$K$7))),Calcul!IE101)</f>
        <v/>
      </c>
      <c r="T116" s="1883"/>
      <c r="U116" s="1883"/>
    </row>
    <row r="117" spans="1:21" ht="12.75" hidden="1" customHeight="1">
      <c r="A117" s="11" t="str">
        <f>IF(Cotations!C102=FALSE,"",Cotations!D102)</f>
        <v/>
      </c>
      <c r="B117" s="11" t="str">
        <f>IF(NAMES!$B$10=FALSE,IF(Source!A125="","",Source!A125),Cotations!F102)</f>
        <v/>
      </c>
      <c r="C117" s="11" t="str">
        <f>IF(NAMES!$B$10=FALSE,IF($B117="","",Source!B125),IF($B117="","",Crewlist!J102))</f>
        <v/>
      </c>
      <c r="D117" s="11" t="str">
        <f>IF(NAMES!$B$10=FALSE,IF($B117="","",Source!C125),IF($B117="","",Cotations!H102))</f>
        <v/>
      </c>
      <c r="E117" s="11" t="str">
        <f>IF(NAMES!$B$10=FALSE,IF($B117="","",Source!D125),IF($B117="","",Crewlist!G102))</f>
        <v/>
      </c>
      <c r="F117" s="16" t="str">
        <f>IF(NAMES!$B$10=FALSE,IF($B117="","",Source!E125),IF($B117="","",Crewlist!K102))</f>
        <v/>
      </c>
      <c r="G117" s="17" t="str">
        <f>IF(NAMES!$B$10=FALSE,IF($B117="","",Source!F125),Cotations!O102)</f>
        <v/>
      </c>
      <c r="H117" s="17" t="str">
        <f>IF(NAMES!$B$10=FALSE,IF($B117="","",Source!G125),Cotations!M102)</f>
        <v/>
      </c>
      <c r="I117" s="18" t="str">
        <f ca="1">IF(NAMES!$B$10=FALSE,IF($B117="","",CIE_HT(I$28,$Q$2,OFFSET(Source!$A125,0,0,1,Config!$K$7))),IF($B117="","",IF(Calcul!$BC$7=$Q$2,Calcul!BE102,Calcul!BQ102)))</f>
        <v/>
      </c>
      <c r="J117" s="18" t="str">
        <f ca="1">IF(NAMES!$B$10=FALSE,IF($B117="","",CIE_HT(J$28,$Q$2,OFFSET(Source!$A125,0,0,1,Config!$K$7))),IF($B117="","",IF(Calcul!$BC$7=$Q$2,Calcul!BF102,Calcul!BR102)))</f>
        <v/>
      </c>
      <c r="K117" s="18" t="str">
        <f ca="1">IF(NAMES!$B$10=FALSE,IF($B117="","",CIE_HT(K$28,$Q$2,OFFSET(Source!$A125,0,0,1,Config!$K$7))),IF($B117="","",IF(Calcul!$BC$7=$Q$2,Calcul!BI102,Calcul!BS102)))</f>
        <v/>
      </c>
      <c r="L117" s="18" t="str">
        <f ca="1">IF(NAMES!$B$10=FALSE,IF($B117="","",CIE_HT(L$28,$Q$2,OFFSET(Source!$A125,0,0,1,Config!$K$7))),IF($B117="","",IF(Calcul!$BC$7=$Q$2,Calcul!BJ102,Calcul!BT102)))</f>
        <v/>
      </c>
      <c r="M117" s="18" t="str">
        <f ca="1">IF(NAMES!$B$10=FALSE,IF($B117="","",CIE_HT(M$28,$Q$2,OFFSET(Source!$A125,0,0,1,Config!$K$7))),IF($B117="","",IF(Calcul!$BC$7=$Q$2,Calcul!BK102,Calcul!BU102)))</f>
        <v/>
      </c>
      <c r="N117" s="18" t="str">
        <f ca="1">IF(NAMES!$B$10=FALSE,IF($B117="","",CIE_HT(N$28,$Q$2,OFFSET(Source!$A125,0,0,1,Config!$K$7))),IF($B117="","",IF(Calcul!$BC$7=$Q$2,Calcul!BL102,Calcul!BV102)))</f>
        <v/>
      </c>
      <c r="O117" s="18" t="str">
        <f ca="1">IF(NAMES!$B$10=FALSE,IF($B117="","",CIE_HT(O$28,$Q$2,OFFSET(Source!$A125,0,0,1,Config!$K$7))),IF($B117="","",IF(Calcul!$BC$7=$Q$2,Calcul!BM102,Calcul!BW102)))</f>
        <v/>
      </c>
      <c r="P117" s="18" t="str">
        <f ca="1">IF(NAMES!$B$10=FALSE,IF($B117="","",CIE_HT(P$28,$Q$2,OFFSET(Source!$A125,0,0,1,Config!$K$7))),IF($B117="","",IF(Calcul!$BC$7=$Q$2,Calcul!BN102,Calcul!BX102)))</f>
        <v/>
      </c>
      <c r="Q117" s="18" t="str">
        <f t="shared" si="4"/>
        <v/>
      </c>
      <c r="R117" s="18" t="str">
        <f ca="1">IF(NAMES!$B$10=FALSE,IF($B117="","",TOT_CIE_TC(I$28:P$28,$Q$2,OFFSET(Source!$A125,0,0,1,Config!$K$7))),IF($B117="","",Q117*1.04))</f>
        <v/>
      </c>
      <c r="S117" s="1883" t="str">
        <f ca="1">IF(NAMES!$B$10=FALSE,IF($B117="","",_xludf.FORMULA($B117,$Q$2,OFFSET(Source!$A125,0,0,1,Config!$K$7))),Calcul!IE102)</f>
        <v/>
      </c>
      <c r="T117" s="1883"/>
      <c r="U117" s="1883"/>
    </row>
    <row r="118" spans="1:21" hidden="1">
      <c r="A118" s="11" t="str">
        <f>IF(Cotations!C103=FALSE,"",Cotations!D103)</f>
        <v/>
      </c>
      <c r="B118" s="11" t="str">
        <f>IF(NAMES!$B$10=FALSE,IF(Source!A126="","",Source!A126),Cotations!F103)</f>
        <v/>
      </c>
      <c r="C118" s="11" t="str">
        <f>IF(NAMES!$B$10=FALSE,IF($B118="","",Source!B126),IF($B118="","",Crewlist!J103))</f>
        <v/>
      </c>
      <c r="D118" s="11" t="str">
        <f>IF(NAMES!$B$10=FALSE,IF($B118="","",Source!C126),IF($B118="","",Cotations!H103))</f>
        <v/>
      </c>
      <c r="E118" s="11" t="str">
        <f>IF(NAMES!$B$10=FALSE,IF($B118="","",Source!D126),IF($B118="","",Crewlist!G103))</f>
        <v/>
      </c>
      <c r="F118" s="16" t="str">
        <f>IF(NAMES!$B$10=FALSE,IF($B118="","",Source!E126),IF($B118="","",Crewlist!K103))</f>
        <v/>
      </c>
      <c r="G118" s="17" t="str">
        <f>IF(NAMES!$B$10=FALSE,IF($B118="","",Source!F126),Cotations!O103)</f>
        <v/>
      </c>
      <c r="H118" s="17" t="str">
        <f>IF(NAMES!$B$10=FALSE,IF($B118="","",Source!G126),Cotations!M103)</f>
        <v/>
      </c>
      <c r="I118" s="18" t="str">
        <f ca="1">IF(NAMES!$B$10=FALSE,IF($B118="","",CIE_HT(I$28,$Q$2,OFFSET(Source!$A126,0,0,1,Config!$K$7))),IF($B118="","",IF(Calcul!$BC$7=$Q$2,Calcul!BE103,Calcul!BQ103)))</f>
        <v/>
      </c>
      <c r="J118" s="18" t="str">
        <f ca="1">IF(NAMES!$B$10=FALSE,IF($B118="","",CIE_HT(J$28,$Q$2,OFFSET(Source!$A126,0,0,1,Config!$K$7))),IF($B118="","",IF(Calcul!$BC$7=$Q$2,Calcul!BF103,Calcul!BR103)))</f>
        <v/>
      </c>
      <c r="K118" s="18" t="str">
        <f ca="1">IF(NAMES!$B$10=FALSE,IF($B118="","",CIE_HT(K$28,$Q$2,OFFSET(Source!$A126,0,0,1,Config!$K$7))),IF($B118="","",IF(Calcul!$BC$7=$Q$2,Calcul!BI103,Calcul!BS103)))</f>
        <v/>
      </c>
      <c r="L118" s="18" t="str">
        <f ca="1">IF(NAMES!$B$10=FALSE,IF($B118="","",CIE_HT(L$28,$Q$2,OFFSET(Source!$A126,0,0,1,Config!$K$7))),IF($B118="","",IF(Calcul!$BC$7=$Q$2,Calcul!BJ103,Calcul!BT103)))</f>
        <v/>
      </c>
      <c r="M118" s="18" t="str">
        <f ca="1">IF(NAMES!$B$10=FALSE,IF($B118="","",CIE_HT(M$28,$Q$2,OFFSET(Source!$A126,0,0,1,Config!$K$7))),IF($B118="","",IF(Calcul!$BC$7=$Q$2,Calcul!BK103,Calcul!BU103)))</f>
        <v/>
      </c>
      <c r="N118" s="18" t="str">
        <f ca="1">IF(NAMES!$B$10=FALSE,IF($B118="","",CIE_HT(N$28,$Q$2,OFFSET(Source!$A126,0,0,1,Config!$K$7))),IF($B118="","",IF(Calcul!$BC$7=$Q$2,Calcul!BL103,Calcul!BV103)))</f>
        <v/>
      </c>
      <c r="O118" s="18" t="str">
        <f ca="1">IF(NAMES!$B$10=FALSE,IF($B118="","",CIE_HT(O$28,$Q$2,OFFSET(Source!$A126,0,0,1,Config!$K$7))),IF($B118="","",IF(Calcul!$BC$7=$Q$2,Calcul!BM103,Calcul!BW103)))</f>
        <v/>
      </c>
      <c r="P118" s="18" t="str">
        <f ca="1">IF(NAMES!$B$10=FALSE,IF($B118="","",CIE_HT(P$28,$Q$2,OFFSET(Source!$A126,0,0,1,Config!$K$7))),IF($B118="","",IF(Calcul!$BC$7=$Q$2,Calcul!BN103,Calcul!BX103)))</f>
        <v/>
      </c>
      <c r="Q118" s="18" t="str">
        <f t="shared" si="4"/>
        <v/>
      </c>
      <c r="R118" s="18" t="str">
        <f ca="1">IF(NAMES!$B$10=FALSE,IF($B118="","",TOT_CIE_TC(I$28:P$28,$Q$2,OFFSET(Source!$A126,0,0,1,Config!$K$7))),IF($B118="","",Q118*1.04))</f>
        <v/>
      </c>
      <c r="S118" s="1883" t="str">
        <f ca="1">IF(NAMES!$B$10=FALSE,IF($B118="","",_xludf.FORMULA($B118,$Q$2,OFFSET(Source!$A126,0,0,1,Config!$K$7))),Calcul!IE103)</f>
        <v/>
      </c>
      <c r="T118" s="1883"/>
      <c r="U118" s="1883"/>
    </row>
    <row r="119" spans="1:21" hidden="1">
      <c r="A119" s="11" t="str">
        <f>IF(Cotations!C104=FALSE,"",Cotations!D104)</f>
        <v/>
      </c>
      <c r="B119" s="11" t="str">
        <f>IF(NAMES!$B$10=FALSE,IF(Source!A127="","",Source!A127),Cotations!F104)</f>
        <v/>
      </c>
      <c r="C119" s="11" t="str">
        <f>IF(NAMES!$B$10=FALSE,IF($B119="","",Source!B127),IF($B119="","",Crewlist!J104))</f>
        <v/>
      </c>
      <c r="D119" s="11" t="str">
        <f>IF(NAMES!$B$10=FALSE,IF($B119="","",Source!C127),IF($B119="","",Cotations!H104))</f>
        <v/>
      </c>
      <c r="E119" s="11" t="str">
        <f>IF(NAMES!$B$10=FALSE,IF($B119="","",Source!D127),IF($B119="","",Crewlist!G104))</f>
        <v/>
      </c>
      <c r="F119" s="16" t="str">
        <f>IF(NAMES!$B$10=FALSE,IF($B119="","",Source!E127),IF($B119="","",Crewlist!K104))</f>
        <v/>
      </c>
      <c r="G119" s="17" t="str">
        <f>IF(NAMES!$B$10=FALSE,IF($B119="","",Source!F127),Cotations!O104)</f>
        <v/>
      </c>
      <c r="H119" s="17" t="str">
        <f>IF(NAMES!$B$10=FALSE,IF($B119="","",Source!G127),Cotations!M104)</f>
        <v/>
      </c>
      <c r="I119" s="18" t="str">
        <f ca="1">IF(NAMES!$B$10=FALSE,IF($B119="","",CIE_HT(I$28,$Q$2,OFFSET(Source!$A127,0,0,1,Config!$K$7))),IF($B119="","",IF(Calcul!$BC$7=$Q$2,Calcul!BE104,Calcul!BQ104)))</f>
        <v/>
      </c>
      <c r="J119" s="18" t="str">
        <f ca="1">IF(NAMES!$B$10=FALSE,IF($B119="","",CIE_HT(J$28,$Q$2,OFFSET(Source!$A127,0,0,1,Config!$K$7))),IF($B119="","",IF(Calcul!$BC$7=$Q$2,Calcul!BF104,Calcul!BR104)))</f>
        <v/>
      </c>
      <c r="K119" s="18" t="str">
        <f ca="1">IF(NAMES!$B$10=FALSE,IF($B119="","",CIE_HT(K$28,$Q$2,OFFSET(Source!$A127,0,0,1,Config!$K$7))),IF($B119="","",IF(Calcul!$BC$7=$Q$2,Calcul!BI104,Calcul!BS104)))</f>
        <v/>
      </c>
      <c r="L119" s="18" t="str">
        <f ca="1">IF(NAMES!$B$10=FALSE,IF($B119="","",CIE_HT(L$28,$Q$2,OFFSET(Source!$A127,0,0,1,Config!$K$7))),IF($B119="","",IF(Calcul!$BC$7=$Q$2,Calcul!BJ104,Calcul!BT104)))</f>
        <v/>
      </c>
      <c r="M119" s="18" t="str">
        <f ca="1">IF(NAMES!$B$10=FALSE,IF($B119="","",CIE_HT(M$28,$Q$2,OFFSET(Source!$A127,0,0,1,Config!$K$7))),IF($B119="","",IF(Calcul!$BC$7=$Q$2,Calcul!BK104,Calcul!BU104)))</f>
        <v/>
      </c>
      <c r="N119" s="18" t="str">
        <f ca="1">IF(NAMES!$B$10=FALSE,IF($B119="","",CIE_HT(N$28,$Q$2,OFFSET(Source!$A127,0,0,1,Config!$K$7))),IF($B119="","",IF(Calcul!$BC$7=$Q$2,Calcul!BL104,Calcul!BV104)))</f>
        <v/>
      </c>
      <c r="O119" s="18" t="str">
        <f ca="1">IF(NAMES!$B$10=FALSE,IF($B119="","",CIE_HT(O$28,$Q$2,OFFSET(Source!$A127,0,0,1,Config!$K$7))),IF($B119="","",IF(Calcul!$BC$7=$Q$2,Calcul!BM104,Calcul!BW104)))</f>
        <v/>
      </c>
      <c r="P119" s="18" t="str">
        <f ca="1">IF(NAMES!$B$10=FALSE,IF($B119="","",CIE_HT(P$28,$Q$2,OFFSET(Source!$A127,0,0,1,Config!$K$7))),IF($B119="","",IF(Calcul!$BC$7=$Q$2,Calcul!BN104,Calcul!BX104)))</f>
        <v/>
      </c>
      <c r="Q119" s="18" t="str">
        <f t="shared" si="4"/>
        <v/>
      </c>
      <c r="R119" s="18" t="str">
        <f ca="1">IF(NAMES!$B$10=FALSE,IF($B119="","",TOT_CIE_TC(I$28:P$28,$Q$2,OFFSET(Source!$A127,0,0,1,Config!$K$7))),IF($B119="","",Q119*1.04))</f>
        <v/>
      </c>
      <c r="S119" s="1883" t="str">
        <f ca="1">IF(NAMES!$B$10=FALSE,IF($B119="","",_xludf.FORMULA($B119,$Q$2,OFFSET(Source!$A127,0,0,1,Config!$K$7))),Calcul!IE104)</f>
        <v/>
      </c>
      <c r="T119" s="1883"/>
      <c r="U119" s="1883"/>
    </row>
    <row r="120" spans="1:21" hidden="1">
      <c r="A120" s="11" t="str">
        <f>IF(Cotations!C105=FALSE,"",Cotations!D105)</f>
        <v/>
      </c>
      <c r="B120" s="11" t="str">
        <f>IF(NAMES!$B$10=FALSE,IF(Source!A128="","",Source!A128),Cotations!F105)</f>
        <v/>
      </c>
      <c r="C120" s="11" t="str">
        <f>IF(NAMES!$B$10=FALSE,IF($B120="","",Source!B128),IF($B120="","",Crewlist!J105))</f>
        <v/>
      </c>
      <c r="D120" s="11" t="str">
        <f>IF(NAMES!$B$10=FALSE,IF($B120="","",Source!C128),IF($B120="","",Cotations!H105))</f>
        <v/>
      </c>
      <c r="E120" s="11" t="str">
        <f>IF(NAMES!$B$10=FALSE,IF($B120="","",Source!D128),IF($B120="","",Crewlist!G105))</f>
        <v/>
      </c>
      <c r="F120" s="16" t="str">
        <f>IF(NAMES!$B$10=FALSE,IF($B120="","",Source!E128),IF($B120="","",Crewlist!K105))</f>
        <v/>
      </c>
      <c r="G120" s="17" t="str">
        <f>IF(NAMES!$B$10=FALSE,IF($B120="","",Source!F128),Cotations!O105)</f>
        <v/>
      </c>
      <c r="H120" s="17" t="str">
        <f>IF(NAMES!$B$10=FALSE,IF($B120="","",Source!G128),Cotations!M105)</f>
        <v/>
      </c>
      <c r="I120" s="18" t="str">
        <f ca="1">IF(NAMES!$B$10=FALSE,IF($B120="","",CIE_HT(I$28,$Q$2,OFFSET(Source!$A128,0,0,1,Config!$K$7))),IF($B120="","",IF(Calcul!$BC$7=$Q$2,Calcul!BE105,Calcul!BQ105)))</f>
        <v/>
      </c>
      <c r="J120" s="18" t="str">
        <f ca="1">IF(NAMES!$B$10=FALSE,IF($B120="","",CIE_HT(J$28,$Q$2,OFFSET(Source!$A128,0,0,1,Config!$K$7))),IF($B120="","",IF(Calcul!$BC$7=$Q$2,Calcul!BF105,Calcul!BR105)))</f>
        <v/>
      </c>
      <c r="K120" s="18" t="str">
        <f ca="1">IF(NAMES!$B$10=FALSE,IF($B120="","",CIE_HT(K$28,$Q$2,OFFSET(Source!$A128,0,0,1,Config!$K$7))),IF($B120="","",IF(Calcul!$BC$7=$Q$2,Calcul!BI105,Calcul!BS105)))</f>
        <v/>
      </c>
      <c r="L120" s="18" t="str">
        <f ca="1">IF(NAMES!$B$10=FALSE,IF($B120="","",CIE_HT(L$28,$Q$2,OFFSET(Source!$A128,0,0,1,Config!$K$7))),IF($B120="","",IF(Calcul!$BC$7=$Q$2,Calcul!BJ105,Calcul!BT105)))</f>
        <v/>
      </c>
      <c r="M120" s="18" t="str">
        <f ca="1">IF(NAMES!$B$10=FALSE,IF($B120="","",CIE_HT(M$28,$Q$2,OFFSET(Source!$A128,0,0,1,Config!$K$7))),IF($B120="","",IF(Calcul!$BC$7=$Q$2,Calcul!BK105,Calcul!BU105)))</f>
        <v/>
      </c>
      <c r="N120" s="18" t="str">
        <f ca="1">IF(NAMES!$B$10=FALSE,IF($B120="","",CIE_HT(N$28,$Q$2,OFFSET(Source!$A128,0,0,1,Config!$K$7))),IF($B120="","",IF(Calcul!$BC$7=$Q$2,Calcul!BL105,Calcul!BV105)))</f>
        <v/>
      </c>
      <c r="O120" s="18" t="str">
        <f ca="1">IF(NAMES!$B$10=FALSE,IF($B120="","",CIE_HT(O$28,$Q$2,OFFSET(Source!$A128,0,0,1,Config!$K$7))),IF($B120="","",IF(Calcul!$BC$7=$Q$2,Calcul!BM105,Calcul!BW105)))</f>
        <v/>
      </c>
      <c r="P120" s="18" t="str">
        <f ca="1">IF(NAMES!$B$10=FALSE,IF($B120="","",CIE_HT(P$28,$Q$2,OFFSET(Source!$A128,0,0,1,Config!$K$7))),IF($B120="","",IF(Calcul!$BC$7=$Q$2,Calcul!BN105,Calcul!BX105)))</f>
        <v/>
      </c>
      <c r="Q120" s="18" t="str">
        <f t="shared" si="4"/>
        <v/>
      </c>
      <c r="R120" s="18" t="str">
        <f ca="1">IF(NAMES!$B$10=FALSE,IF($B120="","",TOT_CIE_TC(I$28:P$28,$Q$2,OFFSET(Source!$A128,0,0,1,Config!$K$7))),IF($B120="","",Q120*1.04))</f>
        <v/>
      </c>
      <c r="S120" s="1883" t="str">
        <f ca="1">IF(NAMES!$B$10=FALSE,IF($B120="","",_xludf.FORMULA($B120,$Q$2,OFFSET(Source!$A128,0,0,1,Config!$K$7))),Calcul!IE105)</f>
        <v/>
      </c>
      <c r="T120" s="1883"/>
      <c r="U120" s="1883"/>
    </row>
    <row r="121" spans="1:21">
      <c r="S121" s="1883"/>
      <c r="T121" s="1883"/>
      <c r="U121" s="1883"/>
    </row>
    <row r="122" spans="1:21">
      <c r="S122" s="1883"/>
      <c r="T122" s="1883"/>
      <c r="U122" s="1883"/>
    </row>
  </sheetData>
  <autoFilter ref="A29:V120">
    <filterColumn colId="0">
      <customFilters>
        <customFilter operator="notEqual" val=" "/>
      </customFilters>
    </filterColumn>
    <filterColumn colId="18" showButton="0"/>
    <filterColumn colId="19" showButton="0"/>
  </autoFilter>
  <mergeCells count="168">
    <mergeCell ref="V26:AI26"/>
    <mergeCell ref="S75:U75"/>
    <mergeCell ref="S70:U70"/>
    <mergeCell ref="S71:U71"/>
    <mergeCell ref="S72:U72"/>
    <mergeCell ref="S73:U73"/>
    <mergeCell ref="S74:U74"/>
    <mergeCell ref="S4:T4"/>
    <mergeCell ref="N23:P23"/>
    <mergeCell ref="N24:P24"/>
    <mergeCell ref="N17:P17"/>
    <mergeCell ref="N18:P18"/>
    <mergeCell ref="S61:U61"/>
    <mergeCell ref="S62:U62"/>
    <mergeCell ref="S63:U63"/>
    <mergeCell ref="S64:U64"/>
    <mergeCell ref="S65:U65"/>
    <mergeCell ref="S66:U66"/>
    <mergeCell ref="S67:U67"/>
    <mergeCell ref="S68:U68"/>
    <mergeCell ref="S69:U69"/>
    <mergeCell ref="S52:U52"/>
    <mergeCell ref="S53:U53"/>
    <mergeCell ref="S54:U54"/>
    <mergeCell ref="Q14:R14"/>
    <mergeCell ref="S51:U51"/>
    <mergeCell ref="S43:U43"/>
    <mergeCell ref="S44:U44"/>
    <mergeCell ref="S45:U45"/>
    <mergeCell ref="S46:U46"/>
    <mergeCell ref="S47:U47"/>
    <mergeCell ref="S48:U48"/>
    <mergeCell ref="S49:U49"/>
    <mergeCell ref="S50:U50"/>
    <mergeCell ref="N28:N29"/>
    <mergeCell ref="F20:G20"/>
    <mergeCell ref="F21:G21"/>
    <mergeCell ref="F22:G22"/>
    <mergeCell ref="B23:G23"/>
    <mergeCell ref="Q20:R20"/>
    <mergeCell ref="Q17:R17"/>
    <mergeCell ref="B27:C27"/>
    <mergeCell ref="F17:G17"/>
    <mergeCell ref="F18:G18"/>
    <mergeCell ref="F19:G19"/>
    <mergeCell ref="C26:P26"/>
    <mergeCell ref="O28:O29"/>
    <mergeCell ref="P28:P29"/>
    <mergeCell ref="Q28:Q29"/>
    <mergeCell ref="R28:R29"/>
    <mergeCell ref="N21:P21"/>
    <mergeCell ref="N22:P22"/>
    <mergeCell ref="N19:P19"/>
    <mergeCell ref="N20:P20"/>
    <mergeCell ref="V15:X15"/>
    <mergeCell ref="N15:P15"/>
    <mergeCell ref="N16:P16"/>
    <mergeCell ref="Q2:S2"/>
    <mergeCell ref="I3:N3"/>
    <mergeCell ref="B9:E9"/>
    <mergeCell ref="B10:E10"/>
    <mergeCell ref="B8:E8"/>
    <mergeCell ref="R8:U8"/>
    <mergeCell ref="I4:N4"/>
    <mergeCell ref="R9:U9"/>
    <mergeCell ref="R10:U10"/>
    <mergeCell ref="L8:O8"/>
    <mergeCell ref="L9:O9"/>
    <mergeCell ref="L10:O10"/>
    <mergeCell ref="G8:J8"/>
    <mergeCell ref="V9:Y9"/>
    <mergeCell ref="V10:Y10"/>
    <mergeCell ref="V12:Y12"/>
    <mergeCell ref="W11:Y11"/>
    <mergeCell ref="V16:X16"/>
    <mergeCell ref="R6:T6"/>
    <mergeCell ref="S11:U11"/>
    <mergeCell ref="R12:U12"/>
    <mergeCell ref="D1:E1"/>
    <mergeCell ref="C11:E11"/>
    <mergeCell ref="B12:E12"/>
    <mergeCell ref="F14:G14"/>
    <mergeCell ref="F15:G15"/>
    <mergeCell ref="G6:P6"/>
    <mergeCell ref="F16:G16"/>
    <mergeCell ref="J14:K14"/>
    <mergeCell ref="N14:P14"/>
    <mergeCell ref="M11:O11"/>
    <mergeCell ref="L12:O12"/>
    <mergeCell ref="A28:A29"/>
    <mergeCell ref="S76:U76"/>
    <mergeCell ref="S77:U77"/>
    <mergeCell ref="S78:U78"/>
    <mergeCell ref="I28:I29"/>
    <mergeCell ref="J28:J29"/>
    <mergeCell ref="K28:K29"/>
    <mergeCell ref="L28:L29"/>
    <mergeCell ref="M28:M29"/>
    <mergeCell ref="G28:H28"/>
    <mergeCell ref="B28:B29"/>
    <mergeCell ref="C28:C29"/>
    <mergeCell ref="D28:D29"/>
    <mergeCell ref="E28:E29"/>
    <mergeCell ref="F28:F29"/>
    <mergeCell ref="S30:U30"/>
    <mergeCell ref="S31:U31"/>
    <mergeCell ref="S32:U32"/>
    <mergeCell ref="S38:U38"/>
    <mergeCell ref="S33:U33"/>
    <mergeCell ref="S34:U34"/>
    <mergeCell ref="S35:U35"/>
    <mergeCell ref="S36:U36"/>
    <mergeCell ref="S42:U42"/>
    <mergeCell ref="S28:U29"/>
    <mergeCell ref="S39:U39"/>
    <mergeCell ref="S40:U40"/>
    <mergeCell ref="S41:U41"/>
    <mergeCell ref="S37:U37"/>
    <mergeCell ref="S84:U84"/>
    <mergeCell ref="S85:U85"/>
    <mergeCell ref="S86:U86"/>
    <mergeCell ref="S88:U88"/>
    <mergeCell ref="S55:U55"/>
    <mergeCell ref="S56:U56"/>
    <mergeCell ref="S57:U57"/>
    <mergeCell ref="S58:U58"/>
    <mergeCell ref="S59:U59"/>
    <mergeCell ref="S60:U60"/>
    <mergeCell ref="S89:U89"/>
    <mergeCell ref="S90:U90"/>
    <mergeCell ref="S91:U91"/>
    <mergeCell ref="S92:U92"/>
    <mergeCell ref="S79:U79"/>
    <mergeCell ref="S80:U80"/>
    <mergeCell ref="S81:U81"/>
    <mergeCell ref="S82:U82"/>
    <mergeCell ref="S83:U83"/>
    <mergeCell ref="S87:U87"/>
    <mergeCell ref="S93:U93"/>
    <mergeCell ref="S94:U94"/>
    <mergeCell ref="S95:U95"/>
    <mergeCell ref="S96:U96"/>
    <mergeCell ref="S97:U97"/>
    <mergeCell ref="S98:U98"/>
    <mergeCell ref="S99:U99"/>
    <mergeCell ref="S100:U100"/>
    <mergeCell ref="S101:U101"/>
    <mergeCell ref="S102:U102"/>
    <mergeCell ref="S103:U103"/>
    <mergeCell ref="S104:U104"/>
    <mergeCell ref="S105:U105"/>
    <mergeCell ref="S106:U106"/>
    <mergeCell ref="S107:U107"/>
    <mergeCell ref="S108:U108"/>
    <mergeCell ref="S109:U109"/>
    <mergeCell ref="S110:U110"/>
    <mergeCell ref="S120:U120"/>
    <mergeCell ref="S121:U121"/>
    <mergeCell ref="S122:U122"/>
    <mergeCell ref="S111:U111"/>
    <mergeCell ref="S112:U112"/>
    <mergeCell ref="S113:U113"/>
    <mergeCell ref="S114:U114"/>
    <mergeCell ref="S115:U115"/>
    <mergeCell ref="S116:U116"/>
    <mergeCell ref="S117:U117"/>
    <mergeCell ref="S118:U118"/>
    <mergeCell ref="S119:U119"/>
  </mergeCells>
  <dataValidations count="1">
    <dataValidation type="list" showInputMessage="1" showErrorMessage="1" sqref="Q2:S2">
      <formula1>COMPANY_LIST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headerFooter>
    <oddFooter>&amp;C&amp;P/&amp;N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LISTES!$C$28:$C$37</xm:f>
          </x14:formula1>
          <xm:sqref>I3:N3</xm:sqref>
        </x14:dataValidation>
        <x14:dataValidation type="list" allowBlank="1" showInputMessage="1" showErrorMessage="1">
          <x14:formula1>
            <xm:f>LIST!$D$1:$D$3</xm:f>
          </x14:formula1>
          <xm:sqref>H15:H24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R60"/>
  <sheetViews>
    <sheetView view="pageBreakPreview" zoomScaleSheetLayoutView="100" workbookViewId="0">
      <selection activeCell="L21" sqref="L21"/>
    </sheetView>
  </sheetViews>
  <sheetFormatPr baseColWidth="10" defaultColWidth="11.42578125" defaultRowHeight="12.75"/>
  <cols>
    <col min="1" max="1" width="11.42578125" style="3"/>
    <col min="2" max="2" width="20" style="3" customWidth="1"/>
    <col min="3" max="4" width="11.42578125" style="3"/>
    <col min="5" max="5" width="10" style="3" customWidth="1"/>
    <col min="6" max="6" width="11.42578125" style="3"/>
    <col min="7" max="7" width="11.85546875" style="3" bestFit="1" customWidth="1"/>
    <col min="8" max="8" width="11.42578125" style="3"/>
    <col min="9" max="9" width="0" style="3" hidden="1" customWidth="1"/>
    <col min="10" max="16384" width="11.42578125" style="3"/>
  </cols>
  <sheetData>
    <row r="1" spans="1:10">
      <c r="G1" s="8">
        <f ca="1">TODAY()</f>
        <v>42783</v>
      </c>
    </row>
    <row r="7" spans="1:10">
      <c r="D7" s="475" t="s">
        <v>2354</v>
      </c>
      <c r="E7" s="1960" t="str">
        <f>YACHTNAME</f>
        <v xml:space="preserve">IDOL            </v>
      </c>
      <c r="F7" s="1960"/>
      <c r="G7" s="1960"/>
    </row>
    <row r="8" spans="1:10" ht="15" customHeight="1">
      <c r="D8" s="476" t="s">
        <v>2309</v>
      </c>
      <c r="E8" s="1961" t="str">
        <f>CHOOSE(LISTES!A95,PHname,EMname,MAname,BRname)</f>
        <v>IDOL YACHTING LIMITED</v>
      </c>
      <c r="F8" s="1961"/>
      <c r="G8" s="1961"/>
      <c r="J8" s="3" t="s">
        <v>2312</v>
      </c>
    </row>
    <row r="9" spans="1:10" ht="15" customHeight="1">
      <c r="D9" s="25"/>
      <c r="E9" s="1961" t="str">
        <f>CHOOSE(LISTES!A95,PHaddress,EMaddress,MAaddress,BRaddress)</f>
        <v>Level 4, Suite 7; Rosa Marina Buildings</v>
      </c>
      <c r="F9" s="1961"/>
      <c r="G9" s="1961"/>
    </row>
    <row r="10" spans="1:10" ht="15" customHeight="1">
      <c r="D10" s="25"/>
      <c r="E10" s="27" t="str">
        <f>CHOOSE(LISTES!A95,PHpostalcode,EMpostalcode,MApostalcode,BRpostalcode)</f>
        <v>PTA 9041</v>
      </c>
      <c r="F10" s="1961" t="str">
        <f>CHOOSE(LISTES!A95,PHcity,EMcity,MAcity,BRcity)</f>
        <v>Pieta</v>
      </c>
      <c r="G10" s="1961"/>
      <c r="J10" s="1944" t="s">
        <v>2313</v>
      </c>
    </row>
    <row r="11" spans="1:10">
      <c r="D11" s="26"/>
      <c r="E11" s="1962" t="str">
        <f>CHOOSE(LISTES!A95,PHcountry,EMcountry,MAcountry,BRcountry)</f>
        <v>Malta</v>
      </c>
      <c r="F11" s="1962"/>
      <c r="G11" s="1962"/>
      <c r="J11" s="1944"/>
    </row>
    <row r="12" spans="1:10">
      <c r="A12" s="1966" t="str">
        <f>CHOOSE(LISTES!A96,"Subscriber","employer","Manager","Broker")</f>
        <v>Broker</v>
      </c>
      <c r="B12" s="1966"/>
      <c r="C12" s="1966"/>
      <c r="D12" s="21"/>
      <c r="J12" s="1944"/>
    </row>
    <row r="13" spans="1:10">
      <c r="A13" s="1961" t="str">
        <f>CHOOSE(LISTES!A96,PHname,EMname,MAname,BRname)</f>
        <v>SOMECASSUR</v>
      </c>
      <c r="B13" s="1961"/>
      <c r="C13" s="1961"/>
      <c r="D13" s="25"/>
    </row>
    <row r="14" spans="1:10" ht="15" customHeight="1">
      <c r="A14" s="1961" t="str">
        <f>CHOOSE(LISTES!A96,PHaddress,EMaddress,MAaddress,BRaddress)</f>
        <v>Le Gray d’Albion, 17 Boulevard de la Croisette</v>
      </c>
      <c r="B14" s="1961"/>
      <c r="C14" s="1961"/>
      <c r="D14" s="25"/>
    </row>
    <row r="15" spans="1:10">
      <c r="A15" s="477" t="str">
        <f>CHOOSE(LISTES!A96,PHpostalcode,EMpostalcode,MApostalcode,BRpostalcode)</f>
        <v>F-06400</v>
      </c>
      <c r="B15" s="1961" t="str">
        <f>CHOOSE(LISTES!A96,PHcity,EMcity,MAcity,BRcity)</f>
        <v>Cannes</v>
      </c>
      <c r="C15" s="1961"/>
      <c r="D15" s="25"/>
    </row>
    <row r="16" spans="1:10">
      <c r="A16" s="1962" t="str">
        <f>CHOOSE(LISTES!A96,PHcountry,EMcountry,MAcountry,BRcountry)</f>
        <v>France</v>
      </c>
      <c r="B16" s="1962"/>
      <c r="C16" s="1962"/>
      <c r="D16" s="26"/>
    </row>
    <row r="17" spans="1:18">
      <c r="A17" s="439" t="str">
        <f>IF(LISTES!A96=4,"Contact: "&amp;USER!I1&amp;" "&amp;USER!H1&amp;" direct: "&amp;USER!M1,"Contact: "&amp;USER!I2&amp;" "&amp;USER!H2&amp;" direct: "&amp;USER!M2)</f>
        <v>Contact: Corinne MATHE  direct: (0033) 493399230</v>
      </c>
      <c r="B17" s="439"/>
      <c r="C17" s="439"/>
      <c r="D17" s="439"/>
    </row>
    <row r="18" spans="1:18">
      <c r="A18" s="26"/>
      <c r="B18" s="26"/>
      <c r="C18" s="26"/>
      <c r="D18" s="26"/>
    </row>
    <row r="19" spans="1:18" ht="18.75" customHeight="1">
      <c r="A19" s="1944" t="s">
        <v>2355</v>
      </c>
      <c r="B19" s="1967" t="str">
        <f>Admin!E2</f>
        <v>12522.3</v>
      </c>
      <c r="C19" s="1967" t="str">
        <f>IF(G38&gt;0,"DEBIT NOTE","CREDIT NOTE")</f>
        <v>CREDIT NOTE</v>
      </c>
      <c r="D19" s="1967"/>
      <c r="E19" s="1967"/>
      <c r="F19" s="1967"/>
      <c r="J19" s="3" t="s">
        <v>2346</v>
      </c>
      <c r="K19" s="472">
        <v>42750</v>
      </c>
    </row>
    <row r="20" spans="1:18" ht="15" customHeight="1">
      <c r="A20" s="1944"/>
      <c r="B20" s="1967"/>
      <c r="C20" s="1967"/>
      <c r="D20" s="1967"/>
      <c r="E20" s="1967"/>
      <c r="F20" s="1967"/>
    </row>
    <row r="21" spans="1:18" ht="15" customHeight="1">
      <c r="A21" s="33" t="s">
        <v>60</v>
      </c>
      <c r="B21" s="442">
        <f>Source!A2</f>
        <v>42774.425902777781</v>
      </c>
      <c r="D21" s="33" t="s">
        <v>33</v>
      </c>
      <c r="E21" s="3" t="s">
        <v>32</v>
      </c>
    </row>
    <row r="22" spans="1:18">
      <c r="A22" s="3" t="s">
        <v>2297</v>
      </c>
      <c r="B22" s="1944" t="str">
        <f>LISTES!G45</f>
        <v>AIG EUROPE &amp; ANKER</v>
      </c>
      <c r="C22" s="1944"/>
      <c r="D22" s="1944"/>
      <c r="J22" s="3" t="s">
        <v>2347</v>
      </c>
      <c r="K22" s="472">
        <v>42930</v>
      </c>
    </row>
    <row r="23" spans="1:18">
      <c r="A23" s="23" t="s">
        <v>78</v>
      </c>
      <c r="B23" s="1968" t="str">
        <f>LISTES!E45</f>
        <v>Renewal invoice</v>
      </c>
      <c r="C23" s="1968"/>
      <c r="D23" s="1968"/>
      <c r="E23" s="1968"/>
      <c r="F23" s="1968"/>
      <c r="G23" s="1968"/>
    </row>
    <row r="24" spans="1:18" ht="10.5" customHeight="1">
      <c r="A24" s="23"/>
      <c r="B24" s="1952"/>
      <c r="C24" s="1952"/>
      <c r="D24" s="1952"/>
      <c r="E24" s="1952"/>
      <c r="F24" s="1952"/>
      <c r="G24" s="1952"/>
      <c r="N24" s="623"/>
    </row>
    <row r="25" spans="1:18" ht="10.5" customHeight="1">
      <c r="A25" s="23"/>
      <c r="B25" s="1952"/>
      <c r="C25" s="1952"/>
      <c r="D25" s="1952"/>
      <c r="E25" s="1952"/>
      <c r="F25" s="1952"/>
      <c r="G25" s="1952"/>
    </row>
    <row r="26" spans="1:18" ht="8.25" customHeight="1" thickBot="1"/>
    <row r="27" spans="1:18" ht="15" customHeight="1">
      <c r="A27" s="1940" t="s">
        <v>13</v>
      </c>
      <c r="B27" s="1948" t="s">
        <v>58</v>
      </c>
      <c r="C27" s="1948"/>
      <c r="D27" s="1948"/>
      <c r="E27" s="1948"/>
      <c r="F27" s="1948"/>
      <c r="G27" s="1949"/>
      <c r="K27" s="1963" t="s">
        <v>2523</v>
      </c>
      <c r="N27" s="1957" t="s">
        <v>2524</v>
      </c>
      <c r="O27" s="1965" t="s">
        <v>2363</v>
      </c>
      <c r="P27" s="1957" t="s">
        <v>2520</v>
      </c>
    </row>
    <row r="28" spans="1:18" ht="13.5" thickBot="1">
      <c r="A28" s="1941"/>
      <c r="B28" s="31" t="s">
        <v>76</v>
      </c>
      <c r="C28" s="1942" t="s">
        <v>20</v>
      </c>
      <c r="D28" s="1942"/>
      <c r="E28" s="1942"/>
      <c r="F28" s="31" t="s">
        <v>33</v>
      </c>
      <c r="G28" s="32" t="s">
        <v>74</v>
      </c>
      <c r="K28" s="1964"/>
      <c r="N28" s="1957"/>
      <c r="O28" s="1965"/>
      <c r="P28" s="1957"/>
    </row>
    <row r="29" spans="1:18" ht="12" customHeight="1">
      <c r="A29" s="1950" t="str">
        <f>IF(I48=TRUE,CONCATENATE("From : ",TEXT(Source!B2,"jj/mm/aaaa")),CONCATENATE("From : ",TEXT(K19,"jj/mm/aaaa")))</f>
        <v>From : 15/01/2017</v>
      </c>
      <c r="B29" s="1089" t="str">
        <f>IF(LISTES!$A$17=3,lig1_POL_MED,IF(Source!E17="","",Source!E17))</f>
        <v>L2025408</v>
      </c>
      <c r="C29" s="1959" t="str">
        <f>IF(LISTES!$A$17=3,Modules!E18,IF(Source!D17="","",Source!D17))</f>
        <v>Perfect S</v>
      </c>
      <c r="D29" s="1959"/>
      <c r="E29" s="1959"/>
      <c r="F29" s="1088" t="str">
        <f>IF(B29="","",$E$21)</f>
        <v>EUR</v>
      </c>
      <c r="G29" s="1087">
        <v>-1013.8</v>
      </c>
      <c r="H29" s="10"/>
      <c r="I29" s="10"/>
      <c r="J29" s="10" t="str">
        <f>Source!D17</f>
        <v>Perfect S</v>
      </c>
      <c r="K29" s="597">
        <f>IF(Source!R17="","",Source!R17)</f>
        <v>610.09617600000001</v>
      </c>
      <c r="L29" s="468"/>
      <c r="M29" s="3" t="s">
        <v>196</v>
      </c>
      <c r="N29" s="1116">
        <f>Cotations!AB11</f>
        <v>4211.6971153846162</v>
      </c>
      <c r="O29" s="1116">
        <f>Cotations!AB13</f>
        <v>4211.6971153846152</v>
      </c>
      <c r="P29" s="1116">
        <f>RECAPITULATIF!G8</f>
        <v>0</v>
      </c>
      <c r="R29" s="622">
        <f>SUM(G29:G34)</f>
        <v>-607.9899999999999</v>
      </c>
    </row>
    <row r="30" spans="1:18">
      <c r="A30" s="1951"/>
      <c r="B30" s="1085" t="str">
        <f>IF(LISTES!$A$17=3,lig2_POL_MED,IF(Source!E18="","",Source!E18))</f>
        <v>L2024408</v>
      </c>
      <c r="C30" s="1906" t="str">
        <f>IF(LISTES!$A$17=3,Modules!E47,IF(Source!D18="","",Source!D18))</f>
        <v>StandardMLC S</v>
      </c>
      <c r="D30" s="1906"/>
      <c r="E30" s="1906"/>
      <c r="F30" s="10" t="str">
        <f t="shared" ref="F30:F34" si="0">IF(B30="","",$E$21)</f>
        <v>EUR</v>
      </c>
      <c r="G30" s="37">
        <v>313.18</v>
      </c>
      <c r="J30" s="10" t="str">
        <f>Source!D18</f>
        <v>StandardMLC S</v>
      </c>
      <c r="K30" s="598">
        <f>IF(Source!R18="","",Source!R18)</f>
        <v>2818.6450199999999</v>
      </c>
      <c r="L30" s="465"/>
      <c r="M30" s="3" t="s">
        <v>2128</v>
      </c>
      <c r="N30" s="1116">
        <f>Cotations!AD11</f>
        <v>13975.502148323099</v>
      </c>
      <c r="O30" s="1116">
        <f ca="1">Cotations!AD13</f>
        <v>8366.526216343882</v>
      </c>
      <c r="P30" s="1116">
        <f>RECAPITULATIF!H8</f>
        <v>-4.5474735088646412E-13</v>
      </c>
      <c r="R30" s="3">
        <f>R29*0.04</f>
        <v>-24.319599999999998</v>
      </c>
    </row>
    <row r="31" spans="1:18">
      <c r="A31" s="1951"/>
      <c r="B31" s="1085">
        <f>IF(LISTES!$A$17=3,lig3_POL_MED,IF(Source!E19="","",Source!E19))</f>
        <v>140494</v>
      </c>
      <c r="C31" s="1958" t="str">
        <f>Modules!E69</f>
        <v>Medical Excellent and Homeland</v>
      </c>
      <c r="D31" s="1906"/>
      <c r="E31" s="1906"/>
      <c r="F31" s="10" t="str">
        <f t="shared" si="0"/>
        <v>EUR</v>
      </c>
      <c r="G31" s="37">
        <v>0</v>
      </c>
      <c r="J31" s="10" t="str">
        <f>Source!D19</f>
        <v>Formula 3</v>
      </c>
      <c r="K31" s="598">
        <f>IF(Source!R19="","",Source!R19)</f>
        <v>6858.3353802551001</v>
      </c>
      <c r="L31" s="465" t="s">
        <v>2337</v>
      </c>
      <c r="N31" s="1116"/>
      <c r="O31" s="1116"/>
      <c r="P31" s="1116">
        <f>RECAPITULATIF!I8</f>
        <v>0</v>
      </c>
    </row>
    <row r="32" spans="1:18">
      <c r="A32" s="1951"/>
      <c r="B32" s="1085">
        <f>IF(LISTES!$A$17=3,lig1_POL_PREVOY,IF(Source!E20="","",Source!E20))</f>
        <v>240450</v>
      </c>
      <c r="C32" s="1906" t="str">
        <f>IF(LISTES!$A$17=3,Modules!F18,IF(Source!D20="","",Source!D20))</f>
        <v>Formula 3</v>
      </c>
      <c r="D32" s="1906"/>
      <c r="E32" s="1906"/>
      <c r="F32" s="10" t="str">
        <f>IF(B32="","",$E$21)</f>
        <v>EUR</v>
      </c>
      <c r="G32" s="37">
        <v>92.63</v>
      </c>
      <c r="J32" s="10" t="str">
        <f>Source!D20</f>
        <v>Formula 3</v>
      </c>
      <c r="K32" s="598">
        <f>IF(Source!R20="","",Source!R20)</f>
        <v>1508.1908360888001</v>
      </c>
      <c r="L32" s="465"/>
      <c r="N32" s="1116"/>
      <c r="O32" s="1116"/>
      <c r="P32" s="1116">
        <f>RECAPITULATIF!J8</f>
        <v>-1.8189894035458565E-12</v>
      </c>
    </row>
    <row r="33" spans="1:16" ht="12" customHeight="1">
      <c r="A33" s="1951" t="str">
        <f>IF(I48=TRUE,CONCATENATE("To : ",TEXT(Source!C2,"jj/mm/aaaa")),CONCATENATE("From : ",TEXT(K22,"jj/mm/aaaa")))</f>
        <v>From : 14/07/2017</v>
      </c>
      <c r="B33" s="1085">
        <f>IF(LISTES!$A$17=3,lig2_POL_PREVO,IF(Source!E21="","",Source!E21))</f>
        <v>240303</v>
      </c>
      <c r="C33" s="1906" t="str">
        <f>IF(LISTES!$A$17=3,Modules!F47,IF(Source!D21="","",Source!D21))</f>
        <v>Formula 3</v>
      </c>
      <c r="D33" s="1906"/>
      <c r="E33" s="1906"/>
      <c r="F33" s="10" t="str">
        <f t="shared" si="0"/>
        <v>EUR</v>
      </c>
      <c r="G33" s="37">
        <v>0</v>
      </c>
      <c r="J33" s="10">
        <f>Source!D21</f>
        <v>0</v>
      </c>
      <c r="K33" s="598" t="str">
        <f>IF(Source!R21="","",Source!R21)</f>
        <v/>
      </c>
      <c r="L33" s="465"/>
      <c r="N33" s="1116"/>
      <c r="O33" s="1116"/>
      <c r="P33" s="1116">
        <f>RECAPITULATIF!K8</f>
        <v>0</v>
      </c>
    </row>
    <row r="34" spans="1:16" ht="12" customHeight="1">
      <c r="A34" s="1951"/>
      <c r="B34" s="837">
        <f>IF(LISTES!$A$17=3,lig3_POL_PREVOY,IF(Source!E22="","",Source!E22))</f>
        <v>140494</v>
      </c>
      <c r="C34" s="1955" t="str">
        <f>IF(LISTES!$A$17=3,Modules!F69,IF(Source!D22="","",Source!D22))</f>
        <v>Formula Day Worker</v>
      </c>
      <c r="D34" s="1955"/>
      <c r="E34" s="1955"/>
      <c r="F34" s="470" t="str">
        <f t="shared" si="0"/>
        <v>EUR</v>
      </c>
      <c r="G34" s="471">
        <v>0</v>
      </c>
      <c r="J34" s="10"/>
      <c r="K34" s="598"/>
      <c r="L34" s="664"/>
      <c r="N34" s="1116"/>
      <c r="O34" s="1116"/>
      <c r="P34" s="1116">
        <f>RECAPITULATIF!L8</f>
        <v>0</v>
      </c>
    </row>
    <row r="35" spans="1:16">
      <c r="A35" s="1953"/>
      <c r="B35" s="36"/>
      <c r="C35" s="1906" t="s">
        <v>77</v>
      </c>
      <c r="D35" s="1906"/>
      <c r="E35" s="1906"/>
      <c r="F35" s="10" t="str">
        <f>$E$21</f>
        <v>EUR</v>
      </c>
      <c r="G35" s="37">
        <v>-4</v>
      </c>
      <c r="J35" s="3" t="str">
        <f>Source!A26</f>
        <v>WCA</v>
      </c>
      <c r="K35" s="598">
        <f>Source!G26</f>
        <v>60</v>
      </c>
      <c r="L35" s="465"/>
      <c r="M35" s="3" t="s">
        <v>1</v>
      </c>
      <c r="N35" s="1116">
        <f>Cotations!AA11</f>
        <v>75</v>
      </c>
      <c r="O35" s="1116">
        <f>Cotations!AA13</f>
        <v>75</v>
      </c>
      <c r="P35" s="1116">
        <f>RECAPITULATIF!M7</f>
        <v>0</v>
      </c>
    </row>
    <row r="36" spans="1:16">
      <c r="A36" s="1953"/>
      <c r="B36" s="36"/>
      <c r="C36" s="1906" t="s">
        <v>2</v>
      </c>
      <c r="D36" s="1906"/>
      <c r="E36" s="1906"/>
      <c r="F36" s="10" t="str">
        <f>$E$21</f>
        <v>EUR</v>
      </c>
      <c r="G36" s="37">
        <v>-32.31</v>
      </c>
      <c r="J36" s="3" t="str">
        <f>Source!A31</f>
        <v>Tax</v>
      </c>
      <c r="K36" s="598">
        <f>Source!B31</f>
        <v>471.81069649375002</v>
      </c>
      <c r="M36" s="3" t="s">
        <v>24</v>
      </c>
      <c r="N36" s="1116">
        <f>Cotations!W11</f>
        <v>727.48797054830936</v>
      </c>
      <c r="O36" s="1116">
        <f ca="1">Cotations!W13</f>
        <v>503.12893326913991</v>
      </c>
      <c r="P36" s="1116"/>
    </row>
    <row r="37" spans="1:16">
      <c r="A37" s="1954"/>
      <c r="B37" s="38"/>
      <c r="C37" s="1955" t="str">
        <f>IF(I50=FALSE,"","Exceptional Discount")</f>
        <v/>
      </c>
      <c r="D37" s="1906"/>
      <c r="E37" s="1906"/>
      <c r="F37" s="10" t="str">
        <f>IF(I50=FALSE,"",$E$21)</f>
        <v/>
      </c>
      <c r="G37" s="37"/>
      <c r="J37" s="3" t="s">
        <v>2324</v>
      </c>
      <c r="K37" s="598">
        <f>Source!B32</f>
        <v>75.400000000000006</v>
      </c>
      <c r="M37" s="3" t="s">
        <v>2324</v>
      </c>
      <c r="N37" s="1116">
        <f>Cotations!V11</f>
        <v>94.257399999999976</v>
      </c>
      <c r="O37" s="1116">
        <f>Cotations!V13</f>
        <v>94.25739999999999</v>
      </c>
      <c r="P37" s="1116">
        <f>RECAPITULATIF!R8</f>
        <v>697.74680000000001</v>
      </c>
    </row>
    <row r="38" spans="1:16" ht="15" customHeight="1">
      <c r="A38" s="10"/>
      <c r="B38" s="10"/>
      <c r="C38" s="10"/>
      <c r="D38" s="1956" t="s">
        <v>59</v>
      </c>
      <c r="E38" s="1956"/>
      <c r="F38" s="488" t="str">
        <f>$E$21</f>
        <v>EUR</v>
      </c>
      <c r="G38" s="489">
        <f>SUM(G29:G37)</f>
        <v>-644.29999999999995</v>
      </c>
      <c r="J38" s="3" t="s">
        <v>2774</v>
      </c>
      <c r="M38" s="3" t="s">
        <v>2774</v>
      </c>
      <c r="N38" s="1117">
        <f>Cotations!X11</f>
        <v>0</v>
      </c>
      <c r="O38" s="1118"/>
      <c r="P38" s="1118"/>
    </row>
    <row r="39" spans="1:16" ht="14.25" customHeight="1">
      <c r="D39" s="40"/>
      <c r="E39" s="40"/>
      <c r="F39" s="41"/>
      <c r="G39" s="39"/>
      <c r="J39" s="3" t="s">
        <v>2521</v>
      </c>
      <c r="K39" s="598">
        <f>Source!B31+Source!B32</f>
        <v>547.21069649374999</v>
      </c>
      <c r="L39" s="465"/>
      <c r="M39" s="3" t="s">
        <v>2521</v>
      </c>
      <c r="N39" s="1116">
        <f>Cotations!Y11</f>
        <v>821.74537054830921</v>
      </c>
      <c r="O39" s="1116">
        <f ca="1">Cotations!Y13</f>
        <v>597.38633326913987</v>
      </c>
      <c r="P39" s="1116">
        <f>RECAPITULATIF!N8</f>
        <v>0</v>
      </c>
    </row>
    <row r="40" spans="1:16" ht="21.75" customHeight="1">
      <c r="A40" s="1952" t="s">
        <v>61</v>
      </c>
      <c r="B40" s="1952"/>
      <c r="C40" s="1952"/>
      <c r="D40" s="1952"/>
      <c r="E40" s="1952"/>
      <c r="F40" s="1952"/>
      <c r="G40" s="1952"/>
      <c r="J40" s="3" t="s">
        <v>2522</v>
      </c>
      <c r="K40" s="598">
        <v>0</v>
      </c>
      <c r="L40" s="465"/>
      <c r="M40" s="3" t="s">
        <v>2522</v>
      </c>
      <c r="N40" s="1116"/>
      <c r="O40" s="1116"/>
      <c r="P40" s="1116"/>
    </row>
    <row r="41" spans="1:16" ht="12" customHeight="1">
      <c r="B41" s="3" t="s">
        <v>62</v>
      </c>
      <c r="J41" s="3" t="s">
        <v>2136</v>
      </c>
      <c r="K41" s="599">
        <f>SUM(K29:K37)</f>
        <v>12402.478108837649</v>
      </c>
      <c r="L41" s="465"/>
      <c r="M41" s="3" t="s">
        <v>2136</v>
      </c>
      <c r="N41" s="1116">
        <f>Cotations!U11</f>
        <v>19083.94463425603</v>
      </c>
      <c r="O41" s="1116">
        <f ca="1">Cotations!U13</f>
        <v>13250.609664997637</v>
      </c>
      <c r="P41" s="1116">
        <f>RECAPITULATIF!P8</f>
        <v>1.0000000002037268E-2</v>
      </c>
    </row>
    <row r="46" spans="1:16" ht="7.5" customHeight="1">
      <c r="B46" s="30"/>
      <c r="C46" s="30"/>
      <c r="D46" s="30"/>
      <c r="E46" s="30"/>
      <c r="F46" s="30"/>
    </row>
    <row r="47" spans="1:16">
      <c r="A47" s="1943" t="s">
        <v>66</v>
      </c>
      <c r="B47" s="1943"/>
      <c r="C47" s="1943"/>
      <c r="D47" s="1943"/>
      <c r="E47" s="1883" t="s">
        <v>63</v>
      </c>
      <c r="F47" s="1883"/>
      <c r="G47" s="1883"/>
    </row>
    <row r="48" spans="1:16">
      <c r="E48" s="1883" t="s">
        <v>64</v>
      </c>
      <c r="F48" s="1883"/>
      <c r="G48" s="1883"/>
      <c r="I48" s="3" t="b">
        <v>0</v>
      </c>
    </row>
    <row r="49" spans="1:15">
      <c r="E49" s="1883" t="s">
        <v>65</v>
      </c>
      <c r="F49" s="1883"/>
      <c r="G49" s="1883"/>
    </row>
    <row r="50" spans="1:15">
      <c r="I50" s="3" t="b">
        <v>0</v>
      </c>
    </row>
    <row r="51" spans="1:15">
      <c r="A51" s="28" t="s">
        <v>67</v>
      </c>
      <c r="B51" s="1944" t="s">
        <v>70</v>
      </c>
      <c r="C51" s="1944"/>
      <c r="N51" s="28" t="s">
        <v>2572</v>
      </c>
      <c r="O51" s="3" t="s">
        <v>2573</v>
      </c>
    </row>
    <row r="52" spans="1:15">
      <c r="B52" s="1944" t="s">
        <v>68</v>
      </c>
      <c r="C52" s="1944"/>
      <c r="E52" s="28" t="s">
        <v>71</v>
      </c>
      <c r="F52" s="646" t="str">
        <f>IF($E$21="EUR","LU69 0024 1225 9885 6900","LU08 0024 1225 9889 3500")</f>
        <v>LU69 0024 1225 9885 6900</v>
      </c>
      <c r="G52" s="646"/>
      <c r="I52" s="3" t="b">
        <v>1</v>
      </c>
    </row>
    <row r="53" spans="1:15">
      <c r="B53" s="1944" t="s">
        <v>69</v>
      </c>
      <c r="C53" s="1944"/>
      <c r="E53" s="28" t="s">
        <v>72</v>
      </c>
      <c r="F53" s="646" t="s">
        <v>73</v>
      </c>
      <c r="G53" s="646"/>
    </row>
    <row r="54" spans="1:15" ht="8.25" customHeight="1"/>
    <row r="55" spans="1:15" ht="13.5" customHeight="1">
      <c r="A55" s="28" t="s">
        <v>2296</v>
      </c>
      <c r="B55" s="1945" t="str">
        <f>Admin!E2&amp;"-"&amp;Admin!B9</f>
        <v>12522.3-IDOL YACHTING LIMITED</v>
      </c>
      <c r="C55" s="1945"/>
      <c r="D55" s="1945"/>
      <c r="E55" s="1945"/>
      <c r="F55" s="1945"/>
    </row>
    <row r="56" spans="1:15" ht="8.25" customHeight="1"/>
    <row r="57" spans="1:15" ht="15.75" customHeight="1">
      <c r="D57" s="1938" t="s">
        <v>59</v>
      </c>
      <c r="E57" s="1939"/>
      <c r="F57" s="1086" t="str">
        <f>$E$21</f>
        <v>EUR</v>
      </c>
      <c r="G57" s="1091">
        <f>SUM(G29:G37)</f>
        <v>-644.29999999999995</v>
      </c>
    </row>
    <row r="58" spans="1:15" ht="12.75" customHeight="1">
      <c r="D58" s="1946" t="s">
        <v>82</v>
      </c>
      <c r="E58" s="1947"/>
      <c r="F58" s="490" t="str">
        <f>$E$21</f>
        <v>EUR</v>
      </c>
      <c r="G58" s="491">
        <f>SUM(G29:G33)*K58</f>
        <v>-91.198499999999981</v>
      </c>
      <c r="K58" s="517">
        <v>0.15</v>
      </c>
      <c r="L58" s="3" t="s">
        <v>2369</v>
      </c>
    </row>
    <row r="59" spans="1:15" ht="12.75" customHeight="1">
      <c r="A59" s="28"/>
      <c r="D59" s="1936" t="s">
        <v>75</v>
      </c>
      <c r="E59" s="1937"/>
      <c r="F59" s="492" t="str">
        <f>$E$21</f>
        <v>EUR</v>
      </c>
      <c r="G59" s="493">
        <f>G38-G58</f>
        <v>-553.10149999999999</v>
      </c>
    </row>
    <row r="60" spans="1:15" ht="7.5" customHeight="1">
      <c r="G60" s="29"/>
    </row>
  </sheetData>
  <mergeCells count="48">
    <mergeCell ref="B24:G25"/>
    <mergeCell ref="B22:D22"/>
    <mergeCell ref="A16:C16"/>
    <mergeCell ref="C19:F20"/>
    <mergeCell ref="B19:B20"/>
    <mergeCell ref="A19:A20"/>
    <mergeCell ref="B23:G23"/>
    <mergeCell ref="P27:P28"/>
    <mergeCell ref="C31:E31"/>
    <mergeCell ref="C29:E29"/>
    <mergeCell ref="E7:G7"/>
    <mergeCell ref="E8:G8"/>
    <mergeCell ref="F10:G10"/>
    <mergeCell ref="E9:G9"/>
    <mergeCell ref="E11:G11"/>
    <mergeCell ref="J10:J12"/>
    <mergeCell ref="K27:K28"/>
    <mergeCell ref="N27:N28"/>
    <mergeCell ref="O27:O28"/>
    <mergeCell ref="A12:C12"/>
    <mergeCell ref="A13:C13"/>
    <mergeCell ref="B15:C15"/>
    <mergeCell ref="A14:C14"/>
    <mergeCell ref="D58:E58"/>
    <mergeCell ref="B27:G27"/>
    <mergeCell ref="E47:G47"/>
    <mergeCell ref="A29:A32"/>
    <mergeCell ref="A40:G40"/>
    <mergeCell ref="A33:A37"/>
    <mergeCell ref="C37:E37"/>
    <mergeCell ref="D38:E38"/>
    <mergeCell ref="C34:E34"/>
    <mergeCell ref="D59:E59"/>
    <mergeCell ref="D57:E57"/>
    <mergeCell ref="A27:A28"/>
    <mergeCell ref="C28:E28"/>
    <mergeCell ref="C30:E30"/>
    <mergeCell ref="E49:G49"/>
    <mergeCell ref="A47:D47"/>
    <mergeCell ref="B51:C51"/>
    <mergeCell ref="B52:C52"/>
    <mergeCell ref="B53:C53"/>
    <mergeCell ref="C32:E32"/>
    <mergeCell ref="C33:E33"/>
    <mergeCell ref="C35:E35"/>
    <mergeCell ref="C36:E36"/>
    <mergeCell ref="E48:G48"/>
    <mergeCell ref="B55:F55"/>
  </mergeCells>
  <pageMargins left="0.7" right="0.7" top="0.75" bottom="0.75" header="0.3" footer="0.3"/>
  <pageSetup paperSize="9" scale="97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 sizeWithCells="1">
                  <from>
                    <xdr:col>10</xdr:col>
                    <xdr:colOff>66675</xdr:colOff>
                    <xdr:row>12</xdr:row>
                    <xdr:rowOff>47625</xdr:rowOff>
                  </from>
                  <to>
                    <xdr:col>14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Drop Down 7">
              <controlPr defaultSize="0" autoLine="0" autoPict="0">
                <anchor moveWithCells="1">
                  <from>
                    <xdr:col>10</xdr:col>
                    <xdr:colOff>66675</xdr:colOff>
                    <xdr:row>6</xdr:row>
                    <xdr:rowOff>9525</xdr:rowOff>
                  </from>
                  <to>
                    <xdr:col>14</xdr:col>
                    <xdr:colOff>466725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Drop Down 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9525</xdr:rowOff>
                  </from>
                  <to>
                    <xdr:col>14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Check Box 9">
              <controlPr defaultSize="0" autoFill="0" autoLine="0" autoPict="0">
                <anchor moveWithCells="1">
                  <from>
                    <xdr:col>9</xdr:col>
                    <xdr:colOff>685800</xdr:colOff>
                    <xdr:row>46</xdr:row>
                    <xdr:rowOff>28575</xdr:rowOff>
                  </from>
                  <to>
                    <xdr:col>12</xdr:col>
                    <xdr:colOff>657225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 sizeWithCells="1">
                  <from>
                    <xdr:col>9</xdr:col>
                    <xdr:colOff>676275</xdr:colOff>
                    <xdr:row>48</xdr:row>
                    <xdr:rowOff>95250</xdr:rowOff>
                  </from>
                  <to>
                    <xdr:col>12</xdr:col>
                    <xdr:colOff>542925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 sizeWithCells="1">
                  <from>
                    <xdr:col>9</xdr:col>
                    <xdr:colOff>647700</xdr:colOff>
                    <xdr:row>51</xdr:row>
                    <xdr:rowOff>0</xdr:rowOff>
                  </from>
                  <to>
                    <xdr:col>12</xdr:col>
                    <xdr:colOff>295275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LISTES!$C$72:$C$75</xm:f>
          </x14:formula1>
          <xm:sqref>E21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AD19"/>
  <sheetViews>
    <sheetView workbookViewId="0">
      <selection activeCell="K27" sqref="K27"/>
    </sheetView>
  </sheetViews>
  <sheetFormatPr baseColWidth="10" defaultColWidth="11.42578125" defaultRowHeight="15"/>
  <cols>
    <col min="1" max="1" width="12.5703125" bestFit="1" customWidth="1"/>
    <col min="3" max="3" width="10.7109375" bestFit="1" customWidth="1"/>
    <col min="4" max="4" width="15.7109375" bestFit="1" customWidth="1"/>
    <col min="5" max="6" width="12" bestFit="1" customWidth="1"/>
    <col min="7" max="7" width="12.5703125" bestFit="1" customWidth="1"/>
  </cols>
  <sheetData>
    <row r="1" spans="1:30">
      <c r="A1" s="527" t="s">
        <v>54</v>
      </c>
      <c r="B1" s="527" t="s">
        <v>55</v>
      </c>
      <c r="C1" s="527" t="s">
        <v>56</v>
      </c>
      <c r="D1" s="527" t="s">
        <v>2485</v>
      </c>
      <c r="E1" s="527" t="s">
        <v>2486</v>
      </c>
      <c r="F1" s="527" t="s">
        <v>27</v>
      </c>
      <c r="G1" s="527" t="s">
        <v>57</v>
      </c>
      <c r="H1" s="527" t="s">
        <v>24</v>
      </c>
      <c r="I1" s="527" t="s">
        <v>2324</v>
      </c>
      <c r="J1" s="527" t="s">
        <v>2487</v>
      </c>
      <c r="K1" s="527" t="s">
        <v>2488</v>
      </c>
      <c r="L1" s="527" t="s">
        <v>2489</v>
      </c>
      <c r="M1" s="527" t="s">
        <v>33</v>
      </c>
      <c r="N1" s="527" t="s">
        <v>30</v>
      </c>
      <c r="O1" s="527" t="s">
        <v>29</v>
      </c>
      <c r="P1" s="527" t="s">
        <v>31</v>
      </c>
      <c r="Q1" s="527" t="s">
        <v>37</v>
      </c>
      <c r="R1" s="527" t="s">
        <v>38</v>
      </c>
      <c r="S1" s="527" t="s">
        <v>2490</v>
      </c>
      <c r="T1" s="527" t="s">
        <v>2491</v>
      </c>
      <c r="U1" s="527" t="s">
        <v>2492</v>
      </c>
      <c r="V1" s="527" t="s">
        <v>80</v>
      </c>
      <c r="W1" s="527" t="s">
        <v>81</v>
      </c>
      <c r="X1" s="527" t="s">
        <v>83</v>
      </c>
      <c r="Y1" s="527" t="s">
        <v>84</v>
      </c>
      <c r="Z1" s="527" t="s">
        <v>2493</v>
      </c>
      <c r="AA1" s="527" t="s">
        <v>79</v>
      </c>
      <c r="AB1" s="527" t="s">
        <v>85</v>
      </c>
      <c r="AC1" s="527" t="s">
        <v>25</v>
      </c>
      <c r="AD1" s="527" t="s">
        <v>74</v>
      </c>
    </row>
    <row r="2" spans="1:30">
      <c r="A2" s="527">
        <f>Source!$D$2</f>
        <v>402</v>
      </c>
      <c r="B2" s="528">
        <f>Source!$B$2</f>
        <v>42750</v>
      </c>
      <c r="C2" s="528">
        <f>Source!$C$2</f>
        <v>42930</v>
      </c>
      <c r="D2" s="529">
        <f>Source!$A$2</f>
        <v>42774.425902777781</v>
      </c>
      <c r="E2" s="565">
        <v>42005</v>
      </c>
      <c r="F2" s="564">
        <f>Source!$B$33</f>
        <v>11795.267412343999</v>
      </c>
      <c r="G2" s="564">
        <f>Source!$B$34</f>
        <v>12402.478108838</v>
      </c>
      <c r="H2" s="564">
        <f>Source!$B$31</f>
        <v>471.81069649375002</v>
      </c>
      <c r="I2" s="564">
        <f>Source!$B$32</f>
        <v>75.400000000000006</v>
      </c>
      <c r="J2" s="564" t="str">
        <f>Source!$K$2</f>
        <v>Previsionnal</v>
      </c>
      <c r="K2" s="566" t="s">
        <v>27</v>
      </c>
      <c r="L2" s="564">
        <f>Source!$L$2</f>
        <v>2017</v>
      </c>
      <c r="M2" s="566" t="s">
        <v>32</v>
      </c>
      <c r="N2" s="564">
        <f>Source!$O$2</f>
        <v>1274</v>
      </c>
      <c r="O2" s="564">
        <f>Source!$P$2</f>
        <v>32</v>
      </c>
      <c r="P2" s="564">
        <f>Source!$Q$2</f>
        <v>0</v>
      </c>
      <c r="Q2" s="527">
        <f>Source!F35</f>
        <v>1810</v>
      </c>
      <c r="R2" s="527">
        <f>Source!G35</f>
        <v>60</v>
      </c>
      <c r="S2" s="527">
        <f>Source!H35</f>
        <v>0</v>
      </c>
      <c r="T2" s="527">
        <f>Source!A35</f>
        <v>10</v>
      </c>
      <c r="U2" s="527">
        <f>Source!A10</f>
        <v>0</v>
      </c>
      <c r="V2" s="527">
        <f>Source!A17</f>
        <v>1000</v>
      </c>
      <c r="W2" s="527">
        <f>Source!C17</f>
        <v>48</v>
      </c>
      <c r="X2" s="527" t="str">
        <f>Source!E17</f>
        <v>L2025408</v>
      </c>
      <c r="Y2" s="527">
        <f>Source!F17</f>
        <v>15</v>
      </c>
      <c r="Z2" s="527">
        <f>Source!G17</f>
        <v>10</v>
      </c>
      <c r="AA2" s="527">
        <f>Source!R17</f>
        <v>610.09617600000001</v>
      </c>
      <c r="AB2" s="527">
        <f>Source!S17</f>
        <v>634.50002303999997</v>
      </c>
      <c r="AC2" s="527">
        <f>Source!B26</f>
        <v>1</v>
      </c>
      <c r="AD2" s="527">
        <f>Source!G26</f>
        <v>60</v>
      </c>
    </row>
    <row r="3" spans="1:30">
      <c r="A3" s="527"/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>
        <f>Source!A11</f>
        <v>0</v>
      </c>
      <c r="V3" s="527">
        <f>Source!A18</f>
        <v>1000</v>
      </c>
      <c r="W3" s="527">
        <f>Source!C18</f>
        <v>47</v>
      </c>
      <c r="X3" s="527" t="str">
        <f>Source!E18</f>
        <v>L2024408</v>
      </c>
      <c r="Y3" s="527">
        <f>Source!F18</f>
        <v>15</v>
      </c>
      <c r="Z3" s="527">
        <f>Source!G18</f>
        <v>10</v>
      </c>
      <c r="AA3" s="527">
        <f>Source!R18</f>
        <v>2818.6450199999999</v>
      </c>
      <c r="AB3" s="527">
        <f>Source!S18</f>
        <v>2931.3908207999998</v>
      </c>
      <c r="AC3" s="527">
        <f>Source!B27</f>
        <v>0</v>
      </c>
      <c r="AD3" s="527">
        <f>Source!G27</f>
        <v>0</v>
      </c>
    </row>
    <row r="4" spans="1:30">
      <c r="A4" s="527"/>
      <c r="B4" s="527"/>
      <c r="C4" s="527"/>
      <c r="D4" s="527"/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27"/>
      <c r="P4" s="527"/>
      <c r="Q4" s="527"/>
      <c r="R4" s="527"/>
      <c r="S4" s="527"/>
      <c r="T4" s="527"/>
      <c r="U4" s="527">
        <f>Source!A12</f>
        <v>0</v>
      </c>
      <c r="V4" s="527">
        <f>Source!A19</f>
        <v>1003</v>
      </c>
      <c r="W4" s="527">
        <f>Source!C19</f>
        <v>11</v>
      </c>
      <c r="X4" s="527">
        <f>Source!E19</f>
        <v>240303</v>
      </c>
      <c r="Y4" s="527">
        <f>Source!F19</f>
        <v>15</v>
      </c>
      <c r="Z4" s="527">
        <f>Source!G19</f>
        <v>12.5</v>
      </c>
      <c r="AA4" s="527">
        <f>Source!R19</f>
        <v>6858.3353802551001</v>
      </c>
      <c r="AB4" s="527">
        <f>Source!S19</f>
        <v>7132.6687954652998</v>
      </c>
      <c r="AC4" s="527">
        <f>Source!B28</f>
        <v>0</v>
      </c>
      <c r="AD4" s="527">
        <f>Source!G28</f>
        <v>0</v>
      </c>
    </row>
    <row r="5" spans="1:30">
      <c r="A5" s="527"/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527"/>
      <c r="N5" s="527"/>
      <c r="O5" s="527"/>
      <c r="P5" s="527"/>
      <c r="Q5" s="527"/>
      <c r="R5" s="527"/>
      <c r="S5" s="527"/>
      <c r="T5" s="527"/>
      <c r="U5" s="527">
        <f>Source!A13</f>
        <v>0</v>
      </c>
      <c r="V5" s="527">
        <f>Source!A20</f>
        <v>1003</v>
      </c>
      <c r="W5" s="527">
        <f>Source!C20</f>
        <v>11</v>
      </c>
      <c r="X5" s="527">
        <f>Source!E20</f>
        <v>240450</v>
      </c>
      <c r="Y5" s="527">
        <f>Source!F20</f>
        <v>15</v>
      </c>
      <c r="Z5" s="527">
        <f>Source!G20</f>
        <v>12.5</v>
      </c>
      <c r="AA5" s="527">
        <f>Source!R20</f>
        <v>1508.1908360888001</v>
      </c>
      <c r="AB5" s="527">
        <f>Source!S20</f>
        <v>1568.5184695324001</v>
      </c>
      <c r="AC5" s="527">
        <f>Source!B29</f>
        <v>0</v>
      </c>
      <c r="AD5" s="527">
        <f>Source!G29</f>
        <v>0</v>
      </c>
    </row>
    <row r="6" spans="1:30">
      <c r="A6" s="527"/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527"/>
      <c r="N6" s="527"/>
      <c r="O6" s="527"/>
      <c r="P6" s="527"/>
      <c r="Q6" s="527"/>
      <c r="R6" s="527"/>
      <c r="S6" s="527"/>
      <c r="T6" s="527"/>
      <c r="U6" s="527">
        <f>Source!A14</f>
        <v>0</v>
      </c>
      <c r="V6" s="527">
        <f>Source!A21</f>
        <v>0</v>
      </c>
      <c r="W6" s="527">
        <f>Source!C21</f>
        <v>0</v>
      </c>
      <c r="X6" s="527">
        <f>Source!E21</f>
        <v>0</v>
      </c>
      <c r="Y6" s="527">
        <f>Source!F21</f>
        <v>0</v>
      </c>
      <c r="Z6" s="527">
        <f>Source!G21</f>
        <v>0</v>
      </c>
      <c r="AA6" s="527">
        <f>Source!R21</f>
        <v>0</v>
      </c>
      <c r="AB6" s="527">
        <f>Source!S21</f>
        <v>0</v>
      </c>
      <c r="AC6" s="527">
        <f>Source!B30</f>
        <v>0</v>
      </c>
      <c r="AD6" s="527">
        <f>Source!G30</f>
        <v>0</v>
      </c>
    </row>
    <row r="7" spans="1:30">
      <c r="A7" s="527"/>
      <c r="B7" s="527"/>
      <c r="C7" s="527"/>
      <c r="D7" s="527"/>
      <c r="E7" s="527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527"/>
      <c r="R7" s="527"/>
      <c r="S7" s="527"/>
      <c r="T7" s="527"/>
      <c r="U7" s="527">
        <f>Source!A15</f>
        <v>0</v>
      </c>
      <c r="V7" s="527">
        <f>Source!A22</f>
        <v>0</v>
      </c>
      <c r="W7" s="527">
        <f>Source!C22</f>
        <v>0</v>
      </c>
      <c r="X7" s="527">
        <f>Source!E22</f>
        <v>0</v>
      </c>
      <c r="Y7" s="527">
        <f>Source!F22</f>
        <v>0</v>
      </c>
      <c r="Z7" s="527">
        <f>Source!G22</f>
        <v>0</v>
      </c>
      <c r="AA7" s="527">
        <f>Source!R22</f>
        <v>0</v>
      </c>
      <c r="AB7" s="527">
        <f>Source!S22</f>
        <v>0</v>
      </c>
      <c r="AC7" s="527"/>
      <c r="AD7" s="527"/>
    </row>
    <row r="8" spans="1:30">
      <c r="A8" s="527"/>
      <c r="B8" s="527"/>
      <c r="C8" s="527"/>
      <c r="D8" s="527"/>
      <c r="E8" s="527"/>
      <c r="F8" s="527"/>
      <c r="G8" s="527"/>
      <c r="H8" s="527"/>
      <c r="I8" s="527"/>
      <c r="J8" s="527"/>
      <c r="K8" s="527"/>
      <c r="L8" s="527"/>
      <c r="M8" s="527"/>
      <c r="N8" s="527"/>
      <c r="O8" s="527"/>
      <c r="P8" s="527"/>
      <c r="Q8" s="527"/>
      <c r="R8" s="527"/>
      <c r="S8" s="527"/>
      <c r="T8" s="527"/>
      <c r="U8" s="527"/>
      <c r="V8" s="527">
        <f>Source!A23</f>
        <v>0</v>
      </c>
      <c r="W8" s="527">
        <f>Source!C23</f>
        <v>0</v>
      </c>
      <c r="X8" s="527">
        <f>Source!E23</f>
        <v>0</v>
      </c>
      <c r="Y8" s="527">
        <f>Source!F23</f>
        <v>0</v>
      </c>
      <c r="Z8" s="527">
        <f>Source!G23</f>
        <v>0</v>
      </c>
      <c r="AA8" s="527">
        <f>Source!R23</f>
        <v>0</v>
      </c>
      <c r="AB8" s="527">
        <f>Source!S23</f>
        <v>0</v>
      </c>
      <c r="AC8" s="527"/>
      <c r="AD8" s="527"/>
    </row>
    <row r="9" spans="1:30">
      <c r="A9" s="527"/>
      <c r="B9" s="527"/>
      <c r="C9" s="527"/>
      <c r="D9" s="527"/>
      <c r="E9" s="527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527"/>
      <c r="R9" s="527"/>
      <c r="S9" s="527"/>
      <c r="T9" s="527"/>
      <c r="U9" s="527"/>
      <c r="V9" s="527">
        <f>Source!A24</f>
        <v>0</v>
      </c>
      <c r="W9" s="527">
        <f>Source!C24</f>
        <v>0</v>
      </c>
      <c r="X9" s="527">
        <f>Source!E24</f>
        <v>0</v>
      </c>
      <c r="Y9" s="527">
        <f>Source!F24</f>
        <v>0</v>
      </c>
      <c r="Z9" s="527">
        <f>Source!G24</f>
        <v>0</v>
      </c>
      <c r="AA9" s="527">
        <f>Source!R24</f>
        <v>0</v>
      </c>
      <c r="AB9" s="527">
        <f>Source!S24</f>
        <v>0</v>
      </c>
      <c r="AC9" s="527"/>
      <c r="AD9" s="527"/>
    </row>
    <row r="10" spans="1:30">
      <c r="A10" s="527"/>
      <c r="B10" s="527"/>
      <c r="C10" s="527"/>
      <c r="D10" s="527"/>
      <c r="E10" s="527"/>
      <c r="F10" s="52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7"/>
      <c r="R10" s="527"/>
      <c r="S10" s="527"/>
      <c r="T10" s="527"/>
      <c r="U10" s="527"/>
      <c r="V10" s="527"/>
      <c r="W10" s="527"/>
      <c r="X10" s="527"/>
      <c r="Y10" s="527"/>
      <c r="Z10" s="527"/>
      <c r="AA10" s="527"/>
      <c r="AB10" s="527"/>
      <c r="AC10" s="527"/>
      <c r="AD10" s="527"/>
    </row>
    <row r="11" spans="1:30">
      <c r="A11" s="375"/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375"/>
      <c r="S11" s="375"/>
      <c r="T11" s="375"/>
      <c r="U11" s="375"/>
    </row>
    <row r="12" spans="1:30">
      <c r="A12" s="375"/>
      <c r="B12" s="375"/>
      <c r="C12" s="375"/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5"/>
    </row>
    <row r="13" spans="1:30">
      <c r="A13" s="375"/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5"/>
      <c r="S13" s="375"/>
      <c r="T13" s="375"/>
      <c r="U13" s="375"/>
    </row>
    <row r="14" spans="1:30">
      <c r="A14" s="375"/>
      <c r="B14" s="375"/>
      <c r="C14" s="375"/>
      <c r="D14" s="375"/>
      <c r="E14" s="375"/>
      <c r="F14" s="375"/>
      <c r="G14" s="375"/>
      <c r="H14" s="375"/>
      <c r="I14" s="375"/>
      <c r="J14" s="375"/>
      <c r="K14" s="375"/>
      <c r="L14" s="375"/>
      <c r="M14" s="375"/>
      <c r="N14" s="375"/>
      <c r="O14" s="375"/>
      <c r="P14" s="375"/>
      <c r="Q14" s="375"/>
      <c r="R14" s="375"/>
      <c r="S14" s="375"/>
      <c r="T14" s="375"/>
      <c r="U14" s="375"/>
    </row>
    <row r="15" spans="1:30">
      <c r="A15" s="375"/>
      <c r="B15" s="375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</row>
    <row r="16" spans="1:30">
      <c r="A16" s="375"/>
      <c r="B16" s="375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</row>
    <row r="17" spans="1:21">
      <c r="A17" s="375"/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75"/>
      <c r="Q17" s="375"/>
      <c r="R17" s="375"/>
      <c r="S17" s="375"/>
      <c r="T17" s="375"/>
      <c r="U17" s="375"/>
    </row>
    <row r="18" spans="1:21">
      <c r="A18" s="375"/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5"/>
      <c r="N18" s="375"/>
      <c r="O18" s="375"/>
      <c r="P18" s="375"/>
      <c r="Q18" s="375"/>
      <c r="R18" s="375"/>
      <c r="S18" s="375"/>
      <c r="T18" s="375"/>
      <c r="U18" s="375"/>
    </row>
    <row r="19" spans="1:21">
      <c r="A19" s="375"/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5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FF00"/>
  </sheetPr>
  <dimension ref="A1:G80"/>
  <sheetViews>
    <sheetView topLeftCell="B1" workbookViewId="0">
      <selection activeCell="F6" sqref="F6"/>
    </sheetView>
  </sheetViews>
  <sheetFormatPr baseColWidth="10" defaultColWidth="11.42578125" defaultRowHeight="15"/>
  <cols>
    <col min="1" max="1" width="18.28515625" style="375" hidden="1" customWidth="1"/>
    <col min="2" max="2" width="46.5703125" customWidth="1"/>
    <col min="3" max="3" width="59.42578125" customWidth="1"/>
    <col min="6" max="6" width="49.5703125" customWidth="1"/>
    <col min="7" max="7" width="38.7109375" customWidth="1"/>
  </cols>
  <sheetData>
    <row r="1" spans="1:6" ht="15" customHeight="1">
      <c r="A1" s="42"/>
      <c r="B1" s="933" t="s">
        <v>97</v>
      </c>
      <c r="C1" s="43" t="str">
        <f>certificateNB</f>
        <v>12522.3</v>
      </c>
      <c r="F1" t="s">
        <v>98</v>
      </c>
    </row>
    <row r="2" spans="1:6" ht="15" customHeight="1">
      <c r="A2" s="42"/>
      <c r="B2" s="933" t="s">
        <v>99</v>
      </c>
      <c r="C2" s="44">
        <f ca="1">TODAY()</f>
        <v>42783</v>
      </c>
      <c r="F2" t="s">
        <v>100</v>
      </c>
    </row>
    <row r="3" spans="1:6" ht="15" customHeight="1">
      <c r="A3" s="42" t="s">
        <v>2298</v>
      </c>
      <c r="B3" s="933" t="s">
        <v>101</v>
      </c>
      <c r="C3" s="43" t="str">
        <f>IF(Admin!B9="","",Admin!B9)</f>
        <v>IDOL YACHTING LIMITED</v>
      </c>
      <c r="F3" t="s">
        <v>102</v>
      </c>
    </row>
    <row r="4" spans="1:6" ht="15" customHeight="1">
      <c r="A4" s="42" t="s">
        <v>2299</v>
      </c>
      <c r="B4" s="933" t="s">
        <v>103</v>
      </c>
      <c r="C4" s="43" t="str">
        <f>IF(Admin!C9="","",Admin!C9)</f>
        <v>Level 4, Suite 7; Rosa Marina Buildings</v>
      </c>
    </row>
    <row r="5" spans="1:6" ht="15" customHeight="1">
      <c r="A5" s="42" t="s">
        <v>2300</v>
      </c>
      <c r="B5" s="933" t="s">
        <v>104</v>
      </c>
      <c r="C5" s="43" t="str">
        <f>IF(Admin!H9="","",Admin!H9)</f>
        <v>PTA 9041</v>
      </c>
    </row>
    <row r="6" spans="1:6" ht="15" customHeight="1">
      <c r="A6" s="42" t="s">
        <v>2301</v>
      </c>
      <c r="B6" s="933" t="s">
        <v>105</v>
      </c>
      <c r="C6" s="43" t="str">
        <f>IF(Admin!I9="","",Admin!I9)</f>
        <v>Pieta</v>
      </c>
    </row>
    <row r="7" spans="1:6" ht="15" customHeight="1">
      <c r="A7" s="42" t="s">
        <v>2302</v>
      </c>
      <c r="B7" s="933" t="s">
        <v>106</v>
      </c>
      <c r="C7" s="43" t="str">
        <f>IF(Admin!L9="","",Admin!L9)</f>
        <v>Malta</v>
      </c>
    </row>
    <row r="8" spans="1:6" ht="15" customHeight="1">
      <c r="A8" s="42" t="s">
        <v>2303</v>
      </c>
      <c r="B8" s="933" t="s">
        <v>107</v>
      </c>
      <c r="C8" s="441" t="str">
        <f>IF(Admin!B10="","",Admin!B10)</f>
        <v>Crew Employement Services Idol (a cell of Crew Employement Services PCC Ltd)</v>
      </c>
    </row>
    <row r="9" spans="1:6" ht="15" customHeight="1">
      <c r="A9" s="42" t="s">
        <v>2304</v>
      </c>
      <c r="B9" s="933" t="s">
        <v>108</v>
      </c>
      <c r="C9" s="441" t="str">
        <f>IF(Admin!D10="","",Admin!D10)</f>
        <v/>
      </c>
    </row>
    <row r="10" spans="1:6" ht="15" customHeight="1">
      <c r="A10" s="42" t="s">
        <v>2305</v>
      </c>
      <c r="B10" s="933" t="s">
        <v>109</v>
      </c>
      <c r="C10" s="441" t="str">
        <f>IF(Admin!H10="","",Admin!H10)</f>
        <v/>
      </c>
    </row>
    <row r="11" spans="1:6" ht="15" customHeight="1">
      <c r="A11" s="42" t="s">
        <v>2306</v>
      </c>
      <c r="B11" s="933" t="s">
        <v>110</v>
      </c>
      <c r="C11" s="441" t="str">
        <f>IF(Admin!J10="","",Admin!J10)</f>
        <v/>
      </c>
    </row>
    <row r="12" spans="1:6" ht="15" customHeight="1">
      <c r="A12" s="42" t="s">
        <v>2307</v>
      </c>
      <c r="B12" s="933" t="s">
        <v>111</v>
      </c>
      <c r="C12" s="441" t="str">
        <f>IF(Admin!L10="","",Admin!L10)</f>
        <v/>
      </c>
    </row>
    <row r="13" spans="1:6" ht="15" customHeight="1">
      <c r="A13" s="42" t="s">
        <v>2310</v>
      </c>
      <c r="B13" s="933" t="s">
        <v>112</v>
      </c>
      <c r="C13" s="441" t="str">
        <f>IF(APPORTEURS!D2=0,"",APPORTEURS!D2)</f>
        <v>HILL ROBINSON Limited</v>
      </c>
    </row>
    <row r="14" spans="1:6" ht="15" customHeight="1">
      <c r="A14" s="469" t="s">
        <v>2338</v>
      </c>
      <c r="B14" s="933" t="s">
        <v>113</v>
      </c>
      <c r="C14" s="441" t="str">
        <f>IF(APPORTEURS!H2=0,"",APPORTEURS!H2)</f>
        <v/>
      </c>
    </row>
    <row r="15" spans="1:6" ht="15" customHeight="1">
      <c r="A15" s="469" t="s">
        <v>2339</v>
      </c>
      <c r="B15" s="933" t="s">
        <v>114</v>
      </c>
      <c r="C15" s="441" t="str">
        <f>IF(APPORTEURS!I2=0,"",APPORTEURS!I2)</f>
        <v/>
      </c>
    </row>
    <row r="16" spans="1:6" ht="15" customHeight="1">
      <c r="A16" s="469" t="s">
        <v>2340</v>
      </c>
      <c r="B16" s="933" t="s">
        <v>115</v>
      </c>
      <c r="C16" s="441" t="str">
        <f>IF(APPORTEURS!J2=0,"",APPORTEURS!J2)</f>
        <v/>
      </c>
    </row>
    <row r="17" spans="1:3" ht="15" customHeight="1">
      <c r="A17" s="469" t="s">
        <v>2341</v>
      </c>
      <c r="B17" s="933" t="s">
        <v>116</v>
      </c>
      <c r="C17" s="441" t="str">
        <f>IF(APPORTEURS!K2=0,"",APPORTEURS!K2)</f>
        <v/>
      </c>
    </row>
    <row r="18" spans="1:3" ht="15" customHeight="1">
      <c r="A18" s="42" t="s">
        <v>2311</v>
      </c>
      <c r="B18" s="933" t="s">
        <v>2685</v>
      </c>
      <c r="C18" s="441" t="str">
        <f>IF(APPORTEURS!C1=0,"",APPORTEURS!C1)</f>
        <v>SOMECASSUR</v>
      </c>
    </row>
    <row r="19" spans="1:3" ht="15" customHeight="1">
      <c r="A19" s="469" t="s">
        <v>2342</v>
      </c>
      <c r="B19" s="933" t="s">
        <v>117</v>
      </c>
      <c r="C19" s="441" t="str">
        <f>IF(APPORTEURS!H1=0,"",APPORTEURS!H1)</f>
        <v>Le Gray d’Albion, 17 Boulevard de la Croisette</v>
      </c>
    </row>
    <row r="20" spans="1:3" ht="15" customHeight="1">
      <c r="A20" s="469" t="s">
        <v>2343</v>
      </c>
      <c r="B20" s="933" t="s">
        <v>118</v>
      </c>
      <c r="C20" s="441" t="str">
        <f>IF(APPORTEURS!I1=0,"",APPORTEURS!I1)</f>
        <v>F-06400</v>
      </c>
    </row>
    <row r="21" spans="1:3" ht="15" customHeight="1">
      <c r="A21" s="469" t="s">
        <v>2344</v>
      </c>
      <c r="B21" s="933" t="s">
        <v>119</v>
      </c>
      <c r="C21" s="441" t="str">
        <f>IF(APPORTEURS!J1=0,"",APPORTEURS!J1)</f>
        <v>Cannes</v>
      </c>
    </row>
    <row r="22" spans="1:3" ht="15" customHeight="1">
      <c r="A22" s="469" t="s">
        <v>2345</v>
      </c>
      <c r="B22" s="933" t="s">
        <v>120</v>
      </c>
      <c r="C22" s="441" t="str">
        <f>IF(APPORTEURS!K1=0,"",APPORTEURS!K1)</f>
        <v>France</v>
      </c>
    </row>
    <row r="23" spans="1:3" ht="15" customHeight="1">
      <c r="A23" s="42"/>
      <c r="B23" s="933" t="s">
        <v>121</v>
      </c>
      <c r="C23" s="441" t="str">
        <f>Admin!B2</f>
        <v>IDOL</v>
      </c>
    </row>
    <row r="24" spans="1:3" ht="15" customHeight="1">
      <c r="A24" s="42"/>
      <c r="B24" s="933" t="s">
        <v>122</v>
      </c>
      <c r="C24" s="43" t="str">
        <f>IF(Admin!H18="",Admin!D4,"Policy amandment date")</f>
        <v>Policy amandment date</v>
      </c>
    </row>
    <row r="25" spans="1:3" ht="15" customHeight="1">
      <c r="A25" s="42"/>
      <c r="B25" s="933" t="s">
        <v>123</v>
      </c>
      <c r="C25" s="44">
        <f>IF(Admin!E4="",Admin!E4,MAX(Admin!H17:H24))</f>
        <v>42750</v>
      </c>
    </row>
    <row r="26" spans="1:3" ht="15" customHeight="1">
      <c r="A26" s="42"/>
      <c r="B26" s="933" t="s">
        <v>124</v>
      </c>
      <c r="C26" s="44" t="str">
        <f>ANRENOUVSHORT&amp;"/"</f>
        <v>14/07/</v>
      </c>
    </row>
    <row r="27" spans="1:3" ht="15" customHeight="1">
      <c r="A27" s="42"/>
      <c r="B27" s="933" t="s">
        <v>125</v>
      </c>
      <c r="C27" s="43" t="str">
        <f>Admin!D49</f>
        <v>EUR</v>
      </c>
    </row>
    <row r="28" spans="1:3" ht="15" customHeight="1">
      <c r="A28" s="42"/>
      <c r="B28" s="933" t="s">
        <v>126</v>
      </c>
      <c r="C28" s="824" t="s">
        <v>2697</v>
      </c>
    </row>
    <row r="29" spans="1:3" ht="15" customHeight="1">
      <c r="A29" s="42"/>
      <c r="B29" s="933" t="s">
        <v>20</v>
      </c>
      <c r="C29" s="43" t="str">
        <f>Modules!E18&amp;" &amp; "&amp;Modules!E47</f>
        <v>Perfect S &amp; StandardMLC S</v>
      </c>
    </row>
    <row r="30" spans="1:3" ht="15" customHeight="1">
      <c r="A30" s="42"/>
      <c r="B30" s="933" t="s">
        <v>127</v>
      </c>
      <c r="C30" s="43" t="str">
        <f>Modules!E24&amp;" "&amp;Modules!E53</f>
        <v>L2025408 (Captain only) L2024408 (All others on board)</v>
      </c>
    </row>
    <row r="31" spans="1:3" ht="15" customHeight="1">
      <c r="A31" s="42"/>
      <c r="B31" s="933" t="s">
        <v>128</v>
      </c>
      <c r="C31" s="43"/>
    </row>
    <row r="32" spans="1:3" ht="15" customHeight="1">
      <c r="A32" s="42"/>
      <c r="B32" s="933" t="s">
        <v>129</v>
      </c>
      <c r="C32" s="45" t="s">
        <v>2800</v>
      </c>
    </row>
    <row r="33" spans="1:7" ht="15" customHeight="1">
      <c r="A33" s="42"/>
      <c r="B33" s="933" t="s">
        <v>130</v>
      </c>
      <c r="C33" s="43" t="str">
        <f>Modules!F24&amp;", "&amp;Modules!F53&amp;", "&amp;Modules!F78</f>
        <v>240450 (Captain only), 240303 (All others on board), 140494 (Day Workers)</v>
      </c>
      <c r="F33" s="45" t="s">
        <v>133</v>
      </c>
      <c r="G33" s="45" t="s">
        <v>2348</v>
      </c>
    </row>
    <row r="34" spans="1:7" ht="15" customHeight="1">
      <c r="A34" s="42"/>
      <c r="B34" s="933" t="s">
        <v>131</v>
      </c>
      <c r="C34" s="43"/>
      <c r="F34" s="45" t="s">
        <v>136</v>
      </c>
      <c r="G34" s="45" t="s">
        <v>136</v>
      </c>
    </row>
    <row r="35" spans="1:7" ht="15" customHeight="1">
      <c r="A35" s="42"/>
      <c r="B35" s="933" t="s">
        <v>132</v>
      </c>
      <c r="C35" s="45" t="s">
        <v>1166</v>
      </c>
      <c r="D35" s="1969" t="s">
        <v>134</v>
      </c>
      <c r="F35" s="45" t="s">
        <v>138</v>
      </c>
      <c r="G35" s="45" t="s">
        <v>138</v>
      </c>
    </row>
    <row r="36" spans="1:7" ht="15" customHeight="1">
      <c r="A36" s="42"/>
      <c r="B36" s="933" t="s">
        <v>135</v>
      </c>
      <c r="C36" s="45" t="s">
        <v>3099</v>
      </c>
      <c r="D36" s="1969"/>
    </row>
    <row r="37" spans="1:7" ht="15" customHeight="1">
      <c r="A37" s="42"/>
      <c r="B37" s="933" t="s">
        <v>137</v>
      </c>
      <c r="C37" s="45" t="s">
        <v>138</v>
      </c>
      <c r="D37" s="1969"/>
      <c r="F37" s="580"/>
    </row>
    <row r="38" spans="1:7" ht="15" customHeight="1">
      <c r="A38" s="42"/>
      <c r="B38" s="933" t="s">
        <v>139</v>
      </c>
      <c r="C38" s="1071" t="s">
        <v>141</v>
      </c>
      <c r="D38" s="1969"/>
      <c r="F38" s="46" t="s">
        <v>141</v>
      </c>
      <c r="G38" s="574" t="s">
        <v>140</v>
      </c>
    </row>
    <row r="39" spans="1:7" ht="15" customHeight="1">
      <c r="A39" s="42"/>
      <c r="B39" s="933" t="s">
        <v>142</v>
      </c>
      <c r="C39" s="1071" t="s">
        <v>141</v>
      </c>
      <c r="D39" s="1969"/>
      <c r="F39" s="46" t="s">
        <v>141</v>
      </c>
      <c r="G39" s="574" t="s">
        <v>140</v>
      </c>
    </row>
    <row r="40" spans="1:7" ht="15" customHeight="1">
      <c r="A40" s="42"/>
      <c r="B40" s="933" t="s">
        <v>143</v>
      </c>
      <c r="C40" s="1071">
        <v>50000</v>
      </c>
      <c r="D40" s="1969"/>
      <c r="F40" s="574">
        <v>50000</v>
      </c>
      <c r="G40" s="574">
        <v>50000</v>
      </c>
    </row>
    <row r="41" spans="1:7" ht="15" customHeight="1">
      <c r="A41" s="42"/>
      <c r="B41" s="933" t="s">
        <v>144</v>
      </c>
      <c r="C41" s="1071" t="s">
        <v>141</v>
      </c>
      <c r="D41" s="1969"/>
      <c r="F41" s="574" t="s">
        <v>141</v>
      </c>
      <c r="G41" s="574" t="s">
        <v>140</v>
      </c>
    </row>
    <row r="42" spans="1:7" ht="15" customHeight="1">
      <c r="A42" s="42"/>
      <c r="B42" s="933" t="s">
        <v>145</v>
      </c>
      <c r="C42" s="1071" t="s">
        <v>141</v>
      </c>
      <c r="D42" s="1969"/>
      <c r="F42" s="574" t="s">
        <v>141</v>
      </c>
      <c r="G42" s="574" t="s">
        <v>140</v>
      </c>
    </row>
    <row r="43" spans="1:7" ht="15" customHeight="1">
      <c r="A43" s="42"/>
      <c r="B43" s="933" t="s">
        <v>146</v>
      </c>
      <c r="C43" s="596" t="s">
        <v>147</v>
      </c>
      <c r="D43" s="1969"/>
      <c r="F43" s="596" t="s">
        <v>147</v>
      </c>
      <c r="G43" s="596" t="s">
        <v>147</v>
      </c>
    </row>
    <row r="44" spans="1:7" ht="15" customHeight="1">
      <c r="A44" s="42"/>
      <c r="B44" s="933" t="s">
        <v>148</v>
      </c>
      <c r="C44" s="824" t="s">
        <v>3103</v>
      </c>
      <c r="D44" s="1969"/>
    </row>
    <row r="45" spans="1:7" ht="15" customHeight="1">
      <c r="A45" s="42"/>
      <c r="B45" s="933" t="s">
        <v>149</v>
      </c>
      <c r="C45" s="45" t="s">
        <v>2800</v>
      </c>
      <c r="D45" s="1969"/>
    </row>
    <row r="46" spans="1:7" ht="15" customHeight="1">
      <c r="A46" s="42"/>
      <c r="B46" s="933" t="s">
        <v>150</v>
      </c>
      <c r="C46" s="43" t="str">
        <f>Modules!F24&amp;", "&amp;Modules!F53&amp;", "&amp;Modules!F78</f>
        <v>240450 (Captain only), 240303 (All others on board), 140494 (Day Workers)</v>
      </c>
    </row>
    <row r="47" spans="1:7" ht="15" customHeight="1">
      <c r="A47" s="42"/>
      <c r="B47" s="933" t="s">
        <v>151</v>
      </c>
      <c r="C47" s="43"/>
    </row>
    <row r="48" spans="1:7" ht="15" customHeight="1">
      <c r="A48" s="42"/>
      <c r="B48" s="933" t="s">
        <v>152</v>
      </c>
      <c r="C48" s="1070" t="s">
        <v>1166</v>
      </c>
      <c r="D48" s="1969" t="s">
        <v>134</v>
      </c>
    </row>
    <row r="49" spans="1:6" ht="15" customHeight="1">
      <c r="A49" s="42"/>
      <c r="B49" s="933" t="s">
        <v>153</v>
      </c>
      <c r="C49" s="1070" t="s">
        <v>3099</v>
      </c>
      <c r="D49" s="1969"/>
    </row>
    <row r="50" spans="1:6" ht="15" customHeight="1">
      <c r="A50" s="42"/>
      <c r="B50" s="933" t="s">
        <v>154</v>
      </c>
      <c r="C50" s="1070" t="s">
        <v>138</v>
      </c>
      <c r="D50" s="1969"/>
      <c r="F50" s="877"/>
    </row>
    <row r="51" spans="1:6" ht="15" customHeight="1">
      <c r="A51" s="42"/>
      <c r="B51" s="933" t="s">
        <v>155</v>
      </c>
      <c r="C51" s="1071" t="s">
        <v>141</v>
      </c>
      <c r="D51" s="1969"/>
      <c r="F51" s="877"/>
    </row>
    <row r="52" spans="1:6" ht="15" customHeight="1">
      <c r="A52" s="42"/>
      <c r="B52" s="933" t="s">
        <v>156</v>
      </c>
      <c r="C52" s="1071" t="s">
        <v>141</v>
      </c>
      <c r="D52" s="1969"/>
      <c r="F52" s="1150" t="s">
        <v>3101</v>
      </c>
    </row>
    <row r="53" spans="1:6" ht="15" customHeight="1">
      <c r="A53" s="42"/>
      <c r="B53" s="933" t="s">
        <v>157</v>
      </c>
      <c r="C53" s="1071">
        <v>50000</v>
      </c>
      <c r="D53" s="1969"/>
      <c r="F53" s="1150" t="s">
        <v>3102</v>
      </c>
    </row>
    <row r="54" spans="1:6" ht="15" customHeight="1">
      <c r="A54" s="42"/>
      <c r="B54" s="933" t="s">
        <v>158</v>
      </c>
      <c r="C54" s="1071" t="s">
        <v>141</v>
      </c>
      <c r="D54" s="1969"/>
    </row>
    <row r="55" spans="1:6" ht="15" customHeight="1">
      <c r="A55" s="42"/>
      <c r="B55" s="933" t="s">
        <v>159</v>
      </c>
      <c r="C55" s="1071" t="s">
        <v>141</v>
      </c>
      <c r="D55" s="1969"/>
    </row>
    <row r="56" spans="1:6" ht="15" customHeight="1">
      <c r="A56" s="42"/>
      <c r="B56" s="933" t="s">
        <v>160</v>
      </c>
      <c r="C56" s="596" t="s">
        <v>147</v>
      </c>
      <c r="D56" s="1969"/>
    </row>
    <row r="57" spans="1:6" ht="15" customHeight="1">
      <c r="A57" s="42"/>
      <c r="B57" s="933" t="s">
        <v>161</v>
      </c>
      <c r="C57" s="1070" t="s">
        <v>3103</v>
      </c>
      <c r="D57" s="1969"/>
      <c r="F57" s="47" t="s">
        <v>162</v>
      </c>
    </row>
    <row r="58" spans="1:6" ht="15" customHeight="1">
      <c r="A58" s="42"/>
      <c r="B58" s="933" t="s">
        <v>163</v>
      </c>
      <c r="C58" s="45" t="s">
        <v>2800</v>
      </c>
      <c r="D58" s="1969"/>
      <c r="F58" s="48" t="str">
        <f>IF(NAMES!$E$32="TTD",Admin!$A$55&amp;" ("&amp;NAMES!$M$32&amp;")","NOT COVERED")</f>
        <v>NOT COVERED</v>
      </c>
    </row>
    <row r="59" spans="1:6" ht="15" customHeight="1">
      <c r="A59" s="42"/>
      <c r="B59" s="933" t="s">
        <v>164</v>
      </c>
      <c r="C59" s="43" t="str">
        <f>Modules!F24&amp;" "&amp;Modules!F53</f>
        <v>240450 (Captain only) 240303 (All others on board)</v>
      </c>
      <c r="F59" s="48" t="str">
        <f>IF(NAMES!$E$33="TTD",Admin!$A$81&amp;" ("&amp;NAMES!$M$33&amp;")","")</f>
        <v/>
      </c>
    </row>
    <row r="60" spans="1:6" ht="15" customHeight="1">
      <c r="A60" s="42"/>
      <c r="B60" s="933" t="s">
        <v>165</v>
      </c>
      <c r="C60" s="43"/>
      <c r="F60" s="48" t="e">
        <f>IF(NAMES!#REF!="TTD",Admin!#REF!&amp;" ("&amp;NAMES!#REF!&amp;")","NOT COVERED")</f>
        <v>#REF!</v>
      </c>
    </row>
    <row r="61" spans="1:6" ht="15" customHeight="1">
      <c r="A61" s="42"/>
      <c r="B61" s="933" t="s">
        <v>166</v>
      </c>
      <c r="C61" s="1070" t="s">
        <v>1166</v>
      </c>
      <c r="F61" s="48" t="e">
        <f>IF(F60="NOT COVERED",F58&amp;" "&amp;F59,F58&amp;" "&amp;F59)</f>
        <v>#REF!</v>
      </c>
    </row>
    <row r="62" spans="1:6" ht="15" customHeight="1">
      <c r="A62" s="42"/>
      <c r="B62" s="933" t="s">
        <v>167</v>
      </c>
      <c r="C62" s="1070" t="s">
        <v>3099</v>
      </c>
    </row>
    <row r="63" spans="1:6" ht="15" customHeight="1">
      <c r="A63" s="42"/>
      <c r="B63" s="933" t="s">
        <v>168</v>
      </c>
      <c r="C63" s="1070" t="s">
        <v>138</v>
      </c>
      <c r="F63" s="46" t="s">
        <v>169</v>
      </c>
    </row>
    <row r="64" spans="1:6" ht="15" customHeight="1">
      <c r="A64" s="42"/>
      <c r="B64" s="933" t="s">
        <v>170</v>
      </c>
      <c r="C64" s="1071" t="s">
        <v>169</v>
      </c>
      <c r="F64" s="46" t="s">
        <v>169</v>
      </c>
    </row>
    <row r="65" spans="1:3" ht="15" customHeight="1">
      <c r="A65" s="42"/>
      <c r="B65" s="933" t="s">
        <v>171</v>
      </c>
      <c r="C65" s="1071" t="s">
        <v>169</v>
      </c>
    </row>
    <row r="66" spans="1:3" ht="15" customHeight="1">
      <c r="A66" s="42"/>
      <c r="B66" s="933" t="s">
        <v>172</v>
      </c>
      <c r="C66" s="824" t="s">
        <v>147</v>
      </c>
    </row>
    <row r="67" spans="1:3" ht="15" customHeight="1">
      <c r="A67" s="42"/>
      <c r="B67" s="933" t="s">
        <v>173</v>
      </c>
      <c r="C67" s="1070" t="s">
        <v>3100</v>
      </c>
    </row>
    <row r="68" spans="1:3" ht="15" customHeight="1">
      <c r="A68" s="42"/>
      <c r="B68" s="933" t="s">
        <v>174</v>
      </c>
      <c r="C68" s="44">
        <f>Admin!E4</f>
        <v>41760</v>
      </c>
    </row>
    <row r="69" spans="1:3" s="877" customFormat="1" ht="15" customHeight="1">
      <c r="A69" s="936"/>
      <c r="B69" s="933" t="s">
        <v>2698</v>
      </c>
      <c r="C69" s="44" t="str">
        <f>IF(Admin!E3="","",Admin!E3&amp;"-"&amp;Admin!B2&amp;"-"&amp;YEAR(C2))</f>
        <v/>
      </c>
    </row>
    <row r="70" spans="1:3" ht="15" customHeight="1">
      <c r="B70" s="934" t="s">
        <v>2686</v>
      </c>
      <c r="C70" s="935">
        <f>IF(Admin!N52=0,"",Admin!N52)</f>
        <v>14419.999999999998</v>
      </c>
    </row>
    <row r="71" spans="1:3" ht="15" customHeight="1">
      <c r="B71" s="934" t="s">
        <v>2687</v>
      </c>
      <c r="C71" s="935">
        <f>IF(Admin!N77=0,"",Admin!N77)</f>
        <v>7237.9999999999991</v>
      </c>
    </row>
    <row r="72" spans="1:3" ht="15" customHeight="1">
      <c r="B72" s="934" t="s">
        <v>2688</v>
      </c>
      <c r="C72" s="935">
        <f>IF(Admin!N103=0,"",Admin!N103)</f>
        <v>10483.5</v>
      </c>
    </row>
    <row r="73" spans="1:3" ht="15" customHeight="1">
      <c r="B73" s="934" t="s">
        <v>2689</v>
      </c>
      <c r="C73" s="935"/>
    </row>
    <row r="74" spans="1:3" ht="15" customHeight="1">
      <c r="B74" s="934" t="s">
        <v>2690</v>
      </c>
      <c r="C74" s="935"/>
    </row>
    <row r="75" spans="1:3" ht="15" customHeight="1">
      <c r="B75" s="934" t="s">
        <v>2691</v>
      </c>
      <c r="C75" s="935">
        <f>IF(Admin!N59=0,"",Admin!N59)</f>
        <v>27472.191969768541</v>
      </c>
    </row>
    <row r="76" spans="1:3" ht="16.5">
      <c r="B76" s="934" t="s">
        <v>2692</v>
      </c>
      <c r="C76" s="935">
        <f>IF(Admin!N85=0,"",Admin!N85)</f>
        <v>27472.191969768541</v>
      </c>
    </row>
    <row r="77" spans="1:3" ht="16.5">
      <c r="B77" s="934" t="s">
        <v>2693</v>
      </c>
      <c r="C77" s="935">
        <f>IF(Admin!N111=0,"",Admin!N111)</f>
        <v>398.35389702409077</v>
      </c>
    </row>
    <row r="78" spans="1:3" ht="16.5">
      <c r="B78" s="934" t="s">
        <v>2694</v>
      </c>
      <c r="C78" s="935">
        <f>IF(Admin!N63=0,"",Admin!N63)</f>
        <v>1594.5160132262638</v>
      </c>
    </row>
    <row r="79" spans="1:3" ht="16.5">
      <c r="B79" s="934" t="s">
        <v>2695</v>
      </c>
      <c r="C79" s="935">
        <f>IF(Admin!N89=0,"",Admin!N89)</f>
        <v>4458.1366084081255</v>
      </c>
    </row>
    <row r="80" spans="1:3" ht="16.5">
      <c r="B80" s="934" t="s">
        <v>2696</v>
      </c>
      <c r="C80" s="935" t="str">
        <f>IF(Admin!N115=0,"",Admin!N115)</f>
        <v/>
      </c>
    </row>
  </sheetData>
  <mergeCells count="2">
    <mergeCell ref="D35:D45"/>
    <mergeCell ref="D48:D5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7" tint="0.59999389629810485"/>
  </sheetPr>
  <dimension ref="A1:Z130"/>
  <sheetViews>
    <sheetView topLeftCell="B79" workbookViewId="0">
      <selection activeCell="I104" sqref="I104"/>
    </sheetView>
  </sheetViews>
  <sheetFormatPr baseColWidth="10" defaultColWidth="11.42578125" defaultRowHeight="15"/>
  <cols>
    <col min="4" max="4" width="23.5703125" customWidth="1"/>
    <col min="5" max="5" width="23.5703125" style="939" customWidth="1"/>
    <col min="6" max="6" width="31" customWidth="1"/>
    <col min="7" max="7" width="28.140625" customWidth="1"/>
    <col min="8" max="8" width="25.140625" customWidth="1"/>
    <col min="9" max="9" width="27.140625" customWidth="1"/>
    <col min="10" max="10" width="38" customWidth="1"/>
    <col min="11" max="11" width="38.28515625" style="877" customWidth="1"/>
    <col min="12" max="12" width="20.85546875" style="877" customWidth="1"/>
    <col min="13" max="13" width="28.7109375" customWidth="1"/>
    <col min="14" max="14" width="23.28515625" customWidth="1"/>
    <col min="15" max="15" width="12.28515625" customWidth="1"/>
    <col min="21" max="21" width="18.140625" customWidth="1"/>
    <col min="22" max="22" width="26.28515625" customWidth="1"/>
    <col min="23" max="23" width="33.28515625" customWidth="1"/>
    <col min="24" max="24" width="43.140625" customWidth="1"/>
    <col min="25" max="25" width="10.85546875" customWidth="1"/>
    <col min="26" max="26" width="18.28515625" style="580" customWidth="1"/>
    <col min="28" max="28" width="16" customWidth="1"/>
    <col min="29" max="29" width="26.140625" customWidth="1"/>
    <col min="30" max="30" width="29" customWidth="1"/>
    <col min="31" max="31" width="33.5703125" customWidth="1"/>
    <col min="32" max="32" width="41.140625" customWidth="1"/>
  </cols>
  <sheetData>
    <row r="1" spans="1:14">
      <c r="B1" s="214"/>
      <c r="C1" s="214"/>
      <c r="D1" s="214"/>
      <c r="E1" s="214"/>
      <c r="F1" s="214"/>
      <c r="G1" s="214"/>
      <c r="H1" s="214"/>
      <c r="I1" s="207" t="s">
        <v>2103</v>
      </c>
      <c r="J1" s="218"/>
      <c r="K1" s="218"/>
      <c r="L1" s="218"/>
      <c r="M1" s="218"/>
      <c r="N1" s="176"/>
    </row>
    <row r="2" spans="1:14">
      <c r="A2" t="s">
        <v>2108</v>
      </c>
      <c r="B2" s="201" t="s">
        <v>2639</v>
      </c>
      <c r="C2" s="201" t="s">
        <v>2638</v>
      </c>
      <c r="D2" s="215" t="s">
        <v>2106</v>
      </c>
      <c r="E2" s="215"/>
      <c r="F2" s="212"/>
      <c r="G2" s="201"/>
      <c r="H2" s="201"/>
      <c r="I2" s="208" t="s">
        <v>2104</v>
      </c>
      <c r="J2" s="219"/>
      <c r="K2" s="869"/>
      <c r="L2" s="916"/>
      <c r="M2" s="1969" t="s">
        <v>2105</v>
      </c>
      <c r="N2" s="1985"/>
    </row>
    <row r="3" spans="1:14">
      <c r="A3" s="992"/>
      <c r="D3" s="992" t="s">
        <v>2753</v>
      </c>
      <c r="E3" s="992" t="s">
        <v>2000</v>
      </c>
      <c r="F3" s="992" t="s">
        <v>2716</v>
      </c>
      <c r="G3" s="992" t="s">
        <v>2717</v>
      </c>
      <c r="H3" s="992" t="s">
        <v>2721</v>
      </c>
      <c r="I3" s="992" t="s">
        <v>2722</v>
      </c>
      <c r="J3" s="992" t="s">
        <v>2723</v>
      </c>
      <c r="K3" s="992" t="s">
        <v>2724</v>
      </c>
      <c r="L3" s="992" t="s">
        <v>2158</v>
      </c>
    </row>
    <row r="4" spans="1:14" s="939" customFormat="1">
      <c r="A4" s="992"/>
      <c r="D4" s="1050" t="s">
        <v>2649</v>
      </c>
      <c r="E4" s="1047" t="str">
        <f>lig1_POL_MED</f>
        <v>L2025408</v>
      </c>
      <c r="F4" s="569">
        <f>lig1_POL_PREVOY</f>
        <v>240450</v>
      </c>
      <c r="G4" s="998">
        <f t="shared" ref="G4:I7" si="0">F4</f>
        <v>240450</v>
      </c>
      <c r="H4" s="998">
        <f t="shared" si="0"/>
        <v>240450</v>
      </c>
      <c r="I4" s="998">
        <f t="shared" si="0"/>
        <v>240450</v>
      </c>
      <c r="J4" s="998">
        <f t="shared" ref="J4:J6" si="1">I4</f>
        <v>240450</v>
      </c>
      <c r="K4" s="999">
        <f t="shared" ref="K4:K6" si="2">J4</f>
        <v>240450</v>
      </c>
    </row>
    <row r="5" spans="1:14" s="1150" customFormat="1">
      <c r="A5" s="992"/>
      <c r="D5" s="1152" t="s">
        <v>2764</v>
      </c>
      <c r="E5" s="990"/>
      <c r="F5" s="1151" t="str">
        <f>IF(Admin!B55="N/A","",Admin!B55)</f>
        <v>2017EURAnker Verzekeringen n.v.-Death AccidentFormula 3</v>
      </c>
      <c r="G5" s="1000" t="str">
        <f>IF(Admin!B56="N/A","",Admin!B56)</f>
        <v>2017EURAnker Verzekeringen n.v.-Death illnessFormula 3</v>
      </c>
      <c r="H5" s="1000" t="str">
        <f>IF(Admin!B57="N/A","",Admin!B57)</f>
        <v>2017EURAnker Verzekeringen n.v.-Permanent Disability AccidentFormula 3</v>
      </c>
      <c r="I5" s="1000" t="str">
        <f>IF(Admin!B58="N/A","",Admin!B58)</f>
        <v>2017EURAnker Verzekeringen n.v.-Permanent Disability illnessFormula 3</v>
      </c>
      <c r="J5" s="1000" t="str">
        <f>IF(Admin!B61="N/A","",Admin!B61)</f>
        <v>2017EURAnker Verzekeringen n.v.-Temporary Disability Accident (100%/7/365)</v>
      </c>
      <c r="K5" s="1001" t="str">
        <f>IF(Admin!B62="N/A","",Admin!B62)</f>
        <v>2017EURAnker Verzekeringen n.v.-Temporary Disability illness (100%/7/365)</v>
      </c>
    </row>
    <row r="6" spans="1:14" s="939" customFormat="1">
      <c r="A6" s="992"/>
      <c r="D6" s="1050" t="s">
        <v>33</v>
      </c>
      <c r="E6" s="1048" t="str">
        <f>Admin!D49</f>
        <v>EUR</v>
      </c>
      <c r="F6" s="391" t="str">
        <f>Admin!D55</f>
        <v>EUR</v>
      </c>
      <c r="G6" s="1000" t="str">
        <f t="shared" si="0"/>
        <v>EUR</v>
      </c>
      <c r="H6" s="1000" t="str">
        <f t="shared" si="0"/>
        <v>EUR</v>
      </c>
      <c r="I6" s="1000" t="str">
        <f t="shared" si="0"/>
        <v>EUR</v>
      </c>
      <c r="J6" s="1000" t="str">
        <f t="shared" si="1"/>
        <v>EUR</v>
      </c>
      <c r="K6" s="1001" t="str">
        <f t="shared" si="2"/>
        <v>EUR</v>
      </c>
    </row>
    <row r="7" spans="1:14">
      <c r="D7" s="1050" t="s">
        <v>2366</v>
      </c>
      <c r="E7" s="1047"/>
      <c r="F7" s="193" t="str">
        <f>IF(lig1_POL_PREVOY="","",Admin!D58)</f>
        <v>PROP</v>
      </c>
      <c r="G7" s="1000" t="str">
        <f t="shared" si="0"/>
        <v>PROP</v>
      </c>
      <c r="H7" s="1000" t="str">
        <f t="shared" si="0"/>
        <v>PROP</v>
      </c>
      <c r="I7" s="1000" t="str">
        <f t="shared" si="0"/>
        <v>PROP</v>
      </c>
      <c r="J7" s="1002" t="str">
        <f>IF(Admin!$D$62=0,"","PROP")</f>
        <v>PROP</v>
      </c>
      <c r="K7" s="1003" t="str">
        <f>IF(Admin!$D$62=0,"","PROP")</f>
        <v>PROP</v>
      </c>
    </row>
    <row r="8" spans="1:14" s="939" customFormat="1">
      <c r="D8" s="1050" t="s">
        <v>2719</v>
      </c>
      <c r="E8" s="1047"/>
      <c r="F8" s="193">
        <f>IF(Admin!E55=0,"",Admin!E55)</f>
        <v>100000</v>
      </c>
      <c r="G8" s="193">
        <f>IF(Admin!E56=0,"",Admin!E56)</f>
        <v>100000</v>
      </c>
      <c r="H8" s="193">
        <f>IF(Admin!E57=0,"",Admin!E57)</f>
        <v>100000</v>
      </c>
      <c r="I8" s="193">
        <f>IF(Admin!E58=0,"",Admin!E58)</f>
        <v>100000</v>
      </c>
      <c r="J8" s="193">
        <f>IF(Admin!B61="N/A","",IF(Admin!E61=0,"",Admin!E61))</f>
        <v>315386.30136986304</v>
      </c>
      <c r="K8" s="1004">
        <f>IF(Admin!B62="N/A","",IF(Admin!E62=0,"",Admin!E62))</f>
        <v>315386.30136986304</v>
      </c>
    </row>
    <row r="9" spans="1:14" s="939" customFormat="1">
      <c r="D9" s="1050" t="s">
        <v>2720</v>
      </c>
      <c r="E9" s="1047"/>
      <c r="F9" s="193">
        <f>IF(F5="","",IF(Admin!F55=0,"",Admin!F55*100))</f>
        <v>300</v>
      </c>
      <c r="G9" s="193">
        <f>IF(G5="","",IF(Admin!F56=0,"",Admin!F56*100))</f>
        <v>300</v>
      </c>
      <c r="H9" s="193">
        <f>IF(H5="","",IF(Admin!F57=0,"",Admin!F57*100))</f>
        <v>300</v>
      </c>
      <c r="I9" s="193">
        <f>IF(I5="","",IF(Admin!F58=0,"",Admin!F58*100))</f>
        <v>300</v>
      </c>
      <c r="J9" s="193">
        <f>IF(J5="","",IF(Admin!F61=0,"",Admin!F61*100))</f>
        <v>100</v>
      </c>
      <c r="K9" s="1004">
        <f>IF(K5="","",IF(Admin!F62=0,"",Admin!F62*100))</f>
        <v>100</v>
      </c>
    </row>
    <row r="10" spans="1:14" s="939" customFormat="1">
      <c r="D10" s="1050" t="s">
        <v>2718</v>
      </c>
      <c r="E10" s="1047"/>
      <c r="F10" s="193" t="str">
        <f t="shared" ref="F10:K10" si="3">IF(F5="","",IF(F7="PROP",F9&amp;"%",F8))</f>
        <v>300%</v>
      </c>
      <c r="G10" s="193" t="str">
        <f t="shared" si="3"/>
        <v>300%</v>
      </c>
      <c r="H10" s="193" t="str">
        <f t="shared" si="3"/>
        <v>300%</v>
      </c>
      <c r="I10" s="193" t="str">
        <f t="shared" si="3"/>
        <v>300%</v>
      </c>
      <c r="J10" s="193" t="str">
        <f t="shared" si="3"/>
        <v>100%</v>
      </c>
      <c r="K10" s="1154" t="str">
        <f t="shared" si="3"/>
        <v>100%</v>
      </c>
    </row>
    <row r="11" spans="1:14">
      <c r="D11" s="1050" t="s">
        <v>2718</v>
      </c>
      <c r="E11" s="1047"/>
      <c r="F11" s="1002" t="str">
        <f t="shared" ref="F11:K11" si="4">IF(F5="","",IF(F7="PROP",F9&amp;"% annual salary ",F8))</f>
        <v xml:space="preserve">300% annual salary </v>
      </c>
      <c r="G11" s="1002" t="str">
        <f t="shared" si="4"/>
        <v xml:space="preserve">300% annual salary </v>
      </c>
      <c r="H11" s="1002" t="str">
        <f t="shared" si="4"/>
        <v xml:space="preserve">300% annual salary </v>
      </c>
      <c r="I11" s="1002" t="str">
        <f t="shared" si="4"/>
        <v xml:space="preserve">300% annual salary </v>
      </c>
      <c r="J11" s="1002" t="str">
        <f t="shared" si="4"/>
        <v xml:space="preserve">100% annual salary </v>
      </c>
      <c r="K11" s="1002" t="str">
        <f t="shared" si="4"/>
        <v xml:space="preserve">100% annual salary </v>
      </c>
    </row>
    <row r="12" spans="1:14" s="1150" customFormat="1">
      <c r="D12" s="990" t="s">
        <v>2796</v>
      </c>
      <c r="E12" s="990"/>
      <c r="F12" s="1981" t="str">
        <f>IF(G11="",F11,IF(F11=G11,F11,FALSE))</f>
        <v xml:space="preserve">300% annual salary </v>
      </c>
      <c r="G12" s="1981"/>
      <c r="H12" s="1981" t="str">
        <f>IF(I11="",H11,IF(H11=I11,H11,FALSE))</f>
        <v xml:space="preserve">300% annual salary </v>
      </c>
      <c r="I12" s="1981"/>
      <c r="J12" s="1981" t="str">
        <f>IF(K11="",J11,IF(J11=K11,J11,FALSE))</f>
        <v xml:space="preserve">100% annual salary </v>
      </c>
      <c r="K12" s="1981"/>
    </row>
    <row r="13" spans="1:14">
      <c r="D13" s="1050" t="s">
        <v>2501</v>
      </c>
      <c r="E13" s="1047"/>
      <c r="F13" s="193">
        <f>IF(Admin!G55=0,"",Admin!G55)</f>
        <v>1000000</v>
      </c>
      <c r="G13" s="193">
        <f>IF(Admin!G56=0,"",Admin!G56)</f>
        <v>1000000</v>
      </c>
      <c r="H13" s="193">
        <f>IF(Admin!G57=0,"",Admin!G57)</f>
        <v>1000000</v>
      </c>
      <c r="I13" s="193">
        <f>IF(Admin!G58=0,"",Admin!G58)</f>
        <v>1000000</v>
      </c>
      <c r="J13" s="193">
        <f>IF(Admin!B61="N/A","",IF(Admin!G61=0,"",Admin!G61))</f>
        <v>125000</v>
      </c>
      <c r="K13" s="1004">
        <f>IF(Admin!B61="N/A","",IF(Admin!G62=0,"",Admin!G62))</f>
        <v>125000</v>
      </c>
    </row>
    <row r="14" spans="1:14">
      <c r="D14" s="1050" t="s">
        <v>2798</v>
      </c>
      <c r="E14" s="1047"/>
      <c r="F14" s="878" t="str">
        <f>IF(F13="","",F13&amp;" "&amp;F6&amp;" limit per year")</f>
        <v>1000000 EUR limit per year</v>
      </c>
      <c r="G14" s="1000" t="str">
        <f t="shared" ref="G14:K14" si="5">IF(G13="","",G13&amp;" "&amp;G6&amp;" limit per year")</f>
        <v>1000000 EUR limit per year</v>
      </c>
      <c r="H14" s="1000" t="str">
        <f t="shared" si="5"/>
        <v>1000000 EUR limit per year</v>
      </c>
      <c r="I14" s="1000" t="str">
        <f t="shared" si="5"/>
        <v>1000000 EUR limit per year</v>
      </c>
      <c r="J14" s="1000" t="str">
        <f t="shared" si="5"/>
        <v>125000 EUR limit per year</v>
      </c>
      <c r="K14" s="1001" t="str">
        <f t="shared" si="5"/>
        <v>125000 EUR limit per year</v>
      </c>
    </row>
    <row r="15" spans="1:14" s="1150" customFormat="1">
      <c r="D15" s="1050" t="s">
        <v>2799</v>
      </c>
      <c r="E15" s="1152"/>
      <c r="F15" s="1982" t="str">
        <f>IF(F14=G14="","",F14)</f>
        <v>1000000 EUR limit per year</v>
      </c>
      <c r="G15" s="1981"/>
      <c r="H15" s="1982" t="str">
        <f>IF(H14=I14="","",H14)</f>
        <v>1000000 EUR limit per year</v>
      </c>
      <c r="I15" s="1981"/>
      <c r="J15" s="1982" t="str">
        <f>IF(J14=K14="","",J14)</f>
        <v>125000 EUR limit per year</v>
      </c>
      <c r="K15" s="1981"/>
    </row>
    <row r="16" spans="1:14">
      <c r="D16" s="1050" t="s">
        <v>2502</v>
      </c>
      <c r="E16" s="1047"/>
      <c r="F16" s="1984" t="str">
        <f>IF(G11=0,"after accident","after any causes")</f>
        <v>after any causes</v>
      </c>
      <c r="G16" s="1980"/>
      <c r="H16" s="1980" t="str">
        <f>IF(I11=0,"after accident","after any causes")</f>
        <v>after any causes</v>
      </c>
      <c r="I16" s="1980"/>
      <c r="J16" s="1980" t="str">
        <f>IF(K11=0,"after accident","after any causes")</f>
        <v>after any causes</v>
      </c>
      <c r="K16" s="1980"/>
    </row>
    <row r="17" spans="4:11">
      <c r="D17" s="1050" t="s">
        <v>2107</v>
      </c>
      <c r="E17" s="1047"/>
      <c r="F17" s="907"/>
      <c r="G17" s="907"/>
      <c r="H17" s="907"/>
      <c r="I17" s="907"/>
      <c r="J17" s="1005" t="str">
        <f>IF(J7="","","Duration: "&amp;Cotations!$BP$15&amp;" days Waiting period "&amp;Cotations!$BO$15&amp;" days")</f>
        <v>Duration: 365 days Waiting period 7 days</v>
      </c>
      <c r="K17" s="1006" t="str">
        <f>IF(K7="","","Duration: "&amp;Cotations!$BP$15&amp;" days Waiting period "&amp;Cotations!$BO$15&amp;" days")</f>
        <v>Duration: 365 days Waiting period 7 days</v>
      </c>
    </row>
    <row r="18" spans="4:11" s="939" customFormat="1">
      <c r="D18" s="1050" t="s">
        <v>20</v>
      </c>
      <c r="E18" s="1048" t="str">
        <f>Admin!D48</f>
        <v>Perfect S</v>
      </c>
      <c r="F18" s="907" t="str">
        <f>lig1_Formula_PREVOY</f>
        <v>Formula 3</v>
      </c>
      <c r="G18" s="907"/>
      <c r="H18" s="907"/>
      <c r="I18" s="907"/>
      <c r="J18" s="1005"/>
      <c r="K18" s="1006"/>
    </row>
    <row r="19" spans="4:11" s="939" customFormat="1" ht="24.95" customHeight="1">
      <c r="D19" s="1051"/>
      <c r="E19" s="1047"/>
      <c r="F19" s="1983" t="str">
        <f>IF(F12=FALSE,F3&amp;" "&amp;F11&amp;" "&amp;F14&amp;", "&amp;G3&amp;" "&amp;G11&amp;" "&amp;G14,F11&amp;" "&amp;F14)</f>
        <v>300% annual salary  1000000 EUR limit per year</v>
      </c>
      <c r="G19" s="1972"/>
      <c r="H19" s="1983" t="str">
        <f>IF(H12=FALSE,H3&amp;" "&amp;H11&amp;" "&amp;H14&amp;", "&amp;I3&amp;" "&amp;I11&amp;" "&amp;I14,H11&amp;" "&amp;H14)</f>
        <v>300% annual salary  1000000 EUR limit per year</v>
      </c>
      <c r="I19" s="1972"/>
      <c r="J19" s="1983" t="str">
        <f>IF(J12=FALSE,J3&amp;" "&amp;J11&amp;" "&amp;J14&amp;", "&amp;K3&amp;" "&amp;K11&amp;" "&amp;K14,J11&amp;" "&amp;J14)</f>
        <v>100% annual salary  125000 EUR limit per year</v>
      </c>
      <c r="K19" s="1972"/>
    </row>
    <row r="20" spans="4:11" s="939" customFormat="1" ht="24.95" customHeight="1">
      <c r="D20" s="1051"/>
      <c r="E20" s="1047"/>
      <c r="F20" s="1987" t="str">
        <f>IF(F19=H19,"LOL&amp;PTD "&amp;F19,"LOL: "&amp;F8&amp;","&amp;"PTD: "&amp;H19)</f>
        <v>LOL&amp;PTD 300% annual salary  1000000 EUR limit per year</v>
      </c>
      <c r="G20" s="1988"/>
      <c r="H20" s="1988"/>
      <c r="I20" s="1988"/>
      <c r="J20" s="1972" t="str">
        <f>J19</f>
        <v>100% annual salary  125000 EUR limit per year</v>
      </c>
      <c r="K20" s="1972"/>
    </row>
    <row r="21" spans="4:11" ht="24.95" customHeight="1">
      <c r="D21" s="1051"/>
      <c r="E21" s="1047"/>
      <c r="F21" s="1983" t="str">
        <f>F20&amp;", "&amp;J20</f>
        <v>LOL&amp;PTD 300% annual salary  1000000 EUR limit per year, 100% annual salary  125000 EUR limit per year</v>
      </c>
      <c r="G21" s="1972"/>
      <c r="H21" s="1972"/>
      <c r="I21" s="1972"/>
      <c r="J21" s="1972"/>
      <c r="K21" s="1972"/>
    </row>
    <row r="22" spans="4:11" ht="24.95" customHeight="1">
      <c r="D22" s="1051" t="s">
        <v>2757</v>
      </c>
      <c r="E22" s="1047" t="str">
        <f>lig1_Persons</f>
        <v>Captain only</v>
      </c>
      <c r="F22" s="1986" t="str">
        <f>Modules!E22</f>
        <v>Captain only</v>
      </c>
      <c r="G22" s="1974"/>
      <c r="H22" s="1974"/>
      <c r="I22" s="1974"/>
      <c r="J22" s="1974"/>
      <c r="K22" s="1975"/>
    </row>
    <row r="23" spans="4:11" ht="24.95" customHeight="1">
      <c r="D23" s="1050" t="s">
        <v>2713</v>
      </c>
      <c r="E23" s="1049" t="str">
        <f>IF(E4="","",E18&amp;" for "&amp;E22)</f>
        <v>Perfect S for Captain only</v>
      </c>
      <c r="F23" s="1986" t="str">
        <f>F18&amp;": "&amp;F21&amp;" for "&amp;F22</f>
        <v>Formula 3: LOL&amp;PTD 300% annual salary  1000000 EUR limit per year, 100% annual salary  125000 EUR limit per year for Captain only</v>
      </c>
      <c r="G23" s="1974"/>
      <c r="H23" s="1974"/>
      <c r="I23" s="1974"/>
      <c r="J23" s="1974"/>
      <c r="K23" s="1975"/>
    </row>
    <row r="24" spans="4:11" s="939" customFormat="1" ht="24.95" customHeight="1">
      <c r="D24" s="1158" t="s">
        <v>2752</v>
      </c>
      <c r="E24" s="1159" t="str">
        <f>IF(E4="","",E4&amp;" ("&amp;E22&amp;")")</f>
        <v>L2025408 (Captain only)</v>
      </c>
      <c r="F24" s="1978" t="str">
        <f>F4&amp;" ("&amp;F22&amp;")"</f>
        <v>240450 (Captain only)</v>
      </c>
      <c r="G24" s="1979"/>
      <c r="H24" s="193"/>
      <c r="I24" s="193"/>
      <c r="J24" s="193"/>
      <c r="K24" s="193"/>
    </row>
    <row r="25" spans="4:11" s="1109" customFormat="1" ht="15" customHeight="1">
      <c r="F25" s="1157"/>
      <c r="G25" s="1157"/>
      <c r="H25" s="1002"/>
      <c r="I25" s="1002"/>
      <c r="J25" s="1002"/>
      <c r="K25" s="1002"/>
    </row>
    <row r="26" spans="4:11" s="1109" customFormat="1" ht="15" customHeight="1">
      <c r="F26" s="1157"/>
      <c r="G26" s="1157"/>
      <c r="H26" s="1002"/>
      <c r="I26" s="1002"/>
      <c r="J26" s="1002"/>
      <c r="K26" s="1002"/>
    </row>
    <row r="27" spans="4:11" s="1109" customFormat="1" ht="15" customHeight="1">
      <c r="F27" s="1157"/>
      <c r="G27" s="1157"/>
      <c r="H27" s="1002"/>
      <c r="I27" s="1002"/>
      <c r="J27" s="1002"/>
      <c r="K27" s="1002"/>
    </row>
    <row r="28" spans="4:11" s="1109" customFormat="1" ht="15" customHeight="1">
      <c r="F28" s="1157"/>
      <c r="G28" s="1157"/>
      <c r="H28" s="1002"/>
      <c r="I28" s="1002"/>
      <c r="J28" s="1002"/>
      <c r="K28" s="1002"/>
    </row>
    <row r="29" spans="4:11" s="1109" customFormat="1" ht="15" customHeight="1">
      <c r="F29" s="1157"/>
      <c r="G29" s="1157"/>
      <c r="H29" s="1002"/>
      <c r="I29" s="1002"/>
      <c r="J29" s="1002"/>
      <c r="K29" s="1002"/>
    </row>
    <row r="30" spans="4:11" s="1109" customFormat="1" ht="15" customHeight="1">
      <c r="F30" s="1157"/>
      <c r="G30" s="1157"/>
      <c r="H30" s="1002"/>
      <c r="I30" s="1002"/>
      <c r="J30" s="1002"/>
      <c r="K30" s="1002"/>
    </row>
    <row r="31" spans="4:11" ht="15" customHeight="1"/>
    <row r="32" spans="4:11" ht="24.95" customHeight="1">
      <c r="D32" s="992" t="s">
        <v>2730</v>
      </c>
      <c r="E32" s="992" t="s">
        <v>2000</v>
      </c>
      <c r="F32" s="992" t="s">
        <v>2716</v>
      </c>
      <c r="G32" s="992" t="s">
        <v>2717</v>
      </c>
      <c r="H32" s="992" t="s">
        <v>2721</v>
      </c>
      <c r="I32" s="992" t="s">
        <v>2722</v>
      </c>
      <c r="J32" s="992" t="s">
        <v>2723</v>
      </c>
      <c r="K32" s="992" t="s">
        <v>2724</v>
      </c>
    </row>
    <row r="33" spans="4:14">
      <c r="D33" s="990" t="s">
        <v>2649</v>
      </c>
      <c r="E33" s="1047" t="str">
        <f>lig2_POL_MED</f>
        <v>L2024408</v>
      </c>
      <c r="F33" s="1047">
        <f>lig2_POL_PREVO</f>
        <v>240303</v>
      </c>
      <c r="G33" s="1054">
        <f t="shared" ref="G33:G36" si="6">F33</f>
        <v>240303</v>
      </c>
      <c r="H33" s="1054">
        <f t="shared" ref="H33:H36" si="7">G33</f>
        <v>240303</v>
      </c>
      <c r="I33" s="1054">
        <f t="shared" ref="I33:I36" si="8">H33</f>
        <v>240303</v>
      </c>
      <c r="J33" s="1054">
        <f t="shared" ref="J33:J35" si="9">I33</f>
        <v>240303</v>
      </c>
      <c r="K33" s="1054">
        <f t="shared" ref="K33:K35" si="10">J33</f>
        <v>240303</v>
      </c>
      <c r="L33" s="939"/>
      <c r="M33" s="939"/>
      <c r="N33" s="939"/>
    </row>
    <row r="34" spans="4:14" s="939" customFormat="1">
      <c r="D34" s="1047" t="s">
        <v>2764</v>
      </c>
      <c r="E34" s="1047"/>
      <c r="F34" s="1047" t="str">
        <f>IF(Admin!B81="N/A","",Admin!B81)</f>
        <v>2017EURAnker Verzekeringen n.v.-Death AccidentFormula 3</v>
      </c>
      <c r="G34" s="1054" t="str">
        <f>IF(Admin!B82="N/A","",Admin!B82)</f>
        <v>2017EURAnker Verzekeringen n.v.-Death illnessFormula 3</v>
      </c>
      <c r="H34" s="1054" t="str">
        <f>IF(Admin!B83="N/A","",Admin!B83)</f>
        <v>2017EURAnker Verzekeringen n.v.-Permanent Disability AccidentFormula 3</v>
      </c>
      <c r="I34" s="1054" t="str">
        <f>IF(Admin!B84="N/A","",Admin!B84)</f>
        <v>2017EURAnker Verzekeringen n.v.-Permanent Disability illnessFormula 3</v>
      </c>
      <c r="J34" s="1054" t="str">
        <f>IF(Admin!B87="N/A","",Admin!B87)</f>
        <v>2017EURAnker Verzekeringen n.v.-Temporary Disability Accident (100%/7/120)</v>
      </c>
      <c r="K34" s="1054" t="str">
        <f>IF(Admin!B88="N/A","",Admin!B88)</f>
        <v>2017EURAnker Verzekeringen n.v.-Temporary Disability illness (100%/7/120)</v>
      </c>
    </row>
    <row r="35" spans="4:14">
      <c r="D35" s="990" t="s">
        <v>33</v>
      </c>
      <c r="E35" s="1048" t="str">
        <f>Admin!D74</f>
        <v>EUR</v>
      </c>
      <c r="F35" s="1048" t="str">
        <f>Admin!D81</f>
        <v>EUR</v>
      </c>
      <c r="G35" s="1054" t="str">
        <f t="shared" si="6"/>
        <v>EUR</v>
      </c>
      <c r="H35" s="1054" t="str">
        <f t="shared" si="7"/>
        <v>EUR</v>
      </c>
      <c r="I35" s="1054" t="str">
        <f t="shared" si="8"/>
        <v>EUR</v>
      </c>
      <c r="J35" s="1054" t="str">
        <f t="shared" si="9"/>
        <v>EUR</v>
      </c>
      <c r="K35" s="1054" t="str">
        <f t="shared" si="10"/>
        <v>EUR</v>
      </c>
      <c r="L35" s="939"/>
      <c r="M35" s="939"/>
      <c r="N35" s="939"/>
    </row>
    <row r="36" spans="4:14">
      <c r="D36" s="990" t="s">
        <v>2366</v>
      </c>
      <c r="E36" s="1047"/>
      <c r="F36" s="1055" t="str">
        <f>IF(F34="","",Admin!D84)</f>
        <v>PROP</v>
      </c>
      <c r="G36" s="1054" t="str">
        <f t="shared" si="6"/>
        <v>PROP</v>
      </c>
      <c r="H36" s="1054" t="str">
        <f t="shared" si="7"/>
        <v>PROP</v>
      </c>
      <c r="I36" s="1054" t="str">
        <f t="shared" si="8"/>
        <v>PROP</v>
      </c>
      <c r="J36" s="1056" t="str">
        <f>IF(Admin!$D$62=0,"","PROP")</f>
        <v>PROP</v>
      </c>
      <c r="K36" s="1056" t="str">
        <f>IF(Admin!$D$62=0,"","PROP")</f>
        <v>PROP</v>
      </c>
      <c r="L36" s="939"/>
      <c r="M36" s="939"/>
      <c r="N36" s="939"/>
    </row>
    <row r="37" spans="4:14">
      <c r="D37" s="990" t="s">
        <v>2719</v>
      </c>
      <c r="E37" s="1047"/>
      <c r="F37" s="1055">
        <f>IF(F34="","",IF(Admin!E81=0,"",Admin!E81))</f>
        <v>100000</v>
      </c>
      <c r="G37" s="1055">
        <f>IF(Admin!B82="N/A","",IF(Admin!E82=0,"",Admin!E82))</f>
        <v>100000</v>
      </c>
      <c r="H37" s="1055">
        <f>IF(Admin!B83="N/A","",IF(Admin!E83=0,"",Admin!E83))</f>
        <v>100000</v>
      </c>
      <c r="I37" s="1055">
        <f>IF(Admin!B84="N/A","",IF(Admin!E84=0,"",Admin!E84))</f>
        <v>100000</v>
      </c>
      <c r="J37" s="1055">
        <f>IF(Admin!B87="N/A","",IF(Admin!E87=0,"",Admin!E87))</f>
        <v>36986.301369863009</v>
      </c>
      <c r="K37" s="1055">
        <f>IF(Admin!B88="N/A","",IF(Admin!E88=0,"",Admin!E88))</f>
        <v>36986.301369863009</v>
      </c>
      <c r="L37" s="939"/>
      <c r="M37" s="939"/>
      <c r="N37" s="939"/>
    </row>
    <row r="38" spans="4:14">
      <c r="D38" s="990" t="s">
        <v>2720</v>
      </c>
      <c r="E38" s="1047"/>
      <c r="F38" s="1055">
        <f>IF(F34="","",IF(Admin!F81=0,"",Admin!F81*100))</f>
        <v>300</v>
      </c>
      <c r="G38" s="1055">
        <f>IF(Admin!B82="N/A","",IF(Admin!F82=0,"",Admin!F82*100))</f>
        <v>300</v>
      </c>
      <c r="H38" s="1055">
        <f>IF(Admin!B83="N/A","",IF(Admin!F83=0,"",Admin!F83*100))</f>
        <v>300</v>
      </c>
      <c r="I38" s="1055">
        <f>IF(Admin!B84="N/A","",IF(Admin!F84=0,"",Admin!F84*100))</f>
        <v>300</v>
      </c>
      <c r="J38" s="1055">
        <f>IF(Admin!B87="N/A","",IF(Admin!F87=0,"",Admin!F87*100))</f>
        <v>100</v>
      </c>
      <c r="K38" s="1055">
        <f>IF(Admin!B88="N/A","",IF(Admin!F88=0,"",Admin!F88*100))</f>
        <v>100</v>
      </c>
      <c r="L38" s="939"/>
      <c r="M38" s="939"/>
      <c r="N38" s="939"/>
    </row>
    <row r="39" spans="4:14" s="939" customFormat="1">
      <c r="D39" s="990" t="s">
        <v>2718</v>
      </c>
      <c r="E39" s="1047"/>
      <c r="F39" s="1055" t="str">
        <f>IF(F34="","",IF(F36="PROP",F38&amp;"%",F37))</f>
        <v>300%</v>
      </c>
      <c r="G39" s="1055" t="str">
        <f>IF(G34="","",IF(G36="PROP",G38&amp;"%",G37))</f>
        <v>300%</v>
      </c>
      <c r="H39" s="1055" t="str">
        <f t="shared" ref="H39" si="11">IF(H34="","",IF(H36="PROP",H38&amp;"%",H37))</f>
        <v>300%</v>
      </c>
      <c r="I39" s="1055" t="str">
        <f>IF(I34="","",IF(I36="PROP",I38&amp;"%",I37))</f>
        <v>300%</v>
      </c>
      <c r="J39" s="1055" t="str">
        <f>IF(J34="","",IF(J36="PROP",J38&amp;"%",J37))</f>
        <v>100%</v>
      </c>
      <c r="K39" s="1055" t="str">
        <f>IF(K34="","",IF(K36="PROP",K38&amp;"%",K37))</f>
        <v>100%</v>
      </c>
    </row>
    <row r="40" spans="4:14">
      <c r="D40" s="990" t="s">
        <v>2718</v>
      </c>
      <c r="E40" s="1047"/>
      <c r="F40" s="1056" t="str">
        <f>IF(F34="","",IF(F36="PROP",F38&amp;"% annual salary ",F37))</f>
        <v xml:space="preserve">300% annual salary </v>
      </c>
      <c r="G40" s="1056" t="str">
        <f>IF(G34="","",IF(G36="PROP",G38&amp;"% annual salary ",G37))</f>
        <v xml:space="preserve">300% annual salary </v>
      </c>
      <c r="H40" s="1056" t="str">
        <f>IF(H36="PROP",H38&amp;"% annual salary ",H37)</f>
        <v xml:space="preserve">300% annual salary </v>
      </c>
      <c r="I40" s="1056" t="str">
        <f>IF(I34="","",IF(I36="PROP",I38&amp;"% annual salary ",I37))</f>
        <v xml:space="preserve">300% annual salary </v>
      </c>
      <c r="J40" s="1056" t="str">
        <f>IF(J38="","",IF(J36="PROP",J38&amp;"% annual salary ",J37))</f>
        <v xml:space="preserve">100% annual salary </v>
      </c>
      <c r="K40" s="1056" t="str">
        <f>IF(K38="","",IF(K36="PROP",K38&amp;"% annual salary ",K37))</f>
        <v xml:space="preserve">100% annual salary </v>
      </c>
      <c r="L40" s="939"/>
      <c r="M40" s="939"/>
      <c r="N40" s="939"/>
    </row>
    <row r="41" spans="4:14" s="1150" customFormat="1">
      <c r="D41" s="990" t="s">
        <v>2796</v>
      </c>
      <c r="E41" s="990"/>
      <c r="F41" s="1981" t="str">
        <f>IF(G40="",F40,IF(F40=G40,F40,FALSE))</f>
        <v xml:space="preserve">300% annual salary </v>
      </c>
      <c r="G41" s="1981"/>
      <c r="H41" s="1981" t="str">
        <f>IF(I40="",H40,IF(H40=I40,H40,FALSE))</f>
        <v xml:space="preserve">300% annual salary </v>
      </c>
      <c r="I41" s="1981"/>
      <c r="J41" s="1981" t="str">
        <f>IF(K40="",J40,IF(J40=K40,J40,FALSE))</f>
        <v xml:space="preserve">100% annual salary </v>
      </c>
      <c r="K41" s="1981"/>
    </row>
    <row r="42" spans="4:14">
      <c r="D42" s="990" t="s">
        <v>2501</v>
      </c>
      <c r="E42" s="1047"/>
      <c r="F42" s="1055">
        <f>IF(Admin!B81="N/A","",IF(Admin!G81=0,"",Admin!G81))</f>
        <v>1000000</v>
      </c>
      <c r="G42" s="1055">
        <f>IF(Admin!B82="N/A","",IF(Admin!G82=0,"",Admin!G82))</f>
        <v>1000000</v>
      </c>
      <c r="H42" s="1055">
        <f>IF(Admin!B83="N/A","",IF(Admin!G83=0,"",Admin!G83))</f>
        <v>1000000</v>
      </c>
      <c r="I42" s="1055">
        <f>IF(Admin!B84="N/A","",IF(Admin!G84=0,"",Admin!G84))</f>
        <v>1000000</v>
      </c>
      <c r="J42" s="1055">
        <f>IF(Admin!B87="N/A","",IF(Admin!G87=0,"",Admin!G87))</f>
        <v>450000</v>
      </c>
      <c r="K42" s="1055">
        <f>IF(Admin!B88="N/A","",IF(Admin!G88=0,"",Admin!G88))</f>
        <v>450000</v>
      </c>
      <c r="L42" s="939"/>
      <c r="M42" s="939"/>
      <c r="N42" s="939"/>
    </row>
    <row r="43" spans="4:14">
      <c r="D43" s="990" t="s">
        <v>2727</v>
      </c>
      <c r="E43" s="1047"/>
      <c r="F43" s="1047" t="str">
        <f t="shared" ref="F43:K43" si="12">IF(F42="","",F42&amp;" "&amp;F35&amp;" limit per year")</f>
        <v>1000000 EUR limit per year</v>
      </c>
      <c r="G43" s="1054" t="str">
        <f t="shared" si="12"/>
        <v>1000000 EUR limit per year</v>
      </c>
      <c r="H43" s="1054" t="str">
        <f t="shared" si="12"/>
        <v>1000000 EUR limit per year</v>
      </c>
      <c r="I43" s="1054" t="str">
        <f t="shared" si="12"/>
        <v>1000000 EUR limit per year</v>
      </c>
      <c r="J43" s="1054" t="str">
        <f t="shared" si="12"/>
        <v>450000 EUR limit per year</v>
      </c>
      <c r="K43" s="1054" t="str">
        <f t="shared" si="12"/>
        <v>450000 EUR limit per year</v>
      </c>
      <c r="L43" s="939"/>
      <c r="M43" s="939"/>
      <c r="N43" s="939"/>
    </row>
    <row r="44" spans="4:14">
      <c r="D44" s="990" t="s">
        <v>2728</v>
      </c>
      <c r="E44" s="1047"/>
      <c r="F44" s="1982" t="str">
        <f>IF(F43=G43="","",F43)</f>
        <v>1000000 EUR limit per year</v>
      </c>
      <c r="G44" s="1981"/>
      <c r="H44" s="1982" t="str">
        <f>IF(H43=I43="","",H43)</f>
        <v>1000000 EUR limit per year</v>
      </c>
      <c r="I44" s="1981"/>
      <c r="J44" s="1982" t="str">
        <f>IF(J43=K43="","",J43)</f>
        <v>450000 EUR limit per year</v>
      </c>
      <c r="K44" s="1981"/>
      <c r="L44" s="939"/>
      <c r="M44" s="939"/>
      <c r="N44" s="939"/>
    </row>
    <row r="45" spans="4:14">
      <c r="D45" s="990" t="s">
        <v>2502</v>
      </c>
      <c r="E45" s="1047"/>
      <c r="F45" s="1980" t="str">
        <f>IF(G40=0,"after accident","after any causes")</f>
        <v>after any causes</v>
      </c>
      <c r="G45" s="1980"/>
      <c r="H45" s="1980" t="str">
        <f>IF(I40=0,"after accident","after any causes")</f>
        <v>after any causes</v>
      </c>
      <c r="I45" s="1980"/>
      <c r="J45" s="1980" t="str">
        <f>IF(K40=0,"after accident","after any causes")</f>
        <v>after any causes</v>
      </c>
      <c r="K45" s="1980"/>
      <c r="L45" s="939"/>
      <c r="M45" s="939"/>
      <c r="N45" s="939"/>
    </row>
    <row r="46" spans="4:14">
      <c r="D46" s="990" t="s">
        <v>2107</v>
      </c>
      <c r="E46" s="1047"/>
      <c r="F46" s="907"/>
      <c r="G46" s="907"/>
      <c r="H46" s="907"/>
      <c r="I46" s="907"/>
      <c r="J46" s="1005" t="str">
        <f>IF(J36="","","Duration: "&amp;Cotations!$BP$15&amp;" days Waiting period "&amp;Cotations!$BO$15&amp;" days")</f>
        <v>Duration: 365 days Waiting period 7 days</v>
      </c>
      <c r="K46" s="1006" t="str">
        <f>IF(K36="","","Duration: "&amp;Cotations!$BP$15&amp;" days Waiting period "&amp;Cotations!$BO$15&amp;" days")</f>
        <v>Duration: 365 days Waiting period 7 days</v>
      </c>
      <c r="L46" s="939"/>
      <c r="M46" s="939"/>
      <c r="N46" s="939"/>
    </row>
    <row r="47" spans="4:14">
      <c r="D47" s="990" t="s">
        <v>20</v>
      </c>
      <c r="E47" s="1048" t="str">
        <f>Admin!D73</f>
        <v>StandardMLC S</v>
      </c>
      <c r="F47" s="907" t="str">
        <f>lig2_Formula_PREVOY</f>
        <v>Formula 3</v>
      </c>
      <c r="G47" s="907"/>
      <c r="H47" s="907"/>
      <c r="I47" s="907"/>
      <c r="J47" s="1005"/>
      <c r="K47" s="1006"/>
      <c r="L47" s="939"/>
      <c r="M47" s="939"/>
      <c r="N47" s="939"/>
    </row>
    <row r="48" spans="4:14">
      <c r="D48" s="990" t="s">
        <v>2797</v>
      </c>
      <c r="E48" s="1047"/>
      <c r="F48" s="1983" t="str">
        <f>IF(F41=FALSE,F32&amp;" "&amp;F40&amp;" "&amp;F43&amp;", "&amp;G32&amp;" "&amp;G40&amp;" "&amp;G43,F40&amp;" "&amp;F43)</f>
        <v>300% annual salary  1000000 EUR limit per year</v>
      </c>
      <c r="G48" s="1972"/>
      <c r="H48" s="1983" t="str">
        <f>IF(H41=FALSE,H32&amp;" "&amp;H40&amp;" "&amp;H43&amp;", "&amp;I32&amp;" "&amp;I40&amp;" "&amp;I43,H40&amp;" "&amp;H43)</f>
        <v>300% annual salary  1000000 EUR limit per year</v>
      </c>
      <c r="I48" s="1972"/>
      <c r="J48" s="1983" t="str">
        <f>IF(J41=FALSE,J32&amp;" "&amp;J40&amp;" "&amp;J43&amp;", "&amp;K32&amp;" "&amp;K40&amp;" "&amp;K43,J40&amp;" "&amp;J43)</f>
        <v>100% annual salary  450000 EUR limit per year</v>
      </c>
      <c r="K48" s="1972"/>
      <c r="L48" s="939"/>
      <c r="M48" s="939"/>
      <c r="N48" s="939"/>
    </row>
    <row r="49" spans="4:14" ht="21" customHeight="1">
      <c r="D49" s="990"/>
      <c r="E49" s="1047"/>
      <c r="F49" s="1987" t="str">
        <f>IF(F48=H48,"LOL&amp;PTD "&amp;F48,"LOL: "&amp;F37&amp;","&amp;"PTD: "&amp;H48)</f>
        <v>LOL&amp;PTD 300% annual salary  1000000 EUR limit per year</v>
      </c>
      <c r="G49" s="1988"/>
      <c r="H49" s="1988"/>
      <c r="I49" s="1988"/>
      <c r="J49" s="1972" t="str">
        <f>IF(J48="","",J48)</f>
        <v>100% annual salary  450000 EUR limit per year</v>
      </c>
      <c r="K49" s="1972"/>
      <c r="L49" s="939"/>
      <c r="M49" s="939"/>
      <c r="N49" s="939"/>
    </row>
    <row r="50" spans="4:14">
      <c r="D50" s="939"/>
      <c r="E50" s="1047"/>
      <c r="F50" s="1983" t="str">
        <f>IF(J49="",F49,F49&amp;", "&amp;J49)</f>
        <v>LOL&amp;PTD 300% annual salary  1000000 EUR limit per year, 100% annual salary  450000 EUR limit per year</v>
      </c>
      <c r="G50" s="1972"/>
      <c r="H50" s="1972"/>
      <c r="I50" s="1972"/>
      <c r="J50" s="1972"/>
      <c r="K50" s="1972"/>
      <c r="L50" s="939"/>
      <c r="M50" s="939"/>
      <c r="N50" s="939"/>
    </row>
    <row r="51" spans="4:14">
      <c r="D51" s="939"/>
      <c r="E51" s="1047" t="str">
        <f>IF(E33="","",lig2_Persons)</f>
        <v>All others on board</v>
      </c>
      <c r="F51" s="1973" t="str">
        <f>lig2_Persons</f>
        <v>All others on board</v>
      </c>
      <c r="G51" s="1974"/>
      <c r="H51" s="1974"/>
      <c r="I51" s="1974"/>
      <c r="J51" s="1974"/>
      <c r="K51" s="1975"/>
      <c r="L51" s="939"/>
      <c r="M51" s="939"/>
      <c r="N51" s="939"/>
    </row>
    <row r="52" spans="4:14">
      <c r="D52" s="991" t="s">
        <v>2713</v>
      </c>
      <c r="E52" s="1049" t="str">
        <f>IF(E33="","",E47&amp;" for "&amp;E51)</f>
        <v>StandardMLC S for All others on board</v>
      </c>
      <c r="F52" s="1973" t="str">
        <f>IF(F33="","",F47&amp;": "&amp;F50&amp;" for "&amp;F51)</f>
        <v>Formula 3: LOL&amp;PTD 300% annual salary  1000000 EUR limit per year, 100% annual salary  450000 EUR limit per year for All others on board</v>
      </c>
      <c r="G52" s="1974"/>
      <c r="H52" s="1974"/>
      <c r="I52" s="1974"/>
      <c r="J52" s="1974"/>
      <c r="K52" s="1975"/>
      <c r="L52" s="939"/>
      <c r="M52" s="939"/>
      <c r="N52" s="939"/>
    </row>
    <row r="53" spans="4:14">
      <c r="D53" s="991" t="s">
        <v>2752</v>
      </c>
      <c r="E53" s="1049" t="str">
        <f>IF(E33="","",E33&amp;" ("&amp;E51&amp;")")</f>
        <v>L2024408 (All others on board)</v>
      </c>
      <c r="F53" s="1970" t="str">
        <f>IF(F33="","",F33&amp;" ("&amp;F51&amp;")")</f>
        <v>240303 (All others on board)</v>
      </c>
      <c r="G53" s="1971"/>
      <c r="H53" s="991"/>
      <c r="I53" s="991"/>
      <c r="J53" s="991"/>
      <c r="K53" s="991"/>
      <c r="L53" s="939"/>
      <c r="M53" s="939"/>
      <c r="N53" s="939"/>
    </row>
    <row r="54" spans="4:14">
      <c r="L54" s="939"/>
      <c r="M54" s="939"/>
      <c r="N54" s="939"/>
    </row>
    <row r="55" spans="4:14">
      <c r="L55" s="939"/>
      <c r="M55" s="939"/>
      <c r="N55" s="939"/>
    </row>
    <row r="56" spans="4:14">
      <c r="L56" s="939"/>
      <c r="M56" s="939"/>
      <c r="N56" s="939"/>
    </row>
    <row r="57" spans="4:14">
      <c r="L57" s="939"/>
      <c r="M57" s="939"/>
      <c r="N57" s="939"/>
    </row>
    <row r="58" spans="4:14" s="939" customFormat="1" ht="24.95" customHeight="1">
      <c r="D58" s="992" t="s">
        <v>2754</v>
      </c>
      <c r="E58" s="992" t="s">
        <v>2000</v>
      </c>
      <c r="F58" s="992" t="s">
        <v>2716</v>
      </c>
      <c r="G58" s="992" t="s">
        <v>2717</v>
      </c>
      <c r="H58" s="992" t="s">
        <v>2721</v>
      </c>
      <c r="I58" s="992" t="s">
        <v>2722</v>
      </c>
      <c r="J58" s="992" t="s">
        <v>2723</v>
      </c>
      <c r="K58" s="992" t="s">
        <v>2724</v>
      </c>
    </row>
    <row r="59" spans="4:14" s="939" customFormat="1">
      <c r="D59" s="990" t="s">
        <v>2649</v>
      </c>
      <c r="E59" s="1047">
        <f>lig3_POL_MED</f>
        <v>140494</v>
      </c>
      <c r="F59" s="1055">
        <f>lig3_POL_PREVOY</f>
        <v>140494</v>
      </c>
      <c r="G59" s="1054">
        <f t="shared" ref="G59:G61" si="13">F59</f>
        <v>140494</v>
      </c>
      <c r="H59" s="1054">
        <f t="shared" ref="H59:H61" si="14">G59</f>
        <v>140494</v>
      </c>
      <c r="I59" s="1054">
        <f t="shared" ref="I59:I61" si="15">H59</f>
        <v>140494</v>
      </c>
      <c r="J59" s="1054">
        <f t="shared" ref="J59:J60" si="16">I59</f>
        <v>140494</v>
      </c>
      <c r="K59" s="1054">
        <f t="shared" ref="K59:K60" si="17">J59</f>
        <v>140494</v>
      </c>
    </row>
    <row r="60" spans="4:14" s="939" customFormat="1">
      <c r="D60" s="990" t="s">
        <v>33</v>
      </c>
      <c r="E60" s="1048" t="str">
        <f>Admin!D100</f>
        <v>EUR</v>
      </c>
      <c r="F60" s="1048" t="str">
        <f>Admin!D107</f>
        <v>EUR</v>
      </c>
      <c r="G60" s="1054" t="str">
        <f t="shared" si="13"/>
        <v>EUR</v>
      </c>
      <c r="H60" s="1054" t="str">
        <f t="shared" si="14"/>
        <v>EUR</v>
      </c>
      <c r="I60" s="1054" t="str">
        <f t="shared" si="15"/>
        <v>EUR</v>
      </c>
      <c r="J60" s="1054" t="str">
        <f t="shared" si="16"/>
        <v>EUR</v>
      </c>
      <c r="K60" s="1054" t="str">
        <f t="shared" si="17"/>
        <v>EUR</v>
      </c>
    </row>
    <row r="61" spans="4:14" s="939" customFormat="1">
      <c r="D61" s="990" t="s">
        <v>2366</v>
      </c>
      <c r="E61" s="1047"/>
      <c r="F61" s="1055" t="str">
        <f>IF(lig3_POL_PREVOY="","",Admin!D110)</f>
        <v>FIXE</v>
      </c>
      <c r="G61" s="1054" t="str">
        <f t="shared" si="13"/>
        <v>FIXE</v>
      </c>
      <c r="H61" s="1054" t="str">
        <f t="shared" si="14"/>
        <v>FIXE</v>
      </c>
      <c r="I61" s="1054" t="str">
        <f t="shared" si="15"/>
        <v>FIXE</v>
      </c>
      <c r="J61" s="1056" t="str">
        <f>IF(Admin!$D$62=0,"","PROP")</f>
        <v>PROP</v>
      </c>
      <c r="K61" s="1056" t="str">
        <f>IF(Admin!$D$62=0,"","PROP")</f>
        <v>PROP</v>
      </c>
    </row>
    <row r="62" spans="4:14" s="939" customFormat="1">
      <c r="D62" s="990" t="s">
        <v>2719</v>
      </c>
      <c r="E62" s="1047"/>
      <c r="F62" s="1055">
        <f>IF(Admin!E107=0,"",Admin!E107)</f>
        <v>50000</v>
      </c>
      <c r="G62" s="1055">
        <f>IF(Admin!E108=0,"",Admin!E108)</f>
        <v>50000</v>
      </c>
      <c r="H62" s="1055">
        <f>IF(Admin!E109=0,"",Admin!E109)</f>
        <v>50000</v>
      </c>
      <c r="I62" s="1055">
        <f>IF(Admin!E110=0,"",Admin!E110)</f>
        <v>50000</v>
      </c>
      <c r="J62" s="1055" t="str">
        <f>IF(Admin!B113="N/A","",IF(Admin!E113=0,"",Admin!E113))</f>
        <v/>
      </c>
      <c r="K62" s="1055" t="str">
        <f>IF(Admin!B114="N/A","",IF(Admin!E114=0,"",Admin!E114))</f>
        <v/>
      </c>
    </row>
    <row r="63" spans="4:14" s="939" customFormat="1">
      <c r="D63" s="990" t="s">
        <v>2720</v>
      </c>
      <c r="E63" s="1047"/>
      <c r="F63" s="1055">
        <f>IF(Admin!F107=0,"",Admin!F107*100)</f>
        <v>300</v>
      </c>
      <c r="G63" s="1055">
        <f>IF(Admin!F108=0,"",Admin!F108*100)</f>
        <v>300</v>
      </c>
      <c r="H63" s="1055">
        <f>IF(Admin!F109=0,"",Admin!F109*100)</f>
        <v>300</v>
      </c>
      <c r="I63" s="1055">
        <f>IF(Admin!F110=0,"",Admin!F110*100)</f>
        <v>300</v>
      </c>
      <c r="J63" s="1055" t="str">
        <f>IF(Admin!B113="N/A","",IF(Admin!F113=0,"",Admin!F113*100))</f>
        <v/>
      </c>
      <c r="K63" s="1055" t="str">
        <f>IF(Admin!B114="N/A","",IF(Admin!F114=0,"",Admin!F114*100))</f>
        <v/>
      </c>
    </row>
    <row r="64" spans="4:14" s="939" customFormat="1">
      <c r="D64" s="990" t="s">
        <v>2718</v>
      </c>
      <c r="E64" s="1047"/>
      <c r="F64" s="1056">
        <f>IF(F61="PROP",L60&amp;"% annual salary ",F62)</f>
        <v>50000</v>
      </c>
      <c r="G64" s="1056">
        <f>IF(G61="PROP",M60&amp;"% annual salary ",G62)</f>
        <v>50000</v>
      </c>
      <c r="H64" s="1056">
        <f>IF(H61="PROP",N60&amp;"% annual salary ",H62)</f>
        <v>50000</v>
      </c>
      <c r="I64" s="1056">
        <f>IF(I61="PROP",I63&amp;"% annual salary ",I62)</f>
        <v>50000</v>
      </c>
      <c r="J64" s="1056" t="str">
        <f>IF(J63="","",IF(J61="PROP",J63&amp;"% annual salary ",J62))</f>
        <v/>
      </c>
      <c r="K64" s="1056" t="str">
        <f>IF(K63="","",IF(K61="PROP",K63&amp;"% annual salary ",K62))</f>
        <v/>
      </c>
    </row>
    <row r="65" spans="4:14" s="939" customFormat="1">
      <c r="D65" s="990" t="s">
        <v>2501</v>
      </c>
      <c r="E65" s="1047"/>
      <c r="F65" s="1055" t="str">
        <f>IF(Admin!G107=0,"",Admin!G107)</f>
        <v/>
      </c>
      <c r="G65" s="1055" t="str">
        <f>IF(Admin!G108=0,"",Admin!G108)</f>
        <v/>
      </c>
      <c r="H65" s="1055" t="str">
        <f>IF(Admin!G109=0,"",Admin!G109)</f>
        <v/>
      </c>
      <c r="I65" s="1055" t="str">
        <f>IF(Admin!G110=0,"",Admin!G110)</f>
        <v/>
      </c>
      <c r="J65" s="1055" t="str">
        <f>IF(Admin!B113="N/A","",IF(Admin!G113=0,"",Admin!G113))</f>
        <v/>
      </c>
      <c r="K65" s="1055" t="str">
        <f>IF(Admin!B114="N/A","",IF(Admin!G114=0,"",Admin!G114))</f>
        <v/>
      </c>
    </row>
    <row r="66" spans="4:14" s="939" customFormat="1">
      <c r="D66" s="990" t="s">
        <v>2727</v>
      </c>
      <c r="E66" s="1047"/>
      <c r="F66" s="1047" t="str">
        <f t="shared" ref="F66:K66" si="18">IF(F65="","",F65&amp;" "&amp;F60&amp;" limit per year")</f>
        <v/>
      </c>
      <c r="G66" s="1054" t="str">
        <f t="shared" si="18"/>
        <v/>
      </c>
      <c r="H66" s="1054" t="str">
        <f t="shared" si="18"/>
        <v/>
      </c>
      <c r="I66" s="1054" t="str">
        <f t="shared" si="18"/>
        <v/>
      </c>
      <c r="J66" s="1054" t="str">
        <f t="shared" si="18"/>
        <v/>
      </c>
      <c r="K66" s="1054" t="str">
        <f t="shared" si="18"/>
        <v/>
      </c>
    </row>
    <row r="67" spans="4:14" s="939" customFormat="1">
      <c r="D67" s="990" t="s">
        <v>2502</v>
      </c>
      <c r="E67" s="1047"/>
      <c r="F67" s="1980" t="str">
        <f>IF(G64=0,"after accident","after any causes")</f>
        <v>after any causes</v>
      </c>
      <c r="G67" s="1980"/>
      <c r="H67" s="1980" t="str">
        <f>IF(I64=0,"after accident","after any causes")</f>
        <v>after any causes</v>
      </c>
      <c r="I67" s="1980"/>
      <c r="J67" s="1980" t="str">
        <f>IF(K64=0,"after accident","after any causes")</f>
        <v>after any causes</v>
      </c>
      <c r="K67" s="1980"/>
    </row>
    <row r="68" spans="4:14" s="939" customFormat="1">
      <c r="D68" s="990" t="s">
        <v>2107</v>
      </c>
      <c r="E68" s="1047"/>
      <c r="F68" s="907"/>
      <c r="G68" s="907"/>
      <c r="H68" s="907"/>
      <c r="I68" s="907"/>
      <c r="J68" s="1005" t="str">
        <f>IF(J61="","","Duration: "&amp;Cotations!$BP$15&amp;" days Waiting period "&amp;Cotations!$BO$15&amp;" days")</f>
        <v>Duration: 365 days Waiting period 7 days</v>
      </c>
      <c r="K68" s="1006" t="str">
        <f>IF(K61="","","Duration: "&amp;Cotations!$BP$15&amp;" days Waiting period "&amp;Cotations!$BO$15&amp;" days")</f>
        <v>Duration: 365 days Waiting period 7 days</v>
      </c>
    </row>
    <row r="69" spans="4:14" s="939" customFormat="1">
      <c r="D69" s="990" t="s">
        <v>20</v>
      </c>
      <c r="E69" s="1048" t="str">
        <f>Admin!D99</f>
        <v>Medical Excellent and Homeland</v>
      </c>
      <c r="F69" s="907" t="str">
        <f>lig3_Formula_PREVOY</f>
        <v>Formula Day Worker</v>
      </c>
      <c r="G69" s="907"/>
      <c r="H69" s="907"/>
      <c r="I69" s="907"/>
      <c r="J69" s="1005"/>
      <c r="K69" s="1006"/>
    </row>
    <row r="70" spans="4:14" s="939" customFormat="1">
      <c r="D70" s="990" t="s">
        <v>2728</v>
      </c>
      <c r="E70" s="1047"/>
      <c r="F70" s="1977" t="b">
        <f>IF(F64=G64,TRUE,FALSE)</f>
        <v>1</v>
      </c>
      <c r="G70" s="1977"/>
      <c r="H70" s="1977" t="b">
        <f>IF(H64=I64,TRUE,FALSE)</f>
        <v>1</v>
      </c>
      <c r="I70" s="1977"/>
      <c r="J70" s="1977" t="str">
        <f>IF(J64="","",IF(J64=K64,TRUE,FALSE))</f>
        <v/>
      </c>
      <c r="K70" s="1977"/>
    </row>
    <row r="71" spans="4:14" s="939" customFormat="1">
      <c r="D71" s="990" t="s">
        <v>2728</v>
      </c>
      <c r="E71" s="1047"/>
      <c r="F71" s="1977" t="b">
        <f>IF(F66=G66,TRUE,FALSE)</f>
        <v>1</v>
      </c>
      <c r="G71" s="1977"/>
      <c r="H71" s="1977" t="b">
        <f>IF(H66=I66,TRUE,FALSE)</f>
        <v>1</v>
      </c>
      <c r="I71" s="1977"/>
      <c r="J71" s="1977" t="str">
        <f>IF(J64="","",IF(J66=K66,TRUE,FALSE))</f>
        <v/>
      </c>
      <c r="K71" s="1977"/>
    </row>
    <row r="72" spans="4:14" s="939" customFormat="1">
      <c r="D72" s="990" t="s">
        <v>2728</v>
      </c>
      <c r="E72" s="1047"/>
      <c r="F72" s="1976" t="str">
        <f>IF(F71=TRUE,F66,FALSE)</f>
        <v/>
      </c>
      <c r="G72" s="1976"/>
      <c r="H72" s="1976" t="str">
        <f>IF(H71=TRUE,H66,FALSE)</f>
        <v/>
      </c>
      <c r="I72" s="1976"/>
      <c r="J72" s="1976" t="str">
        <f>IF(J64="","",IF(J71=TRUE,J66,FALSE))</f>
        <v/>
      </c>
      <c r="K72" s="1976"/>
    </row>
    <row r="73" spans="4:14" s="939" customFormat="1">
      <c r="D73" s="990"/>
      <c r="E73" s="1047"/>
      <c r="F73" s="1972" t="str">
        <f>IF(F70=FALSE,F58&amp;" "&amp;F64&amp;" "&amp;F66&amp;" "&amp;F60&amp;", "&amp;G58&amp;" "&amp;G64&amp;" "&amp;G66,F64&amp;" "&amp;F60&amp;" "&amp;F72)</f>
        <v xml:space="preserve">50000 EUR </v>
      </c>
      <c r="G73" s="1972"/>
      <c r="H73" s="1972" t="str">
        <f>IF(H70=FALSE,H58&amp;" "&amp;H64&amp;" "&amp;H66&amp;" "&amp;H60&amp;", "&amp;I58&amp;" "&amp;I64&amp;" "&amp;I66,H64&amp;" "&amp;H60&amp;" "&amp;H72)</f>
        <v xml:space="preserve">50000 EUR </v>
      </c>
      <c r="I73" s="1972"/>
      <c r="J73" s="1972" t="str">
        <f>IF(J64="","",IF(J70=FALSE,J58&amp;" "&amp;J64&amp;" "&amp;J66&amp;", "&amp;K58&amp;" "&amp;K64&amp;" "&amp;K66,"TTD "&amp;J64&amp;" "&amp;J72))</f>
        <v/>
      </c>
      <c r="K73" s="1972"/>
    </row>
    <row r="74" spans="4:14" s="939" customFormat="1">
      <c r="D74" s="990"/>
      <c r="E74" s="1047"/>
      <c r="F74" s="1972" t="str">
        <f>IF(F73=H73,"LOL&amp;PTD "&amp;F73)</f>
        <v xml:space="preserve">LOL&amp;PTD 50000 EUR </v>
      </c>
      <c r="G74" s="1972"/>
      <c r="H74" s="1972"/>
      <c r="I74" s="1972"/>
      <c r="J74" s="1972" t="str">
        <f>J73</f>
        <v/>
      </c>
      <c r="K74" s="1972"/>
    </row>
    <row r="75" spans="4:14" s="939" customFormat="1">
      <c r="E75" s="1047"/>
      <c r="F75" s="1972" t="str">
        <f>F74&amp;", "&amp;J74</f>
        <v xml:space="preserve">LOL&amp;PTD 50000 EUR , </v>
      </c>
      <c r="G75" s="1972"/>
      <c r="H75" s="1972"/>
      <c r="I75" s="1972"/>
      <c r="J75" s="1972"/>
      <c r="K75" s="1972"/>
    </row>
    <row r="76" spans="4:14" s="939" customFormat="1">
      <c r="E76" s="1047" t="str">
        <f>IF(E59="","",lig3_Persons)</f>
        <v>Day Workers</v>
      </c>
      <c r="F76" s="1973" t="str">
        <f>lig3_Persons</f>
        <v>Day Workers</v>
      </c>
      <c r="G76" s="1974"/>
      <c r="H76" s="1974"/>
      <c r="I76" s="1974"/>
      <c r="J76" s="1974"/>
      <c r="K76" s="1975"/>
    </row>
    <row r="77" spans="4:14" s="939" customFormat="1">
      <c r="D77" s="991" t="s">
        <v>2713</v>
      </c>
      <c r="E77" s="1049" t="str">
        <f>IF(E59="","",E69&amp;" for "&amp;E76)</f>
        <v>Medical Excellent and Homeland for Day Workers</v>
      </c>
      <c r="F77" s="1973" t="str">
        <f>F69&amp;": "&amp;F75&amp;" for "&amp;F76</f>
        <v>Formula Day Worker: LOL&amp;PTD 50000 EUR ,  for Day Workers</v>
      </c>
      <c r="G77" s="1974"/>
      <c r="H77" s="1974"/>
      <c r="I77" s="1974"/>
      <c r="J77" s="1974"/>
      <c r="K77" s="1975"/>
    </row>
    <row r="78" spans="4:14" s="939" customFormat="1">
      <c r="D78" s="991" t="s">
        <v>2752</v>
      </c>
      <c r="E78" s="1049" t="str">
        <f>IF(E59="","",E59&amp;" ("&amp;E76&amp;")")</f>
        <v>140494 (Day Workers)</v>
      </c>
      <c r="F78" s="1970" t="str">
        <f>F59&amp;" ("&amp;F76&amp;")"</f>
        <v>140494 (Day Workers)</v>
      </c>
      <c r="G78" s="1971"/>
      <c r="H78" s="991"/>
      <c r="I78" s="991"/>
      <c r="J78" s="991"/>
      <c r="K78" s="991"/>
    </row>
    <row r="79" spans="4:14">
      <c r="L79" s="939"/>
      <c r="M79" s="939"/>
      <c r="N79" s="939"/>
    </row>
    <row r="80" spans="4:14" s="1150" customFormat="1"/>
    <row r="81" spans="5:14" s="1150" customFormat="1">
      <c r="E81" s="1363" t="str">
        <f>'Company '!Q2</f>
        <v>Anker Verzekeringen n,v,</v>
      </c>
      <c r="F81" s="1364"/>
      <c r="G81" s="1378" t="s">
        <v>2601</v>
      </c>
      <c r="H81" s="1368" t="s">
        <v>2884</v>
      </c>
      <c r="I81" s="1379" t="s">
        <v>2886</v>
      </c>
      <c r="J81" s="1379" t="s">
        <v>2885</v>
      </c>
    </row>
    <row r="82" spans="5:14" s="1150" customFormat="1">
      <c r="E82" s="1351" t="s">
        <v>21</v>
      </c>
      <c r="F82" s="1352" t="s">
        <v>33</v>
      </c>
      <c r="G82" s="1351" t="s">
        <v>21</v>
      </c>
      <c r="H82" s="1352" t="s">
        <v>21</v>
      </c>
      <c r="I82" s="1352" t="s">
        <v>21</v>
      </c>
      <c r="J82" s="1358" t="s">
        <v>21</v>
      </c>
    </row>
    <row r="83" spans="5:14" s="1150" customFormat="1">
      <c r="E83" s="511" t="str">
        <f ca="1">POLICY($E$81,OFFSET(Source!$B$17,0,0,COUNTA(Source!$B$17:$B$24),4),4,B7)</f>
        <v/>
      </c>
      <c r="F83" s="495" t="str">
        <f ca="1">IF(E83="","",Source!$M$2)</f>
        <v/>
      </c>
      <c r="G83" s="1376">
        <f ca="1">POLICY($E$81,OFFSET(Source!$B$17,0,0,COUNTA(Source!$B$17:$B$24),4),4,B15)</f>
        <v>240303</v>
      </c>
      <c r="H83" s="1151">
        <f>IF($E$81="AIG Luxembourg",$E$4,$F$4)</f>
        <v>240450</v>
      </c>
      <c r="I83" s="1380">
        <v>240303</v>
      </c>
      <c r="J83" s="1366">
        <f>IF(I83="",IF(LISTES!$A$17=1,G83,H83),I83)</f>
        <v>240303</v>
      </c>
    </row>
    <row r="84" spans="5:14" s="1150" customFormat="1">
      <c r="E84" s="511" t="str">
        <f ca="1">POLICY($Q$2,OFFSET(Source!$B$17,0,0,COUNTA(Source!$B$17:$B$24),4),4,E84)</f>
        <v/>
      </c>
      <c r="F84" s="495" t="str">
        <f ca="1">IF(E84="","",Source!$M$2)</f>
        <v/>
      </c>
      <c r="G84" s="1376">
        <f ca="1">POLICY($E$81,OFFSET(Source!$B$17,0,0,COUNTA(Source!$B$17:$B$24),4),4,B16)</f>
        <v>240450</v>
      </c>
      <c r="H84" s="1151">
        <f>IF($E$81="AIG Luxembourg",$E$33,$F$33)</f>
        <v>240303</v>
      </c>
      <c r="I84" s="1380"/>
      <c r="J84" s="1366">
        <f>IF(I84="",IF(LISTES!$A$17=1,G84,H84),I84)</f>
        <v>240303</v>
      </c>
    </row>
    <row r="85" spans="5:14" s="1150" customFormat="1">
      <c r="E85" s="511" t="str">
        <f ca="1">POLICY($Q$2,OFFSET(Source!$B$17,0,0,COUNTA(Source!$B$17:$B$24),4),4,E85)</f>
        <v/>
      </c>
      <c r="F85" s="495" t="str">
        <f ca="1">IF(E85="","",Source!$M$2)</f>
        <v/>
      </c>
      <c r="G85" s="1376" t="str">
        <f ca="1">POLICY($E$81,OFFSET(Source!$B$17,0,0,COUNTA(Source!$B$17:$B$24),4),4,B17)</f>
        <v/>
      </c>
      <c r="H85" s="1151">
        <f>IF($E$81="AIG Luxembourg",$E$59,$F$59)</f>
        <v>140494</v>
      </c>
      <c r="I85" s="1380"/>
      <c r="J85" s="1366"/>
    </row>
    <row r="86" spans="5:14" s="1150" customFormat="1">
      <c r="E86" s="511" t="str">
        <f ca="1">POLICY($Q$2,OFFSET(Source!$B$17,0,0,COUNTA(Source!$B$17:$B$24),4),4,E86)</f>
        <v/>
      </c>
      <c r="F86" s="495" t="str">
        <f ca="1">IF(E86="","",Source!$M$2)</f>
        <v/>
      </c>
      <c r="G86" s="1376" t="str">
        <f ca="1">POLICY($E$81,OFFSET(Source!$B$17,0,0,COUNTA(Source!$B$17:$B$24),4),4,B18)</f>
        <v/>
      </c>
      <c r="H86" s="1151"/>
      <c r="I86" s="1380"/>
      <c r="J86" s="1366">
        <f>IF(I86="",IF(LISTES!$A$17=1,G86,H86),I86)</f>
        <v>0</v>
      </c>
    </row>
    <row r="87" spans="5:14" s="1150" customFormat="1">
      <c r="E87" s="511" t="str">
        <f ca="1">POLICY($Q$2,OFFSET(Source!$B$17,0,0,COUNTA(Source!$B$17:$B$24),4),4,E87)</f>
        <v/>
      </c>
      <c r="F87" s="495" t="str">
        <f ca="1">IF(E87="","",Source!$M$2)</f>
        <v/>
      </c>
      <c r="G87" s="1376" t="str">
        <f ca="1">POLICY($E$81,OFFSET(Source!$B$17,0,0,COUNTA(Source!$B$17:$B$24),4),4,B19)</f>
        <v/>
      </c>
      <c r="H87" s="1151"/>
      <c r="I87" s="1380"/>
      <c r="J87" s="1366">
        <f>IF(I87="",IF(LISTES!$A$17=1,G87,H87),I87)</f>
        <v>0</v>
      </c>
    </row>
    <row r="88" spans="5:14">
      <c r="E88" s="846" t="str">
        <f ca="1">POLICY($Q$2,OFFSET(Source!$B$17,0,0,COUNTA(Source!$B$17:$B$24),4),4,E88)</f>
        <v/>
      </c>
      <c r="F88" s="847" t="str">
        <f ca="1">IF(E88="","",Source!$M$2)</f>
        <v/>
      </c>
      <c r="G88" s="1377" t="str">
        <f ca="1">POLICY($E$81,OFFSET(Source!$B$17,0,0,COUNTA(Source!$B$17:$B$24),4),4,B20)</f>
        <v/>
      </c>
      <c r="H88" s="907"/>
      <c r="I88" s="1381"/>
      <c r="J88" s="1367">
        <f>IF(I88="",IF(LISTES!$A$17=1,G88,H88),I88)</f>
        <v>0</v>
      </c>
      <c r="L88" s="939"/>
      <c r="M88" s="939"/>
      <c r="N88" s="939"/>
    </row>
    <row r="89" spans="5:14" s="1151" customFormat="1">
      <c r="E89" s="495"/>
      <c r="F89" s="495"/>
    </row>
    <row r="90" spans="5:14" s="1151" customFormat="1">
      <c r="E90" s="495"/>
      <c r="F90" s="495"/>
    </row>
    <row r="91" spans="5:14" s="1150" customFormat="1">
      <c r="E91" s="1363"/>
      <c r="F91" s="1364"/>
      <c r="G91" s="1370" t="s">
        <v>2601</v>
      </c>
      <c r="H91" s="1370" t="s">
        <v>2884</v>
      </c>
      <c r="I91" s="1369" t="s">
        <v>2886</v>
      </c>
      <c r="J91" s="1369" t="s">
        <v>2885</v>
      </c>
    </row>
    <row r="92" spans="5:14" s="1150" customFormat="1">
      <c r="E92" s="1351" t="s">
        <v>21</v>
      </c>
      <c r="F92" s="1352" t="s">
        <v>33</v>
      </c>
      <c r="G92" s="1351" t="s">
        <v>33</v>
      </c>
      <c r="H92" s="1352" t="s">
        <v>33</v>
      </c>
      <c r="I92" s="1352" t="s">
        <v>33</v>
      </c>
      <c r="J92" s="1358" t="s">
        <v>33</v>
      </c>
    </row>
    <row r="93" spans="5:14" s="1150" customFormat="1">
      <c r="E93" s="511" t="str">
        <f ca="1">POLICY($E$81,OFFSET(Source!$B$17,0,0,COUNTA(Source!$B$17:$B$24),4),4,B17)</f>
        <v/>
      </c>
      <c r="F93" s="495" t="str">
        <f ca="1">IF(E93="","",Source!$M$2)</f>
        <v/>
      </c>
      <c r="G93" s="1376" t="str">
        <f>Source!$M$2</f>
        <v>EUR</v>
      </c>
      <c r="H93" s="1151" t="str">
        <f>IF($E$81="AIG Luxembourg",$E$6,$F$6)</f>
        <v>EUR</v>
      </c>
      <c r="I93" s="1380" t="s">
        <v>32</v>
      </c>
      <c r="J93" s="1366" t="str">
        <f>IF(I93="",IF(LISTES!$A$17=1,G93,H93),I93)</f>
        <v>EUR</v>
      </c>
    </row>
    <row r="94" spans="5:14" s="1150" customFormat="1">
      <c r="E94" s="511" t="str">
        <f ca="1">POLICY($Q$2,OFFSET(Source!$B$17,0,0,COUNTA(Source!$B$17:$B$24),4),4,E94)</f>
        <v/>
      </c>
      <c r="F94" s="495" t="str">
        <f ca="1">IF(E94="","",Source!$M$2)</f>
        <v/>
      </c>
      <c r="G94" s="1376" t="str">
        <f>Source!$M$2</f>
        <v>EUR</v>
      </c>
      <c r="H94" s="1151" t="str">
        <f>IF($E$81="AIG Luxembourg",$E$35,$F$35)</f>
        <v>EUR</v>
      </c>
      <c r="I94" s="1380"/>
      <c r="J94" s="1366" t="str">
        <f>IF(I94="",IF(LISTES!$A$17=1,G94,H94),I94)</f>
        <v>EUR</v>
      </c>
    </row>
    <row r="95" spans="5:14" s="1150" customFormat="1">
      <c r="E95" s="511" t="str">
        <f ca="1">POLICY($Q$2,OFFSET(Source!$B$17,0,0,COUNTA(Source!$B$17:$B$24),4),4,E95)</f>
        <v/>
      </c>
      <c r="F95" s="495" t="str">
        <f ca="1">IF(E95="","",Source!$M$2)</f>
        <v/>
      </c>
      <c r="G95" s="1376" t="str">
        <f>Source!$M$2</f>
        <v>EUR</v>
      </c>
      <c r="H95" s="1151" t="str">
        <f>IF($E$81="AIG Luxembourg",$E$60,$F$60)</f>
        <v>EUR</v>
      </c>
      <c r="I95" s="1380"/>
      <c r="J95" s="1366" t="str">
        <f>IF(I95="",IF(LISTES!$A$17=1,G95,H95),I95)</f>
        <v>EUR</v>
      </c>
    </row>
    <row r="96" spans="5:14" s="1150" customFormat="1">
      <c r="E96" s="511" t="str">
        <f ca="1">POLICY($Q$2,OFFSET(Source!$B$17,0,0,COUNTA(Source!$B$17:$B$24),4),4,E96)</f>
        <v/>
      </c>
      <c r="F96" s="495" t="str">
        <f ca="1">IF(E96="","",Source!$M$2)</f>
        <v/>
      </c>
      <c r="G96" s="1376" t="str">
        <f>Source!$M$2</f>
        <v>EUR</v>
      </c>
      <c r="H96" s="1151"/>
      <c r="I96" s="1380"/>
      <c r="J96" s="1366">
        <f>IF(I96="",IF(LISTES!$A$17=1,G96,H96),I96)</f>
        <v>0</v>
      </c>
    </row>
    <row r="97" spans="4:14" s="1150" customFormat="1">
      <c r="E97" s="511" t="str">
        <f ca="1">POLICY($Q$2,OFFSET(Source!$B$17,0,0,COUNTA(Source!$B$17:$B$24),4),4,E97)</f>
        <v/>
      </c>
      <c r="F97" s="495" t="str">
        <f ca="1">IF(E97="","",Source!$M$2)</f>
        <v/>
      </c>
      <c r="G97" s="1376" t="str">
        <f>Source!$M$2</f>
        <v>EUR</v>
      </c>
      <c r="H97" s="1151"/>
      <c r="I97" s="1380"/>
      <c r="J97" s="1366">
        <f>IF(I97="",IF(LISTES!$A$17=1,G97,H97),I97)</f>
        <v>0</v>
      </c>
    </row>
    <row r="98" spans="4:14" s="1150" customFormat="1">
      <c r="E98" s="846" t="str">
        <f ca="1">POLICY($Q$2,OFFSET(Source!$B$17,0,0,COUNTA(Source!$B$17:$B$24),4),4,E98)</f>
        <v/>
      </c>
      <c r="F98" s="847" t="str">
        <f ca="1">IF(E98="","",Source!$M$2)</f>
        <v/>
      </c>
      <c r="G98" s="1377" t="str">
        <f>Source!$M$2</f>
        <v>EUR</v>
      </c>
      <c r="H98" s="907"/>
      <c r="I98" s="1381"/>
      <c r="J98" s="1366">
        <f>IF(I98="",IF(LISTES!$A$17=1,G98,H98),I98)</f>
        <v>0</v>
      </c>
    </row>
    <row r="99" spans="4:14" s="1151" customFormat="1">
      <c r="E99" s="495"/>
      <c r="F99" s="495"/>
    </row>
    <row r="100" spans="4:14" ht="20.100000000000001" customHeight="1">
      <c r="D100" t="s">
        <v>2297</v>
      </c>
      <c r="E100" s="1373"/>
      <c r="F100" s="1374"/>
      <c r="G100" s="1374" t="s">
        <v>2601</v>
      </c>
      <c r="H100" s="1374" t="s">
        <v>2884</v>
      </c>
      <c r="I100" s="1375" t="s">
        <v>2886</v>
      </c>
      <c r="J100" s="1375" t="s">
        <v>2885</v>
      </c>
      <c r="L100" s="939"/>
      <c r="M100" s="939"/>
      <c r="N100" s="939"/>
    </row>
    <row r="101" spans="4:14">
      <c r="E101" s="1351" t="s">
        <v>21</v>
      </c>
      <c r="F101" s="1352" t="s">
        <v>33</v>
      </c>
      <c r="G101" s="1352" t="s">
        <v>27</v>
      </c>
      <c r="H101" s="1352" t="s">
        <v>27</v>
      </c>
      <c r="I101" s="1362" t="s">
        <v>27</v>
      </c>
      <c r="J101" s="1365" t="s">
        <v>27</v>
      </c>
    </row>
    <row r="102" spans="4:14">
      <c r="E102" s="511"/>
      <c r="F102" s="495" t="str">
        <f>IF(E102="","",Source!$M$2)</f>
        <v/>
      </c>
      <c r="G102" s="624">
        <f ca="1">POLICY($E$81,OFFSET(Source!$B$17,0,0,COUNTA(Source!$B$17:$B$24),4),17,D15)</f>
        <v>6858.3353802551001</v>
      </c>
      <c r="H102" s="624">
        <f>IF($E$81="AIG Luxembourg",Cotations!AB11,Cotations!AD11)</f>
        <v>13975.502148323099</v>
      </c>
      <c r="I102" s="1380">
        <v>11362.78</v>
      </c>
      <c r="J102" s="1366">
        <f>IF(I102=0,IF(LISTES!$A$17=1,H102,G102),I102)</f>
        <v>11362.78</v>
      </c>
    </row>
    <row r="103" spans="4:14">
      <c r="E103" s="511" t="str">
        <f ca="1">POLICY($Q$2,OFFSET(Source!$B$17,0,0,COUNTA(Source!$B$17:$B$24),4),4,E103)</f>
        <v/>
      </c>
      <c r="F103" s="495" t="str">
        <f ca="1">IF(E103="","",Source!$M$2)</f>
        <v/>
      </c>
      <c r="G103" s="624">
        <f ca="1">POLICY($E$81,OFFSET(Source!$B$17,0,0,COUNTA(Source!$B$17:$B$24),4),17,D16)</f>
        <v>1508.1908360888001</v>
      </c>
      <c r="H103" s="624">
        <f>IF($E$81="AIG Luxembourg",0,0)</f>
        <v>0</v>
      </c>
      <c r="I103" s="1380"/>
      <c r="J103" s="1366">
        <f ca="1">IF(I103=0,IF(LISTES!$A$17=1,H103,G103),I103)</f>
        <v>1508.1908360888001</v>
      </c>
    </row>
    <row r="104" spans="4:14">
      <c r="E104" s="511" t="str">
        <f ca="1">POLICY($Q$2,OFFSET(Source!$B$17,0,0,COUNTA(Source!$B$17:$B$24),4),4,E104)</f>
        <v/>
      </c>
      <c r="F104" s="495" t="str">
        <f ca="1">IF(E104="","",Source!$M$2)</f>
        <v/>
      </c>
      <c r="G104" s="624" t="str">
        <f ca="1">POLICY($E$81,OFFSET(Source!$B$17,0,0,COUNTA(Source!$B$17:$B$24),4),17,D17)</f>
        <v/>
      </c>
      <c r="H104" s="624" t="str">
        <f ca="1">IF(E104="","",G104*1.04)</f>
        <v/>
      </c>
      <c r="I104" s="1380"/>
      <c r="J104" s="1366" t="str">
        <f ca="1">IF(I104=0,IF(LISTES!$A$17=1,H104,G104),I104)</f>
        <v/>
      </c>
    </row>
    <row r="105" spans="4:14">
      <c r="E105" s="511" t="str">
        <f ca="1">POLICY($Q$2,OFFSET(Source!$B$17,0,0,COUNTA(Source!$B$17:$B$24),4),4,E105)</f>
        <v/>
      </c>
      <c r="F105" s="495" t="str">
        <f ca="1">IF(E105="","",Source!$M$2)</f>
        <v/>
      </c>
      <c r="G105" s="624" t="str">
        <f ca="1">POLICY($E$81,OFFSET(Source!$B$17,0,0,COUNTA(Source!$B$17:$B$24),4),17,D18)</f>
        <v/>
      </c>
      <c r="H105" s="624" t="str">
        <f ca="1">IF(E105="","",G105*1.04)</f>
        <v/>
      </c>
      <c r="I105" s="1380"/>
      <c r="J105" s="1366" t="str">
        <f ca="1">IF(I105=0,IF(LISTES!$A$17=1,H105,G105),I105)</f>
        <v/>
      </c>
    </row>
    <row r="106" spans="4:14">
      <c r="E106" s="511" t="str">
        <f ca="1">POLICY($Q$2,OFFSET(Source!$B$17,0,0,COUNTA(Source!$B$17:$B$24),4),4,E106)</f>
        <v/>
      </c>
      <c r="F106" s="495" t="str">
        <f ca="1">IF(E106="","",Source!$M$2)</f>
        <v/>
      </c>
      <c r="G106" s="624" t="str">
        <f ca="1">POLICY($E$81,OFFSET(Source!$B$17,0,0,COUNTA(Source!$B$17:$B$24),4),17,D19)</f>
        <v/>
      </c>
      <c r="H106" s="624" t="str">
        <f ca="1">IF(E106="","",G106*1.04)</f>
        <v/>
      </c>
      <c r="I106" s="1380"/>
      <c r="J106" s="1366" t="str">
        <f ca="1">IF(I106=0,IF(LISTES!$A$17=1,H106,G106),I106)</f>
        <v/>
      </c>
    </row>
    <row r="107" spans="4:14">
      <c r="E107" s="846" t="str">
        <f ca="1">POLICY($Q$2,OFFSET(Source!$B$17,0,0,COUNTA(Source!$B$17:$B$24),4),4,E107)</f>
        <v/>
      </c>
      <c r="F107" s="847" t="str">
        <f ca="1">IF(E107="","",Source!$M$2)</f>
        <v/>
      </c>
      <c r="G107" s="848" t="str">
        <f ca="1">POLICY($E$81,OFFSET(Source!$B$17,0,0,COUNTA(Source!$B$17:$B$24),4),17,D20)</f>
        <v/>
      </c>
      <c r="H107" s="848" t="str">
        <f ca="1">IF(E107="","",G107*1.04)</f>
        <v/>
      </c>
      <c r="I107" s="1381"/>
      <c r="J107" s="1366" t="str">
        <f ca="1">IF(I107=0,IF(LISTES!$A$17=1,H107,G107),I107)</f>
        <v/>
      </c>
    </row>
    <row r="108" spans="4:14">
      <c r="L108" s="939"/>
      <c r="M108" s="939"/>
      <c r="N108" s="939"/>
    </row>
    <row r="109" spans="4:14" s="1150" customFormat="1"/>
    <row r="110" spans="4:14" s="1150" customFormat="1" ht="20.100000000000001" customHeight="1">
      <c r="D110" s="1150" t="s">
        <v>2297</v>
      </c>
      <c r="E110" s="1050"/>
      <c r="F110" s="1370"/>
      <c r="G110" s="1370" t="s">
        <v>2601</v>
      </c>
      <c r="H110" s="1370" t="s">
        <v>2884</v>
      </c>
      <c r="I110" s="1369" t="s">
        <v>2886</v>
      </c>
      <c r="J110" s="1369" t="s">
        <v>2885</v>
      </c>
    </row>
    <row r="111" spans="4:14" s="1150" customFormat="1">
      <c r="G111" s="1371" t="s">
        <v>20</v>
      </c>
      <c r="H111" s="1365"/>
      <c r="J111" s="1372"/>
    </row>
    <row r="112" spans="4:14" s="1150" customFormat="1">
      <c r="G112" s="1164" t="str">
        <f ca="1">POLICY($E$81,OFFSET(Source!$B$17,0,0,COUNTA(Source!$B$17:$B$24),4),3,D15)</f>
        <v>Formula 3</v>
      </c>
      <c r="H112" s="1350" t="str">
        <f>IF($E$81="Anker Verzekeringen n,v,",Modules!$F$18,Modules!$E$18)</f>
        <v>Formula 3</v>
      </c>
      <c r="J112" s="1359" t="str">
        <f>IF(LISTES!$A$17=1,G112,H112)</f>
        <v>Formula 3</v>
      </c>
    </row>
    <row r="113" spans="4:14" s="1150" customFormat="1">
      <c r="G113" s="1164" t="str">
        <f ca="1">POLICY($E$81,OFFSET(Source!$B$17,0,0,COUNTA(Source!$B$17:$B$24),4),3,D16)</f>
        <v>Formula 3</v>
      </c>
      <c r="H113" s="1350" t="str">
        <f>IF($E$81="Anker Verzekeringen n,v,",$F$47,$E$47)</f>
        <v>Formula 3</v>
      </c>
      <c r="J113" s="1359" t="str">
        <f>IF(LISTES!$A$17=1,G113,H113)</f>
        <v>Formula 3</v>
      </c>
    </row>
    <row r="114" spans="4:14" s="1150" customFormat="1">
      <c r="G114" s="1164" t="str">
        <f ca="1">POLICY($E$81,OFFSET(Source!$B$17,0,0,COUNTA(Source!$B$17:$B$24),4),3,D17)</f>
        <v/>
      </c>
      <c r="H114" s="1350"/>
      <c r="J114" s="1359">
        <f>IF(LISTES!$A$17=1,G114,H114)</f>
        <v>0</v>
      </c>
    </row>
    <row r="115" spans="4:14" s="1150" customFormat="1">
      <c r="G115" s="1164" t="str">
        <f ca="1">POLICY($E$81,OFFSET(Source!$B$17,0,0,COUNTA(Source!$B$17:$B$24),4),3,D18)</f>
        <v/>
      </c>
      <c r="H115" s="1350"/>
      <c r="J115" s="1359">
        <f>IF(LISTES!$A$17=1,G115,H115)</f>
        <v>0</v>
      </c>
    </row>
    <row r="116" spans="4:14" s="1150" customFormat="1">
      <c r="G116" s="1164" t="str">
        <f ca="1">POLICY($E$81,OFFSET(Source!$B$17,0,0,COUNTA(Source!$B$17:$B$24),4),3,D19)</f>
        <v/>
      </c>
      <c r="H116" s="1350"/>
      <c r="J116" s="1359">
        <f>IF(LISTES!$A$17=1,G116,H116)</f>
        <v>0</v>
      </c>
    </row>
    <row r="117" spans="4:14" s="1150" customFormat="1">
      <c r="G117" s="1361" t="str">
        <f ca="1">POLICY($E$81,OFFSET(Source!$B$17,0,0,COUNTA(Source!$B$17:$B$24),4),3,D20)</f>
        <v/>
      </c>
      <c r="H117" s="1347"/>
      <c r="J117" s="1360">
        <f>IF(LISTES!$A$17=1,G117,H117)</f>
        <v>0</v>
      </c>
    </row>
    <row r="118" spans="4:14" s="1150" customFormat="1"/>
    <row r="119" spans="4:14">
      <c r="L119" s="939"/>
      <c r="M119" s="939"/>
      <c r="N119" s="939"/>
    </row>
    <row r="120" spans="4:14">
      <c r="D120" s="1353"/>
      <c r="E120" s="1352" t="s">
        <v>2173</v>
      </c>
      <c r="F120" s="1909" t="s">
        <v>2360</v>
      </c>
      <c r="G120" s="1909"/>
      <c r="H120" s="1354" t="s">
        <v>2253</v>
      </c>
      <c r="I120" s="1352" t="s">
        <v>23</v>
      </c>
      <c r="J120" s="1909" t="s">
        <v>2361</v>
      </c>
      <c r="K120" s="1909"/>
      <c r="L120" s="1910"/>
      <c r="M120" s="939"/>
      <c r="N120" s="939"/>
    </row>
    <row r="121" spans="4:14">
      <c r="D121" s="1164" t="s">
        <v>2168</v>
      </c>
      <c r="E121" s="499" t="s">
        <v>2000</v>
      </c>
      <c r="F121" s="499" t="str">
        <f>IF(D121="NO","",Modules!$E$18)</f>
        <v>Perfect S</v>
      </c>
      <c r="G121" s="499" t="str">
        <f>IF(D121="NO","",Modules!$E$47)</f>
        <v>StandardMLC S</v>
      </c>
      <c r="H121" s="10"/>
      <c r="I121" s="578">
        <f>IF(D121="NO","",0%)</f>
        <v>0</v>
      </c>
      <c r="J121" s="1906" t="str">
        <f>IF(D121="NO","",Modules!$E$22&amp;"/ "&amp;Modules!$E$51)</f>
        <v>Captain only/ All others on board</v>
      </c>
      <c r="K121" s="1906"/>
      <c r="L121" s="1907"/>
    </row>
    <row r="122" spans="4:14">
      <c r="D122" s="1164" t="s">
        <v>2168</v>
      </c>
      <c r="E122" s="499" t="s">
        <v>2207</v>
      </c>
      <c r="F122" s="499" t="str">
        <f>IF(D122="NO","",Modules!$E$18)</f>
        <v>Perfect S</v>
      </c>
      <c r="G122" s="499" t="str">
        <f>IF(D122="NO","",Modules!$E$47)</f>
        <v>StandardMLC S</v>
      </c>
      <c r="H122" s="10"/>
      <c r="I122" s="578">
        <f>IF(D122="NO","",0%)</f>
        <v>0</v>
      </c>
      <c r="J122" s="1906" t="str">
        <f>IF(D122="NO","",Modules!$E$22&amp;"/ "&amp;Modules!$E$51)</f>
        <v>Captain only/ All others on board</v>
      </c>
      <c r="K122" s="1906"/>
      <c r="L122" s="1907"/>
    </row>
    <row r="123" spans="4:14">
      <c r="D123" s="1164" t="s">
        <v>2169</v>
      </c>
      <c r="E123" s="10" t="s">
        <v>2636</v>
      </c>
      <c r="F123" s="10"/>
      <c r="G123" s="10"/>
      <c r="H123" s="10"/>
      <c r="I123" s="578" t="str">
        <f t="shared" ref="I123" si="19">IF(D123="NO","",0%)</f>
        <v/>
      </c>
      <c r="J123" s="1921" t="str">
        <f>IF(D123="NO","",Modules!#REF!)</f>
        <v/>
      </c>
      <c r="K123" s="1921"/>
      <c r="L123" s="1922"/>
    </row>
    <row r="124" spans="4:14">
      <c r="D124" s="1348" t="s">
        <v>2169</v>
      </c>
      <c r="E124" s="10" t="s">
        <v>2637</v>
      </c>
      <c r="F124" s="10"/>
      <c r="G124" s="10"/>
      <c r="H124" s="10"/>
      <c r="I124" s="578" t="str">
        <f>IF(D124="NO","",0%)</f>
        <v/>
      </c>
      <c r="J124" s="1921" t="str">
        <f>IF(D124="NO","",Modules!#REF!)</f>
        <v/>
      </c>
      <c r="K124" s="1921"/>
      <c r="L124" s="1922"/>
    </row>
    <row r="125" spans="4:14">
      <c r="D125" s="1348" t="s">
        <v>2169</v>
      </c>
      <c r="E125" s="499" t="s">
        <v>2245</v>
      </c>
      <c r="F125" s="849" t="str">
        <f>IF(D125="NO","",Modules!H78)</f>
        <v/>
      </c>
      <c r="G125" s="1349" t="str">
        <f>IF(D125="NO","",Modules!H132)</f>
        <v/>
      </c>
      <c r="H125" s="579" t="str">
        <f>IF(D125="NO","",IF(Cotations!$BA$6=0,0,Cotations!$BA$7))</f>
        <v/>
      </c>
      <c r="I125" s="499"/>
      <c r="J125" s="1921" t="str">
        <f>IF(D125="NO","",Modules!$F$22&amp;"/ "&amp;Modules!$F$51)</f>
        <v/>
      </c>
      <c r="K125" s="1921"/>
      <c r="L125" s="1922"/>
    </row>
    <row r="126" spans="4:14">
      <c r="D126" s="1348" t="s">
        <v>2169</v>
      </c>
      <c r="E126" s="499" t="s">
        <v>2238</v>
      </c>
      <c r="F126" s="849" t="str">
        <f>IF(D126="NO","",Modules!I78)</f>
        <v/>
      </c>
      <c r="G126" s="1349" t="str">
        <f>IF(D126="NO","",Modules!I132)</f>
        <v/>
      </c>
      <c r="H126" s="579" t="str">
        <f>IF(D126="NO","",IF(Cotations!$BE$6=0,0,Cotations!$BE$7))</f>
        <v/>
      </c>
      <c r="I126" s="10"/>
      <c r="J126" s="1921" t="str">
        <f>IF(D126="NO","",Modules!$F$22)</f>
        <v/>
      </c>
      <c r="K126" s="1921"/>
      <c r="L126" s="1922"/>
    </row>
    <row r="127" spans="4:14">
      <c r="D127" s="1348" t="s">
        <v>2169</v>
      </c>
      <c r="E127" s="499" t="s">
        <v>2359</v>
      </c>
      <c r="F127" s="849" t="str">
        <f>IF(D127="NO","",Modules!J78)</f>
        <v/>
      </c>
      <c r="G127" s="1349" t="str">
        <f>IF(D127="NO","",Modules!J132)</f>
        <v/>
      </c>
      <c r="H127" s="579" t="str">
        <f>IF(D127="NO","",IF(Cotations!$BI$6=0,0,Cotations!$BI$7))</f>
        <v/>
      </c>
      <c r="I127" s="10"/>
      <c r="J127" s="1921" t="str">
        <f>IF(D127="NO","",Modules!$F$22&amp;"/ "&amp;Modules!$F$51)</f>
        <v/>
      </c>
      <c r="K127" s="1921"/>
      <c r="L127" s="1922"/>
    </row>
    <row r="128" spans="4:14">
      <c r="D128" s="1348" t="s">
        <v>2169</v>
      </c>
      <c r="E128" s="499" t="s">
        <v>2239</v>
      </c>
      <c r="F128" s="849" t="str">
        <f>IF(D128="NO","",Modules!K78)</f>
        <v/>
      </c>
      <c r="G128" s="1349" t="str">
        <f>IF(D128="NO","",Modules!K132)</f>
        <v/>
      </c>
      <c r="H128" s="579" t="str">
        <f>IF(D128="NO","",IF(Cotations!$BM$6=0,0,Cotations!$BM$7))</f>
        <v/>
      </c>
      <c r="I128" s="10"/>
      <c r="J128" s="1921" t="str">
        <f>IF(D128="NO","",Modules!$F$22)</f>
        <v/>
      </c>
      <c r="K128" s="1921"/>
      <c r="L128" s="1922"/>
    </row>
    <row r="129" spans="4:12">
      <c r="D129" s="1348" t="s">
        <v>2169</v>
      </c>
      <c r="E129" s="499" t="s">
        <v>2362</v>
      </c>
      <c r="F129" s="849" t="str">
        <f>IF(D129="NO","",Modules!L78)</f>
        <v/>
      </c>
      <c r="G129" s="1349" t="str">
        <f>IF(D129="NO","",Modules!L132)</f>
        <v/>
      </c>
      <c r="H129" s="579" t="str">
        <f>IF(D129="NO","",IF(Cotations!$BQ$6=0,0,Cotations!$BQ$7))</f>
        <v/>
      </c>
      <c r="I129" s="495"/>
      <c r="J129" s="1921" t="str">
        <f>IF(D129="NO","",Modules!$F$22)</f>
        <v/>
      </c>
      <c r="K129" s="1921"/>
      <c r="L129" s="1922"/>
    </row>
    <row r="130" spans="4:12">
      <c r="D130" s="837" t="s">
        <v>2169</v>
      </c>
      <c r="E130" s="513" t="s">
        <v>2240</v>
      </c>
      <c r="F130" s="1165" t="str">
        <f>IF(D130="NO","",Modules!M78)</f>
        <v/>
      </c>
      <c r="G130" s="838" t="str">
        <f>IF(D130="NO","",Modules!M132)</f>
        <v/>
      </c>
      <c r="H130" s="577" t="str">
        <f>IF(D130="NO","",IF(Cotations!$BU$6=0,0,Cotations!$BU$7))</f>
        <v/>
      </c>
      <c r="I130" s="470"/>
      <c r="J130" s="1989" t="str">
        <f>IF(D130="NO","",Modules!$F$22)</f>
        <v/>
      </c>
      <c r="K130" s="1989"/>
      <c r="L130" s="1990"/>
    </row>
  </sheetData>
  <mergeCells count="70">
    <mergeCell ref="J128:L128"/>
    <mergeCell ref="J129:L129"/>
    <mergeCell ref="J130:L130"/>
    <mergeCell ref="J125:L125"/>
    <mergeCell ref="J126:L126"/>
    <mergeCell ref="J127:L127"/>
    <mergeCell ref="J122:L122"/>
    <mergeCell ref="J123:L123"/>
    <mergeCell ref="J124:L124"/>
    <mergeCell ref="F120:G120"/>
    <mergeCell ref="J120:L120"/>
    <mergeCell ref="J121:L121"/>
    <mergeCell ref="J48:K48"/>
    <mergeCell ref="F50:K50"/>
    <mergeCell ref="F51:K51"/>
    <mergeCell ref="F52:K52"/>
    <mergeCell ref="F49:I49"/>
    <mergeCell ref="J49:K49"/>
    <mergeCell ref="F22:K22"/>
    <mergeCell ref="F23:K23"/>
    <mergeCell ref="H19:I19"/>
    <mergeCell ref="J19:K19"/>
    <mergeCell ref="F19:G19"/>
    <mergeCell ref="F21:K21"/>
    <mergeCell ref="F20:I20"/>
    <mergeCell ref="J20:K20"/>
    <mergeCell ref="F16:G16"/>
    <mergeCell ref="H16:I16"/>
    <mergeCell ref="J16:K16"/>
    <mergeCell ref="M2:N2"/>
    <mergeCell ref="F12:G12"/>
    <mergeCell ref="H12:I12"/>
    <mergeCell ref="J12:K12"/>
    <mergeCell ref="F15:G15"/>
    <mergeCell ref="H15:I15"/>
    <mergeCell ref="J15:K15"/>
    <mergeCell ref="F53:G53"/>
    <mergeCell ref="F24:G24"/>
    <mergeCell ref="F67:G67"/>
    <mergeCell ref="H67:I67"/>
    <mergeCell ref="J67:K67"/>
    <mergeCell ref="F45:G45"/>
    <mergeCell ref="H45:I45"/>
    <mergeCell ref="J45:K45"/>
    <mergeCell ref="F41:G41"/>
    <mergeCell ref="H41:I41"/>
    <mergeCell ref="J41:K41"/>
    <mergeCell ref="F44:G44"/>
    <mergeCell ref="H44:I44"/>
    <mergeCell ref="J44:K44"/>
    <mergeCell ref="F48:G48"/>
    <mergeCell ref="H48:I48"/>
    <mergeCell ref="F70:G70"/>
    <mergeCell ref="H70:I70"/>
    <mergeCell ref="J70:K70"/>
    <mergeCell ref="F71:G71"/>
    <mergeCell ref="H71:I71"/>
    <mergeCell ref="J71:K71"/>
    <mergeCell ref="F72:G72"/>
    <mergeCell ref="H72:I72"/>
    <mergeCell ref="J72:K72"/>
    <mergeCell ref="F73:G73"/>
    <mergeCell ref="H73:I73"/>
    <mergeCell ref="J73:K73"/>
    <mergeCell ref="F78:G78"/>
    <mergeCell ref="F74:I74"/>
    <mergeCell ref="J74:K74"/>
    <mergeCell ref="F75:K75"/>
    <mergeCell ref="F76:K76"/>
    <mergeCell ref="F77:K7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LIST!$D$1:$D$3</xm:f>
          </x14:formula1>
          <xm:sqref>D121:D130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7030A0"/>
  </sheetPr>
  <dimension ref="A1:T160"/>
  <sheetViews>
    <sheetView topLeftCell="A127" workbookViewId="0">
      <selection activeCell="E159" sqref="E159"/>
    </sheetView>
  </sheetViews>
  <sheetFormatPr baseColWidth="10" defaultColWidth="11.42578125" defaultRowHeight="15"/>
  <cols>
    <col min="1" max="1" width="7.140625" customWidth="1"/>
    <col min="2" max="2" width="9.5703125" customWidth="1"/>
    <col min="3" max="3" width="21.5703125" customWidth="1"/>
    <col min="4" max="4" width="30.7109375" customWidth="1"/>
    <col min="5" max="5" width="42.28515625" customWidth="1"/>
    <col min="6" max="6" width="14.85546875" customWidth="1"/>
    <col min="7" max="7" width="23" customWidth="1"/>
    <col min="9" max="9" width="19.42578125" customWidth="1"/>
    <col min="10" max="10" width="18.7109375" customWidth="1"/>
    <col min="18" max="18" width="30" customWidth="1"/>
    <col min="20" max="20" width="26.42578125" customWidth="1"/>
  </cols>
  <sheetData>
    <row r="1" spans="1:20" s="527" customFormat="1">
      <c r="A1" s="65">
        <v>133</v>
      </c>
      <c r="B1" s="65" t="str">
        <f>INDEX(B4:B300,$A$1,1)</f>
        <v>B2052</v>
      </c>
      <c r="C1" s="65" t="str">
        <f>INDEX(C4:C300,$A$1,1)</f>
        <v>SOMECASSUR</v>
      </c>
      <c r="D1" s="65" t="str">
        <f t="shared" ref="D1:T1" si="0">INDEX(D4:D300,$A$1,1)</f>
        <v/>
      </c>
      <c r="E1" s="65" t="str">
        <f t="shared" si="0"/>
        <v>SOMECASSUR</v>
      </c>
      <c r="F1" s="65" t="str">
        <f t="shared" si="0"/>
        <v>MASTER</v>
      </c>
      <c r="G1" s="65" t="str">
        <f t="shared" si="0"/>
        <v>Insurance Broker</v>
      </c>
      <c r="H1" s="65" t="str">
        <f t="shared" si="0"/>
        <v>Le Gray d’Albion, 17 Boulevard de la Croisette</v>
      </c>
      <c r="I1" s="65" t="str">
        <f t="shared" si="0"/>
        <v>F-06400</v>
      </c>
      <c r="J1" s="65" t="str">
        <f t="shared" si="0"/>
        <v>Cannes</v>
      </c>
      <c r="K1" s="65" t="str">
        <f t="shared" si="0"/>
        <v>France</v>
      </c>
      <c r="L1" s="65">
        <f t="shared" si="0"/>
        <v>0</v>
      </c>
      <c r="M1" s="65" t="str">
        <f t="shared" si="0"/>
        <v>(0033) 493 39 92 30</v>
      </c>
      <c r="N1" s="65" t="str">
        <f t="shared" si="0"/>
        <v>(0033)493 39 15 81</v>
      </c>
      <c r="O1" s="65" t="str">
        <f t="shared" si="0"/>
        <v>Affiché</v>
      </c>
      <c r="P1" s="65">
        <f t="shared" si="0"/>
        <v>0.15</v>
      </c>
      <c r="Q1" s="65">
        <f t="shared" si="0"/>
        <v>0.12</v>
      </c>
      <c r="R1" s="65">
        <f t="shared" si="0"/>
        <v>0</v>
      </c>
      <c r="S1" s="65">
        <f t="shared" si="0"/>
        <v>0</v>
      </c>
      <c r="T1" s="65" t="str">
        <f t="shared" si="0"/>
        <v>fr76 3000 4006 4300 0101 3340 291</v>
      </c>
    </row>
    <row r="2" spans="1:20">
      <c r="A2" s="64">
        <v>153</v>
      </c>
      <c r="B2" s="65">
        <f>INDEX(B4:B300,$A$2,1)</f>
        <v>0</v>
      </c>
      <c r="C2" s="65" t="str">
        <f>INDEX(C4:C300,$A$2,1)</f>
        <v/>
      </c>
      <c r="D2" s="65" t="str">
        <f t="shared" ref="D2:T2" si="1">INDEX(D4:D300,$A$2,1)</f>
        <v>HILL ROBINSON Limited</v>
      </c>
      <c r="E2" s="65" t="str">
        <f t="shared" si="1"/>
        <v>HILL ROBINSON Limited</v>
      </c>
      <c r="F2" s="65" t="str">
        <f t="shared" si="1"/>
        <v>CREW</v>
      </c>
      <c r="G2" s="65" t="str">
        <f t="shared" si="1"/>
        <v>Manager</v>
      </c>
      <c r="H2" s="65">
        <f t="shared" si="1"/>
        <v>0</v>
      </c>
      <c r="I2" s="65">
        <f t="shared" si="1"/>
        <v>0</v>
      </c>
      <c r="J2" s="65">
        <f t="shared" si="1"/>
        <v>0</v>
      </c>
      <c r="K2" s="65">
        <f t="shared" si="1"/>
        <v>0</v>
      </c>
      <c r="L2" s="65">
        <f t="shared" si="1"/>
        <v>0</v>
      </c>
      <c r="M2" s="65">
        <f t="shared" si="1"/>
        <v>0</v>
      </c>
      <c r="N2" s="65">
        <f t="shared" si="1"/>
        <v>0</v>
      </c>
      <c r="O2" s="65">
        <f t="shared" si="1"/>
        <v>0</v>
      </c>
      <c r="P2" s="65">
        <f t="shared" si="1"/>
        <v>0</v>
      </c>
      <c r="Q2" s="65">
        <f t="shared" si="1"/>
        <v>0</v>
      </c>
      <c r="R2" s="65">
        <f t="shared" si="1"/>
        <v>0</v>
      </c>
      <c r="S2" s="65">
        <f t="shared" si="1"/>
        <v>0</v>
      </c>
      <c r="T2" s="65">
        <f t="shared" si="1"/>
        <v>0</v>
      </c>
    </row>
    <row r="3" spans="1:20" s="533" customFormat="1" ht="39.950000000000003" customHeight="1">
      <c r="A3" s="530" t="s">
        <v>2142</v>
      </c>
      <c r="B3" s="530" t="s">
        <v>2380</v>
      </c>
      <c r="C3" s="66" t="s">
        <v>2381</v>
      </c>
      <c r="D3" s="66" t="s">
        <v>2382</v>
      </c>
      <c r="E3" s="530" t="s">
        <v>208</v>
      </c>
      <c r="F3" s="530" t="s">
        <v>2383</v>
      </c>
      <c r="G3" s="530" t="s">
        <v>2384</v>
      </c>
      <c r="H3" s="530" t="s">
        <v>209</v>
      </c>
      <c r="I3" s="530" t="s">
        <v>210</v>
      </c>
      <c r="J3" s="530" t="s">
        <v>211</v>
      </c>
      <c r="K3" s="530" t="s">
        <v>212</v>
      </c>
      <c r="L3" s="530" t="s">
        <v>1146</v>
      </c>
      <c r="M3" s="531" t="s">
        <v>213</v>
      </c>
      <c r="N3" s="531" t="s">
        <v>214</v>
      </c>
      <c r="O3" s="531" t="s">
        <v>2385</v>
      </c>
      <c r="P3" s="531" t="s">
        <v>215</v>
      </c>
      <c r="Q3" s="532" t="s">
        <v>216</v>
      </c>
      <c r="R3" s="532" t="s">
        <v>217</v>
      </c>
      <c r="S3" s="532" t="s">
        <v>218</v>
      </c>
      <c r="T3" s="531" t="s">
        <v>219</v>
      </c>
    </row>
    <row r="4" spans="1:20" s="383" customFormat="1" ht="15" customHeight="1">
      <c r="A4" s="76">
        <v>1</v>
      </c>
      <c r="B4" s="76" t="s">
        <v>220</v>
      </c>
      <c r="C4" s="1139" t="str">
        <f>IF(G4="Insurance Broker",E4,"")</f>
        <v>A2C</v>
      </c>
      <c r="D4" s="1139" t="str">
        <f>IF(G4="Insurance Broker","",E4)</f>
        <v/>
      </c>
      <c r="E4" s="69" t="s">
        <v>2386</v>
      </c>
      <c r="F4" s="69" t="s">
        <v>587</v>
      </c>
      <c r="G4" s="76" t="s">
        <v>221</v>
      </c>
      <c r="H4" s="76" t="s">
        <v>222</v>
      </c>
      <c r="I4" s="76" t="s">
        <v>223</v>
      </c>
      <c r="J4" s="76" t="s">
        <v>224</v>
      </c>
      <c r="K4" s="76" t="s">
        <v>225</v>
      </c>
      <c r="L4" s="76"/>
      <c r="M4" s="76" t="s">
        <v>226</v>
      </c>
      <c r="N4" s="76" t="s">
        <v>227</v>
      </c>
      <c r="O4" s="76" t="s">
        <v>2387</v>
      </c>
      <c r="P4" s="534">
        <v>0</v>
      </c>
      <c r="Q4" s="535"/>
      <c r="R4" s="534"/>
      <c r="S4" s="534"/>
      <c r="T4" s="76" t="s">
        <v>228</v>
      </c>
    </row>
    <row r="5" spans="1:20" s="383" customFormat="1" ht="15" customHeight="1">
      <c r="A5" s="494">
        <v>2</v>
      </c>
      <c r="B5" s="586"/>
      <c r="C5" s="1139" t="str">
        <f t="shared" ref="C5:C68" si="2">IF(G5="Insurance Broker",E5,"")</f>
        <v/>
      </c>
      <c r="D5" s="1139" t="str">
        <f t="shared" ref="D5:D68" si="3">IF(G5="Insurance Broker","",E5)</f>
        <v>A7rent</v>
      </c>
      <c r="E5" s="69" t="s">
        <v>1626</v>
      </c>
      <c r="F5" s="69" t="s">
        <v>1154</v>
      </c>
      <c r="G5" s="586" t="s">
        <v>95</v>
      </c>
      <c r="H5" s="69"/>
      <c r="I5" s="69"/>
      <c r="J5" s="69"/>
      <c r="K5" s="69"/>
      <c r="L5" s="69"/>
      <c r="M5" s="586"/>
      <c r="N5" s="494"/>
      <c r="O5" s="586" t="s">
        <v>2419</v>
      </c>
      <c r="P5" s="586"/>
      <c r="Q5" s="586"/>
      <c r="R5" s="538"/>
      <c r="S5" s="538"/>
      <c r="T5" s="586"/>
    </row>
    <row r="6" spans="1:20" s="383" customFormat="1" ht="15" customHeight="1">
      <c r="A6" s="494">
        <v>3</v>
      </c>
      <c r="B6" s="586"/>
      <c r="C6" s="1139" t="str">
        <f t="shared" si="2"/>
        <v/>
      </c>
      <c r="D6" s="1139" t="str">
        <f t="shared" si="3"/>
        <v>ABC Maritime</v>
      </c>
      <c r="E6" s="494" t="s">
        <v>1023</v>
      </c>
      <c r="F6" s="69" t="s">
        <v>1154</v>
      </c>
      <c r="G6" s="586" t="s">
        <v>95</v>
      </c>
      <c r="H6" s="539" t="s">
        <v>1024</v>
      </c>
      <c r="I6" s="494" t="s">
        <v>905</v>
      </c>
      <c r="J6" s="494" t="s">
        <v>605</v>
      </c>
      <c r="K6" s="586" t="s">
        <v>606</v>
      </c>
      <c r="L6" s="586"/>
      <c r="M6" s="586"/>
      <c r="N6" s="586"/>
      <c r="O6" s="586" t="s">
        <v>2419</v>
      </c>
      <c r="P6" s="586"/>
      <c r="Q6" s="586"/>
      <c r="R6" s="538"/>
      <c r="S6" s="538"/>
      <c r="T6" s="494"/>
    </row>
    <row r="7" spans="1:20" s="383" customFormat="1" ht="15" customHeight="1">
      <c r="A7" s="1130">
        <v>4</v>
      </c>
      <c r="B7" s="586"/>
      <c r="C7" s="1139" t="str">
        <f t="shared" si="2"/>
        <v/>
      </c>
      <c r="D7" s="1139" t="str">
        <f t="shared" si="3"/>
        <v>Adros Shipping Limited</v>
      </c>
      <c r="E7" s="586" t="s">
        <v>1720</v>
      </c>
      <c r="F7" s="69" t="s">
        <v>1154</v>
      </c>
      <c r="G7" s="586" t="s">
        <v>95</v>
      </c>
      <c r="H7" s="539"/>
      <c r="I7" s="494"/>
      <c r="J7" s="494"/>
      <c r="K7" s="586"/>
      <c r="L7" s="586"/>
      <c r="M7" s="586"/>
      <c r="N7" s="586"/>
      <c r="O7" s="586" t="s">
        <v>2419</v>
      </c>
      <c r="P7" s="586"/>
      <c r="Q7" s="586"/>
      <c r="R7" s="538"/>
      <c r="S7" s="538"/>
      <c r="T7" s="494"/>
    </row>
    <row r="8" spans="1:20" s="383" customFormat="1" ht="15" customHeight="1">
      <c r="A8" s="1129">
        <v>5</v>
      </c>
      <c r="B8" s="77" t="s">
        <v>229</v>
      </c>
      <c r="C8" s="1139" t="str">
        <f t="shared" si="2"/>
        <v>AFMA</v>
      </c>
      <c r="D8" s="1139" t="str">
        <f t="shared" si="3"/>
        <v/>
      </c>
      <c r="E8" s="69" t="s">
        <v>230</v>
      </c>
      <c r="F8" s="69" t="s">
        <v>587</v>
      </c>
      <c r="G8" s="76" t="s">
        <v>221</v>
      </c>
      <c r="H8" s="536" t="s">
        <v>231</v>
      </c>
      <c r="I8" s="537"/>
      <c r="J8" s="76" t="s">
        <v>232</v>
      </c>
      <c r="K8" s="76" t="s">
        <v>233</v>
      </c>
      <c r="L8" s="76"/>
      <c r="M8" s="76" t="s">
        <v>234</v>
      </c>
      <c r="N8" s="586" t="s">
        <v>235</v>
      </c>
      <c r="O8" s="76" t="s">
        <v>2387</v>
      </c>
      <c r="P8" s="534">
        <v>0.12</v>
      </c>
      <c r="Q8" s="535"/>
      <c r="R8" s="538"/>
      <c r="S8" s="538"/>
      <c r="T8" s="76"/>
    </row>
    <row r="9" spans="1:20" s="383" customFormat="1" ht="15" customHeight="1">
      <c r="A9" s="1129">
        <v>6</v>
      </c>
      <c r="B9" s="586"/>
      <c r="C9" s="1139" t="str">
        <f t="shared" si="2"/>
        <v/>
      </c>
      <c r="D9" s="1139" t="str">
        <f t="shared" si="3"/>
        <v>Alliance Yacht Management Ltd</v>
      </c>
      <c r="E9" s="586" t="s">
        <v>1517</v>
      </c>
      <c r="F9" s="69" t="s">
        <v>1154</v>
      </c>
      <c r="G9" s="586" t="s">
        <v>95</v>
      </c>
      <c r="H9" s="586" t="s">
        <v>1518</v>
      </c>
      <c r="I9" s="586" t="s">
        <v>1519</v>
      </c>
      <c r="J9" s="586" t="s">
        <v>1520</v>
      </c>
      <c r="K9" s="586" t="s">
        <v>1521</v>
      </c>
      <c r="L9" s="586"/>
      <c r="M9" s="586"/>
      <c r="N9" s="586"/>
      <c r="O9" s="586" t="s">
        <v>2419</v>
      </c>
      <c r="P9" s="586"/>
      <c r="Q9" s="586"/>
      <c r="R9" s="538"/>
      <c r="S9" s="538"/>
      <c r="T9" s="494"/>
    </row>
    <row r="10" spans="1:20" s="383" customFormat="1" ht="15" customHeight="1">
      <c r="A10" s="1130">
        <v>7</v>
      </c>
      <c r="B10" s="615"/>
      <c r="C10" s="1139" t="str">
        <f t="shared" si="2"/>
        <v>Allianz Franck LEBLANC</v>
      </c>
      <c r="D10" s="1139" t="str">
        <f t="shared" si="3"/>
        <v/>
      </c>
      <c r="E10" s="616" t="s">
        <v>2528</v>
      </c>
      <c r="F10" s="69" t="s">
        <v>587</v>
      </c>
      <c r="G10" s="628" t="s">
        <v>221</v>
      </c>
      <c r="H10" s="616" t="s">
        <v>2529</v>
      </c>
      <c r="I10" s="616" t="s">
        <v>329</v>
      </c>
      <c r="J10" s="616" t="s">
        <v>579</v>
      </c>
      <c r="K10" s="616" t="s">
        <v>225</v>
      </c>
      <c r="L10" s="615"/>
      <c r="M10" s="616" t="s">
        <v>2530</v>
      </c>
      <c r="N10" s="616" t="s">
        <v>2531</v>
      </c>
      <c r="O10" s="586" t="s">
        <v>2532</v>
      </c>
      <c r="P10" s="534">
        <v>0.12</v>
      </c>
      <c r="Q10" s="534">
        <v>0.12</v>
      </c>
      <c r="R10" s="615"/>
      <c r="S10" s="615"/>
      <c r="T10" s="615"/>
    </row>
    <row r="11" spans="1:20" s="383" customFormat="1" ht="15" customHeight="1">
      <c r="A11" s="1129">
        <v>8</v>
      </c>
      <c r="B11" s="626"/>
      <c r="C11" s="1139" t="str">
        <f t="shared" si="2"/>
        <v/>
      </c>
      <c r="D11" s="1139" t="str">
        <f t="shared" si="3"/>
        <v>Amiri fleet</v>
      </c>
      <c r="E11" s="494" t="s">
        <v>1569</v>
      </c>
      <c r="F11" s="69" t="s">
        <v>1154</v>
      </c>
      <c r="G11" s="626" t="s">
        <v>95</v>
      </c>
      <c r="H11" s="539"/>
      <c r="I11" s="494"/>
      <c r="J11" s="494"/>
      <c r="K11" s="626"/>
      <c r="L11" s="626"/>
      <c r="M11" s="626"/>
      <c r="N11" s="626"/>
      <c r="O11" s="626" t="s">
        <v>2419</v>
      </c>
      <c r="P11" s="626"/>
      <c r="Q11" s="626"/>
      <c r="R11" s="538"/>
      <c r="S11" s="538"/>
      <c r="T11" s="494"/>
    </row>
    <row r="12" spans="1:20" s="383" customFormat="1" ht="15" customHeight="1">
      <c r="A12" s="1129">
        <v>9</v>
      </c>
      <c r="B12" s="76" t="s">
        <v>236</v>
      </c>
      <c r="C12" s="1139" t="str">
        <f t="shared" si="2"/>
        <v>ANP</v>
      </c>
      <c r="D12" s="1139" t="str">
        <f t="shared" si="3"/>
        <v/>
      </c>
      <c r="E12" s="626" t="s">
        <v>1300</v>
      </c>
      <c r="F12" s="69" t="s">
        <v>587</v>
      </c>
      <c r="G12" s="76" t="s">
        <v>221</v>
      </c>
      <c r="H12" s="626" t="s">
        <v>1391</v>
      </c>
      <c r="I12" s="494" t="s">
        <v>237</v>
      </c>
      <c r="J12" s="494" t="s">
        <v>238</v>
      </c>
      <c r="K12" s="69" t="s">
        <v>53</v>
      </c>
      <c r="L12" s="69"/>
      <c r="M12" s="76" t="s">
        <v>239</v>
      </c>
      <c r="N12" s="628" t="s">
        <v>240</v>
      </c>
      <c r="O12" s="76" t="s">
        <v>2387</v>
      </c>
      <c r="P12" s="534">
        <v>0.15</v>
      </c>
      <c r="Q12" s="535"/>
      <c r="R12" s="534"/>
      <c r="S12" s="534"/>
      <c r="T12" s="494"/>
    </row>
    <row r="13" spans="1:20" s="383" customFormat="1" ht="15" customHeight="1">
      <c r="A13" s="1130">
        <v>10</v>
      </c>
      <c r="B13" s="76" t="s">
        <v>244</v>
      </c>
      <c r="C13" s="1139" t="str">
        <f t="shared" si="2"/>
        <v>April Marine</v>
      </c>
      <c r="D13" s="1139" t="str">
        <f t="shared" si="3"/>
        <v/>
      </c>
      <c r="E13" s="617" t="s">
        <v>623</v>
      </c>
      <c r="F13" s="69" t="s">
        <v>587</v>
      </c>
      <c r="G13" s="76" t="s">
        <v>221</v>
      </c>
      <c r="H13" s="539" t="s">
        <v>241</v>
      </c>
      <c r="I13" s="586" t="s">
        <v>242</v>
      </c>
      <c r="J13" s="586" t="s">
        <v>52</v>
      </c>
      <c r="K13" s="617" t="s">
        <v>53</v>
      </c>
      <c r="L13" s="617"/>
      <c r="M13" s="76" t="s">
        <v>2388</v>
      </c>
      <c r="N13" s="77" t="s">
        <v>243</v>
      </c>
      <c r="O13" s="76" t="s">
        <v>2387</v>
      </c>
      <c r="P13" s="534">
        <v>0.15</v>
      </c>
      <c r="Q13" s="538"/>
      <c r="R13" s="534"/>
      <c r="S13" s="534"/>
      <c r="T13" s="586"/>
    </row>
    <row r="14" spans="1:20" s="383" customFormat="1" ht="15" customHeight="1">
      <c r="A14" s="1129">
        <v>11</v>
      </c>
      <c r="B14" s="76" t="s">
        <v>245</v>
      </c>
      <c r="C14" s="1139" t="str">
        <f t="shared" si="2"/>
        <v>April Yacht</v>
      </c>
      <c r="D14" s="1139" t="str">
        <f t="shared" si="3"/>
        <v/>
      </c>
      <c r="E14" s="626" t="s">
        <v>246</v>
      </c>
      <c r="F14" s="69" t="s">
        <v>587</v>
      </c>
      <c r="G14" s="76" t="s">
        <v>221</v>
      </c>
      <c r="H14" s="540" t="s">
        <v>2389</v>
      </c>
      <c r="I14" s="626" t="s">
        <v>247</v>
      </c>
      <c r="J14" s="626" t="s">
        <v>1123</v>
      </c>
      <c r="K14" s="626" t="s">
        <v>1124</v>
      </c>
      <c r="L14" s="626"/>
      <c r="M14" s="76" t="s">
        <v>248</v>
      </c>
      <c r="N14" s="76" t="s">
        <v>249</v>
      </c>
      <c r="O14" s="628" t="s">
        <v>2387</v>
      </c>
      <c r="P14" s="534">
        <v>0.15</v>
      </c>
      <c r="Q14" s="535"/>
      <c r="R14" s="534"/>
      <c r="S14" s="534"/>
      <c r="T14" s="626"/>
    </row>
    <row r="15" spans="1:20" s="383" customFormat="1" ht="15" customHeight="1">
      <c r="A15" s="1129">
        <v>12</v>
      </c>
      <c r="B15" s="628" t="s">
        <v>250</v>
      </c>
      <c r="C15" s="1139" t="str">
        <f t="shared" si="2"/>
        <v/>
      </c>
      <c r="D15" s="1139" t="str">
        <f t="shared" si="3"/>
        <v>AquaMarine</v>
      </c>
      <c r="E15" s="628" t="s">
        <v>251</v>
      </c>
      <c r="F15" s="69" t="s">
        <v>1154</v>
      </c>
      <c r="G15" s="76" t="s">
        <v>95</v>
      </c>
      <c r="H15" s="628" t="s">
        <v>252</v>
      </c>
      <c r="I15" s="628" t="s">
        <v>253</v>
      </c>
      <c r="J15" s="628" t="s">
        <v>254</v>
      </c>
      <c r="K15" s="628" t="s">
        <v>225</v>
      </c>
      <c r="L15" s="628"/>
      <c r="M15" s="628" t="s">
        <v>255</v>
      </c>
      <c r="N15" s="628" t="s">
        <v>256</v>
      </c>
      <c r="O15" s="586" t="s">
        <v>2419</v>
      </c>
      <c r="P15" s="534">
        <v>0.08</v>
      </c>
      <c r="Q15" s="535"/>
      <c r="R15" s="538"/>
      <c r="S15" s="538"/>
      <c r="T15" s="628" t="s">
        <v>257</v>
      </c>
    </row>
    <row r="16" spans="1:20" s="383" customFormat="1" ht="15" customHeight="1">
      <c r="A16" s="1130">
        <v>13</v>
      </c>
      <c r="B16" s="626"/>
      <c r="C16" s="1139" t="str">
        <f t="shared" si="2"/>
        <v/>
      </c>
      <c r="D16" s="1139" t="str">
        <f t="shared" si="3"/>
        <v>Aquila Yachting</v>
      </c>
      <c r="E16" s="626" t="s">
        <v>1666</v>
      </c>
      <c r="F16" s="69" t="s">
        <v>1154</v>
      </c>
      <c r="G16" s="76" t="s">
        <v>95</v>
      </c>
      <c r="H16" s="626" t="s">
        <v>1667</v>
      </c>
      <c r="I16" s="626" t="s">
        <v>1668</v>
      </c>
      <c r="J16" s="626" t="s">
        <v>1669</v>
      </c>
      <c r="K16" s="626" t="s">
        <v>53</v>
      </c>
      <c r="L16" s="626"/>
      <c r="M16" s="626"/>
      <c r="N16" s="626"/>
      <c r="O16" s="626" t="s">
        <v>2419</v>
      </c>
      <c r="P16" s="626"/>
      <c r="Q16" s="626"/>
      <c r="R16" s="538"/>
      <c r="S16" s="538"/>
      <c r="T16" s="586"/>
    </row>
    <row r="17" spans="1:20" s="383" customFormat="1" ht="15" customHeight="1">
      <c r="A17" s="1129">
        <v>14</v>
      </c>
      <c r="B17" s="76" t="s">
        <v>258</v>
      </c>
      <c r="C17" s="1139" t="str">
        <f t="shared" si="2"/>
        <v>ASCOMA MARITIME FRANCE</v>
      </c>
      <c r="D17" s="1139" t="str">
        <f t="shared" si="3"/>
        <v/>
      </c>
      <c r="E17" s="76" t="s">
        <v>259</v>
      </c>
      <c r="F17" s="69" t="s">
        <v>587</v>
      </c>
      <c r="G17" s="76" t="s">
        <v>221</v>
      </c>
      <c r="H17" s="76" t="s">
        <v>260</v>
      </c>
      <c r="I17" s="76" t="s">
        <v>261</v>
      </c>
      <c r="J17" s="76" t="s">
        <v>262</v>
      </c>
      <c r="K17" s="76" t="s">
        <v>225</v>
      </c>
      <c r="L17" s="76"/>
      <c r="M17" s="76" t="s">
        <v>263</v>
      </c>
      <c r="N17" s="76" t="s">
        <v>264</v>
      </c>
      <c r="O17" s="76" t="s">
        <v>2387</v>
      </c>
      <c r="P17" s="534">
        <v>0.15</v>
      </c>
      <c r="Q17" s="535"/>
      <c r="R17" s="534"/>
      <c r="S17" s="534"/>
      <c r="T17" s="626"/>
    </row>
    <row r="18" spans="1:20" s="383" customFormat="1" ht="15" customHeight="1">
      <c r="A18" s="1129">
        <v>15</v>
      </c>
      <c r="B18" s="76" t="s">
        <v>265</v>
      </c>
      <c r="C18" s="1139" t="str">
        <f t="shared" si="2"/>
        <v>ASCOMA MARITIME MONACO</v>
      </c>
      <c r="D18" s="1139" t="str">
        <f t="shared" si="3"/>
        <v/>
      </c>
      <c r="E18" s="628" t="s">
        <v>266</v>
      </c>
      <c r="F18" s="69" t="s">
        <v>587</v>
      </c>
      <c r="G18" s="76" t="s">
        <v>221</v>
      </c>
      <c r="H18" s="628" t="s">
        <v>267</v>
      </c>
      <c r="I18" s="628" t="s">
        <v>268</v>
      </c>
      <c r="J18" s="628" t="s">
        <v>269</v>
      </c>
      <c r="K18" s="628" t="s">
        <v>269</v>
      </c>
      <c r="L18" s="628"/>
      <c r="M18" s="76" t="s">
        <v>270</v>
      </c>
      <c r="N18" s="76" t="s">
        <v>271</v>
      </c>
      <c r="O18" s="76" t="s">
        <v>2387</v>
      </c>
      <c r="P18" s="534">
        <v>0.15</v>
      </c>
      <c r="Q18" s="535"/>
      <c r="R18" s="534"/>
      <c r="S18" s="534"/>
      <c r="T18" s="628" t="s">
        <v>272</v>
      </c>
    </row>
    <row r="19" spans="1:20" s="383" customFormat="1" ht="15" customHeight="1">
      <c r="A19" s="1130">
        <v>16</v>
      </c>
      <c r="B19" s="1129"/>
      <c r="C19" s="1139" t="str">
        <f t="shared" si="2"/>
        <v>ASN One SA</v>
      </c>
      <c r="D19" s="1139" t="str">
        <f t="shared" si="3"/>
        <v/>
      </c>
      <c r="E19" s="1130" t="s">
        <v>2785</v>
      </c>
      <c r="F19" s="69" t="s">
        <v>587</v>
      </c>
      <c r="G19" s="1129" t="s">
        <v>221</v>
      </c>
      <c r="H19" s="539" t="s">
        <v>2786</v>
      </c>
      <c r="I19" s="494">
        <v>1204</v>
      </c>
      <c r="J19" s="494" t="s">
        <v>2787</v>
      </c>
      <c r="K19" s="626" t="s">
        <v>1055</v>
      </c>
      <c r="L19" s="626"/>
      <c r="M19" s="1129"/>
      <c r="N19" s="1129"/>
      <c r="O19" s="1129"/>
      <c r="P19" s="1129"/>
      <c r="Q19" s="1129"/>
      <c r="R19" s="538"/>
      <c r="S19" s="538"/>
      <c r="T19" s="494"/>
    </row>
    <row r="20" spans="1:20" s="383" customFormat="1" ht="15" customHeight="1">
      <c r="A20" s="1129">
        <v>17</v>
      </c>
      <c r="B20" s="628" t="s">
        <v>273</v>
      </c>
      <c r="C20" s="1139" t="str">
        <f t="shared" si="2"/>
        <v xml:space="preserve">Assicurazioni Pagnamenta Insurance Broker SA </v>
      </c>
      <c r="D20" s="1139" t="str">
        <f t="shared" si="3"/>
        <v/>
      </c>
      <c r="E20" s="1129" t="s">
        <v>1004</v>
      </c>
      <c r="F20" s="69" t="s">
        <v>587</v>
      </c>
      <c r="G20" s="76" t="s">
        <v>221</v>
      </c>
      <c r="H20" s="540" t="s">
        <v>1005</v>
      </c>
      <c r="I20" s="626" t="s">
        <v>2390</v>
      </c>
      <c r="J20" s="626" t="s">
        <v>274</v>
      </c>
      <c r="K20" s="1129" t="s">
        <v>1055</v>
      </c>
      <c r="L20" s="1129"/>
      <c r="M20" s="76" t="s">
        <v>276</v>
      </c>
      <c r="N20" s="76" t="s">
        <v>277</v>
      </c>
      <c r="O20" s="76" t="s">
        <v>2387</v>
      </c>
      <c r="P20" s="535">
        <v>0.12</v>
      </c>
      <c r="Q20" s="535"/>
      <c r="R20" s="534"/>
      <c r="S20" s="534"/>
      <c r="T20" s="626"/>
    </row>
    <row r="21" spans="1:20" s="383" customFormat="1" ht="15" customHeight="1">
      <c r="A21" s="1129">
        <v>18</v>
      </c>
      <c r="B21" s="1130"/>
      <c r="C21" s="1139" t="str">
        <f t="shared" si="2"/>
        <v>Aviation Insurance Brokers</v>
      </c>
      <c r="D21" s="1139" t="str">
        <f t="shared" si="3"/>
        <v/>
      </c>
      <c r="E21" s="1126" t="s">
        <v>845</v>
      </c>
      <c r="F21" s="69" t="s">
        <v>587</v>
      </c>
      <c r="G21" s="76" t="s">
        <v>221</v>
      </c>
      <c r="H21" s="539"/>
      <c r="I21" s="1129" t="s">
        <v>846</v>
      </c>
      <c r="J21" s="1129" t="s">
        <v>396</v>
      </c>
      <c r="K21" s="1126" t="s">
        <v>606</v>
      </c>
      <c r="L21" s="1126"/>
      <c r="M21" s="76"/>
      <c r="N21" s="628"/>
      <c r="O21" s="76" t="s">
        <v>2387</v>
      </c>
      <c r="P21" s="535">
        <v>0</v>
      </c>
      <c r="Q21" s="535"/>
      <c r="R21" s="534"/>
      <c r="S21" s="534"/>
      <c r="T21" s="1129"/>
    </row>
    <row r="22" spans="1:20" s="383" customFormat="1" ht="15" customHeight="1">
      <c r="A22" s="1130">
        <v>19</v>
      </c>
      <c r="B22" s="652" t="s">
        <v>278</v>
      </c>
      <c r="C22" s="1139" t="str">
        <f t="shared" si="2"/>
        <v xml:space="preserve">AXA Agences Dumesnil </v>
      </c>
      <c r="D22" s="1139" t="str">
        <f t="shared" si="3"/>
        <v/>
      </c>
      <c r="E22" s="76" t="s">
        <v>279</v>
      </c>
      <c r="F22" s="69" t="s">
        <v>587</v>
      </c>
      <c r="G22" s="76" t="s">
        <v>221</v>
      </c>
      <c r="H22" s="1130" t="s">
        <v>280</v>
      </c>
      <c r="I22" s="76" t="s">
        <v>329</v>
      </c>
      <c r="J22" s="76" t="s">
        <v>281</v>
      </c>
      <c r="K22" s="76" t="s">
        <v>225</v>
      </c>
      <c r="L22" s="76"/>
      <c r="M22" s="628" t="s">
        <v>282</v>
      </c>
      <c r="N22" s="1130"/>
      <c r="O22" s="76" t="s">
        <v>2387</v>
      </c>
      <c r="P22" s="534">
        <v>0.15</v>
      </c>
      <c r="Q22" s="535"/>
      <c r="R22" s="538"/>
      <c r="S22" s="538"/>
      <c r="T22" s="1130"/>
    </row>
    <row r="23" spans="1:20" s="383" customFormat="1" ht="15" customHeight="1">
      <c r="A23" s="1129">
        <v>20</v>
      </c>
      <c r="B23" s="1129"/>
      <c r="C23" s="1139" t="str">
        <f t="shared" si="2"/>
        <v>AXA Agences Mm Maestracci Et Tauleigne</v>
      </c>
      <c r="D23" s="1139" t="str">
        <f t="shared" si="3"/>
        <v/>
      </c>
      <c r="E23" s="628" t="s">
        <v>2391</v>
      </c>
      <c r="F23" s="69" t="s">
        <v>587</v>
      </c>
      <c r="G23" s="76" t="s">
        <v>221</v>
      </c>
      <c r="H23" s="541" t="s">
        <v>2392</v>
      </c>
      <c r="I23" s="628" t="s">
        <v>2393</v>
      </c>
      <c r="J23" s="628" t="s">
        <v>2394</v>
      </c>
      <c r="K23" s="628" t="s">
        <v>53</v>
      </c>
      <c r="L23" s="628"/>
      <c r="M23" s="1130" t="s">
        <v>2395</v>
      </c>
      <c r="N23" s="1129"/>
      <c r="O23" s="76" t="s">
        <v>2387</v>
      </c>
      <c r="P23" s="534">
        <v>0.12</v>
      </c>
      <c r="Q23" s="534">
        <v>0.12</v>
      </c>
      <c r="R23" s="538"/>
      <c r="S23" s="538"/>
      <c r="T23" s="1129"/>
    </row>
    <row r="24" spans="1:20" s="383" customFormat="1" ht="15" customHeight="1">
      <c r="A24" s="1129">
        <v>21</v>
      </c>
      <c r="B24" s="542" t="s">
        <v>283</v>
      </c>
      <c r="C24" s="1139" t="str">
        <f t="shared" si="2"/>
        <v>AXA Insurance Gulf BSC</v>
      </c>
      <c r="D24" s="1139" t="str">
        <f t="shared" si="3"/>
        <v/>
      </c>
      <c r="E24" s="1130" t="s">
        <v>284</v>
      </c>
      <c r="F24" s="69" t="s">
        <v>587</v>
      </c>
      <c r="G24" s="76" t="s">
        <v>221</v>
      </c>
      <c r="H24" s="1130" t="s">
        <v>285</v>
      </c>
      <c r="I24" s="1130" t="s">
        <v>286</v>
      </c>
      <c r="J24" s="1130" t="s">
        <v>287</v>
      </c>
      <c r="K24" s="1130" t="s">
        <v>288</v>
      </c>
      <c r="L24" s="1130"/>
      <c r="M24" s="77"/>
      <c r="N24" s="77"/>
      <c r="O24" s="76" t="s">
        <v>2387</v>
      </c>
      <c r="P24" s="534">
        <v>0.1</v>
      </c>
      <c r="Q24" s="538"/>
      <c r="R24" s="538"/>
      <c r="S24" s="538"/>
      <c r="T24" s="77"/>
    </row>
    <row r="25" spans="1:20" s="383" customFormat="1" ht="15" customHeight="1">
      <c r="A25" s="1130">
        <v>22</v>
      </c>
      <c r="B25" s="542"/>
      <c r="C25" s="1139" t="str">
        <f t="shared" si="2"/>
        <v>AXA LE VACON Michel et  KERMALI Dalida</v>
      </c>
      <c r="D25" s="1139" t="str">
        <f t="shared" si="3"/>
        <v/>
      </c>
      <c r="E25" s="626" t="s">
        <v>914</v>
      </c>
      <c r="F25" s="69" t="s">
        <v>587</v>
      </c>
      <c r="G25" s="76" t="s">
        <v>221</v>
      </c>
      <c r="H25" s="539" t="s">
        <v>566</v>
      </c>
      <c r="I25" s="1129" t="s">
        <v>915</v>
      </c>
      <c r="J25" s="1129" t="s">
        <v>377</v>
      </c>
      <c r="K25" s="1129" t="s">
        <v>53</v>
      </c>
      <c r="L25" s="1129"/>
      <c r="M25" s="652"/>
      <c r="N25" s="652"/>
      <c r="O25" s="628" t="s">
        <v>2387</v>
      </c>
      <c r="P25" s="534">
        <v>0.12</v>
      </c>
      <c r="Q25" s="538"/>
      <c r="R25" s="538"/>
      <c r="S25" s="538"/>
      <c r="T25" s="652"/>
    </row>
    <row r="26" spans="1:20" s="383" customFormat="1" ht="15" customHeight="1">
      <c r="A26" s="1129">
        <v>23</v>
      </c>
      <c r="B26" s="586"/>
      <c r="C26" s="1139" t="str">
        <f t="shared" si="2"/>
        <v>AXA Yachting Solutions</v>
      </c>
      <c r="D26" s="1139" t="str">
        <f t="shared" si="3"/>
        <v/>
      </c>
      <c r="E26" s="1129" t="s">
        <v>289</v>
      </c>
      <c r="F26" s="69" t="s">
        <v>587</v>
      </c>
      <c r="G26" s="76" t="s">
        <v>221</v>
      </c>
      <c r="H26" s="541" t="s">
        <v>290</v>
      </c>
      <c r="I26" s="1130" t="s">
        <v>291</v>
      </c>
      <c r="J26" s="1130" t="s">
        <v>292</v>
      </c>
      <c r="K26" s="1130" t="s">
        <v>53</v>
      </c>
      <c r="L26" s="1130"/>
      <c r="M26" s="76" t="s">
        <v>293</v>
      </c>
      <c r="N26" s="586" t="s">
        <v>294</v>
      </c>
      <c r="O26" s="1130" t="s">
        <v>2387</v>
      </c>
      <c r="P26" s="534">
        <v>0.15</v>
      </c>
      <c r="Q26" s="534"/>
      <c r="R26" s="534"/>
      <c r="S26" s="534"/>
      <c r="T26" s="494"/>
    </row>
    <row r="27" spans="1:20" s="383" customFormat="1" ht="15" customHeight="1">
      <c r="A27" s="1129">
        <v>24</v>
      </c>
      <c r="B27" s="494"/>
      <c r="C27" s="1139" t="str">
        <f t="shared" si="2"/>
        <v/>
      </c>
      <c r="D27" s="1139" t="str">
        <f t="shared" si="3"/>
        <v>Bachmann Marine</v>
      </c>
      <c r="E27" s="1126" t="s">
        <v>1555</v>
      </c>
      <c r="F27" s="69" t="s">
        <v>1154</v>
      </c>
      <c r="G27" s="76" t="s">
        <v>95</v>
      </c>
      <c r="H27" s="1126" t="s">
        <v>1556</v>
      </c>
      <c r="I27" s="1126" t="s">
        <v>1091</v>
      </c>
      <c r="J27" s="1126" t="s">
        <v>1557</v>
      </c>
      <c r="K27" s="1126" t="s">
        <v>53</v>
      </c>
      <c r="L27" s="1126"/>
      <c r="M27" s="76"/>
      <c r="N27" s="586"/>
      <c r="O27" s="1129" t="s">
        <v>2419</v>
      </c>
      <c r="P27" s="534"/>
      <c r="Q27" s="534"/>
      <c r="R27" s="534"/>
      <c r="S27" s="534"/>
      <c r="T27" s="586"/>
    </row>
    <row r="28" spans="1:20" s="383" customFormat="1" ht="15" customHeight="1">
      <c r="A28" s="1130">
        <v>25</v>
      </c>
      <c r="B28" s="586"/>
      <c r="C28" s="1139" t="str">
        <f t="shared" si="2"/>
        <v>BDJ</v>
      </c>
      <c r="D28" s="1139" t="str">
        <f t="shared" si="3"/>
        <v/>
      </c>
      <c r="E28" s="1130" t="s">
        <v>2396</v>
      </c>
      <c r="F28" s="69" t="s">
        <v>587</v>
      </c>
      <c r="G28" s="628" t="s">
        <v>221</v>
      </c>
      <c r="H28" s="1130" t="s">
        <v>2397</v>
      </c>
      <c r="I28" s="1130" t="s">
        <v>2398</v>
      </c>
      <c r="J28" s="1130" t="s">
        <v>2399</v>
      </c>
      <c r="K28" s="1130" t="s">
        <v>225</v>
      </c>
      <c r="L28" s="1130"/>
      <c r="M28" s="628" t="s">
        <v>2400</v>
      </c>
      <c r="N28" s="586"/>
      <c r="O28" s="628" t="s">
        <v>2387</v>
      </c>
      <c r="P28" s="534">
        <v>0.12</v>
      </c>
      <c r="Q28" s="534"/>
      <c r="R28" s="534"/>
      <c r="S28" s="534"/>
      <c r="T28" s="586"/>
    </row>
    <row r="29" spans="1:20" s="383" customFormat="1" ht="15" customHeight="1">
      <c r="A29" s="1129">
        <v>26</v>
      </c>
      <c r="B29" s="494"/>
      <c r="C29" s="1139" t="str">
        <f t="shared" si="2"/>
        <v>BELGIBO NV</v>
      </c>
      <c r="D29" s="1139" t="str">
        <f t="shared" si="3"/>
        <v/>
      </c>
      <c r="E29" s="1126" t="s">
        <v>886</v>
      </c>
      <c r="F29" s="69" t="s">
        <v>587</v>
      </c>
      <c r="G29" s="1130" t="s">
        <v>221</v>
      </c>
      <c r="H29" s="540" t="s">
        <v>887</v>
      </c>
      <c r="I29" s="586" t="s">
        <v>888</v>
      </c>
      <c r="J29" s="586" t="s">
        <v>889</v>
      </c>
      <c r="K29" s="1126" t="s">
        <v>890</v>
      </c>
      <c r="L29" s="1126"/>
      <c r="M29" s="1130"/>
      <c r="N29" s="586"/>
      <c r="O29" s="1130" t="s">
        <v>2387</v>
      </c>
      <c r="P29" s="534">
        <v>0.12</v>
      </c>
      <c r="Q29" s="534">
        <v>0.12</v>
      </c>
      <c r="R29" s="534"/>
      <c r="S29" s="534"/>
      <c r="T29" s="586"/>
    </row>
    <row r="30" spans="1:20" s="383" customFormat="1" ht="15" customHeight="1">
      <c r="A30" s="1129">
        <v>27</v>
      </c>
      <c r="B30" s="586"/>
      <c r="C30" s="1139" t="str">
        <f t="shared" si="2"/>
        <v/>
      </c>
      <c r="D30" s="1139" t="str">
        <f t="shared" si="3"/>
        <v>BLACK DIAMOND LTD</v>
      </c>
      <c r="E30" s="586" t="s">
        <v>1629</v>
      </c>
      <c r="F30" s="69" t="s">
        <v>1154</v>
      </c>
      <c r="G30" s="586" t="s">
        <v>95</v>
      </c>
      <c r="H30" s="1129"/>
      <c r="I30" s="586"/>
      <c r="J30" s="586"/>
      <c r="K30" s="586"/>
      <c r="L30" s="586"/>
      <c r="M30" s="586"/>
      <c r="N30" s="586"/>
      <c r="O30" s="586" t="s">
        <v>2419</v>
      </c>
      <c r="P30" s="586"/>
      <c r="Q30" s="586"/>
      <c r="R30" s="538"/>
      <c r="S30" s="538"/>
      <c r="T30" s="586"/>
    </row>
    <row r="31" spans="1:20" s="383" customFormat="1" ht="15" customHeight="1">
      <c r="A31" s="1130">
        <v>28</v>
      </c>
      <c r="B31" s="586"/>
      <c r="C31" s="1139" t="str">
        <f t="shared" si="2"/>
        <v/>
      </c>
      <c r="D31" s="1139" t="str">
        <f t="shared" si="3"/>
        <v>Bluepin Ltd-A and A</v>
      </c>
      <c r="E31" s="586" t="s">
        <v>1341</v>
      </c>
      <c r="F31" s="69" t="s">
        <v>1154</v>
      </c>
      <c r="G31" s="586" t="s">
        <v>95</v>
      </c>
      <c r="H31" s="539" t="s">
        <v>2420</v>
      </c>
      <c r="I31" s="586"/>
      <c r="J31" s="586" t="s">
        <v>2421</v>
      </c>
      <c r="K31" s="586" t="s">
        <v>1722</v>
      </c>
      <c r="L31" s="586"/>
      <c r="M31" s="586"/>
      <c r="N31" s="586"/>
      <c r="O31" s="586" t="s">
        <v>2419</v>
      </c>
      <c r="P31" s="586"/>
      <c r="Q31" s="586"/>
      <c r="R31" s="538"/>
      <c r="S31" s="538"/>
      <c r="T31" s="494"/>
    </row>
    <row r="32" spans="1:20" s="383" customFormat="1" ht="15" customHeight="1">
      <c r="A32" s="1129">
        <v>29</v>
      </c>
      <c r="B32" s="626"/>
      <c r="C32" s="1139" t="str">
        <f t="shared" si="2"/>
        <v/>
      </c>
      <c r="D32" s="1139" t="str">
        <f t="shared" si="3"/>
        <v>BLUEWIN</v>
      </c>
      <c r="E32" s="626" t="s">
        <v>1211</v>
      </c>
      <c r="F32" s="69" t="s">
        <v>1154</v>
      </c>
      <c r="G32" s="626" t="s">
        <v>95</v>
      </c>
      <c r="H32" s="626"/>
      <c r="I32" s="586"/>
      <c r="J32" s="626"/>
      <c r="K32" s="586"/>
      <c r="L32" s="586"/>
      <c r="M32" s="626"/>
      <c r="N32" s="626"/>
      <c r="O32" s="586" t="s">
        <v>2419</v>
      </c>
      <c r="P32" s="626"/>
      <c r="Q32" s="626"/>
      <c r="R32" s="538"/>
      <c r="S32" s="538"/>
      <c r="T32" s="494"/>
    </row>
    <row r="33" spans="1:20" s="383" customFormat="1" ht="15" customHeight="1">
      <c r="A33" s="1129">
        <v>30</v>
      </c>
      <c r="B33" s="1129"/>
      <c r="C33" s="1139" t="str">
        <f t="shared" si="2"/>
        <v/>
      </c>
      <c r="D33" s="1139" t="str">
        <f t="shared" si="3"/>
        <v>Blush Yachting Ltd</v>
      </c>
      <c r="E33" s="1129" t="s">
        <v>1601</v>
      </c>
      <c r="F33" s="69" t="s">
        <v>1154</v>
      </c>
      <c r="G33" s="1129" t="s">
        <v>95</v>
      </c>
      <c r="H33" s="1129"/>
      <c r="I33" s="586"/>
      <c r="J33" s="1129"/>
      <c r="K33" s="586"/>
      <c r="L33" s="586"/>
      <c r="M33" s="1129"/>
      <c r="N33" s="1129"/>
      <c r="O33" s="586" t="s">
        <v>2419</v>
      </c>
      <c r="P33" s="1129"/>
      <c r="Q33" s="1129"/>
      <c r="R33" s="538"/>
      <c r="S33" s="538"/>
      <c r="T33" s="494"/>
    </row>
    <row r="34" spans="1:20" s="383" customFormat="1" ht="15" customHeight="1">
      <c r="A34" s="1130">
        <v>31</v>
      </c>
      <c r="B34" s="834"/>
      <c r="C34" s="1139" t="str">
        <f t="shared" si="2"/>
        <v/>
      </c>
      <c r="D34" s="1139" t="str">
        <f t="shared" si="3"/>
        <v>BOAT'in France</v>
      </c>
      <c r="E34" s="586" t="s">
        <v>2623</v>
      </c>
      <c r="F34" s="69" t="s">
        <v>1154</v>
      </c>
      <c r="G34" s="1129" t="s">
        <v>95</v>
      </c>
      <c r="H34" s="539" t="s">
        <v>2624</v>
      </c>
      <c r="I34" s="586" t="s">
        <v>2625</v>
      </c>
      <c r="J34" s="586" t="s">
        <v>2626</v>
      </c>
      <c r="K34" s="626" t="s">
        <v>53</v>
      </c>
      <c r="L34" s="1072"/>
      <c r="M34" s="1129" t="s">
        <v>2627</v>
      </c>
      <c r="N34" s="1072"/>
      <c r="O34" s="586" t="s">
        <v>2419</v>
      </c>
      <c r="P34" s="1072"/>
      <c r="Q34" s="1072"/>
      <c r="R34" s="1072"/>
      <c r="S34" s="1072"/>
      <c r="T34" s="1072"/>
    </row>
    <row r="35" spans="1:20" s="383" customFormat="1" ht="15" customHeight="1">
      <c r="A35" s="1129">
        <v>32</v>
      </c>
      <c r="B35" s="542" t="s">
        <v>295</v>
      </c>
      <c r="C35" s="1139" t="str">
        <f t="shared" si="2"/>
        <v/>
      </c>
      <c r="D35" s="1139" t="str">
        <f t="shared" si="3"/>
        <v xml:space="preserve">BOATTRUST </v>
      </c>
      <c r="E35" s="1130" t="s">
        <v>296</v>
      </c>
      <c r="F35" s="69" t="s">
        <v>1154</v>
      </c>
      <c r="G35" s="628" t="s">
        <v>95</v>
      </c>
      <c r="H35" s="539" t="s">
        <v>1507</v>
      </c>
      <c r="I35" s="586" t="s">
        <v>1723</v>
      </c>
      <c r="J35" s="546" t="s">
        <v>1442</v>
      </c>
      <c r="K35" s="1129" t="s">
        <v>1538</v>
      </c>
      <c r="L35" s="1129"/>
      <c r="M35" s="77" t="s">
        <v>298</v>
      </c>
      <c r="N35" s="77"/>
      <c r="O35" s="586" t="s">
        <v>2419</v>
      </c>
      <c r="P35" s="534">
        <v>0.08</v>
      </c>
      <c r="Q35" s="538"/>
      <c r="R35" s="538"/>
      <c r="S35" s="538"/>
      <c r="T35" s="494"/>
    </row>
    <row r="36" spans="1:20" s="383" customFormat="1" ht="15" customHeight="1">
      <c r="A36" s="1129">
        <v>33</v>
      </c>
      <c r="B36" s="542"/>
      <c r="C36" s="1139" t="str">
        <f t="shared" si="2"/>
        <v/>
      </c>
      <c r="D36" s="1139" t="str">
        <f t="shared" si="3"/>
        <v>BOURBON GROUP</v>
      </c>
      <c r="E36" s="626" t="s">
        <v>629</v>
      </c>
      <c r="F36" s="69" t="s">
        <v>1154</v>
      </c>
      <c r="G36" s="1130" t="s">
        <v>95</v>
      </c>
      <c r="H36" s="539" t="s">
        <v>755</v>
      </c>
      <c r="I36" s="626" t="s">
        <v>905</v>
      </c>
      <c r="J36" s="626" t="s">
        <v>756</v>
      </c>
      <c r="K36" s="626" t="s">
        <v>1055</v>
      </c>
      <c r="L36" s="626"/>
      <c r="M36" s="652"/>
      <c r="N36" s="652"/>
      <c r="O36" s="586" t="s">
        <v>2419</v>
      </c>
      <c r="P36" s="534"/>
      <c r="Q36" s="538"/>
      <c r="R36" s="538"/>
      <c r="S36" s="538"/>
      <c r="T36" s="494"/>
    </row>
    <row r="37" spans="1:20" s="383" customFormat="1" ht="15" customHeight="1">
      <c r="A37" s="1130">
        <v>34</v>
      </c>
      <c r="B37" s="542"/>
      <c r="C37" s="1139" t="str">
        <f t="shared" si="2"/>
        <v/>
      </c>
      <c r="D37" s="1139" t="str">
        <f t="shared" si="3"/>
        <v>BOURBON GROUP</v>
      </c>
      <c r="E37" s="1129" t="s">
        <v>629</v>
      </c>
      <c r="F37" s="69" t="s">
        <v>1154</v>
      </c>
      <c r="G37" s="628" t="s">
        <v>95</v>
      </c>
      <c r="H37" s="539" t="s">
        <v>680</v>
      </c>
      <c r="I37" s="1129" t="s">
        <v>681</v>
      </c>
      <c r="J37" s="1129" t="s">
        <v>238</v>
      </c>
      <c r="K37" s="1126" t="s">
        <v>53</v>
      </c>
      <c r="L37" s="1126"/>
      <c r="M37" s="652"/>
      <c r="N37" s="652"/>
      <c r="O37" s="586" t="s">
        <v>2419</v>
      </c>
      <c r="P37" s="534"/>
      <c r="Q37" s="538"/>
      <c r="R37" s="538"/>
      <c r="S37" s="538"/>
      <c r="T37" s="626"/>
    </row>
    <row r="38" spans="1:20" s="383" customFormat="1" ht="15" customHeight="1">
      <c r="A38" s="1129">
        <v>35</v>
      </c>
      <c r="B38" s="494"/>
      <c r="C38" s="1139" t="str">
        <f t="shared" si="2"/>
        <v/>
      </c>
      <c r="D38" s="1139" t="str">
        <f t="shared" si="3"/>
        <v>Bourbon Offshore Greenmar</v>
      </c>
      <c r="E38" s="586" t="s">
        <v>754</v>
      </c>
      <c r="F38" s="69" t="s">
        <v>1154</v>
      </c>
      <c r="G38" s="586" t="s">
        <v>95</v>
      </c>
      <c r="H38" s="539" t="s">
        <v>755</v>
      </c>
      <c r="I38" s="586" t="s">
        <v>905</v>
      </c>
      <c r="J38" s="586" t="s">
        <v>756</v>
      </c>
      <c r="K38" s="586" t="s">
        <v>1055</v>
      </c>
      <c r="L38" s="586"/>
      <c r="M38" s="1129"/>
      <c r="N38" s="1129"/>
      <c r="O38" s="586" t="s">
        <v>2419</v>
      </c>
      <c r="P38" s="1129"/>
      <c r="Q38" s="1129"/>
      <c r="R38" s="538"/>
      <c r="S38" s="538"/>
      <c r="T38" s="1129"/>
    </row>
    <row r="39" spans="1:20" s="383" customFormat="1" ht="15" customHeight="1">
      <c r="A39" s="1129">
        <v>36</v>
      </c>
      <c r="B39" s="1130" t="s">
        <v>299</v>
      </c>
      <c r="C39" s="1139" t="str">
        <f t="shared" si="2"/>
        <v/>
      </c>
      <c r="D39" s="1139" t="str">
        <f t="shared" si="3"/>
        <v>Burgess</v>
      </c>
      <c r="E39" s="1130" t="s">
        <v>300</v>
      </c>
      <c r="F39" s="69" t="s">
        <v>1154</v>
      </c>
      <c r="G39" s="1130" t="s">
        <v>95</v>
      </c>
      <c r="H39" s="1130" t="s">
        <v>301</v>
      </c>
      <c r="I39" s="1130" t="s">
        <v>268</v>
      </c>
      <c r="J39" s="1130" t="s">
        <v>269</v>
      </c>
      <c r="K39" s="1130" t="s">
        <v>269</v>
      </c>
      <c r="L39" s="1130"/>
      <c r="M39" s="1130" t="s">
        <v>302</v>
      </c>
      <c r="N39" s="1130"/>
      <c r="O39" s="586" t="s">
        <v>2419</v>
      </c>
      <c r="P39" s="543">
        <v>0</v>
      </c>
      <c r="Q39" s="535"/>
      <c r="R39" s="534"/>
      <c r="S39" s="534"/>
      <c r="T39" s="586"/>
    </row>
    <row r="40" spans="1:20" s="383" customFormat="1" ht="15" customHeight="1">
      <c r="A40" s="1130">
        <v>37</v>
      </c>
      <c r="B40" s="494"/>
      <c r="C40" s="1139" t="str">
        <f t="shared" si="2"/>
        <v/>
      </c>
      <c r="D40" s="1139" t="str">
        <f t="shared" si="3"/>
        <v>C314 Management</v>
      </c>
      <c r="E40" s="586" t="s">
        <v>1350</v>
      </c>
      <c r="F40" s="69" t="s">
        <v>1154</v>
      </c>
      <c r="G40" s="586" t="s">
        <v>95</v>
      </c>
      <c r="H40" s="75" t="s">
        <v>1351</v>
      </c>
      <c r="I40" s="586" t="s">
        <v>237</v>
      </c>
      <c r="J40" s="586" t="s">
        <v>238</v>
      </c>
      <c r="K40" s="586"/>
      <c r="L40" s="586"/>
      <c r="M40" s="833"/>
      <c r="N40" s="833"/>
      <c r="O40" s="586" t="s">
        <v>2419</v>
      </c>
      <c r="P40" s="833"/>
      <c r="Q40" s="833"/>
      <c r="R40" s="833"/>
      <c r="S40" s="833"/>
      <c r="T40" s="833"/>
    </row>
    <row r="41" spans="1:20" s="383" customFormat="1" ht="15" customHeight="1">
      <c r="A41" s="1129">
        <v>38</v>
      </c>
      <c r="B41" s="586"/>
      <c r="C41" s="1139" t="str">
        <f t="shared" si="2"/>
        <v/>
      </c>
      <c r="D41" s="1139" t="str">
        <f t="shared" si="3"/>
        <v>Camper &amp; Nicholson</v>
      </c>
      <c r="E41" s="586" t="s">
        <v>1180</v>
      </c>
      <c r="F41" s="69" t="s">
        <v>1154</v>
      </c>
      <c r="G41" s="586" t="s">
        <v>95</v>
      </c>
      <c r="H41" s="539" t="s">
        <v>1181</v>
      </c>
      <c r="I41" s="586" t="s">
        <v>329</v>
      </c>
      <c r="J41" s="586" t="s">
        <v>330</v>
      </c>
      <c r="K41" s="586" t="s">
        <v>53</v>
      </c>
      <c r="L41" s="586"/>
      <c r="M41" s="1129"/>
      <c r="N41" s="1129"/>
      <c r="O41" s="586" t="s">
        <v>2419</v>
      </c>
      <c r="P41" s="1129"/>
      <c r="Q41" s="1129"/>
      <c r="R41" s="538"/>
      <c r="S41" s="538"/>
      <c r="T41" s="1129"/>
    </row>
    <row r="42" spans="1:20" s="383" customFormat="1" ht="15" customHeight="1">
      <c r="A42" s="1129">
        <v>39</v>
      </c>
      <c r="B42" s="494"/>
      <c r="C42" s="1139" t="str">
        <f t="shared" si="2"/>
        <v/>
      </c>
      <c r="D42" s="1139" t="str">
        <f t="shared" si="3"/>
        <v>Capitaine Luisa May</v>
      </c>
      <c r="E42" s="586" t="s">
        <v>1677</v>
      </c>
      <c r="F42" s="69" t="s">
        <v>1154</v>
      </c>
      <c r="G42" s="586" t="s">
        <v>95</v>
      </c>
      <c r="H42" s="539"/>
      <c r="I42" s="626"/>
      <c r="J42" s="586"/>
      <c r="K42" s="586"/>
      <c r="L42" s="586"/>
      <c r="M42" s="1129"/>
      <c r="N42" s="1129"/>
      <c r="O42" s="586" t="s">
        <v>2419</v>
      </c>
      <c r="P42" s="1129"/>
      <c r="Q42" s="1129"/>
      <c r="R42" s="538"/>
      <c r="S42" s="538"/>
      <c r="T42" s="1129"/>
    </row>
    <row r="43" spans="1:20" s="383" customFormat="1" ht="15" customHeight="1">
      <c r="A43" s="1130">
        <v>40</v>
      </c>
      <c r="B43" s="626"/>
      <c r="C43" s="1139" t="str">
        <f t="shared" si="2"/>
        <v/>
      </c>
      <c r="D43" s="1139" t="str">
        <f t="shared" si="3"/>
        <v>Captain-007</v>
      </c>
      <c r="E43" s="626" t="s">
        <v>1469</v>
      </c>
      <c r="F43" s="69" t="s">
        <v>1154</v>
      </c>
      <c r="G43" s="626" t="s">
        <v>95</v>
      </c>
      <c r="H43" s="1129"/>
      <c r="I43" s="1129"/>
      <c r="J43" s="626"/>
      <c r="K43" s="626"/>
      <c r="L43" s="626"/>
      <c r="M43" s="833"/>
      <c r="N43" s="833"/>
      <c r="O43" s="626" t="s">
        <v>2419</v>
      </c>
      <c r="P43" s="833"/>
      <c r="Q43" s="833"/>
      <c r="R43" s="833"/>
      <c r="S43" s="833"/>
      <c r="T43" s="833"/>
    </row>
    <row r="44" spans="1:20" s="383" customFormat="1" ht="15" customHeight="1">
      <c r="A44" s="1129">
        <v>41</v>
      </c>
      <c r="B44" s="1129"/>
      <c r="C44" s="1139" t="str">
        <f t="shared" si="2"/>
        <v/>
      </c>
      <c r="D44" s="1139" t="str">
        <f t="shared" si="3"/>
        <v>Captain-OVER THE RAINBOW OF LONDON</v>
      </c>
      <c r="E44" s="1129" t="s">
        <v>1414</v>
      </c>
      <c r="F44" s="69" t="s">
        <v>1154</v>
      </c>
      <c r="G44" s="1129" t="s">
        <v>95</v>
      </c>
      <c r="H44" s="1129"/>
      <c r="I44" s="1129"/>
      <c r="J44" s="1129"/>
      <c r="K44" s="1129"/>
      <c r="L44" s="1129"/>
      <c r="M44" s="833"/>
      <c r="N44" s="833"/>
      <c r="O44" s="1129" t="s">
        <v>2419</v>
      </c>
      <c r="P44" s="833"/>
      <c r="Q44" s="833"/>
      <c r="R44" s="833"/>
      <c r="S44" s="833"/>
      <c r="T44" s="833"/>
    </row>
    <row r="45" spans="1:20" s="383" customFormat="1" ht="15" customHeight="1">
      <c r="A45" s="1129">
        <v>42</v>
      </c>
      <c r="B45" s="1129"/>
      <c r="C45" s="1139" t="str">
        <f t="shared" si="2"/>
        <v/>
      </c>
      <c r="D45" s="1139" t="str">
        <f t="shared" si="3"/>
        <v>Centralease SAS</v>
      </c>
      <c r="E45" s="1129" t="s">
        <v>1724</v>
      </c>
      <c r="F45" s="69" t="s">
        <v>1154</v>
      </c>
      <c r="G45" s="1129" t="s">
        <v>95</v>
      </c>
      <c r="H45" s="539" t="s">
        <v>1725</v>
      </c>
      <c r="I45" s="546" t="s">
        <v>1726</v>
      </c>
      <c r="J45" s="1129" t="s">
        <v>292</v>
      </c>
      <c r="K45" s="1129" t="s">
        <v>53</v>
      </c>
      <c r="L45" s="1129"/>
      <c r="M45" s="1129"/>
      <c r="N45" s="1129"/>
      <c r="O45" s="1129" t="s">
        <v>2419</v>
      </c>
      <c r="P45" s="1129"/>
      <c r="Q45" s="1129"/>
      <c r="R45" s="538"/>
      <c r="S45" s="538"/>
      <c r="T45" s="1129"/>
    </row>
    <row r="46" spans="1:20" s="383" customFormat="1" ht="15" customHeight="1">
      <c r="A46" s="1130">
        <v>43</v>
      </c>
      <c r="B46" s="652" t="s">
        <v>303</v>
      </c>
      <c r="C46" s="1139" t="str">
        <f t="shared" si="2"/>
        <v xml:space="preserve">CLOVER BROKERS </v>
      </c>
      <c r="D46" s="1139" t="str">
        <f t="shared" si="3"/>
        <v/>
      </c>
      <c r="E46" s="1130" t="s">
        <v>304</v>
      </c>
      <c r="F46" s="69" t="s">
        <v>587</v>
      </c>
      <c r="G46" s="1130" t="s">
        <v>221</v>
      </c>
      <c r="H46" s="1130" t="s">
        <v>305</v>
      </c>
      <c r="I46" s="1130" t="s">
        <v>306</v>
      </c>
      <c r="J46" s="1130" t="s">
        <v>307</v>
      </c>
      <c r="K46" s="1130" t="s">
        <v>308</v>
      </c>
      <c r="L46" s="1130"/>
      <c r="M46" s="1130" t="s">
        <v>309</v>
      </c>
      <c r="N46" s="1130" t="s">
        <v>310</v>
      </c>
      <c r="O46" s="1130" t="s">
        <v>2387</v>
      </c>
      <c r="P46" s="534">
        <v>0.15</v>
      </c>
      <c r="Q46" s="534">
        <v>0.15</v>
      </c>
      <c r="R46" s="538"/>
      <c r="S46" s="538"/>
      <c r="T46" s="1130"/>
    </row>
    <row r="47" spans="1:20" s="383" customFormat="1" ht="15" customHeight="1">
      <c r="A47" s="1129">
        <v>44</v>
      </c>
      <c r="B47" s="76" t="s">
        <v>311</v>
      </c>
      <c r="C47" s="1139" t="str">
        <f t="shared" si="2"/>
        <v>CMC Assurance</v>
      </c>
      <c r="D47" s="1139" t="str">
        <f t="shared" si="3"/>
        <v/>
      </c>
      <c r="E47" s="76" t="s">
        <v>312</v>
      </c>
      <c r="F47" s="69" t="s">
        <v>587</v>
      </c>
      <c r="G47" s="76" t="s">
        <v>221</v>
      </c>
      <c r="H47" s="76" t="s">
        <v>313</v>
      </c>
      <c r="I47" s="76" t="s">
        <v>314</v>
      </c>
      <c r="J47" s="76" t="s">
        <v>262</v>
      </c>
      <c r="K47" s="76" t="s">
        <v>225</v>
      </c>
      <c r="L47" s="76"/>
      <c r="M47" s="1130" t="s">
        <v>315</v>
      </c>
      <c r="N47" s="1130" t="s">
        <v>316</v>
      </c>
      <c r="O47" s="1130" t="s">
        <v>2387</v>
      </c>
      <c r="P47" s="543">
        <v>0.12</v>
      </c>
      <c r="Q47" s="535"/>
      <c r="R47" s="534"/>
      <c r="S47" s="534"/>
      <c r="T47" s="1130" t="s">
        <v>317</v>
      </c>
    </row>
    <row r="48" spans="1:20" s="383" customFormat="1" ht="15" customHeight="1">
      <c r="A48" s="1129">
        <v>45</v>
      </c>
      <c r="B48" s="1129"/>
      <c r="C48" s="1139" t="str">
        <f t="shared" si="2"/>
        <v/>
      </c>
      <c r="D48" s="1139" t="str">
        <f t="shared" si="3"/>
        <v>Compagnie du Ponant</v>
      </c>
      <c r="E48" s="1129" t="s">
        <v>1038</v>
      </c>
      <c r="F48" s="69" t="s">
        <v>1154</v>
      </c>
      <c r="G48" s="1129" t="s">
        <v>95</v>
      </c>
      <c r="H48" s="539" t="s">
        <v>2422</v>
      </c>
      <c r="I48" s="1129" t="s">
        <v>2423</v>
      </c>
      <c r="J48" s="1129" t="s">
        <v>238</v>
      </c>
      <c r="K48" s="1126" t="s">
        <v>53</v>
      </c>
      <c r="L48" s="1126"/>
      <c r="M48" s="1129"/>
      <c r="N48" s="1129"/>
      <c r="O48" s="586" t="s">
        <v>2419</v>
      </c>
      <c r="P48" s="1129"/>
      <c r="Q48" s="1129"/>
      <c r="R48" s="538"/>
      <c r="S48" s="538"/>
      <c r="T48" s="1129"/>
    </row>
    <row r="49" spans="1:20" s="383" customFormat="1" ht="15" customHeight="1">
      <c r="A49" s="1130">
        <v>46</v>
      </c>
      <c r="B49" s="76" t="s">
        <v>318</v>
      </c>
      <c r="C49" s="1139" t="str">
        <f t="shared" si="2"/>
        <v/>
      </c>
      <c r="D49" s="1139" t="str">
        <f t="shared" si="3"/>
        <v>D&amp;B SERVICES -Cayman Islands</v>
      </c>
      <c r="E49" s="628" t="s">
        <v>319</v>
      </c>
      <c r="F49" s="69" t="s">
        <v>1154</v>
      </c>
      <c r="G49" s="76" t="s">
        <v>95</v>
      </c>
      <c r="H49" s="76" t="s">
        <v>320</v>
      </c>
      <c r="I49" s="1130" t="s">
        <v>321</v>
      </c>
      <c r="J49" s="1130" t="s">
        <v>322</v>
      </c>
      <c r="K49" s="76" t="s">
        <v>323</v>
      </c>
      <c r="L49" s="76"/>
      <c r="M49" s="547" t="s">
        <v>324</v>
      </c>
      <c r="N49" s="542" t="s">
        <v>325</v>
      </c>
      <c r="O49" s="626" t="s">
        <v>2419</v>
      </c>
      <c r="P49" s="534">
        <v>0.1</v>
      </c>
      <c r="Q49" s="535"/>
      <c r="R49" s="534"/>
      <c r="S49" s="534"/>
      <c r="T49" s="586"/>
    </row>
    <row r="50" spans="1:20" s="383" customFormat="1" ht="15" customHeight="1">
      <c r="A50" s="1129">
        <v>47</v>
      </c>
      <c r="B50" s="76" t="s">
        <v>326</v>
      </c>
      <c r="C50" s="1139" t="str">
        <f t="shared" si="2"/>
        <v/>
      </c>
      <c r="D50" s="1139" t="str">
        <f t="shared" si="3"/>
        <v>D&amp;B SERVICES -France</v>
      </c>
      <c r="E50" s="1130" t="s">
        <v>327</v>
      </c>
      <c r="F50" s="69" t="s">
        <v>1154</v>
      </c>
      <c r="G50" s="76" t="s">
        <v>95</v>
      </c>
      <c r="H50" s="76" t="s">
        <v>328</v>
      </c>
      <c r="I50" s="76" t="s">
        <v>329</v>
      </c>
      <c r="J50" s="76" t="s">
        <v>330</v>
      </c>
      <c r="K50" s="76" t="s">
        <v>225</v>
      </c>
      <c r="L50" s="76"/>
      <c r="M50" s="544" t="s">
        <v>324</v>
      </c>
      <c r="N50" s="544" t="s">
        <v>325</v>
      </c>
      <c r="O50" s="1129" t="s">
        <v>2419</v>
      </c>
      <c r="P50" s="534">
        <v>0.1</v>
      </c>
      <c r="Q50" s="535"/>
      <c r="R50" s="534"/>
      <c r="S50" s="534"/>
      <c r="T50" s="544" t="s">
        <v>331</v>
      </c>
    </row>
    <row r="51" spans="1:20" s="383" customFormat="1" ht="15" customHeight="1">
      <c r="A51" s="1129">
        <v>48</v>
      </c>
      <c r="B51" s="76"/>
      <c r="C51" s="1139" t="str">
        <f t="shared" si="2"/>
        <v/>
      </c>
      <c r="D51" s="1139" t="str">
        <f t="shared" si="3"/>
        <v>Darkpelican</v>
      </c>
      <c r="E51" s="628" t="s">
        <v>332</v>
      </c>
      <c r="F51" s="69" t="s">
        <v>1154</v>
      </c>
      <c r="G51" s="76" t="s">
        <v>95</v>
      </c>
      <c r="H51" s="628" t="s">
        <v>333</v>
      </c>
      <c r="I51" s="1129" t="s">
        <v>1721</v>
      </c>
      <c r="J51" s="1129" t="s">
        <v>1149</v>
      </c>
      <c r="K51" s="628" t="s">
        <v>225</v>
      </c>
      <c r="L51" s="628"/>
      <c r="M51" s="547" t="s">
        <v>334</v>
      </c>
      <c r="N51" s="542"/>
      <c r="O51" s="626" t="s">
        <v>2419</v>
      </c>
      <c r="P51" s="534">
        <v>0.08</v>
      </c>
      <c r="Q51" s="535"/>
      <c r="R51" s="534"/>
      <c r="S51" s="534"/>
      <c r="T51" s="626"/>
    </row>
    <row r="52" spans="1:20" s="383" customFormat="1" ht="15" customHeight="1">
      <c r="A52" s="1130">
        <v>49</v>
      </c>
      <c r="B52" s="628" t="s">
        <v>335</v>
      </c>
      <c r="C52" s="1139" t="str">
        <f t="shared" si="2"/>
        <v>DIOT MONTAGNE</v>
      </c>
      <c r="D52" s="1139" t="str">
        <f t="shared" si="3"/>
        <v/>
      </c>
      <c r="E52" s="534" t="s">
        <v>336</v>
      </c>
      <c r="F52" s="69" t="s">
        <v>587</v>
      </c>
      <c r="G52" s="628" t="s">
        <v>221</v>
      </c>
      <c r="H52" s="1130" t="s">
        <v>337</v>
      </c>
      <c r="I52" s="1130" t="s">
        <v>338</v>
      </c>
      <c r="J52" s="1130" t="s">
        <v>339</v>
      </c>
      <c r="K52" s="1130" t="s">
        <v>225</v>
      </c>
      <c r="L52" s="1130"/>
      <c r="M52" s="544" t="s">
        <v>340</v>
      </c>
      <c r="N52" s="654"/>
      <c r="O52" s="628" t="s">
        <v>2387</v>
      </c>
      <c r="P52" s="534">
        <v>0.12</v>
      </c>
      <c r="Q52" s="535"/>
      <c r="R52" s="534"/>
      <c r="S52" s="534"/>
      <c r="T52" s="1129"/>
    </row>
    <row r="53" spans="1:20" s="383" customFormat="1" ht="15" customHeight="1">
      <c r="A53" s="1129">
        <v>50</v>
      </c>
      <c r="B53" s="1130"/>
      <c r="C53" s="1139" t="str">
        <f t="shared" si="2"/>
        <v/>
      </c>
      <c r="D53" s="1139" t="str">
        <f t="shared" si="3"/>
        <v>EQUISEA Monaco</v>
      </c>
      <c r="E53" s="1130" t="s">
        <v>341</v>
      </c>
      <c r="F53" s="69" t="s">
        <v>1154</v>
      </c>
      <c r="G53" s="1130" t="s">
        <v>95</v>
      </c>
      <c r="H53" s="1130" t="s">
        <v>342</v>
      </c>
      <c r="I53" s="1130" t="s">
        <v>268</v>
      </c>
      <c r="J53" s="1130" t="s">
        <v>269</v>
      </c>
      <c r="K53" s="1130" t="s">
        <v>269</v>
      </c>
      <c r="L53" s="1130"/>
      <c r="M53" s="1130" t="s">
        <v>343</v>
      </c>
      <c r="N53" s="1130" t="s">
        <v>344</v>
      </c>
      <c r="O53" s="626" t="s">
        <v>2419</v>
      </c>
      <c r="P53" s="534">
        <v>0.1</v>
      </c>
      <c r="Q53" s="535"/>
      <c r="R53" s="534"/>
      <c r="S53" s="534"/>
      <c r="T53" s="626"/>
    </row>
    <row r="54" spans="1:20" s="383" customFormat="1" ht="15" customHeight="1">
      <c r="A54" s="1129">
        <v>51</v>
      </c>
      <c r="B54" s="628" t="s">
        <v>345</v>
      </c>
      <c r="C54" s="1139" t="str">
        <f t="shared" si="2"/>
        <v>EYSSAUTIER</v>
      </c>
      <c r="D54" s="1139" t="str">
        <f t="shared" si="3"/>
        <v/>
      </c>
      <c r="E54" s="1126" t="s">
        <v>611</v>
      </c>
      <c r="F54" s="69" t="s">
        <v>587</v>
      </c>
      <c r="G54" s="76" t="s">
        <v>221</v>
      </c>
      <c r="H54" s="540" t="s">
        <v>779</v>
      </c>
      <c r="I54" s="1126" t="s">
        <v>780</v>
      </c>
      <c r="J54" s="1126" t="s">
        <v>781</v>
      </c>
      <c r="K54" s="1129" t="s">
        <v>53</v>
      </c>
      <c r="L54" s="1129"/>
      <c r="M54" s="628" t="s">
        <v>346</v>
      </c>
      <c r="N54" s="628" t="s">
        <v>347</v>
      </c>
      <c r="O54" s="76" t="s">
        <v>2387</v>
      </c>
      <c r="P54" s="534">
        <v>0.15</v>
      </c>
      <c r="Q54" s="535"/>
      <c r="R54" s="534"/>
      <c r="S54" s="534"/>
      <c r="T54" s="628" t="s">
        <v>348</v>
      </c>
    </row>
    <row r="55" spans="1:20" s="383" customFormat="1" ht="15" customHeight="1">
      <c r="A55" s="1130">
        <v>52</v>
      </c>
      <c r="B55" s="1129"/>
      <c r="C55" s="1139" t="str">
        <f t="shared" si="2"/>
        <v/>
      </c>
      <c r="D55" s="1139" t="str">
        <f t="shared" si="3"/>
        <v>Fastnet LTD - The Snapper</v>
      </c>
      <c r="E55" s="1129" t="s">
        <v>1460</v>
      </c>
      <c r="F55" s="69" t="s">
        <v>1154</v>
      </c>
      <c r="G55" s="1129" t="s">
        <v>95</v>
      </c>
      <c r="H55" s="539"/>
      <c r="I55" s="1129"/>
      <c r="J55" s="1129"/>
      <c r="K55" s="1129"/>
      <c r="L55" s="1129"/>
      <c r="M55" s="1129"/>
      <c r="N55" s="1129"/>
      <c r="O55" s="1129" t="s">
        <v>2419</v>
      </c>
      <c r="P55" s="1129"/>
      <c r="Q55" s="1129"/>
      <c r="R55" s="538"/>
      <c r="S55" s="538"/>
      <c r="T55" s="494"/>
    </row>
    <row r="56" spans="1:20" s="383" customFormat="1" ht="15" customHeight="1">
      <c r="A56" s="1129">
        <v>53</v>
      </c>
      <c r="B56" s="628" t="s">
        <v>349</v>
      </c>
      <c r="C56" s="1139" t="str">
        <f t="shared" si="2"/>
        <v>Favier Casanova et Associés Toulon</v>
      </c>
      <c r="D56" s="1139" t="str">
        <f t="shared" si="3"/>
        <v/>
      </c>
      <c r="E56" s="628" t="s">
        <v>350</v>
      </c>
      <c r="F56" s="69" t="s">
        <v>587</v>
      </c>
      <c r="G56" s="628" t="s">
        <v>221</v>
      </c>
      <c r="H56" s="628" t="s">
        <v>351</v>
      </c>
      <c r="I56" s="628" t="s">
        <v>352</v>
      </c>
      <c r="J56" s="628" t="s">
        <v>353</v>
      </c>
      <c r="K56" s="628" t="s">
        <v>225</v>
      </c>
      <c r="L56" s="628"/>
      <c r="M56" s="628" t="s">
        <v>354</v>
      </c>
      <c r="N56" s="628" t="s">
        <v>355</v>
      </c>
      <c r="O56" s="628" t="s">
        <v>2387</v>
      </c>
      <c r="P56" s="534">
        <v>0.12</v>
      </c>
      <c r="Q56" s="535"/>
      <c r="R56" s="534"/>
      <c r="S56" s="534"/>
      <c r="T56" s="1130" t="s">
        <v>356</v>
      </c>
    </row>
    <row r="57" spans="1:20" s="383" customFormat="1" ht="15" customHeight="1">
      <c r="A57" s="1129">
        <v>54</v>
      </c>
      <c r="B57" s="652"/>
      <c r="C57" s="1139" t="str">
        <f t="shared" si="2"/>
        <v>Fenchurch Faris Ltd</v>
      </c>
      <c r="D57" s="1139" t="str">
        <f t="shared" si="3"/>
        <v/>
      </c>
      <c r="E57" s="1130" t="s">
        <v>357</v>
      </c>
      <c r="F57" s="69" t="s">
        <v>587</v>
      </c>
      <c r="G57" s="1130" t="s">
        <v>221</v>
      </c>
      <c r="H57" s="652" t="s">
        <v>358</v>
      </c>
      <c r="I57" s="652" t="s">
        <v>359</v>
      </c>
      <c r="J57" s="652" t="s">
        <v>360</v>
      </c>
      <c r="K57" s="652" t="s">
        <v>361</v>
      </c>
      <c r="L57" s="652"/>
      <c r="M57" s="652" t="s">
        <v>362</v>
      </c>
      <c r="N57" s="652" t="s">
        <v>363</v>
      </c>
      <c r="O57" s="1130" t="s">
        <v>2387</v>
      </c>
      <c r="P57" s="534">
        <v>0.15</v>
      </c>
      <c r="Q57" s="535"/>
      <c r="R57" s="534"/>
      <c r="S57" s="534"/>
      <c r="T57" s="586"/>
    </row>
    <row r="58" spans="1:20" s="383" customFormat="1" ht="15" customHeight="1">
      <c r="A58" s="1130">
        <v>55</v>
      </c>
      <c r="B58" s="1130" t="s">
        <v>364</v>
      </c>
      <c r="C58" s="1139" t="str">
        <f t="shared" si="2"/>
        <v>FILHET ALLARD Maritime</v>
      </c>
      <c r="D58" s="1139" t="str">
        <f t="shared" si="3"/>
        <v/>
      </c>
      <c r="E58" s="1130" t="s">
        <v>365</v>
      </c>
      <c r="F58" s="69" t="s">
        <v>587</v>
      </c>
      <c r="G58" s="1130" t="s">
        <v>221</v>
      </c>
      <c r="H58" s="1130" t="s">
        <v>366</v>
      </c>
      <c r="I58" s="1130" t="s">
        <v>367</v>
      </c>
      <c r="J58" s="1130" t="s">
        <v>368</v>
      </c>
      <c r="K58" s="1130" t="s">
        <v>225</v>
      </c>
      <c r="L58" s="1130"/>
      <c r="M58" s="1130" t="s">
        <v>369</v>
      </c>
      <c r="N58" s="1130"/>
      <c r="O58" s="1130" t="s">
        <v>2387</v>
      </c>
      <c r="P58" s="534">
        <v>0.12</v>
      </c>
      <c r="Q58" s="535"/>
      <c r="R58" s="534"/>
      <c r="S58" s="534"/>
      <c r="T58" s="626"/>
    </row>
    <row r="59" spans="1:20" s="383" customFormat="1" ht="15" customHeight="1">
      <c r="A59" s="1129">
        <v>56</v>
      </c>
      <c r="B59" s="494"/>
      <c r="C59" s="1139" t="str">
        <f t="shared" si="2"/>
        <v/>
      </c>
      <c r="D59" s="1139" t="str">
        <f t="shared" si="3"/>
        <v>Franctema</v>
      </c>
      <c r="E59" s="626" t="s">
        <v>1202</v>
      </c>
      <c r="F59" s="69" t="s">
        <v>1154</v>
      </c>
      <c r="G59" s="586" t="s">
        <v>95</v>
      </c>
      <c r="H59" s="539"/>
      <c r="I59" s="626"/>
      <c r="J59" s="626"/>
      <c r="K59" s="626"/>
      <c r="L59" s="626"/>
      <c r="M59" s="1129"/>
      <c r="N59" s="1129"/>
      <c r="O59" s="626" t="s">
        <v>2419</v>
      </c>
      <c r="P59" s="1129"/>
      <c r="Q59" s="1129"/>
      <c r="R59" s="538"/>
      <c r="S59" s="538"/>
      <c r="T59" s="1129"/>
    </row>
    <row r="60" spans="1:20" s="383" customFormat="1" ht="15" customHeight="1">
      <c r="A60" s="1129">
        <v>57</v>
      </c>
      <c r="B60" s="494"/>
      <c r="C60" s="1139" t="str">
        <f t="shared" si="2"/>
        <v/>
      </c>
      <c r="D60" s="1139" t="str">
        <f t="shared" si="3"/>
        <v>Fraser Yachts Florida Inc</v>
      </c>
      <c r="E60" s="1129" t="s">
        <v>1727</v>
      </c>
      <c r="F60" s="69" t="s">
        <v>1154</v>
      </c>
      <c r="G60" s="1129" t="s">
        <v>95</v>
      </c>
      <c r="H60" s="539" t="s">
        <v>1728</v>
      </c>
      <c r="I60" s="1129" t="s">
        <v>1729</v>
      </c>
      <c r="J60" s="1129" t="s">
        <v>1730</v>
      </c>
      <c r="K60" s="1129" t="s">
        <v>573</v>
      </c>
      <c r="L60" s="1129"/>
      <c r="M60" s="1129"/>
      <c r="N60" s="1129"/>
      <c r="O60" s="1129" t="s">
        <v>2419</v>
      </c>
      <c r="P60" s="1129"/>
      <c r="Q60" s="1129"/>
      <c r="R60" s="538"/>
      <c r="S60" s="538"/>
      <c r="T60" s="586"/>
    </row>
    <row r="61" spans="1:20" s="383" customFormat="1" ht="15" customHeight="1">
      <c r="A61" s="1130">
        <v>58</v>
      </c>
      <c r="B61" s="626"/>
      <c r="C61" s="1139" t="str">
        <f t="shared" si="2"/>
        <v/>
      </c>
      <c r="D61" s="1139" t="str">
        <f t="shared" si="3"/>
        <v>Fraseryachts</v>
      </c>
      <c r="E61" s="1129" t="s">
        <v>1157</v>
      </c>
      <c r="F61" s="69" t="s">
        <v>1154</v>
      </c>
      <c r="G61" s="626" t="s">
        <v>95</v>
      </c>
      <c r="H61" s="1129"/>
      <c r="I61" s="1129"/>
      <c r="J61" s="1129"/>
      <c r="K61" s="1129"/>
      <c r="L61" s="1129"/>
      <c r="M61" s="270"/>
      <c r="N61" s="270"/>
      <c r="O61" s="1129" t="s">
        <v>2419</v>
      </c>
      <c r="P61" s="270"/>
      <c r="Q61" s="270"/>
      <c r="R61" s="270"/>
      <c r="S61" s="270"/>
      <c r="T61" s="270"/>
    </row>
    <row r="62" spans="1:20" s="383" customFormat="1" ht="15" customHeight="1">
      <c r="A62" s="1129">
        <v>59</v>
      </c>
      <c r="B62" s="626" t="s">
        <v>405</v>
      </c>
      <c r="C62" s="1139" t="str">
        <f t="shared" si="2"/>
        <v>FROLSON</v>
      </c>
      <c r="D62" s="1139" t="str">
        <f t="shared" si="3"/>
        <v/>
      </c>
      <c r="E62" s="1130" t="s">
        <v>2545</v>
      </c>
      <c r="F62" s="69" t="s">
        <v>587</v>
      </c>
      <c r="G62" s="1130" t="s">
        <v>221</v>
      </c>
      <c r="H62" s="1130" t="s">
        <v>2606</v>
      </c>
      <c r="I62" s="1130" t="s">
        <v>2604</v>
      </c>
      <c r="J62" s="1130" t="s">
        <v>2605</v>
      </c>
      <c r="K62" s="1130" t="s">
        <v>225</v>
      </c>
      <c r="L62" s="1130"/>
      <c r="M62" s="1130"/>
      <c r="N62" s="1130"/>
      <c r="O62" s="1130" t="s">
        <v>2387</v>
      </c>
      <c r="P62" s="534">
        <v>0.12</v>
      </c>
      <c r="Q62" s="534">
        <v>0.12</v>
      </c>
      <c r="R62" s="538"/>
      <c r="S62" s="538"/>
      <c r="T62" s="626"/>
    </row>
    <row r="63" spans="1:20" s="383" customFormat="1" ht="15" customHeight="1">
      <c r="A63" s="1129">
        <v>60</v>
      </c>
      <c r="B63" s="1129"/>
      <c r="C63" s="1139" t="str">
        <f t="shared" si="2"/>
        <v>GAN EUROCOURTAGE</v>
      </c>
      <c r="D63" s="1139" t="str">
        <f t="shared" si="3"/>
        <v/>
      </c>
      <c r="E63" s="1126" t="s">
        <v>797</v>
      </c>
      <c r="F63" s="69" t="s">
        <v>587</v>
      </c>
      <c r="G63" s="1129" t="s">
        <v>221</v>
      </c>
      <c r="H63" s="540" t="s">
        <v>798</v>
      </c>
      <c r="I63" s="1126" t="s">
        <v>780</v>
      </c>
      <c r="J63" s="1126" t="s">
        <v>781</v>
      </c>
      <c r="K63" s="1126" t="s">
        <v>53</v>
      </c>
      <c r="L63" s="1126"/>
      <c r="M63" s="833"/>
      <c r="N63" s="833"/>
      <c r="O63" s="1130" t="s">
        <v>2387</v>
      </c>
      <c r="P63" s="833"/>
      <c r="Q63" s="833"/>
      <c r="R63" s="833"/>
      <c r="S63" s="833"/>
      <c r="T63" s="833"/>
    </row>
    <row r="64" spans="1:20" s="383" customFormat="1" ht="15" customHeight="1">
      <c r="A64" s="1130">
        <v>61</v>
      </c>
      <c r="B64" s="1129"/>
      <c r="C64" s="1139" t="str">
        <f t="shared" si="2"/>
        <v/>
      </c>
      <c r="D64" s="1139" t="str">
        <f t="shared" si="3"/>
        <v>Garuda Yachts Charter Unipessoal LDA</v>
      </c>
      <c r="E64" s="1129" t="s">
        <v>1439</v>
      </c>
      <c r="F64" s="69" t="s">
        <v>1154</v>
      </c>
      <c r="G64" s="1129" t="s">
        <v>95</v>
      </c>
      <c r="H64" s="539" t="s">
        <v>1440</v>
      </c>
      <c r="I64" s="1129" t="s">
        <v>1441</v>
      </c>
      <c r="J64" s="1129" t="s">
        <v>1442</v>
      </c>
      <c r="K64" s="1129" t="s">
        <v>1538</v>
      </c>
      <c r="L64" s="1129"/>
      <c r="M64" s="1129"/>
      <c r="N64" s="1129"/>
      <c r="O64" s="1129" t="s">
        <v>2419</v>
      </c>
      <c r="P64" s="1129"/>
      <c r="Q64" s="1129"/>
      <c r="R64" s="538"/>
      <c r="S64" s="538"/>
      <c r="T64" s="1129"/>
    </row>
    <row r="65" spans="1:20" s="383" customFormat="1" ht="15" customHeight="1">
      <c r="A65" s="1129">
        <v>62</v>
      </c>
      <c r="B65" s="1130" t="s">
        <v>370</v>
      </c>
      <c r="C65" s="1139" t="str">
        <f t="shared" si="2"/>
        <v/>
      </c>
      <c r="D65" s="1139" t="str">
        <f t="shared" si="3"/>
        <v>GASPARD Yachts</v>
      </c>
      <c r="E65" s="628" t="s">
        <v>371</v>
      </c>
      <c r="F65" s="69" t="s">
        <v>1154</v>
      </c>
      <c r="G65" s="628" t="s">
        <v>95</v>
      </c>
      <c r="H65" s="539" t="s">
        <v>1731</v>
      </c>
      <c r="I65" s="1129" t="s">
        <v>242</v>
      </c>
      <c r="J65" s="1129" t="s">
        <v>377</v>
      </c>
      <c r="K65" s="1129" t="s">
        <v>53</v>
      </c>
      <c r="L65" s="1129"/>
      <c r="M65" s="628" t="s">
        <v>372</v>
      </c>
      <c r="N65" s="1130"/>
      <c r="O65" s="626" t="s">
        <v>2419</v>
      </c>
      <c r="P65" s="534">
        <v>0.08</v>
      </c>
      <c r="Q65" s="535"/>
      <c r="R65" s="534"/>
      <c r="S65" s="534"/>
      <c r="T65" s="1130" t="s">
        <v>373</v>
      </c>
    </row>
    <row r="66" spans="1:20" s="383" customFormat="1" ht="15" customHeight="1">
      <c r="A66" s="1129">
        <v>63</v>
      </c>
      <c r="B66" s="1130" t="s">
        <v>374</v>
      </c>
      <c r="C66" s="1139" t="str">
        <f t="shared" si="2"/>
        <v>Gecar</v>
      </c>
      <c r="D66" s="1139" t="str">
        <f t="shared" si="3"/>
        <v/>
      </c>
      <c r="E66" s="1130" t="s">
        <v>375</v>
      </c>
      <c r="F66" s="69" t="s">
        <v>587</v>
      </c>
      <c r="G66" s="1130" t="s">
        <v>221</v>
      </c>
      <c r="H66" s="1130" t="s">
        <v>376</v>
      </c>
      <c r="I66" s="1130" t="s">
        <v>242</v>
      </c>
      <c r="J66" s="1130" t="s">
        <v>377</v>
      </c>
      <c r="K66" s="1130" t="s">
        <v>225</v>
      </c>
      <c r="L66" s="1130"/>
      <c r="M66" s="1130" t="s">
        <v>378</v>
      </c>
      <c r="N66" s="1130"/>
      <c r="O66" s="1130" t="s">
        <v>2387</v>
      </c>
      <c r="P66" s="543">
        <v>0.12</v>
      </c>
      <c r="Q66" s="535"/>
      <c r="R66" s="534"/>
      <c r="S66" s="534"/>
      <c r="T66" s="1130" t="s">
        <v>379</v>
      </c>
    </row>
    <row r="67" spans="1:20" s="383" customFormat="1" ht="15" customHeight="1">
      <c r="A67" s="1130">
        <v>64</v>
      </c>
      <c r="B67" s="494"/>
      <c r="C67" s="1139" t="str">
        <f t="shared" si="2"/>
        <v/>
      </c>
      <c r="D67" s="1139" t="str">
        <f t="shared" si="3"/>
        <v>GES MARITIME</v>
      </c>
      <c r="E67" s="1130" t="s">
        <v>575</v>
      </c>
      <c r="F67" s="69" t="s">
        <v>1154</v>
      </c>
      <c r="G67" s="1130" t="s">
        <v>95</v>
      </c>
      <c r="H67" s="1130" t="s">
        <v>576</v>
      </c>
      <c r="I67" s="1130" t="s">
        <v>577</v>
      </c>
      <c r="J67" s="1130" t="s">
        <v>186</v>
      </c>
      <c r="K67" s="1130" t="s">
        <v>186</v>
      </c>
      <c r="L67" s="1130"/>
      <c r="M67" s="1130" t="s">
        <v>578</v>
      </c>
      <c r="N67" s="1129"/>
      <c r="O67" s="1129" t="s">
        <v>2419</v>
      </c>
      <c r="P67" s="538">
        <v>0</v>
      </c>
      <c r="Q67" s="538"/>
      <c r="R67" s="538"/>
      <c r="S67" s="538"/>
      <c r="T67" s="1129"/>
    </row>
    <row r="68" spans="1:20" s="383" customFormat="1" ht="15" customHeight="1">
      <c r="A68" s="1129">
        <v>65</v>
      </c>
      <c r="B68" s="1129"/>
      <c r="C68" s="1139" t="str">
        <f t="shared" si="2"/>
        <v/>
      </c>
      <c r="D68" s="1139" t="str">
        <f t="shared" si="3"/>
        <v>Globe Skipper</v>
      </c>
      <c r="E68" s="1129" t="s">
        <v>1652</v>
      </c>
      <c r="F68" s="69" t="s">
        <v>1154</v>
      </c>
      <c r="G68" s="1129" t="s">
        <v>95</v>
      </c>
      <c r="H68" s="539"/>
      <c r="I68" s="1129"/>
      <c r="J68" s="1129"/>
      <c r="K68" s="1129"/>
      <c r="L68" s="1129"/>
      <c r="M68" s="1129"/>
      <c r="N68" s="1129"/>
      <c r="O68" s="1129" t="s">
        <v>2419</v>
      </c>
      <c r="P68" s="1129"/>
      <c r="Q68" s="1129"/>
      <c r="R68" s="538"/>
      <c r="S68" s="538"/>
      <c r="T68" s="1129"/>
    </row>
    <row r="69" spans="1:20" s="383" customFormat="1" ht="15" customHeight="1">
      <c r="A69" s="1129">
        <v>66</v>
      </c>
      <c r="B69" s="626"/>
      <c r="C69" s="1139" t="str">
        <f t="shared" ref="C69:C132" si="4">IF(G69="Insurance Broker",E69,"")</f>
        <v>GRAS SAVOYE ASC</v>
      </c>
      <c r="D69" s="1139" t="str">
        <f t="shared" ref="D69:D132" si="5">IF(G69="Insurance Broker","",E69)</f>
        <v/>
      </c>
      <c r="E69" s="1126" t="s">
        <v>817</v>
      </c>
      <c r="F69" s="69" t="s">
        <v>587</v>
      </c>
      <c r="G69" s="626" t="s">
        <v>221</v>
      </c>
      <c r="H69" s="540" t="s">
        <v>818</v>
      </c>
      <c r="I69" s="1126" t="s">
        <v>819</v>
      </c>
      <c r="J69" s="1126" t="s">
        <v>820</v>
      </c>
      <c r="K69" s="1126" t="s">
        <v>53</v>
      </c>
      <c r="L69" s="1126"/>
      <c r="M69" s="833"/>
      <c r="N69" s="833"/>
      <c r="O69" s="1130" t="s">
        <v>2387</v>
      </c>
      <c r="P69" s="833"/>
      <c r="Q69" s="833"/>
      <c r="R69" s="833"/>
      <c r="S69" s="833"/>
      <c r="T69" s="833"/>
    </row>
    <row r="70" spans="1:20" s="383" customFormat="1" ht="15" customHeight="1">
      <c r="A70" s="1130">
        <v>67</v>
      </c>
      <c r="B70" s="652" t="s">
        <v>380</v>
      </c>
      <c r="C70" s="1139" t="str">
        <f t="shared" si="4"/>
        <v xml:space="preserve">Gras Savoye Turkey </v>
      </c>
      <c r="D70" s="1139" t="str">
        <f t="shared" si="5"/>
        <v/>
      </c>
      <c r="E70" s="1130" t="s">
        <v>381</v>
      </c>
      <c r="F70" s="69" t="s">
        <v>587</v>
      </c>
      <c r="G70" s="1130" t="s">
        <v>221</v>
      </c>
      <c r="H70" s="1130" t="s">
        <v>382</v>
      </c>
      <c r="I70" s="1130" t="s">
        <v>383</v>
      </c>
      <c r="J70" s="1130" t="s">
        <v>384</v>
      </c>
      <c r="K70" s="628" t="s">
        <v>385</v>
      </c>
      <c r="L70" s="628"/>
      <c r="M70" s="628" t="s">
        <v>386</v>
      </c>
      <c r="N70" s="652" t="s">
        <v>387</v>
      </c>
      <c r="O70" s="1130" t="s">
        <v>2387</v>
      </c>
      <c r="P70" s="534">
        <v>0.12</v>
      </c>
      <c r="Q70" s="535">
        <v>0.12</v>
      </c>
      <c r="R70" s="538"/>
      <c r="S70" s="538"/>
      <c r="T70" s="1130"/>
    </row>
    <row r="71" spans="1:20" s="383" customFormat="1" ht="15" customHeight="1">
      <c r="A71" s="1129">
        <v>68</v>
      </c>
      <c r="B71" s="1129"/>
      <c r="C71" s="1139" t="str">
        <f t="shared" si="4"/>
        <v/>
      </c>
      <c r="D71" s="1139" t="str">
        <f t="shared" si="5"/>
        <v>Grenadines Transportes Maritimos Lda</v>
      </c>
      <c r="E71" s="1129" t="s">
        <v>1732</v>
      </c>
      <c r="F71" s="69" t="s">
        <v>1154</v>
      </c>
      <c r="G71" s="1129" t="s">
        <v>95</v>
      </c>
      <c r="H71" s="539"/>
      <c r="I71" s="1129"/>
      <c r="J71" s="1129"/>
      <c r="K71" s="1129"/>
      <c r="L71" s="1129"/>
      <c r="M71" s="1129"/>
      <c r="N71" s="1129"/>
      <c r="O71" s="1129" t="s">
        <v>2419</v>
      </c>
      <c r="P71" s="1129"/>
      <c r="Q71" s="1129"/>
      <c r="R71" s="538"/>
      <c r="S71" s="538"/>
      <c r="T71" s="494"/>
    </row>
    <row r="72" spans="1:20" s="383" customFormat="1" ht="15" customHeight="1">
      <c r="A72" s="1129">
        <v>69</v>
      </c>
      <c r="B72" s="626"/>
      <c r="C72" s="1139" t="str">
        <f t="shared" si="4"/>
        <v/>
      </c>
      <c r="D72" s="1139" t="str">
        <f t="shared" si="5"/>
        <v>Groupe ADDOHA</v>
      </c>
      <c r="E72" s="1126" t="s">
        <v>1701</v>
      </c>
      <c r="F72" s="69" t="s">
        <v>1154</v>
      </c>
      <c r="G72" s="626" t="s">
        <v>95</v>
      </c>
      <c r="H72" s="539" t="s">
        <v>1702</v>
      </c>
      <c r="I72" s="626"/>
      <c r="J72" s="626" t="s">
        <v>1703</v>
      </c>
      <c r="K72" s="1130" t="s">
        <v>233</v>
      </c>
      <c r="L72" s="1130"/>
      <c r="M72" s="1130"/>
      <c r="N72" s="1130"/>
      <c r="O72" s="626" t="s">
        <v>2419</v>
      </c>
      <c r="P72" s="1130"/>
      <c r="Q72" s="1129"/>
      <c r="R72" s="538"/>
      <c r="S72" s="538"/>
      <c r="T72" s="1129"/>
    </row>
    <row r="73" spans="1:20" s="383" customFormat="1" ht="15" customHeight="1">
      <c r="A73" s="1130">
        <v>70</v>
      </c>
      <c r="B73" s="628"/>
      <c r="C73" s="1139" t="str">
        <f t="shared" si="4"/>
        <v>Groupe OTHELA</v>
      </c>
      <c r="D73" s="1139" t="str">
        <f t="shared" si="5"/>
        <v/>
      </c>
      <c r="E73" s="628" t="s">
        <v>388</v>
      </c>
      <c r="F73" s="69" t="s">
        <v>587</v>
      </c>
      <c r="G73" s="628" t="s">
        <v>221</v>
      </c>
      <c r="H73" s="628" t="s">
        <v>389</v>
      </c>
      <c r="I73" s="628" t="s">
        <v>242</v>
      </c>
      <c r="J73" s="628" t="s">
        <v>377</v>
      </c>
      <c r="K73" s="628" t="s">
        <v>225</v>
      </c>
      <c r="L73" s="628"/>
      <c r="M73" s="628" t="s">
        <v>390</v>
      </c>
      <c r="N73" s="628" t="s">
        <v>391</v>
      </c>
      <c r="O73" s="628" t="s">
        <v>2387</v>
      </c>
      <c r="P73" s="534">
        <v>0.12</v>
      </c>
      <c r="Q73" s="535"/>
      <c r="R73" s="534"/>
      <c r="S73" s="534"/>
      <c r="T73" s="626"/>
    </row>
    <row r="74" spans="1:20" s="383" customFormat="1" ht="15" customHeight="1">
      <c r="A74" s="1129">
        <v>71</v>
      </c>
      <c r="B74" s="1129"/>
      <c r="C74" s="1139" t="str">
        <f t="shared" si="4"/>
        <v/>
      </c>
      <c r="D74" s="1139" t="str">
        <f t="shared" si="5"/>
        <v>HELIAD II</v>
      </c>
      <c r="E74" s="1129" t="s">
        <v>1430</v>
      </c>
      <c r="F74" s="69" t="s">
        <v>1154</v>
      </c>
      <c r="G74" s="1129" t="s">
        <v>95</v>
      </c>
      <c r="H74" s="1129"/>
      <c r="I74" s="1129"/>
      <c r="J74" s="1129"/>
      <c r="K74" s="1129"/>
      <c r="L74" s="1129"/>
      <c r="M74" s="833"/>
      <c r="N74" s="833"/>
      <c r="O74" s="1129" t="s">
        <v>2419</v>
      </c>
      <c r="P74" s="833"/>
      <c r="Q74" s="833"/>
      <c r="R74" s="833"/>
      <c r="S74" s="833"/>
      <c r="T74" s="833"/>
    </row>
    <row r="75" spans="1:20" s="383" customFormat="1" ht="15" customHeight="1">
      <c r="A75" s="1129">
        <v>72</v>
      </c>
      <c r="B75" s="1130" t="s">
        <v>392</v>
      </c>
      <c r="C75" s="1139" t="str">
        <f t="shared" si="4"/>
        <v>Hudson Sky Company SA</v>
      </c>
      <c r="D75" s="1139" t="str">
        <f t="shared" si="5"/>
        <v/>
      </c>
      <c r="E75" s="1130" t="s">
        <v>393</v>
      </c>
      <c r="F75" s="69" t="s">
        <v>587</v>
      </c>
      <c r="G75" s="1130" t="s">
        <v>221</v>
      </c>
      <c r="H75" s="1130" t="s">
        <v>394</v>
      </c>
      <c r="I75" s="1130" t="s">
        <v>395</v>
      </c>
      <c r="J75" s="1130" t="s">
        <v>396</v>
      </c>
      <c r="K75" s="1130" t="s">
        <v>275</v>
      </c>
      <c r="L75" s="1130"/>
      <c r="M75" s="1130" t="s">
        <v>397</v>
      </c>
      <c r="N75" s="1130" t="s">
        <v>398</v>
      </c>
      <c r="O75" s="1130" t="s">
        <v>2387</v>
      </c>
      <c r="P75" s="534">
        <v>0.15</v>
      </c>
      <c r="Q75" s="535"/>
      <c r="R75" s="534"/>
      <c r="S75" s="534"/>
      <c r="T75" s="1129"/>
    </row>
    <row r="76" spans="1:20" s="383" customFormat="1" ht="15" customHeight="1">
      <c r="A76" s="1130">
        <v>73</v>
      </c>
      <c r="B76" s="628"/>
      <c r="C76" s="1139" t="str">
        <f t="shared" si="4"/>
        <v>ICS</v>
      </c>
      <c r="D76" s="1139" t="str">
        <f t="shared" si="5"/>
        <v/>
      </c>
      <c r="E76" s="628" t="s">
        <v>399</v>
      </c>
      <c r="F76" s="69" t="s">
        <v>587</v>
      </c>
      <c r="G76" s="628" t="s">
        <v>221</v>
      </c>
      <c r="H76" s="628" t="s">
        <v>400</v>
      </c>
      <c r="I76" s="628" t="s">
        <v>401</v>
      </c>
      <c r="J76" s="628" t="s">
        <v>186</v>
      </c>
      <c r="K76" s="628" t="s">
        <v>402</v>
      </c>
      <c r="L76" s="628"/>
      <c r="M76" s="628" t="s">
        <v>403</v>
      </c>
      <c r="N76" s="1130" t="s">
        <v>404</v>
      </c>
      <c r="O76" s="628" t="s">
        <v>2387</v>
      </c>
      <c r="P76" s="534">
        <v>0</v>
      </c>
      <c r="Q76" s="535"/>
      <c r="R76" s="534"/>
      <c r="S76" s="534"/>
      <c r="T76" s="494"/>
    </row>
    <row r="77" spans="1:20" s="383" customFormat="1" ht="15" customHeight="1">
      <c r="A77" s="1129">
        <v>74</v>
      </c>
      <c r="B77" s="1129"/>
      <c r="C77" s="1139" t="str">
        <f t="shared" si="4"/>
        <v/>
      </c>
      <c r="D77" s="1139" t="str">
        <f t="shared" si="5"/>
        <v>IDOL YACHTING LIMITED</v>
      </c>
      <c r="E77" s="1126" t="s">
        <v>1528</v>
      </c>
      <c r="F77" s="69" t="s">
        <v>1154</v>
      </c>
      <c r="G77" s="1129" t="s">
        <v>95</v>
      </c>
      <c r="H77" s="1129" t="s">
        <v>1529</v>
      </c>
      <c r="I77" s="1129" t="s">
        <v>1530</v>
      </c>
      <c r="J77" s="1129" t="s">
        <v>1531</v>
      </c>
      <c r="K77" s="1126" t="s">
        <v>51</v>
      </c>
      <c r="L77" s="1126"/>
      <c r="M77" s="833"/>
      <c r="N77" s="833"/>
      <c r="O77" s="1129" t="s">
        <v>2419</v>
      </c>
      <c r="P77" s="833"/>
      <c r="Q77" s="833"/>
      <c r="R77" s="833"/>
      <c r="S77" s="833"/>
      <c r="T77" s="833"/>
    </row>
    <row r="78" spans="1:20" s="383" customFormat="1" ht="15" customHeight="1">
      <c r="A78" s="1129">
        <v>75</v>
      </c>
      <c r="B78" s="1130" t="s">
        <v>406</v>
      </c>
      <c r="C78" s="1139" t="str">
        <f t="shared" si="4"/>
        <v>INP Marine</v>
      </c>
      <c r="D78" s="1139" t="str">
        <f t="shared" si="5"/>
        <v/>
      </c>
      <c r="E78" s="1130" t="s">
        <v>407</v>
      </c>
      <c r="F78" s="69" t="s">
        <v>587</v>
      </c>
      <c r="G78" s="1130" t="s">
        <v>221</v>
      </c>
      <c r="H78" s="1130" t="s">
        <v>408</v>
      </c>
      <c r="I78" s="1130" t="s">
        <v>409</v>
      </c>
      <c r="J78" s="1130" t="s">
        <v>410</v>
      </c>
      <c r="K78" s="1130" t="s">
        <v>275</v>
      </c>
      <c r="L78" s="1130"/>
      <c r="M78" s="1130" t="s">
        <v>411</v>
      </c>
      <c r="N78" s="654"/>
      <c r="O78" s="1130" t="s">
        <v>2387</v>
      </c>
      <c r="P78" s="534">
        <v>0.12</v>
      </c>
      <c r="Q78" s="535"/>
      <c r="R78" s="534"/>
      <c r="S78" s="534"/>
      <c r="T78" s="494"/>
    </row>
    <row r="79" spans="1:20" s="383" customFormat="1" ht="15" customHeight="1">
      <c r="A79" s="1130">
        <v>76</v>
      </c>
      <c r="B79" s="628" t="s">
        <v>412</v>
      </c>
      <c r="C79" s="1139" t="str">
        <f t="shared" si="4"/>
        <v>Inter Caraïbes Assurances</v>
      </c>
      <c r="D79" s="1139" t="str">
        <f t="shared" si="5"/>
        <v/>
      </c>
      <c r="E79" s="76" t="s">
        <v>413</v>
      </c>
      <c r="F79" s="69" t="s">
        <v>587</v>
      </c>
      <c r="G79" s="76" t="s">
        <v>221</v>
      </c>
      <c r="H79" s="76" t="s">
        <v>414</v>
      </c>
      <c r="I79" s="76" t="s">
        <v>415</v>
      </c>
      <c r="J79" s="76" t="s">
        <v>416</v>
      </c>
      <c r="K79" s="76" t="s">
        <v>417</v>
      </c>
      <c r="L79" s="76"/>
      <c r="M79" s="1130" t="s">
        <v>418</v>
      </c>
      <c r="N79" s="1130" t="s">
        <v>419</v>
      </c>
      <c r="O79" s="76" t="s">
        <v>2387</v>
      </c>
      <c r="P79" s="534">
        <v>0.12</v>
      </c>
      <c r="Q79" s="535"/>
      <c r="R79" s="534"/>
      <c r="S79" s="534"/>
      <c r="T79" s="494"/>
    </row>
    <row r="80" spans="1:20" s="383" customFormat="1" ht="15" customHeight="1">
      <c r="A80" s="1129">
        <v>77</v>
      </c>
      <c r="B80" s="834"/>
      <c r="C80" s="1139" t="str">
        <f t="shared" si="4"/>
        <v>INTRAMAR® insurances</v>
      </c>
      <c r="D80" s="1139" t="str">
        <f t="shared" si="5"/>
        <v/>
      </c>
      <c r="E80" s="657" t="s">
        <v>2565</v>
      </c>
      <c r="F80" s="69" t="s">
        <v>587</v>
      </c>
      <c r="G80" s="657" t="s">
        <v>221</v>
      </c>
      <c r="H80" s="657" t="s">
        <v>2566</v>
      </c>
      <c r="I80" s="657" t="s">
        <v>2567</v>
      </c>
      <c r="J80" s="657" t="s">
        <v>2568</v>
      </c>
      <c r="K80" s="657" t="s">
        <v>2569</v>
      </c>
      <c r="L80" s="834"/>
      <c r="M80" s="657" t="s">
        <v>2570</v>
      </c>
      <c r="N80" s="657" t="s">
        <v>2571</v>
      </c>
      <c r="O80" s="1129" t="s">
        <v>2387</v>
      </c>
      <c r="P80" s="534">
        <v>0.15</v>
      </c>
      <c r="Q80" s="534">
        <v>0.15</v>
      </c>
      <c r="R80" s="834"/>
      <c r="S80" s="834"/>
      <c r="T80" s="834"/>
    </row>
    <row r="81" spans="1:20" s="383" customFormat="1" ht="15" customHeight="1">
      <c r="A81" s="1129">
        <v>78</v>
      </c>
      <c r="B81" s="586"/>
      <c r="C81" s="1139" t="str">
        <f t="shared" si="4"/>
        <v/>
      </c>
      <c r="D81" s="1139" t="str">
        <f t="shared" si="5"/>
        <v>IPHARRA</v>
      </c>
      <c r="E81" s="1129" t="s">
        <v>1425</v>
      </c>
      <c r="F81" s="69" t="s">
        <v>1154</v>
      </c>
      <c r="G81" s="1129" t="s">
        <v>95</v>
      </c>
      <c r="H81" s="539"/>
      <c r="I81" s="1129"/>
      <c r="J81" s="1129"/>
      <c r="K81" s="1129"/>
      <c r="L81" s="1129"/>
      <c r="M81" s="1129"/>
      <c r="N81" s="626"/>
      <c r="O81" s="1129" t="s">
        <v>2419</v>
      </c>
      <c r="P81" s="1129"/>
      <c r="Q81" s="1129"/>
      <c r="R81" s="538"/>
      <c r="S81" s="538"/>
      <c r="T81" s="494"/>
    </row>
    <row r="82" spans="1:20" s="383" customFormat="1" ht="15" customHeight="1">
      <c r="A82" s="1130">
        <v>79</v>
      </c>
      <c r="B82" s="76" t="s">
        <v>420</v>
      </c>
      <c r="C82" s="1139" t="str">
        <f t="shared" si="4"/>
        <v>ISAIA, AXA Assurances Antibes</v>
      </c>
      <c r="D82" s="1139" t="str">
        <f t="shared" si="5"/>
        <v/>
      </c>
      <c r="E82" s="76" t="s">
        <v>421</v>
      </c>
      <c r="F82" s="69" t="s">
        <v>587</v>
      </c>
      <c r="G82" s="76" t="s">
        <v>221</v>
      </c>
      <c r="H82" s="76" t="s">
        <v>422</v>
      </c>
      <c r="I82" s="76" t="s">
        <v>329</v>
      </c>
      <c r="J82" s="76" t="s">
        <v>330</v>
      </c>
      <c r="K82" s="76" t="s">
        <v>225</v>
      </c>
      <c r="L82" s="76"/>
      <c r="M82" s="544" t="s">
        <v>423</v>
      </c>
      <c r="N82" s="544" t="s">
        <v>424</v>
      </c>
      <c r="O82" s="76" t="s">
        <v>2387</v>
      </c>
      <c r="P82" s="534">
        <v>0.12</v>
      </c>
      <c r="Q82" s="535"/>
      <c r="R82" s="534"/>
      <c r="S82" s="534"/>
      <c r="T82" s="1129"/>
    </row>
    <row r="83" spans="1:20" s="383" customFormat="1" ht="15" customHeight="1">
      <c r="A83" s="1129">
        <v>80</v>
      </c>
      <c r="B83" s="652" t="s">
        <v>425</v>
      </c>
      <c r="C83" s="1139" t="str">
        <f t="shared" si="4"/>
        <v xml:space="preserve">ISIS GLOBAL SOLUTIONS </v>
      </c>
      <c r="D83" s="1139" t="str">
        <f t="shared" si="5"/>
        <v/>
      </c>
      <c r="E83" s="628" t="s">
        <v>426</v>
      </c>
      <c r="F83" s="69" t="s">
        <v>587</v>
      </c>
      <c r="G83" s="628" t="s">
        <v>221</v>
      </c>
      <c r="H83" s="652" t="s">
        <v>427</v>
      </c>
      <c r="I83" s="652" t="s">
        <v>428</v>
      </c>
      <c r="J83" s="652" t="s">
        <v>429</v>
      </c>
      <c r="K83" s="652" t="s">
        <v>225</v>
      </c>
      <c r="L83" s="652"/>
      <c r="M83" s="652" t="s">
        <v>430</v>
      </c>
      <c r="N83" s="652" t="s">
        <v>431</v>
      </c>
      <c r="O83" s="628" t="s">
        <v>2387</v>
      </c>
      <c r="P83" s="534">
        <v>0.12</v>
      </c>
      <c r="Q83" s="535"/>
      <c r="R83" s="534"/>
      <c r="S83" s="534"/>
      <c r="T83" s="494"/>
    </row>
    <row r="84" spans="1:20" s="383" customFormat="1" ht="15" customHeight="1">
      <c r="A84" s="1129">
        <v>81</v>
      </c>
      <c r="B84" s="1129"/>
      <c r="C84" s="1139" t="str">
        <f t="shared" si="4"/>
        <v>John L. Wortham &amp; Son, L.P.</v>
      </c>
      <c r="D84" s="1139" t="str">
        <f t="shared" si="5"/>
        <v/>
      </c>
      <c r="E84" s="76" t="s">
        <v>569</v>
      </c>
      <c r="F84" s="69" t="s">
        <v>587</v>
      </c>
      <c r="G84" s="76" t="s">
        <v>221</v>
      </c>
      <c r="H84" s="76" t="s">
        <v>570</v>
      </c>
      <c r="I84" s="76" t="s">
        <v>571</v>
      </c>
      <c r="J84" s="76" t="s">
        <v>572</v>
      </c>
      <c r="K84" s="76" t="s">
        <v>573</v>
      </c>
      <c r="L84" s="76"/>
      <c r="M84" s="76" t="s">
        <v>574</v>
      </c>
      <c r="N84" s="1129"/>
      <c r="O84" s="76" t="s">
        <v>2387</v>
      </c>
      <c r="P84" s="534">
        <v>0.12</v>
      </c>
      <c r="Q84" s="534">
        <v>0.12</v>
      </c>
      <c r="R84" s="538"/>
      <c r="S84" s="538"/>
      <c r="T84" s="494"/>
    </row>
    <row r="85" spans="1:20" s="383" customFormat="1" ht="15" customHeight="1">
      <c r="A85" s="1130">
        <v>82</v>
      </c>
      <c r="B85" s="1130" t="s">
        <v>432</v>
      </c>
      <c r="C85" s="1139" t="str">
        <f t="shared" si="4"/>
        <v>JOURDAN GASSIN Nice</v>
      </c>
      <c r="D85" s="1139" t="str">
        <f t="shared" si="5"/>
        <v/>
      </c>
      <c r="E85" s="1130" t="s">
        <v>433</v>
      </c>
      <c r="F85" s="69" t="s">
        <v>587</v>
      </c>
      <c r="G85" s="1130" t="s">
        <v>221</v>
      </c>
      <c r="H85" s="1130" t="s">
        <v>434</v>
      </c>
      <c r="I85" s="1130" t="s">
        <v>261</v>
      </c>
      <c r="J85" s="1130" t="s">
        <v>262</v>
      </c>
      <c r="K85" s="1130" t="s">
        <v>225</v>
      </c>
      <c r="L85" s="1130"/>
      <c r="M85" s="1130" t="s">
        <v>435</v>
      </c>
      <c r="N85" s="1130"/>
      <c r="O85" s="1130" t="s">
        <v>2387</v>
      </c>
      <c r="P85" s="534">
        <v>0.12</v>
      </c>
      <c r="Q85" s="535"/>
      <c r="R85" s="534"/>
      <c r="S85" s="534"/>
      <c r="T85" s="1130" t="s">
        <v>436</v>
      </c>
    </row>
    <row r="86" spans="1:20" s="383" customFormat="1" ht="15" customHeight="1">
      <c r="A86" s="1129">
        <v>83</v>
      </c>
      <c r="B86" s="494"/>
      <c r="C86" s="1139" t="str">
        <f t="shared" si="4"/>
        <v>Junge Verzekeringsmakelaars NV</v>
      </c>
      <c r="D86" s="1139" t="str">
        <f t="shared" si="5"/>
        <v/>
      </c>
      <c r="E86" s="76" t="s">
        <v>2401</v>
      </c>
      <c r="F86" s="69" t="s">
        <v>587</v>
      </c>
      <c r="G86" s="76" t="s">
        <v>221</v>
      </c>
      <c r="H86" s="628" t="s">
        <v>2402</v>
      </c>
      <c r="I86" s="628" t="s">
        <v>888</v>
      </c>
      <c r="J86" s="628" t="s">
        <v>2403</v>
      </c>
      <c r="K86" s="628" t="s">
        <v>890</v>
      </c>
      <c r="L86" s="628"/>
      <c r="M86" s="628" t="s">
        <v>2404</v>
      </c>
      <c r="N86" s="1130" t="s">
        <v>2405</v>
      </c>
      <c r="O86" s="628" t="s">
        <v>2387</v>
      </c>
      <c r="P86" s="538">
        <v>0.15</v>
      </c>
      <c r="Q86" s="538">
        <v>0.15</v>
      </c>
      <c r="R86" s="538"/>
      <c r="S86" s="538"/>
      <c r="T86" s="586"/>
    </row>
    <row r="87" spans="1:20" s="383" customFormat="1" ht="15" customHeight="1">
      <c r="A87" s="1129">
        <v>84</v>
      </c>
      <c r="B87" s="1130" t="s">
        <v>437</v>
      </c>
      <c r="C87" s="1139" t="str">
        <f t="shared" si="4"/>
        <v>LALANDRE ASSURANCES</v>
      </c>
      <c r="D87" s="1139" t="str">
        <f t="shared" si="5"/>
        <v/>
      </c>
      <c r="E87" s="1130" t="s">
        <v>438</v>
      </c>
      <c r="F87" s="69" t="s">
        <v>587</v>
      </c>
      <c r="G87" s="1130" t="s">
        <v>221</v>
      </c>
      <c r="H87" s="1130" t="s">
        <v>439</v>
      </c>
      <c r="I87" s="1130" t="s">
        <v>242</v>
      </c>
      <c r="J87" s="1130" t="s">
        <v>377</v>
      </c>
      <c r="K87" s="1130" t="s">
        <v>225</v>
      </c>
      <c r="L87" s="1130"/>
      <c r="M87" s="1130" t="s">
        <v>440</v>
      </c>
      <c r="N87" s="1130" t="s">
        <v>441</v>
      </c>
      <c r="O87" s="1130" t="s">
        <v>2387</v>
      </c>
      <c r="P87" s="534">
        <v>0.12</v>
      </c>
      <c r="Q87" s="535"/>
      <c r="R87" s="534"/>
      <c r="S87" s="534"/>
      <c r="T87" s="494"/>
    </row>
    <row r="88" spans="1:20" s="383" customFormat="1" ht="15" customHeight="1">
      <c r="A88" s="1130">
        <v>85</v>
      </c>
      <c r="B88" s="626"/>
      <c r="C88" s="1139" t="str">
        <f t="shared" si="4"/>
        <v/>
      </c>
      <c r="D88" s="1139" t="str">
        <f t="shared" si="5"/>
        <v>LENGERS YACHTS</v>
      </c>
      <c r="E88" s="1129" t="s">
        <v>1544</v>
      </c>
      <c r="F88" s="69" t="s">
        <v>1154</v>
      </c>
      <c r="G88" s="1129" t="s">
        <v>95</v>
      </c>
      <c r="H88" s="539" t="s">
        <v>1545</v>
      </c>
      <c r="I88" s="494" t="s">
        <v>1546</v>
      </c>
      <c r="J88" s="494" t="s">
        <v>1547</v>
      </c>
      <c r="K88" s="626" t="s">
        <v>53</v>
      </c>
      <c r="L88" s="626"/>
      <c r="M88" s="1129"/>
      <c r="N88" s="1129"/>
      <c r="O88" s="494" t="s">
        <v>2419</v>
      </c>
      <c r="P88" s="1129"/>
      <c r="Q88" s="1129"/>
      <c r="R88" s="538"/>
      <c r="S88" s="538"/>
      <c r="T88" s="626"/>
    </row>
    <row r="89" spans="1:20" s="383" customFormat="1" ht="15" customHeight="1">
      <c r="A89" s="1129">
        <v>86</v>
      </c>
      <c r="B89" s="626"/>
      <c r="C89" s="1139" t="str">
        <f t="shared" si="4"/>
        <v>LK Courtage</v>
      </c>
      <c r="D89" s="1139" t="str">
        <f t="shared" si="5"/>
        <v/>
      </c>
      <c r="E89" s="1130" t="s">
        <v>565</v>
      </c>
      <c r="F89" s="69" t="s">
        <v>587</v>
      </c>
      <c r="G89" s="1130" t="s">
        <v>221</v>
      </c>
      <c r="H89" s="1130" t="s">
        <v>566</v>
      </c>
      <c r="I89" s="1130" t="s">
        <v>242</v>
      </c>
      <c r="J89" s="1130" t="s">
        <v>377</v>
      </c>
      <c r="K89" s="1130" t="s">
        <v>225</v>
      </c>
      <c r="L89" s="1130"/>
      <c r="M89" s="1130" t="s">
        <v>567</v>
      </c>
      <c r="N89" s="652" t="s">
        <v>568</v>
      </c>
      <c r="O89" s="1130" t="s">
        <v>2387</v>
      </c>
      <c r="P89" s="534">
        <v>0.12</v>
      </c>
      <c r="Q89" s="534">
        <v>0.12</v>
      </c>
      <c r="R89" s="538"/>
      <c r="S89" s="538"/>
      <c r="T89" s="626"/>
    </row>
    <row r="90" spans="1:20" s="383" customFormat="1" ht="15" customHeight="1">
      <c r="A90" s="1129">
        <v>87</v>
      </c>
      <c r="B90" s="1129"/>
      <c r="C90" s="1139" t="str">
        <f t="shared" si="4"/>
        <v/>
      </c>
      <c r="D90" s="1139" t="str">
        <f t="shared" si="5"/>
        <v>Long River Corporate</v>
      </c>
      <c r="E90" s="626" t="s">
        <v>1309</v>
      </c>
      <c r="F90" s="69" t="s">
        <v>1154</v>
      </c>
      <c r="G90" s="1129" t="s">
        <v>95</v>
      </c>
      <c r="H90" s="539"/>
      <c r="I90" s="626"/>
      <c r="J90" s="626"/>
      <c r="K90" s="1129"/>
      <c r="L90" s="1129"/>
      <c r="M90" s="1129"/>
      <c r="N90" s="1129"/>
      <c r="O90" s="494" t="s">
        <v>2419</v>
      </c>
      <c r="P90" s="1129"/>
      <c r="Q90" s="1129"/>
      <c r="R90" s="538"/>
      <c r="S90" s="538"/>
      <c r="T90" s="1129"/>
    </row>
    <row r="91" spans="1:20" s="383" customFormat="1" ht="15" customHeight="1">
      <c r="A91" s="1130">
        <v>88</v>
      </c>
      <c r="B91" s="1129"/>
      <c r="C91" s="1139" t="str">
        <f t="shared" si="4"/>
        <v/>
      </c>
      <c r="D91" s="1139" t="str">
        <f t="shared" si="5"/>
        <v>Luxembourg Marine Services S.A.</v>
      </c>
      <c r="E91" s="628" t="s">
        <v>444</v>
      </c>
      <c r="F91" s="69" t="s">
        <v>1154</v>
      </c>
      <c r="G91" s="628" t="s">
        <v>95</v>
      </c>
      <c r="H91" s="1129" t="s">
        <v>2424</v>
      </c>
      <c r="I91" s="1129" t="s">
        <v>2425</v>
      </c>
      <c r="J91" s="1129" t="s">
        <v>186</v>
      </c>
      <c r="K91" s="1129" t="s">
        <v>186</v>
      </c>
      <c r="L91" s="1129"/>
      <c r="M91" s="652" t="s">
        <v>445</v>
      </c>
      <c r="N91" s="652" t="s">
        <v>446</v>
      </c>
      <c r="O91" s="494" t="s">
        <v>2419</v>
      </c>
      <c r="P91" s="534">
        <v>0.08</v>
      </c>
      <c r="Q91" s="538"/>
      <c r="R91" s="534"/>
      <c r="S91" s="534"/>
      <c r="T91" s="1129"/>
    </row>
    <row r="92" spans="1:20" s="383" customFormat="1" ht="15" customHeight="1">
      <c r="A92" s="1129">
        <v>89</v>
      </c>
      <c r="B92" s="586"/>
      <c r="C92" s="1139" t="str">
        <f t="shared" si="4"/>
        <v/>
      </c>
      <c r="D92" s="1139" t="str">
        <f t="shared" si="5"/>
        <v>M1 Management</v>
      </c>
      <c r="E92" s="1129" t="s">
        <v>746</v>
      </c>
      <c r="F92" s="69" t="s">
        <v>1154</v>
      </c>
      <c r="G92" s="586" t="s">
        <v>95</v>
      </c>
      <c r="H92" s="1129" t="s">
        <v>2426</v>
      </c>
      <c r="I92" s="1129" t="s">
        <v>268</v>
      </c>
      <c r="J92" s="1129" t="s">
        <v>480</v>
      </c>
      <c r="K92" s="1129" t="s">
        <v>480</v>
      </c>
      <c r="L92" s="1129"/>
      <c r="M92" s="1129"/>
      <c r="N92" s="1129"/>
      <c r="O92" s="494" t="s">
        <v>2419</v>
      </c>
      <c r="P92" s="1129"/>
      <c r="Q92" s="586"/>
      <c r="R92" s="538"/>
      <c r="S92" s="538"/>
      <c r="T92" s="494"/>
    </row>
    <row r="93" spans="1:20" s="369" customFormat="1" ht="15" customHeight="1">
      <c r="A93" s="1129">
        <v>90</v>
      </c>
      <c r="B93" s="1130" t="s">
        <v>442</v>
      </c>
      <c r="C93" s="1139" t="str">
        <f t="shared" si="4"/>
        <v/>
      </c>
      <c r="D93" s="1139" t="str">
        <f t="shared" si="5"/>
        <v>MAGELLAN</v>
      </c>
      <c r="E93" s="626" t="s">
        <v>1191</v>
      </c>
      <c r="F93" s="69" t="s">
        <v>1154</v>
      </c>
      <c r="G93" s="1130" t="s">
        <v>95</v>
      </c>
      <c r="H93" s="1129" t="s">
        <v>2427</v>
      </c>
      <c r="I93" s="626" t="s">
        <v>1192</v>
      </c>
      <c r="J93" s="626" t="s">
        <v>447</v>
      </c>
      <c r="K93" s="1126" t="s">
        <v>186</v>
      </c>
      <c r="L93" s="1126"/>
      <c r="M93" s="1130" t="s">
        <v>448</v>
      </c>
      <c r="N93" s="1130" t="s">
        <v>449</v>
      </c>
      <c r="O93" s="494" t="s">
        <v>2419</v>
      </c>
      <c r="P93" s="534">
        <v>0.1</v>
      </c>
      <c r="Q93" s="833"/>
      <c r="R93" s="833"/>
      <c r="S93" s="833"/>
      <c r="T93" s="1130" t="s">
        <v>450</v>
      </c>
    </row>
    <row r="94" spans="1:20" s="369" customFormat="1" ht="15" customHeight="1">
      <c r="A94" s="1130">
        <v>91</v>
      </c>
      <c r="B94" s="1130" t="s">
        <v>451</v>
      </c>
      <c r="C94" s="1139" t="str">
        <f t="shared" si="4"/>
        <v/>
      </c>
      <c r="D94" s="1139" t="str">
        <f t="shared" si="5"/>
        <v>MAILLOT Florent</v>
      </c>
      <c r="E94" s="1130" t="s">
        <v>452</v>
      </c>
      <c r="F94" s="69" t="s">
        <v>1154</v>
      </c>
      <c r="G94" s="1130" t="s">
        <v>95</v>
      </c>
      <c r="H94" s="654" t="s">
        <v>453</v>
      </c>
      <c r="I94" s="654" t="s">
        <v>454</v>
      </c>
      <c r="J94" s="654" t="s">
        <v>455</v>
      </c>
      <c r="K94" s="654" t="s">
        <v>225</v>
      </c>
      <c r="L94" s="654"/>
      <c r="M94" s="1130"/>
      <c r="N94" s="1130"/>
      <c r="O94" s="494" t="s">
        <v>2419</v>
      </c>
      <c r="P94" s="534">
        <v>0.08</v>
      </c>
      <c r="Q94" s="535"/>
      <c r="R94" s="538"/>
      <c r="S94" s="538"/>
      <c r="T94" s="544"/>
    </row>
    <row r="95" spans="1:20" s="383" customFormat="1" ht="15" customHeight="1">
      <c r="A95" s="1129">
        <v>92</v>
      </c>
      <c r="B95" s="1129"/>
      <c r="C95" s="1139" t="str">
        <f t="shared" si="4"/>
        <v/>
      </c>
      <c r="D95" s="1139" t="str">
        <f t="shared" si="5"/>
        <v>Malta Nautic Management</v>
      </c>
      <c r="E95" s="628" t="s">
        <v>2428</v>
      </c>
      <c r="F95" s="69" t="s">
        <v>1154</v>
      </c>
      <c r="G95" s="1129" t="s">
        <v>95</v>
      </c>
      <c r="H95" s="541" t="s">
        <v>2429</v>
      </c>
      <c r="I95" s="1130" t="s">
        <v>2430</v>
      </c>
      <c r="J95" s="1130" t="s">
        <v>2431</v>
      </c>
      <c r="K95" s="1130" t="s">
        <v>51</v>
      </c>
      <c r="L95" s="1130"/>
      <c r="M95" s="1130"/>
      <c r="N95" s="1130"/>
      <c r="O95" s="494" t="s">
        <v>2419</v>
      </c>
      <c r="P95" s="1130"/>
      <c r="Q95" s="1129"/>
      <c r="R95" s="538"/>
      <c r="S95" s="538"/>
      <c r="T95" s="1129"/>
    </row>
    <row r="96" spans="1:20" s="383" customFormat="1" ht="15" customHeight="1">
      <c r="A96" s="1129">
        <v>93</v>
      </c>
      <c r="B96" s="494"/>
      <c r="C96" s="1139" t="str">
        <f t="shared" si="4"/>
        <v/>
      </c>
      <c r="D96" s="1139" t="str">
        <f t="shared" si="5"/>
        <v>Mann Made Corporate Services Limited</v>
      </c>
      <c r="E96" s="494" t="s">
        <v>1497</v>
      </c>
      <c r="F96" s="69" t="s">
        <v>1154</v>
      </c>
      <c r="G96" s="494" t="s">
        <v>95</v>
      </c>
      <c r="H96" s="540" t="s">
        <v>1498</v>
      </c>
      <c r="I96" s="494" t="s">
        <v>1500</v>
      </c>
      <c r="J96" s="494" t="s">
        <v>1499</v>
      </c>
      <c r="K96" s="494" t="s">
        <v>1501</v>
      </c>
      <c r="L96" s="494"/>
      <c r="M96" s="1129"/>
      <c r="N96" s="1129"/>
      <c r="O96" s="494" t="s">
        <v>2419</v>
      </c>
      <c r="P96" s="1129"/>
      <c r="Q96" s="1129"/>
      <c r="R96" s="538"/>
      <c r="S96" s="538"/>
      <c r="T96" s="1129"/>
    </row>
    <row r="97" spans="1:20" s="383" customFormat="1" ht="15" customHeight="1">
      <c r="A97" s="1130">
        <v>94</v>
      </c>
      <c r="B97" s="494"/>
      <c r="C97" s="1139" t="str">
        <f t="shared" si="4"/>
        <v/>
      </c>
      <c r="D97" s="1139" t="str">
        <f t="shared" si="5"/>
        <v>Marine Construction Management LLC</v>
      </c>
      <c r="E97" s="494" t="s">
        <v>1709</v>
      </c>
      <c r="F97" s="69" t="s">
        <v>1154</v>
      </c>
      <c r="G97" s="494" t="s">
        <v>95</v>
      </c>
      <c r="H97" s="539" t="s">
        <v>1710</v>
      </c>
      <c r="I97" s="494" t="s">
        <v>1711</v>
      </c>
      <c r="J97" s="494" t="s">
        <v>1712</v>
      </c>
      <c r="K97" s="494" t="s">
        <v>573</v>
      </c>
      <c r="L97" s="494"/>
      <c r="M97" s="494"/>
      <c r="N97" s="494"/>
      <c r="O97" s="494" t="s">
        <v>2419</v>
      </c>
      <c r="P97" s="494"/>
      <c r="Q97" s="494"/>
      <c r="R97" s="538"/>
      <c r="S97" s="538"/>
      <c r="T97" s="494"/>
    </row>
    <row r="98" spans="1:20" s="383" customFormat="1" ht="15" customHeight="1">
      <c r="A98" s="1129">
        <v>95</v>
      </c>
      <c r="B98" s="542" t="s">
        <v>456</v>
      </c>
      <c r="C98" s="1139" t="str">
        <f t="shared" si="4"/>
        <v/>
      </c>
      <c r="D98" s="1139" t="str">
        <f t="shared" si="5"/>
        <v xml:space="preserve">MARINESSANCE </v>
      </c>
      <c r="E98" s="1130" t="s">
        <v>457</v>
      </c>
      <c r="F98" s="69" t="s">
        <v>1154</v>
      </c>
      <c r="G98" s="1130" t="s">
        <v>95</v>
      </c>
      <c r="H98" s="652"/>
      <c r="I98" s="652"/>
      <c r="J98" s="73"/>
      <c r="K98" s="73"/>
      <c r="L98" s="73"/>
      <c r="M98" s="652"/>
      <c r="N98" s="652"/>
      <c r="O98" s="626" t="s">
        <v>2419</v>
      </c>
      <c r="P98" s="534">
        <v>0.08</v>
      </c>
      <c r="Q98" s="538"/>
      <c r="R98" s="538"/>
      <c r="S98" s="538"/>
      <c r="T98" s="652"/>
    </row>
    <row r="99" spans="1:20" s="369" customFormat="1" ht="15" customHeight="1">
      <c r="A99" s="1129">
        <v>96</v>
      </c>
      <c r="B99" s="626"/>
      <c r="C99" s="1139" t="str">
        <f t="shared" si="4"/>
        <v/>
      </c>
      <c r="D99" s="1139" t="str">
        <f t="shared" si="5"/>
        <v>Maritime Albatros</v>
      </c>
      <c r="E99" s="626" t="s">
        <v>666</v>
      </c>
      <c r="F99" s="69" t="s">
        <v>1154</v>
      </c>
      <c r="G99" s="626" t="s">
        <v>95</v>
      </c>
      <c r="H99" s="539"/>
      <c r="I99" s="626"/>
      <c r="J99" s="626"/>
      <c r="K99" s="626"/>
      <c r="L99" s="626"/>
      <c r="M99" s="833"/>
      <c r="N99" s="833"/>
      <c r="O99" s="626" t="s">
        <v>2419</v>
      </c>
      <c r="P99" s="833"/>
      <c r="Q99" s="833"/>
      <c r="R99" s="833"/>
      <c r="S99" s="833"/>
      <c r="T99" s="833"/>
    </row>
    <row r="100" spans="1:20" s="369" customFormat="1" ht="15" customHeight="1">
      <c r="A100" s="1130">
        <v>97</v>
      </c>
      <c r="B100" s="1129"/>
      <c r="C100" s="1139" t="str">
        <f t="shared" si="4"/>
        <v/>
      </c>
      <c r="D100" s="1139" t="str">
        <f t="shared" si="5"/>
        <v>MAX RÄZ</v>
      </c>
      <c r="E100" s="1129" t="s">
        <v>1593</v>
      </c>
      <c r="F100" s="69" t="s">
        <v>1154</v>
      </c>
      <c r="G100" s="1129" t="s">
        <v>95</v>
      </c>
      <c r="H100" s="539"/>
      <c r="I100" s="1129" t="s">
        <v>1594</v>
      </c>
      <c r="J100" s="1129" t="s">
        <v>1595</v>
      </c>
      <c r="K100" s="1129" t="s">
        <v>1596</v>
      </c>
      <c r="L100" s="1129"/>
      <c r="M100" s="1129"/>
      <c r="N100" s="1129"/>
      <c r="O100" s="1129" t="s">
        <v>2419</v>
      </c>
      <c r="P100" s="1129"/>
      <c r="Q100" s="1129"/>
      <c r="R100" s="538"/>
      <c r="S100" s="538"/>
      <c r="T100" s="494"/>
    </row>
    <row r="101" spans="1:20" s="369" customFormat="1" ht="15" customHeight="1">
      <c r="A101" s="1129">
        <v>98</v>
      </c>
      <c r="B101" s="1129"/>
      <c r="C101" s="1139" t="str">
        <f t="shared" si="4"/>
        <v/>
      </c>
      <c r="D101" s="1139" t="str">
        <f t="shared" si="5"/>
        <v>MD Management Corp.</v>
      </c>
      <c r="E101" s="1129" t="s">
        <v>1456</v>
      </c>
      <c r="F101" s="69" t="s">
        <v>1154</v>
      </c>
      <c r="G101" s="1129" t="s">
        <v>95</v>
      </c>
      <c r="H101" s="539"/>
      <c r="I101" s="1129"/>
      <c r="J101" s="1129"/>
      <c r="K101" s="1129"/>
      <c r="L101" s="1129"/>
      <c r="M101" s="1129"/>
      <c r="N101" s="1129"/>
      <c r="O101" s="1129" t="s">
        <v>2419</v>
      </c>
      <c r="P101" s="1129"/>
      <c r="Q101" s="1129"/>
      <c r="R101" s="538"/>
      <c r="S101" s="538"/>
      <c r="T101" s="494"/>
    </row>
    <row r="102" spans="1:20" s="369" customFormat="1" ht="15" customHeight="1">
      <c r="A102" s="1129">
        <v>99</v>
      </c>
      <c r="B102" s="1129"/>
      <c r="C102" s="1139" t="str">
        <f t="shared" si="4"/>
        <v/>
      </c>
      <c r="D102" s="1139" t="str">
        <f t="shared" si="5"/>
        <v>Mediterranean Yacht Services</v>
      </c>
      <c r="E102" s="1129" t="s">
        <v>1277</v>
      </c>
      <c r="F102" s="69" t="s">
        <v>1154</v>
      </c>
      <c r="G102" s="1129" t="s">
        <v>95</v>
      </c>
      <c r="H102" s="540" t="s">
        <v>1278</v>
      </c>
      <c r="I102" s="1129" t="s">
        <v>268</v>
      </c>
      <c r="J102" s="1129" t="s">
        <v>269</v>
      </c>
      <c r="K102" s="1129" t="s">
        <v>480</v>
      </c>
      <c r="L102" s="1129"/>
      <c r="M102" s="1129"/>
      <c r="N102" s="1129"/>
      <c r="O102" s="494" t="s">
        <v>2419</v>
      </c>
      <c r="P102" s="1129"/>
      <c r="Q102" s="1129"/>
      <c r="R102" s="538"/>
      <c r="S102" s="538"/>
      <c r="T102" s="494"/>
    </row>
    <row r="103" spans="1:20" s="369" customFormat="1" ht="15" customHeight="1">
      <c r="A103" s="1130">
        <v>100</v>
      </c>
      <c r="B103" s="652" t="s">
        <v>458</v>
      </c>
      <c r="C103" s="1139" t="str">
        <f t="shared" si="4"/>
        <v>MER &amp; YACHT ASSURANCE</v>
      </c>
      <c r="D103" s="1139" t="str">
        <f t="shared" si="5"/>
        <v/>
      </c>
      <c r="E103" s="628" t="s">
        <v>459</v>
      </c>
      <c r="F103" s="69" t="s">
        <v>587</v>
      </c>
      <c r="G103" s="628" t="s">
        <v>221</v>
      </c>
      <c r="H103" s="77" t="s">
        <v>460</v>
      </c>
      <c r="I103" s="77" t="s">
        <v>242</v>
      </c>
      <c r="J103" s="652" t="s">
        <v>52</v>
      </c>
      <c r="K103" s="77" t="s">
        <v>225</v>
      </c>
      <c r="L103" s="77"/>
      <c r="M103" s="77" t="s">
        <v>461</v>
      </c>
      <c r="N103" s="652"/>
      <c r="O103" s="1130" t="s">
        <v>2387</v>
      </c>
      <c r="P103" s="535">
        <v>0.15</v>
      </c>
      <c r="Q103" s="535"/>
      <c r="R103" s="534"/>
      <c r="S103" s="534"/>
      <c r="T103" s="586"/>
    </row>
    <row r="104" spans="1:20" s="383" customFormat="1" ht="15" customHeight="1">
      <c r="A104" s="1129">
        <v>101</v>
      </c>
      <c r="B104" s="1130" t="s">
        <v>462</v>
      </c>
      <c r="C104" s="1139" t="str">
        <f t="shared" si="4"/>
        <v xml:space="preserve">MERS &amp; RIVIERES </v>
      </c>
      <c r="D104" s="1139" t="str">
        <f t="shared" si="5"/>
        <v/>
      </c>
      <c r="E104" s="1130" t="s">
        <v>463</v>
      </c>
      <c r="F104" s="69" t="s">
        <v>587</v>
      </c>
      <c r="G104" s="1130" t="s">
        <v>221</v>
      </c>
      <c r="H104" s="1130" t="s">
        <v>464</v>
      </c>
      <c r="I104" s="1130" t="s">
        <v>175</v>
      </c>
      <c r="J104" s="1130" t="s">
        <v>92</v>
      </c>
      <c r="K104" s="1130" t="s">
        <v>225</v>
      </c>
      <c r="L104" s="1130"/>
      <c r="M104" s="542" t="s">
        <v>465</v>
      </c>
      <c r="N104" s="654"/>
      <c r="O104" s="1130" t="s">
        <v>2387</v>
      </c>
      <c r="P104" s="534">
        <v>0.15</v>
      </c>
      <c r="Q104" s="535"/>
      <c r="R104" s="534"/>
      <c r="S104" s="534"/>
      <c r="T104" s="626"/>
    </row>
    <row r="105" spans="1:20" s="383" customFormat="1" ht="15" customHeight="1">
      <c r="A105" s="1129">
        <v>102</v>
      </c>
      <c r="B105" s="1130" t="s">
        <v>466</v>
      </c>
      <c r="C105" s="1139" t="str">
        <f t="shared" si="4"/>
        <v/>
      </c>
      <c r="D105" s="1139" t="str">
        <f t="shared" si="5"/>
        <v>Miremont Patrick</v>
      </c>
      <c r="E105" s="1130" t="s">
        <v>467</v>
      </c>
      <c r="F105" s="69" t="s">
        <v>1154</v>
      </c>
      <c r="G105" s="1130" t="s">
        <v>95</v>
      </c>
      <c r="H105" s="1130"/>
      <c r="I105" s="1130" t="s">
        <v>468</v>
      </c>
      <c r="J105" s="1130" t="s">
        <v>469</v>
      </c>
      <c r="K105" s="1130" t="s">
        <v>225</v>
      </c>
      <c r="L105" s="1130"/>
      <c r="M105" s="1130" t="s">
        <v>470</v>
      </c>
      <c r="N105" s="1130"/>
      <c r="O105" s="494" t="s">
        <v>2419</v>
      </c>
      <c r="P105" s="534">
        <v>0.08</v>
      </c>
      <c r="Q105" s="535"/>
      <c r="R105" s="534"/>
      <c r="S105" s="534"/>
      <c r="T105" s="494"/>
    </row>
    <row r="106" spans="1:20" s="383" customFormat="1" ht="15" customHeight="1">
      <c r="A106" s="1130">
        <v>103</v>
      </c>
      <c r="B106" s="1129"/>
      <c r="C106" s="1139" t="str">
        <f t="shared" si="4"/>
        <v/>
      </c>
      <c r="D106" s="1139" t="str">
        <f t="shared" si="5"/>
        <v>Monaco Equipage</v>
      </c>
      <c r="E106" s="628" t="s">
        <v>471</v>
      </c>
      <c r="F106" s="69" t="s">
        <v>1154</v>
      </c>
      <c r="G106" s="76" t="s">
        <v>95</v>
      </c>
      <c r="H106" s="652" t="s">
        <v>472</v>
      </c>
      <c r="I106" s="652" t="s">
        <v>297</v>
      </c>
      <c r="J106" s="548" t="s">
        <v>269</v>
      </c>
      <c r="K106" s="652" t="s">
        <v>269</v>
      </c>
      <c r="L106" s="652"/>
      <c r="M106" s="652" t="s">
        <v>298</v>
      </c>
      <c r="N106" s="1129"/>
      <c r="O106" s="626" t="s">
        <v>2419</v>
      </c>
      <c r="P106" s="538">
        <v>0.08</v>
      </c>
      <c r="Q106" s="538"/>
      <c r="R106" s="534"/>
      <c r="S106" s="534"/>
      <c r="T106" s="1129"/>
    </row>
    <row r="107" spans="1:20" s="383" customFormat="1" ht="15" customHeight="1">
      <c r="A107" s="1129">
        <v>104</v>
      </c>
      <c r="B107" s="626"/>
      <c r="C107" s="1139" t="str">
        <f t="shared" si="4"/>
        <v/>
      </c>
      <c r="D107" s="1139" t="str">
        <f t="shared" si="5"/>
        <v>MONACO EQUIPAGE</v>
      </c>
      <c r="E107" s="626" t="s">
        <v>1733</v>
      </c>
      <c r="F107" s="69" t="s">
        <v>1154</v>
      </c>
      <c r="G107" s="626" t="s">
        <v>95</v>
      </c>
      <c r="H107" s="540" t="s">
        <v>1293</v>
      </c>
      <c r="I107" s="1129" t="s">
        <v>297</v>
      </c>
      <c r="J107" s="626" t="s">
        <v>269</v>
      </c>
      <c r="K107" s="626" t="s">
        <v>480</v>
      </c>
      <c r="L107" s="626"/>
      <c r="M107" s="626"/>
      <c r="N107" s="626"/>
      <c r="O107" s="626" t="s">
        <v>2419</v>
      </c>
      <c r="P107" s="626"/>
      <c r="Q107" s="626"/>
      <c r="R107" s="538"/>
      <c r="S107" s="538"/>
      <c r="T107" s="494"/>
    </row>
    <row r="108" spans="1:20" s="383" customFormat="1" ht="15" customHeight="1">
      <c r="A108" s="1129">
        <v>105</v>
      </c>
      <c r="B108" s="1129"/>
      <c r="C108" s="1139" t="str">
        <f t="shared" si="4"/>
        <v/>
      </c>
      <c r="D108" s="1139" t="str">
        <f t="shared" si="5"/>
        <v>Moonlight Shipping Ltd</v>
      </c>
      <c r="E108" s="586" t="s">
        <v>1734</v>
      </c>
      <c r="F108" s="69" t="s">
        <v>1154</v>
      </c>
      <c r="G108" s="1129" t="s">
        <v>95</v>
      </c>
      <c r="H108" s="539"/>
      <c r="I108" s="494"/>
      <c r="J108" s="494"/>
      <c r="K108" s="494"/>
      <c r="L108" s="494"/>
      <c r="M108" s="1129"/>
      <c r="N108" s="1129"/>
      <c r="O108" s="1129" t="s">
        <v>2419</v>
      </c>
      <c r="P108" s="1129"/>
      <c r="Q108" s="1129"/>
      <c r="R108" s="538"/>
      <c r="S108" s="538"/>
      <c r="T108" s="1129"/>
    </row>
    <row r="109" spans="1:20" s="383" customFormat="1" ht="15" customHeight="1">
      <c r="A109" s="1130">
        <v>106</v>
      </c>
      <c r="B109" s="628" t="s">
        <v>473</v>
      </c>
      <c r="C109" s="1139" t="str">
        <f t="shared" si="4"/>
        <v>MTAIC Cannes</v>
      </c>
      <c r="D109" s="1139" t="str">
        <f t="shared" si="5"/>
        <v/>
      </c>
      <c r="E109" s="628" t="s">
        <v>474</v>
      </c>
      <c r="F109" s="69" t="s">
        <v>587</v>
      </c>
      <c r="G109" s="628" t="s">
        <v>221</v>
      </c>
      <c r="H109" s="628" t="s">
        <v>475</v>
      </c>
      <c r="I109" s="628" t="s">
        <v>242</v>
      </c>
      <c r="J109" s="628" t="s">
        <v>377</v>
      </c>
      <c r="K109" s="628" t="s">
        <v>225</v>
      </c>
      <c r="L109" s="628"/>
      <c r="M109" s="628" t="s">
        <v>476</v>
      </c>
      <c r="N109" s="628" t="s">
        <v>477</v>
      </c>
      <c r="O109" s="1129" t="s">
        <v>2419</v>
      </c>
      <c r="P109" s="534">
        <v>0.15</v>
      </c>
      <c r="Q109" s="535"/>
      <c r="R109" s="534"/>
      <c r="S109" s="534"/>
      <c r="T109" s="1130" t="s">
        <v>478</v>
      </c>
    </row>
    <row r="110" spans="1:20" s="383" customFormat="1" ht="15" customHeight="1">
      <c r="A110" s="1129">
        <v>148</v>
      </c>
      <c r="B110" s="652" t="s">
        <v>425</v>
      </c>
      <c r="C110" s="1139" t="str">
        <f t="shared" si="4"/>
        <v>MUST ASSURANCES</v>
      </c>
      <c r="D110" s="1139" t="str">
        <f t="shared" si="5"/>
        <v/>
      </c>
      <c r="E110" s="1130" t="s">
        <v>2801</v>
      </c>
      <c r="F110" s="1126" t="s">
        <v>587</v>
      </c>
      <c r="G110" s="1130" t="s">
        <v>221</v>
      </c>
      <c r="H110" s="652" t="s">
        <v>427</v>
      </c>
      <c r="I110" s="652" t="s">
        <v>428</v>
      </c>
      <c r="J110" s="652" t="s">
        <v>429</v>
      </c>
      <c r="K110" s="652" t="s">
        <v>225</v>
      </c>
      <c r="L110" s="652"/>
      <c r="M110" s="652" t="s">
        <v>430</v>
      </c>
      <c r="N110" s="652" t="s">
        <v>431</v>
      </c>
      <c r="O110" s="1130" t="s">
        <v>2387</v>
      </c>
      <c r="P110" s="534">
        <v>0.12</v>
      </c>
      <c r="Q110" s="535"/>
      <c r="R110" s="534"/>
      <c r="S110" s="534"/>
      <c r="T110" s="1129"/>
    </row>
    <row r="111" spans="1:20" s="383" customFormat="1" ht="15" customHeight="1">
      <c r="A111" s="1129">
        <v>107</v>
      </c>
      <c r="B111" s="1129"/>
      <c r="C111" s="1139" t="str">
        <f t="shared" si="4"/>
        <v/>
      </c>
      <c r="D111" s="1139" t="str">
        <f t="shared" si="5"/>
        <v>MW AFRITEC</v>
      </c>
      <c r="E111" s="586" t="s">
        <v>1659</v>
      </c>
      <c r="F111" s="69" t="s">
        <v>1154</v>
      </c>
      <c r="G111" s="1129" t="s">
        <v>95</v>
      </c>
      <c r="H111" s="1129" t="s">
        <v>1562</v>
      </c>
      <c r="I111" s="546" t="s">
        <v>1563</v>
      </c>
      <c r="J111" s="586" t="s">
        <v>1564</v>
      </c>
      <c r="K111" s="586" t="s">
        <v>1735</v>
      </c>
      <c r="L111" s="586"/>
      <c r="M111" s="1129"/>
      <c r="N111" s="1129"/>
      <c r="O111" s="1129" t="s">
        <v>2419</v>
      </c>
      <c r="P111" s="1129"/>
      <c r="Q111" s="1129"/>
      <c r="R111" s="538"/>
      <c r="S111" s="538"/>
      <c r="T111" s="1129"/>
    </row>
    <row r="112" spans="1:20" s="383" customFormat="1" ht="15" customHeight="1">
      <c r="A112" s="1129">
        <v>108</v>
      </c>
      <c r="B112" s="1130" t="s">
        <v>479</v>
      </c>
      <c r="C112" s="1139" t="str">
        <f t="shared" si="4"/>
        <v>MY INSURANCE BROKERS</v>
      </c>
      <c r="D112" s="1139" t="str">
        <f t="shared" si="5"/>
        <v/>
      </c>
      <c r="E112" s="1129" t="s">
        <v>867</v>
      </c>
      <c r="F112" s="69" t="s">
        <v>587</v>
      </c>
      <c r="G112" s="1130" t="s">
        <v>221</v>
      </c>
      <c r="H112" s="539" t="s">
        <v>868</v>
      </c>
      <c r="I112" s="1129" t="s">
        <v>268</v>
      </c>
      <c r="J112" s="1129" t="s">
        <v>269</v>
      </c>
      <c r="K112" s="1129" t="s">
        <v>480</v>
      </c>
      <c r="L112" s="1129"/>
      <c r="M112" s="544" t="s">
        <v>481</v>
      </c>
      <c r="N112" s="1130" t="s">
        <v>482</v>
      </c>
      <c r="O112" s="1130" t="s">
        <v>2387</v>
      </c>
      <c r="P112" s="534">
        <v>0.15</v>
      </c>
      <c r="Q112" s="535">
        <v>0.15</v>
      </c>
      <c r="R112" s="534"/>
      <c r="S112" s="534"/>
      <c r="T112" s="1130" t="s">
        <v>483</v>
      </c>
    </row>
    <row r="113" spans="1:20" s="383" customFormat="1" ht="15" customHeight="1">
      <c r="A113" s="1130">
        <v>109</v>
      </c>
      <c r="B113" s="1130" t="s">
        <v>484</v>
      </c>
      <c r="C113" s="1139" t="str">
        <f t="shared" si="4"/>
        <v>Nasco France</v>
      </c>
      <c r="D113" s="1139" t="str">
        <f t="shared" si="5"/>
        <v/>
      </c>
      <c r="E113" s="1130" t="s">
        <v>2406</v>
      </c>
      <c r="F113" s="69" t="s">
        <v>587</v>
      </c>
      <c r="G113" s="1130" t="s">
        <v>221</v>
      </c>
      <c r="H113" s="1130" t="s">
        <v>485</v>
      </c>
      <c r="I113" s="1130" t="s">
        <v>486</v>
      </c>
      <c r="J113" s="1130" t="s">
        <v>487</v>
      </c>
      <c r="K113" s="1130" t="s">
        <v>225</v>
      </c>
      <c r="L113" s="1130"/>
      <c r="M113" s="1130" t="s">
        <v>488</v>
      </c>
      <c r="N113" s="1130"/>
      <c r="O113" s="1130" t="s">
        <v>2387</v>
      </c>
      <c r="P113" s="534">
        <v>0.15</v>
      </c>
      <c r="Q113" s="535">
        <v>0.12</v>
      </c>
      <c r="R113" s="534"/>
      <c r="S113" s="534"/>
      <c r="T113" s="626"/>
    </row>
    <row r="114" spans="1:20" s="383" customFormat="1" ht="15" customHeight="1">
      <c r="A114" s="1129">
        <v>110</v>
      </c>
      <c r="B114" s="1129"/>
      <c r="C114" s="1139" t="str">
        <f t="shared" si="4"/>
        <v/>
      </c>
      <c r="D114" s="1139" t="str">
        <f t="shared" si="5"/>
        <v>NATUR’ALLY YACHTING</v>
      </c>
      <c r="E114" s="1129" t="s">
        <v>2432</v>
      </c>
      <c r="F114" s="69" t="s">
        <v>1154</v>
      </c>
      <c r="G114" s="1129" t="s">
        <v>95</v>
      </c>
      <c r="H114" s="539" t="s">
        <v>2433</v>
      </c>
      <c r="I114" s="1129" t="s">
        <v>1546</v>
      </c>
      <c r="J114" s="1129" t="s">
        <v>1547</v>
      </c>
      <c r="K114" s="1129" t="s">
        <v>53</v>
      </c>
      <c r="L114" s="1129"/>
      <c r="M114" s="1129"/>
      <c r="N114" s="1129"/>
      <c r="O114" s="1129" t="s">
        <v>2419</v>
      </c>
      <c r="P114" s="1129"/>
      <c r="Q114" s="1129"/>
      <c r="R114" s="538"/>
      <c r="S114" s="538"/>
      <c r="T114" s="626"/>
    </row>
    <row r="115" spans="1:20" s="383" customFormat="1" ht="15" customHeight="1">
      <c r="A115" s="1129">
        <v>111</v>
      </c>
      <c r="B115" s="542" t="s">
        <v>489</v>
      </c>
      <c r="C115" s="1139" t="str">
        <f t="shared" si="4"/>
        <v/>
      </c>
      <c r="D115" s="1139" t="str">
        <f t="shared" si="5"/>
        <v>Navilux SA</v>
      </c>
      <c r="E115" s="1129" t="s">
        <v>1435</v>
      </c>
      <c r="F115" s="69" t="s">
        <v>1154</v>
      </c>
      <c r="G115" s="1129" t="s">
        <v>95</v>
      </c>
      <c r="H115" s="1129" t="s">
        <v>2424</v>
      </c>
      <c r="I115" s="1129" t="s">
        <v>2425</v>
      </c>
      <c r="J115" s="1129" t="s">
        <v>186</v>
      </c>
      <c r="K115" s="1129" t="s">
        <v>186</v>
      </c>
      <c r="L115" s="1129"/>
      <c r="M115" s="542" t="s">
        <v>490</v>
      </c>
      <c r="N115" s="1129"/>
      <c r="O115" s="1129" t="s">
        <v>2419</v>
      </c>
      <c r="P115" s="1129"/>
      <c r="Q115" s="1129"/>
      <c r="R115" s="538"/>
      <c r="S115" s="538"/>
      <c r="T115" s="1129"/>
    </row>
    <row r="116" spans="1:20" s="383" customFormat="1" ht="15" customHeight="1">
      <c r="A116" s="1130">
        <v>112</v>
      </c>
      <c r="B116" s="626"/>
      <c r="C116" s="1139" t="str">
        <f t="shared" si="4"/>
        <v/>
      </c>
      <c r="D116" s="1139" t="str">
        <f t="shared" si="5"/>
        <v>Neymar investments LTD</v>
      </c>
      <c r="E116" s="1129" t="s">
        <v>1736</v>
      </c>
      <c r="F116" s="69" t="s">
        <v>1154</v>
      </c>
      <c r="G116" s="626" t="s">
        <v>95</v>
      </c>
      <c r="H116" s="539"/>
      <c r="I116" s="1129"/>
      <c r="J116" s="1129"/>
      <c r="K116" s="1129"/>
      <c r="L116" s="1129"/>
      <c r="M116" s="1129"/>
      <c r="N116" s="1129"/>
      <c r="O116" s="626" t="s">
        <v>2419</v>
      </c>
      <c r="P116" s="1129"/>
      <c r="Q116" s="1129"/>
      <c r="R116" s="538"/>
      <c r="S116" s="538"/>
      <c r="T116" s="1129"/>
    </row>
    <row r="117" spans="1:20" s="383" customFormat="1" ht="15" customHeight="1">
      <c r="A117" s="1129">
        <v>113</v>
      </c>
      <c r="B117" s="1129"/>
      <c r="C117" s="1139" t="str">
        <f t="shared" si="4"/>
        <v/>
      </c>
      <c r="D117" s="1139" t="str">
        <f t="shared" si="5"/>
        <v>ODM YACHTS SA</v>
      </c>
      <c r="E117" s="1129" t="s">
        <v>1449</v>
      </c>
      <c r="F117" s="69" t="s">
        <v>1154</v>
      </c>
      <c r="G117" s="1129" t="s">
        <v>95</v>
      </c>
      <c r="H117" s="539" t="s">
        <v>1450</v>
      </c>
      <c r="I117" s="1129" t="s">
        <v>1451</v>
      </c>
      <c r="J117" s="1129" t="s">
        <v>1452</v>
      </c>
      <c r="K117" s="1129" t="s">
        <v>1055</v>
      </c>
      <c r="L117" s="1129"/>
      <c r="M117" s="1129"/>
      <c r="N117" s="1129"/>
      <c r="O117" s="1129" t="s">
        <v>2419</v>
      </c>
      <c r="P117" s="1129"/>
      <c r="Q117" s="1129"/>
      <c r="R117" s="538"/>
      <c r="S117" s="538"/>
      <c r="T117" s="494"/>
    </row>
    <row r="118" spans="1:20" s="383" customFormat="1" ht="15" customHeight="1">
      <c r="A118" s="1129">
        <v>114</v>
      </c>
      <c r="B118" s="76" t="s">
        <v>491</v>
      </c>
      <c r="C118" s="1139" t="str">
        <f t="shared" si="4"/>
        <v>ONLYYACHT Antibes</v>
      </c>
      <c r="D118" s="1139" t="str">
        <f t="shared" si="5"/>
        <v/>
      </c>
      <c r="E118" s="1130" t="s">
        <v>492</v>
      </c>
      <c r="F118" s="69" t="s">
        <v>587</v>
      </c>
      <c r="G118" s="76" t="s">
        <v>221</v>
      </c>
      <c r="H118" s="1130" t="s">
        <v>493</v>
      </c>
      <c r="I118" s="1130" t="s">
        <v>329</v>
      </c>
      <c r="J118" s="1130" t="s">
        <v>330</v>
      </c>
      <c r="K118" s="1130" t="s">
        <v>225</v>
      </c>
      <c r="L118" s="1130"/>
      <c r="M118" s="76" t="s">
        <v>494</v>
      </c>
      <c r="N118" s="1130" t="s">
        <v>495</v>
      </c>
      <c r="O118" s="76" t="s">
        <v>2387</v>
      </c>
      <c r="P118" s="534">
        <v>0.15</v>
      </c>
      <c r="Q118" s="535"/>
      <c r="R118" s="534"/>
      <c r="S118" s="534"/>
      <c r="T118" s="1129"/>
    </row>
    <row r="119" spans="1:20" s="383" customFormat="1" ht="15" customHeight="1">
      <c r="A119" s="1130">
        <v>115</v>
      </c>
      <c r="B119" s="1130" t="s">
        <v>496</v>
      </c>
      <c r="C119" s="1139" t="str">
        <f t="shared" si="4"/>
        <v>ONLYYACHT MONACO</v>
      </c>
      <c r="D119" s="1139" t="str">
        <f t="shared" si="5"/>
        <v/>
      </c>
      <c r="E119" s="1130" t="s">
        <v>497</v>
      </c>
      <c r="F119" s="69" t="s">
        <v>587</v>
      </c>
      <c r="G119" s="1130" t="s">
        <v>221</v>
      </c>
      <c r="H119" s="1130" t="s">
        <v>498</v>
      </c>
      <c r="I119" s="1130" t="s">
        <v>268</v>
      </c>
      <c r="J119" s="1130" t="s">
        <v>269</v>
      </c>
      <c r="K119" s="1130" t="s">
        <v>269</v>
      </c>
      <c r="L119" s="1130"/>
      <c r="M119" s="1130" t="s">
        <v>499</v>
      </c>
      <c r="N119" s="1130" t="s">
        <v>500</v>
      </c>
      <c r="O119" s="1130" t="s">
        <v>2387</v>
      </c>
      <c r="P119" s="534">
        <v>0.15</v>
      </c>
      <c r="Q119" s="535"/>
      <c r="R119" s="534"/>
      <c r="S119" s="534"/>
      <c r="T119" s="1130" t="s">
        <v>501</v>
      </c>
    </row>
    <row r="120" spans="1:20" s="383" customFormat="1" ht="15" customHeight="1">
      <c r="A120" s="1129">
        <v>116</v>
      </c>
      <c r="B120" s="1129"/>
      <c r="C120" s="1139" t="str">
        <f t="shared" si="4"/>
        <v/>
      </c>
      <c r="D120" s="1139" t="str">
        <f t="shared" si="5"/>
        <v>Paul Gauguin Cruises</v>
      </c>
      <c r="E120" s="1126" t="s">
        <v>1261</v>
      </c>
      <c r="F120" s="69" t="s">
        <v>1154</v>
      </c>
      <c r="G120" s="1129" t="s">
        <v>95</v>
      </c>
      <c r="H120" s="1126" t="s">
        <v>1262</v>
      </c>
      <c r="I120" s="1126" t="s">
        <v>1263</v>
      </c>
      <c r="J120" s="1126"/>
      <c r="K120" s="1126"/>
      <c r="L120" s="1126"/>
      <c r="M120" s="833"/>
      <c r="N120" s="833"/>
      <c r="O120" s="1129" t="s">
        <v>2419</v>
      </c>
      <c r="P120" s="833"/>
      <c r="Q120" s="833"/>
      <c r="R120" s="833"/>
      <c r="S120" s="833"/>
      <c r="T120" s="833"/>
    </row>
    <row r="121" spans="1:20" s="383" customFormat="1" ht="15" customHeight="1">
      <c r="A121" s="1129">
        <v>117</v>
      </c>
      <c r="B121" s="1130" t="s">
        <v>502</v>
      </c>
      <c r="C121" s="1139" t="str">
        <f t="shared" si="4"/>
        <v/>
      </c>
      <c r="D121" s="1139" t="str">
        <f t="shared" si="5"/>
        <v>PERNOT Jean-Pierre</v>
      </c>
      <c r="E121" s="1130" t="s">
        <v>503</v>
      </c>
      <c r="F121" s="69" t="s">
        <v>1154</v>
      </c>
      <c r="G121" s="76" t="s">
        <v>95</v>
      </c>
      <c r="H121" s="654"/>
      <c r="I121" s="654"/>
      <c r="J121" s="654"/>
      <c r="K121" s="654" t="s">
        <v>225</v>
      </c>
      <c r="L121" s="654"/>
      <c r="M121" s="1130" t="s">
        <v>504</v>
      </c>
      <c r="N121" s="544" t="s">
        <v>505</v>
      </c>
      <c r="O121" s="1129" t="s">
        <v>2419</v>
      </c>
      <c r="P121" s="534">
        <v>0.08</v>
      </c>
      <c r="Q121" s="535"/>
      <c r="R121" s="534"/>
      <c r="S121" s="534"/>
      <c r="T121" s="1129"/>
    </row>
    <row r="122" spans="1:20" s="383" customFormat="1" ht="15" customHeight="1">
      <c r="A122" s="1130">
        <v>118</v>
      </c>
      <c r="B122" s="1130" t="s">
        <v>506</v>
      </c>
      <c r="C122" s="1139" t="str">
        <f t="shared" si="4"/>
        <v>PISANO Agence AXA</v>
      </c>
      <c r="D122" s="1139" t="str">
        <f t="shared" si="5"/>
        <v/>
      </c>
      <c r="E122" s="1129" t="s">
        <v>921</v>
      </c>
      <c r="F122" s="69" t="s">
        <v>587</v>
      </c>
      <c r="G122" s="1130" t="s">
        <v>221</v>
      </c>
      <c r="H122" s="539" t="s">
        <v>507</v>
      </c>
      <c r="I122" s="1129" t="s">
        <v>508</v>
      </c>
      <c r="J122" s="1129" t="s">
        <v>509</v>
      </c>
      <c r="K122" s="1129" t="s">
        <v>53</v>
      </c>
      <c r="L122" s="1129"/>
      <c r="M122" s="1130" t="s">
        <v>510</v>
      </c>
      <c r="N122" s="544"/>
      <c r="O122" s="1130" t="s">
        <v>2387</v>
      </c>
      <c r="P122" s="534">
        <v>0.12</v>
      </c>
      <c r="Q122" s="535"/>
      <c r="R122" s="534"/>
      <c r="S122" s="534"/>
      <c r="T122" s="544" t="s">
        <v>511</v>
      </c>
    </row>
    <row r="123" spans="1:20" s="369" customFormat="1" ht="15" customHeight="1">
      <c r="A123" s="1129">
        <v>119</v>
      </c>
      <c r="B123" s="1129"/>
      <c r="C123" s="1139" t="str">
        <f t="shared" si="4"/>
        <v>Poe-ma Thai Insurance Brokers Co., Ltd</v>
      </c>
      <c r="D123" s="1139" t="str">
        <f t="shared" si="5"/>
        <v/>
      </c>
      <c r="E123" s="1130" t="s">
        <v>2512</v>
      </c>
      <c r="F123" s="69" t="s">
        <v>587</v>
      </c>
      <c r="G123" s="76" t="s">
        <v>221</v>
      </c>
      <c r="H123" s="76" t="s">
        <v>2513</v>
      </c>
      <c r="I123" s="1130" t="s">
        <v>2516</v>
      </c>
      <c r="J123" s="1130" t="s">
        <v>2514</v>
      </c>
      <c r="K123" s="1130" t="s">
        <v>2515</v>
      </c>
      <c r="L123" s="1130"/>
      <c r="M123" s="76"/>
      <c r="N123" s="76"/>
      <c r="O123" s="76" t="s">
        <v>2387</v>
      </c>
      <c r="P123" s="534">
        <v>0.12</v>
      </c>
      <c r="Q123" s="534">
        <v>0.12</v>
      </c>
      <c r="R123" s="538"/>
      <c r="S123" s="538"/>
      <c r="T123" s="1129"/>
    </row>
    <row r="124" spans="1:20" s="369" customFormat="1" ht="15" customHeight="1">
      <c r="A124" s="1129">
        <v>120</v>
      </c>
      <c r="B124" s="1130" t="s">
        <v>512</v>
      </c>
      <c r="C124" s="1139" t="str">
        <f t="shared" si="4"/>
        <v>POGGIO Monaco</v>
      </c>
      <c r="D124" s="1139" t="str">
        <f t="shared" si="5"/>
        <v/>
      </c>
      <c r="E124" s="1130" t="s">
        <v>513</v>
      </c>
      <c r="F124" s="69" t="s">
        <v>587</v>
      </c>
      <c r="G124" s="1130" t="s">
        <v>221</v>
      </c>
      <c r="H124" s="1130" t="s">
        <v>514</v>
      </c>
      <c r="I124" s="1130" t="s">
        <v>515</v>
      </c>
      <c r="J124" s="1130" t="s">
        <v>269</v>
      </c>
      <c r="K124" s="1130" t="s">
        <v>269</v>
      </c>
      <c r="L124" s="1130"/>
      <c r="M124" s="1130" t="s">
        <v>516</v>
      </c>
      <c r="N124" s="1130" t="s">
        <v>517</v>
      </c>
      <c r="O124" s="1130" t="s">
        <v>2387</v>
      </c>
      <c r="P124" s="534">
        <v>0.12</v>
      </c>
      <c r="Q124" s="535"/>
      <c r="R124" s="534"/>
      <c r="S124" s="534"/>
      <c r="T124" s="1130" t="s">
        <v>518</v>
      </c>
    </row>
    <row r="125" spans="1:20" s="383" customFormat="1" ht="15" customHeight="1">
      <c r="A125" s="1130">
        <v>121</v>
      </c>
      <c r="B125" s="1129"/>
      <c r="C125" s="1139" t="str">
        <f t="shared" si="4"/>
        <v>PREMIUM BROKING HOUSE</v>
      </c>
      <c r="D125" s="1139" t="str">
        <f t="shared" si="5"/>
        <v/>
      </c>
      <c r="E125" s="1130" t="s">
        <v>519</v>
      </c>
      <c r="F125" s="69" t="s">
        <v>587</v>
      </c>
      <c r="G125" s="1130" t="s">
        <v>221</v>
      </c>
      <c r="H125" s="1129" t="s">
        <v>520</v>
      </c>
      <c r="I125" s="1129" t="s">
        <v>521</v>
      </c>
      <c r="J125" s="1129" t="s">
        <v>522</v>
      </c>
      <c r="K125" s="1129" t="s">
        <v>308</v>
      </c>
      <c r="L125" s="1129"/>
      <c r="M125" s="1129" t="s">
        <v>523</v>
      </c>
      <c r="N125" s="1129"/>
      <c r="O125" s="1130" t="s">
        <v>2387</v>
      </c>
      <c r="P125" s="534">
        <v>0.15</v>
      </c>
      <c r="Q125" s="538">
        <v>0.15</v>
      </c>
      <c r="R125" s="538"/>
      <c r="S125" s="538"/>
      <c r="T125" s="494"/>
    </row>
    <row r="126" spans="1:20" s="383" customFormat="1" ht="15" customHeight="1">
      <c r="A126" s="1129">
        <v>122</v>
      </c>
      <c r="B126" s="1129"/>
      <c r="C126" s="1139" t="str">
        <f t="shared" si="4"/>
        <v/>
      </c>
      <c r="D126" s="1139" t="str">
        <f t="shared" si="5"/>
        <v>Remo Marine Services SA</v>
      </c>
      <c r="E126" s="1129" t="s">
        <v>1054</v>
      </c>
      <c r="F126" s="69" t="s">
        <v>1154</v>
      </c>
      <c r="G126" s="1129" t="s">
        <v>95</v>
      </c>
      <c r="H126" s="1129" t="s">
        <v>755</v>
      </c>
      <c r="I126" s="1129" t="s">
        <v>905</v>
      </c>
      <c r="J126" s="1129" t="s">
        <v>756</v>
      </c>
      <c r="K126" s="1129" t="s">
        <v>1055</v>
      </c>
      <c r="L126" s="1129"/>
      <c r="M126" s="1129"/>
      <c r="N126" s="1129"/>
      <c r="O126" s="1129" t="s">
        <v>2419</v>
      </c>
      <c r="P126" s="1129"/>
      <c r="Q126" s="1129"/>
      <c r="R126" s="538"/>
      <c r="S126" s="538"/>
      <c r="T126" s="1129"/>
    </row>
    <row r="127" spans="1:20" s="383" customFormat="1" ht="15" customHeight="1">
      <c r="A127" s="1129">
        <v>123</v>
      </c>
      <c r="B127" s="1130" t="s">
        <v>524</v>
      </c>
      <c r="C127" s="1139" t="str">
        <f t="shared" si="4"/>
        <v>RY Assurances, Reynier Yachting</v>
      </c>
      <c r="D127" s="1139" t="str">
        <f t="shared" si="5"/>
        <v/>
      </c>
      <c r="E127" s="494" t="s">
        <v>1058</v>
      </c>
      <c r="F127" s="69" t="s">
        <v>587</v>
      </c>
      <c r="G127" s="1130" t="s">
        <v>221</v>
      </c>
      <c r="H127" s="1130" t="s">
        <v>525</v>
      </c>
      <c r="I127" s="494" t="s">
        <v>1059</v>
      </c>
      <c r="J127" s="494" t="s">
        <v>526</v>
      </c>
      <c r="K127" s="494" t="s">
        <v>53</v>
      </c>
      <c r="L127" s="494"/>
      <c r="M127" s="1130" t="s">
        <v>527</v>
      </c>
      <c r="N127" s="1130" t="s">
        <v>528</v>
      </c>
      <c r="O127" s="1130" t="s">
        <v>2387</v>
      </c>
      <c r="P127" s="534">
        <v>0.12</v>
      </c>
      <c r="Q127" s="535"/>
      <c r="R127" s="534"/>
      <c r="S127" s="534"/>
      <c r="T127" s="1130" t="s">
        <v>529</v>
      </c>
    </row>
    <row r="128" spans="1:20" s="383" customFormat="1" ht="15" customHeight="1">
      <c r="A128" s="1130">
        <v>124</v>
      </c>
      <c r="B128" s="1129"/>
      <c r="C128" s="1139" t="str">
        <f t="shared" si="4"/>
        <v/>
      </c>
      <c r="D128" s="1139" t="str">
        <f t="shared" si="5"/>
        <v>Ryo Charter Limitada</v>
      </c>
      <c r="E128" s="1129" t="s">
        <v>1534</v>
      </c>
      <c r="F128" s="69" t="s">
        <v>1154</v>
      </c>
      <c r="G128" s="1129" t="s">
        <v>95</v>
      </c>
      <c r="H128" s="539" t="s">
        <v>1535</v>
      </c>
      <c r="I128" s="1129" t="s">
        <v>1536</v>
      </c>
      <c r="J128" s="1129" t="s">
        <v>1537</v>
      </c>
      <c r="K128" s="1129" t="s">
        <v>1538</v>
      </c>
      <c r="L128" s="1129"/>
      <c r="M128" s="1129"/>
      <c r="N128" s="1129"/>
      <c r="O128" s="1129" t="s">
        <v>2419</v>
      </c>
      <c r="P128" s="1129"/>
      <c r="Q128" s="1129"/>
      <c r="R128" s="538"/>
      <c r="S128" s="538"/>
      <c r="T128" s="494"/>
    </row>
    <row r="129" spans="1:20" s="383" customFormat="1" ht="15" customHeight="1">
      <c r="A129" s="1129">
        <v>125</v>
      </c>
      <c r="B129" s="652" t="s">
        <v>530</v>
      </c>
      <c r="C129" s="1139" t="str">
        <f t="shared" si="4"/>
        <v>SALVO ASSURANCES</v>
      </c>
      <c r="D129" s="1139" t="str">
        <f t="shared" si="5"/>
        <v/>
      </c>
      <c r="E129" s="1130" t="s">
        <v>531</v>
      </c>
      <c r="F129" s="69" t="s">
        <v>587</v>
      </c>
      <c r="G129" s="1130" t="s">
        <v>221</v>
      </c>
      <c r="H129" s="1130" t="s">
        <v>532</v>
      </c>
      <c r="I129" s="652" t="s">
        <v>533</v>
      </c>
      <c r="J129" s="1130" t="s">
        <v>534</v>
      </c>
      <c r="K129" s="1130" t="s">
        <v>225</v>
      </c>
      <c r="L129" s="1130"/>
      <c r="M129" s="1130" t="s">
        <v>535</v>
      </c>
      <c r="N129" s="1130" t="s">
        <v>536</v>
      </c>
      <c r="O129" s="1130" t="s">
        <v>2387</v>
      </c>
      <c r="P129" s="535">
        <v>0.12</v>
      </c>
      <c r="Q129" s="535"/>
      <c r="R129" s="534"/>
      <c r="S129" s="534"/>
      <c r="T129" s="1129"/>
    </row>
    <row r="130" spans="1:20" s="369" customFormat="1" ht="15" customHeight="1">
      <c r="A130" s="1129">
        <v>126</v>
      </c>
      <c r="B130" s="626"/>
      <c r="C130" s="1139" t="str">
        <f t="shared" si="4"/>
        <v/>
      </c>
      <c r="D130" s="1139" t="str">
        <f t="shared" si="5"/>
        <v>Sarnia Yachts Limited</v>
      </c>
      <c r="E130" s="1126" t="s">
        <v>1379</v>
      </c>
      <c r="F130" s="69" t="s">
        <v>1154</v>
      </c>
      <c r="G130" s="1129" t="s">
        <v>95</v>
      </c>
      <c r="H130" s="1126" t="s">
        <v>1380</v>
      </c>
      <c r="I130" s="1126" t="s">
        <v>1381</v>
      </c>
      <c r="J130" s="1126" t="s">
        <v>1382</v>
      </c>
      <c r="K130" s="1126" t="s">
        <v>1383</v>
      </c>
      <c r="L130" s="1126"/>
      <c r="M130" s="833"/>
      <c r="N130" s="833"/>
      <c r="O130" s="1129" t="s">
        <v>2419</v>
      </c>
      <c r="P130" s="833"/>
      <c r="Q130" s="833"/>
      <c r="R130" s="833"/>
      <c r="S130" s="833"/>
      <c r="T130" s="833"/>
    </row>
    <row r="131" spans="1:20" s="527" customFormat="1" ht="15" customHeight="1">
      <c r="A131" s="1130">
        <v>127</v>
      </c>
      <c r="B131" s="494"/>
      <c r="C131" s="1139" t="str">
        <f t="shared" si="4"/>
        <v/>
      </c>
      <c r="D131" s="1139" t="str">
        <f t="shared" si="5"/>
        <v>SEASIDE</v>
      </c>
      <c r="E131" s="1129" t="s">
        <v>1289</v>
      </c>
      <c r="F131" s="69" t="s">
        <v>1154</v>
      </c>
      <c r="G131" s="1129" t="s">
        <v>95</v>
      </c>
      <c r="H131" s="75" t="s">
        <v>2434</v>
      </c>
      <c r="I131" s="1129" t="s">
        <v>1649</v>
      </c>
      <c r="J131" s="1129" t="s">
        <v>1650</v>
      </c>
      <c r="K131" s="1129" t="s">
        <v>53</v>
      </c>
      <c r="L131" s="1129"/>
      <c r="M131" s="494"/>
      <c r="N131" s="494"/>
      <c r="O131" s="1129" t="s">
        <v>2419</v>
      </c>
      <c r="P131" s="1129"/>
      <c r="Q131" s="1129"/>
      <c r="R131" s="538"/>
      <c r="S131" s="538"/>
      <c r="T131" s="494"/>
    </row>
    <row r="132" spans="1:20" s="527" customFormat="1" ht="15" customHeight="1">
      <c r="A132" s="1129">
        <v>128</v>
      </c>
      <c r="B132" s="1129"/>
      <c r="C132" s="1139" t="str">
        <f t="shared" si="4"/>
        <v/>
      </c>
      <c r="D132" s="1139" t="str">
        <f t="shared" si="5"/>
        <v>Seazen II Loisirs</v>
      </c>
      <c r="E132" s="1129" t="s">
        <v>1336</v>
      </c>
      <c r="F132" s="69" t="s">
        <v>1154</v>
      </c>
      <c r="G132" s="1129" t="s">
        <v>95</v>
      </c>
      <c r="H132" s="539"/>
      <c r="I132" s="626"/>
      <c r="J132" s="626"/>
      <c r="K132" s="626"/>
      <c r="L132" s="626"/>
      <c r="M132" s="1129"/>
      <c r="N132" s="1129"/>
      <c r="O132" s="1129" t="s">
        <v>2419</v>
      </c>
      <c r="P132" s="1129"/>
      <c r="Q132" s="1129"/>
      <c r="R132" s="538"/>
      <c r="S132" s="538"/>
      <c r="T132" s="1129"/>
    </row>
    <row r="133" spans="1:20" s="527" customFormat="1" ht="15" customHeight="1">
      <c r="A133" s="1129">
        <v>129</v>
      </c>
      <c r="B133" s="494"/>
      <c r="C133" s="1139" t="str">
        <f t="shared" ref="C133:C160" si="6">IF(G133="Insurance Broker",E133,"")</f>
        <v/>
      </c>
      <c r="D133" s="1139" t="str">
        <f t="shared" ref="D133:D160" si="7">IF(G133="Insurance Broker","",E133)</f>
        <v>SETAF SAGET</v>
      </c>
      <c r="E133" s="1129" t="s">
        <v>1043</v>
      </c>
      <c r="F133" s="69" t="s">
        <v>1154</v>
      </c>
      <c r="G133" s="1129" t="s">
        <v>95</v>
      </c>
      <c r="H133" s="540" t="s">
        <v>1044</v>
      </c>
      <c r="I133" s="1129" t="s">
        <v>1045</v>
      </c>
      <c r="J133" s="1129" t="s">
        <v>1046</v>
      </c>
      <c r="K133" s="1129" t="s">
        <v>53</v>
      </c>
      <c r="L133" s="1129"/>
      <c r="M133" s="833"/>
      <c r="N133" s="833"/>
      <c r="O133" s="1129" t="s">
        <v>2419</v>
      </c>
      <c r="P133" s="833"/>
      <c r="Q133" s="833"/>
      <c r="R133" s="833"/>
      <c r="S133" s="833"/>
      <c r="T133" s="833"/>
    </row>
    <row r="134" spans="1:20" s="527" customFormat="1" ht="15" customHeight="1">
      <c r="A134" s="1130">
        <v>130</v>
      </c>
      <c r="B134" s="1129"/>
      <c r="C134" s="1139" t="str">
        <f t="shared" si="6"/>
        <v>SLCA SA</v>
      </c>
      <c r="D134" s="1139" t="str">
        <f t="shared" si="7"/>
        <v/>
      </c>
      <c r="E134" s="1130" t="s">
        <v>2407</v>
      </c>
      <c r="F134" s="69" t="s">
        <v>587</v>
      </c>
      <c r="G134" s="76" t="s">
        <v>221</v>
      </c>
      <c r="H134" s="1130" t="s">
        <v>2408</v>
      </c>
      <c r="I134" s="1130" t="s">
        <v>2409</v>
      </c>
      <c r="J134" s="1130" t="s">
        <v>186</v>
      </c>
      <c r="K134" s="628" t="s">
        <v>186</v>
      </c>
      <c r="L134" s="628"/>
      <c r="M134" s="1126" t="s">
        <v>2410</v>
      </c>
      <c r="N134" s="1129"/>
      <c r="O134" s="76" t="s">
        <v>2387</v>
      </c>
      <c r="P134" s="534">
        <v>0.1</v>
      </c>
      <c r="Q134" s="534">
        <v>0.1</v>
      </c>
      <c r="R134" s="538"/>
      <c r="S134" s="538"/>
      <c r="T134" s="626"/>
    </row>
    <row r="135" spans="1:20" s="527" customFormat="1" ht="15" customHeight="1">
      <c r="A135" s="1129">
        <v>131</v>
      </c>
      <c r="B135" s="1129"/>
      <c r="C135" s="1139" t="str">
        <f t="shared" si="6"/>
        <v>Smith Enterprises</v>
      </c>
      <c r="D135" s="1139" t="str">
        <f t="shared" si="7"/>
        <v/>
      </c>
      <c r="E135" s="1130" t="s">
        <v>2411</v>
      </c>
      <c r="F135" s="69" t="s">
        <v>587</v>
      </c>
      <c r="G135" s="76" t="s">
        <v>221</v>
      </c>
      <c r="H135" s="1130" t="s">
        <v>2412</v>
      </c>
      <c r="I135" s="1130" t="s">
        <v>268</v>
      </c>
      <c r="J135" s="1130" t="s">
        <v>480</v>
      </c>
      <c r="K135" s="1130" t="s">
        <v>480</v>
      </c>
      <c r="L135" s="1130"/>
      <c r="M135" s="1129"/>
      <c r="N135" s="1129"/>
      <c r="O135" s="76" t="s">
        <v>2387</v>
      </c>
      <c r="P135" s="538">
        <v>0.15</v>
      </c>
      <c r="Q135" s="538"/>
      <c r="R135" s="538"/>
      <c r="S135" s="538"/>
      <c r="T135" s="1129"/>
    </row>
    <row r="136" spans="1:20" s="527" customFormat="1" ht="15" customHeight="1">
      <c r="A136" s="1129">
        <v>132</v>
      </c>
      <c r="B136" s="1130" t="s">
        <v>537</v>
      </c>
      <c r="C136" s="1139" t="str">
        <f t="shared" si="6"/>
        <v>SOMECASSUR</v>
      </c>
      <c r="D136" s="1139" t="str">
        <f t="shared" si="7"/>
        <v/>
      </c>
      <c r="E136" s="1126" t="s">
        <v>855</v>
      </c>
      <c r="F136" s="69" t="s">
        <v>587</v>
      </c>
      <c r="G136" s="1130" t="s">
        <v>221</v>
      </c>
      <c r="H136" s="539" t="s">
        <v>2413</v>
      </c>
      <c r="I136" s="626" t="s">
        <v>242</v>
      </c>
      <c r="J136" s="626" t="s">
        <v>52</v>
      </c>
      <c r="K136" s="1129" t="s">
        <v>53</v>
      </c>
      <c r="L136" s="1129"/>
      <c r="M136" s="544" t="s">
        <v>538</v>
      </c>
      <c r="N136" s="544" t="s">
        <v>539</v>
      </c>
      <c r="O136" s="1130" t="s">
        <v>2387</v>
      </c>
      <c r="P136" s="534">
        <v>0.15</v>
      </c>
      <c r="Q136" s="535">
        <v>0.12</v>
      </c>
      <c r="R136" s="534"/>
      <c r="S136" s="534"/>
      <c r="T136" s="544" t="s">
        <v>540</v>
      </c>
    </row>
    <row r="137" spans="1:20" s="527" customFormat="1" ht="15" customHeight="1">
      <c r="A137" s="1130">
        <v>133</v>
      </c>
      <c r="B137" s="1129"/>
      <c r="C137" s="1139" t="str">
        <f t="shared" si="6"/>
        <v/>
      </c>
      <c r="D137" s="1139" t="str">
        <f t="shared" si="7"/>
        <v>South East Asia Exotic Cruise</v>
      </c>
      <c r="E137" s="1129" t="s">
        <v>1640</v>
      </c>
      <c r="F137" s="69" t="s">
        <v>1154</v>
      </c>
      <c r="G137" s="1129" t="s">
        <v>95</v>
      </c>
      <c r="H137" s="539" t="s">
        <v>1641</v>
      </c>
      <c r="I137" s="1129" t="s">
        <v>1642</v>
      </c>
      <c r="J137" s="1129" t="s">
        <v>1643</v>
      </c>
      <c r="K137" s="1129" t="s">
        <v>1737</v>
      </c>
      <c r="L137" s="1129"/>
      <c r="M137" s="1129"/>
      <c r="N137" s="1129"/>
      <c r="O137" s="1129" t="s">
        <v>2419</v>
      </c>
      <c r="P137" s="1129"/>
      <c r="Q137" s="1129"/>
      <c r="R137" s="538"/>
      <c r="S137" s="538"/>
      <c r="T137" s="494"/>
    </row>
    <row r="138" spans="1:20" s="527" customFormat="1" ht="15" customHeight="1">
      <c r="A138" s="1129">
        <v>134</v>
      </c>
      <c r="B138" s="652" t="s">
        <v>349</v>
      </c>
      <c r="C138" s="1139" t="str">
        <f t="shared" si="6"/>
        <v>SUD EUROCOURTAGE</v>
      </c>
      <c r="D138" s="1139" t="str">
        <f t="shared" si="7"/>
        <v/>
      </c>
      <c r="E138" s="652" t="s">
        <v>541</v>
      </c>
      <c r="F138" s="69" t="s">
        <v>587</v>
      </c>
      <c r="G138" s="76" t="s">
        <v>221</v>
      </c>
      <c r="H138" s="652" t="s">
        <v>542</v>
      </c>
      <c r="I138" s="652" t="s">
        <v>543</v>
      </c>
      <c r="J138" s="652" t="s">
        <v>544</v>
      </c>
      <c r="K138" s="1130" t="s">
        <v>225</v>
      </c>
      <c r="L138" s="1130"/>
      <c r="M138" s="652" t="s">
        <v>545</v>
      </c>
      <c r="N138" s="1130" t="s">
        <v>546</v>
      </c>
      <c r="O138" s="628" t="s">
        <v>2387</v>
      </c>
      <c r="P138" s="534">
        <v>0.12</v>
      </c>
      <c r="Q138" s="535"/>
      <c r="R138" s="534"/>
      <c r="S138" s="534"/>
      <c r="T138" s="1129"/>
    </row>
    <row r="139" spans="1:20" s="527" customFormat="1" ht="15" customHeight="1">
      <c r="A139" s="1129">
        <v>135</v>
      </c>
      <c r="B139" s="586"/>
      <c r="C139" s="1139" t="str">
        <f t="shared" si="6"/>
        <v>SUD EUROCOURTAGE</v>
      </c>
      <c r="D139" s="1139" t="str">
        <f t="shared" si="7"/>
        <v/>
      </c>
      <c r="E139" s="1129" t="s">
        <v>541</v>
      </c>
      <c r="F139" s="69" t="s">
        <v>587</v>
      </c>
      <c r="G139" s="1130" t="s">
        <v>221</v>
      </c>
      <c r="H139" s="545" t="s">
        <v>659</v>
      </c>
      <c r="I139" s="1126" t="s">
        <v>660</v>
      </c>
      <c r="J139" s="1126" t="s">
        <v>661</v>
      </c>
      <c r="K139" s="1126" t="s">
        <v>53</v>
      </c>
      <c r="L139" s="1126"/>
      <c r="M139" s="833"/>
      <c r="N139" s="833"/>
      <c r="O139" s="1130" t="s">
        <v>2387</v>
      </c>
      <c r="P139" s="833"/>
      <c r="Q139" s="833"/>
      <c r="R139" s="833"/>
      <c r="S139" s="833"/>
      <c r="T139" s="833"/>
    </row>
    <row r="140" spans="1:20" s="527" customFormat="1" ht="15" customHeight="1">
      <c r="A140" s="1130">
        <v>136</v>
      </c>
      <c r="B140" s="1129"/>
      <c r="C140" s="1139" t="str">
        <f t="shared" si="6"/>
        <v>Suisscourtage Antibes</v>
      </c>
      <c r="D140" s="1139" t="str">
        <f t="shared" si="7"/>
        <v/>
      </c>
      <c r="E140" s="1126" t="s">
        <v>970</v>
      </c>
      <c r="F140" s="650" t="s">
        <v>587</v>
      </c>
      <c r="G140" s="653" t="s">
        <v>221</v>
      </c>
      <c r="H140" s="539" t="s">
        <v>971</v>
      </c>
      <c r="I140" s="1129" t="s">
        <v>329</v>
      </c>
      <c r="J140" s="1129" t="s">
        <v>579</v>
      </c>
      <c r="K140" s="1126" t="s">
        <v>53</v>
      </c>
      <c r="L140" s="1126"/>
      <c r="M140" s="833"/>
      <c r="N140" s="833"/>
      <c r="O140" s="1130" t="s">
        <v>2387</v>
      </c>
      <c r="P140" s="833"/>
      <c r="Q140" s="833"/>
      <c r="R140" s="833"/>
      <c r="S140" s="833"/>
      <c r="T140" s="833"/>
    </row>
    <row r="141" spans="1:20" s="527" customFormat="1" ht="15" customHeight="1">
      <c r="A141" s="1129">
        <v>137</v>
      </c>
      <c r="B141" s="1130" t="s">
        <v>547</v>
      </c>
      <c r="C141" s="1139" t="str">
        <f t="shared" si="6"/>
        <v>SUISSCOURTAGE Cannes</v>
      </c>
      <c r="D141" s="1139" t="str">
        <f t="shared" si="7"/>
        <v/>
      </c>
      <c r="E141" s="653" t="s">
        <v>548</v>
      </c>
      <c r="F141" s="650" t="s">
        <v>587</v>
      </c>
      <c r="G141" s="653" t="s">
        <v>221</v>
      </c>
      <c r="H141" s="653" t="s">
        <v>549</v>
      </c>
      <c r="I141" s="653" t="s">
        <v>242</v>
      </c>
      <c r="J141" s="653" t="s">
        <v>377</v>
      </c>
      <c r="K141" s="653" t="s">
        <v>225</v>
      </c>
      <c r="L141" s="653"/>
      <c r="M141" s="653" t="s">
        <v>550</v>
      </c>
      <c r="N141" s="653" t="s">
        <v>551</v>
      </c>
      <c r="O141" s="1130" t="s">
        <v>2387</v>
      </c>
      <c r="P141" s="534">
        <v>0.15</v>
      </c>
      <c r="Q141" s="534"/>
      <c r="R141" s="534"/>
      <c r="S141" s="534"/>
      <c r="T141" s="1129"/>
    </row>
    <row r="142" spans="1:20" s="527" customFormat="1" ht="15" customHeight="1">
      <c r="A142" s="1129">
        <v>138</v>
      </c>
      <c r="B142" s="652" t="s">
        <v>552</v>
      </c>
      <c r="C142" s="1139" t="str">
        <f t="shared" si="6"/>
        <v>SUISSCOURTAGE Monaco</v>
      </c>
      <c r="D142" s="1139" t="str">
        <f t="shared" si="7"/>
        <v/>
      </c>
      <c r="E142" s="1130" t="s">
        <v>553</v>
      </c>
      <c r="F142" s="650" t="s">
        <v>587</v>
      </c>
      <c r="G142" s="1130" t="s">
        <v>221</v>
      </c>
      <c r="H142" s="1130" t="s">
        <v>554</v>
      </c>
      <c r="I142" s="1130" t="s">
        <v>268</v>
      </c>
      <c r="J142" s="1130" t="s">
        <v>269</v>
      </c>
      <c r="K142" s="1130" t="s">
        <v>269</v>
      </c>
      <c r="L142" s="1130"/>
      <c r="M142" s="1130" t="s">
        <v>555</v>
      </c>
      <c r="N142" s="1130" t="s">
        <v>556</v>
      </c>
      <c r="O142" s="1130" t="s">
        <v>2387</v>
      </c>
      <c r="P142" s="534">
        <v>0.15</v>
      </c>
      <c r="Q142" s="534"/>
      <c r="R142" s="534"/>
      <c r="S142" s="534"/>
      <c r="T142" s="1130" t="s">
        <v>557</v>
      </c>
    </row>
    <row r="143" spans="1:20" s="527" customFormat="1" ht="15" customHeight="1">
      <c r="A143" s="1130">
        <v>139</v>
      </c>
      <c r="B143" s="1129"/>
      <c r="C143" s="1139" t="str">
        <f t="shared" si="6"/>
        <v/>
      </c>
      <c r="D143" s="1139" t="str">
        <f t="shared" si="7"/>
        <v>SUNREEF YACHTS CHARTER</v>
      </c>
      <c r="E143" s="651" t="s">
        <v>1407</v>
      </c>
      <c r="F143" s="650" t="s">
        <v>1154</v>
      </c>
      <c r="G143" s="1129" t="s">
        <v>95</v>
      </c>
      <c r="H143" s="540" t="s">
        <v>1408</v>
      </c>
      <c r="I143" s="1129"/>
      <c r="J143" s="1129"/>
      <c r="K143" s="1129"/>
      <c r="L143" s="1129"/>
      <c r="M143" s="1129"/>
      <c r="N143" s="1129"/>
      <c r="O143" s="651" t="s">
        <v>2419</v>
      </c>
      <c r="P143" s="1129"/>
      <c r="Q143" s="1129"/>
      <c r="R143" s="538"/>
      <c r="S143" s="538"/>
      <c r="T143" s="651"/>
    </row>
    <row r="144" spans="1:20" s="527" customFormat="1" ht="15" customHeight="1">
      <c r="A144" s="1129">
        <v>140</v>
      </c>
      <c r="B144" s="542" t="s">
        <v>558</v>
      </c>
      <c r="C144" s="1139" t="str">
        <f t="shared" si="6"/>
        <v/>
      </c>
      <c r="D144" s="1139" t="str">
        <f t="shared" si="7"/>
        <v>THIERRY VOISIN</v>
      </c>
      <c r="E144" s="1129" t="s">
        <v>1356</v>
      </c>
      <c r="F144" s="655" t="s">
        <v>1154</v>
      </c>
      <c r="G144" s="1130" t="s">
        <v>95</v>
      </c>
      <c r="H144" s="654" t="s">
        <v>559</v>
      </c>
      <c r="I144" s="654" t="s">
        <v>261</v>
      </c>
      <c r="J144" s="654" t="s">
        <v>262</v>
      </c>
      <c r="K144" s="654" t="s">
        <v>225</v>
      </c>
      <c r="L144" s="654"/>
      <c r="M144" s="654" t="s">
        <v>560</v>
      </c>
      <c r="N144" s="654" t="s">
        <v>561</v>
      </c>
      <c r="O144" s="832" t="s">
        <v>2419</v>
      </c>
      <c r="P144" s="534">
        <v>0.08</v>
      </c>
      <c r="Q144" s="534"/>
      <c r="R144" s="534"/>
      <c r="S144" s="534"/>
      <c r="T144" s="832"/>
    </row>
    <row r="145" spans="1:20" s="527" customFormat="1" ht="15" customHeight="1">
      <c r="A145" s="1129">
        <v>141</v>
      </c>
      <c r="B145" s="1129"/>
      <c r="C145" s="1139" t="str">
        <f t="shared" si="6"/>
        <v/>
      </c>
      <c r="D145" s="1139" t="str">
        <f t="shared" si="7"/>
        <v>TOP CHARTER</v>
      </c>
      <c r="E145" s="653" t="s">
        <v>2435</v>
      </c>
      <c r="F145" s="655" t="s">
        <v>1154</v>
      </c>
      <c r="G145" s="1130" t="s">
        <v>95</v>
      </c>
      <c r="H145" s="1130" t="s">
        <v>2436</v>
      </c>
      <c r="I145" s="653" t="s">
        <v>2437</v>
      </c>
      <c r="J145" s="1130" t="s">
        <v>2438</v>
      </c>
      <c r="K145" s="1130" t="s">
        <v>53</v>
      </c>
      <c r="L145" s="1130"/>
      <c r="M145" s="1130" t="s">
        <v>2439</v>
      </c>
      <c r="N145" s="1130" t="s">
        <v>2440</v>
      </c>
      <c r="O145" s="832" t="s">
        <v>2419</v>
      </c>
      <c r="P145" s="534">
        <v>0</v>
      </c>
      <c r="Q145" s="534">
        <v>0</v>
      </c>
      <c r="R145" s="538"/>
      <c r="S145" s="538"/>
      <c r="T145" s="832"/>
    </row>
    <row r="146" spans="1:20" s="527" customFormat="1" ht="15" customHeight="1">
      <c r="A146" s="1130">
        <v>142</v>
      </c>
      <c r="B146" s="832"/>
      <c r="C146" s="1139" t="str">
        <f t="shared" si="6"/>
        <v/>
      </c>
      <c r="D146" s="1139" t="str">
        <f t="shared" si="7"/>
        <v xml:space="preserve">UNIQUE YACHTING MONACO  </v>
      </c>
      <c r="E146" s="1130" t="s">
        <v>1373</v>
      </c>
      <c r="F146" s="655" t="s">
        <v>1154</v>
      </c>
      <c r="G146" s="832" t="s">
        <v>95</v>
      </c>
      <c r="H146" s="539" t="s">
        <v>1374</v>
      </c>
      <c r="I146" s="1130" t="s">
        <v>268</v>
      </c>
      <c r="J146" s="832" t="s">
        <v>269</v>
      </c>
      <c r="K146" s="832" t="s">
        <v>480</v>
      </c>
      <c r="L146" s="832"/>
      <c r="M146" s="832"/>
      <c r="N146" s="832"/>
      <c r="O146" s="832" t="s">
        <v>2419</v>
      </c>
      <c r="P146" s="832"/>
      <c r="Q146" s="832"/>
      <c r="R146" s="538"/>
      <c r="S146" s="538"/>
      <c r="T146" s="832"/>
    </row>
    <row r="147" spans="1:20" s="527" customFormat="1" ht="15" customHeight="1">
      <c r="A147" s="1129">
        <v>143</v>
      </c>
      <c r="B147" s="832"/>
      <c r="C147" s="1139" t="str">
        <f t="shared" si="6"/>
        <v/>
      </c>
      <c r="D147" s="1139" t="str">
        <f t="shared" si="7"/>
        <v>UVEA MARINE SERVICE</v>
      </c>
      <c r="E147" s="1129" t="s">
        <v>640</v>
      </c>
      <c r="F147" s="655" t="s">
        <v>1154</v>
      </c>
      <c r="G147" s="1129" t="s">
        <v>95</v>
      </c>
      <c r="H147" s="539"/>
      <c r="I147" s="1129"/>
      <c r="J147" s="1129"/>
      <c r="K147" s="1129"/>
      <c r="L147" s="1129"/>
      <c r="M147" s="1129"/>
      <c r="N147" s="832"/>
      <c r="O147" s="1129" t="s">
        <v>2419</v>
      </c>
      <c r="P147" s="1129"/>
      <c r="Q147" s="1129"/>
      <c r="R147" s="1129"/>
      <c r="S147" s="1129"/>
      <c r="T147" s="832"/>
    </row>
    <row r="148" spans="1:20" s="527" customFormat="1" ht="15" customHeight="1">
      <c r="A148" s="1129">
        <v>144</v>
      </c>
      <c r="B148" s="1129"/>
      <c r="C148" s="1139" t="str">
        <f t="shared" si="6"/>
        <v/>
      </c>
      <c r="D148" s="1139" t="str">
        <f t="shared" si="7"/>
        <v>Vendome Luxury Boats</v>
      </c>
      <c r="E148" s="1129" t="s">
        <v>1398</v>
      </c>
      <c r="F148" s="655" t="s">
        <v>1154</v>
      </c>
      <c r="G148" s="1129" t="s">
        <v>95</v>
      </c>
      <c r="H148" s="540" t="s">
        <v>1399</v>
      </c>
      <c r="I148" s="1129" t="s">
        <v>329</v>
      </c>
      <c r="J148" s="1129" t="s">
        <v>579</v>
      </c>
      <c r="K148" s="1129" t="s">
        <v>53</v>
      </c>
      <c r="L148" s="1129"/>
      <c r="M148" s="1129"/>
      <c r="N148" s="1129"/>
      <c r="O148" s="832" t="s">
        <v>2419</v>
      </c>
      <c r="P148" s="1129"/>
      <c r="Q148" s="1129"/>
      <c r="R148" s="538"/>
      <c r="S148" s="538"/>
      <c r="T148" s="832"/>
    </row>
    <row r="149" spans="1:20" s="527" customFormat="1" ht="15" customHeight="1">
      <c r="A149" s="1130">
        <v>145</v>
      </c>
      <c r="B149" s="652"/>
      <c r="C149" s="1139" t="str">
        <f t="shared" si="6"/>
        <v>VERPEKA Yacht Brokerage</v>
      </c>
      <c r="D149" s="1139" t="str">
        <f t="shared" si="7"/>
        <v/>
      </c>
      <c r="E149" s="1130" t="s">
        <v>562</v>
      </c>
      <c r="F149" s="1126" t="s">
        <v>587</v>
      </c>
      <c r="G149" s="1130" t="s">
        <v>221</v>
      </c>
      <c r="H149" s="1130" t="s">
        <v>563</v>
      </c>
      <c r="I149" s="1130" t="s">
        <v>268</v>
      </c>
      <c r="J149" s="1130" t="s">
        <v>269</v>
      </c>
      <c r="K149" s="1130" t="s">
        <v>269</v>
      </c>
      <c r="L149" s="1130"/>
      <c r="M149" s="1130" t="s">
        <v>564</v>
      </c>
      <c r="N149" s="652"/>
      <c r="O149" s="832" t="s">
        <v>2419</v>
      </c>
      <c r="P149" s="534">
        <v>0</v>
      </c>
      <c r="Q149" s="534"/>
      <c r="R149" s="534"/>
      <c r="S149" s="534"/>
      <c r="T149" s="832"/>
    </row>
    <row r="150" spans="1:20" s="582" customFormat="1" ht="15" customHeight="1">
      <c r="A150" s="1129">
        <v>146</v>
      </c>
      <c r="B150" s="832"/>
      <c r="C150" s="1139" t="str">
        <f t="shared" si="6"/>
        <v/>
      </c>
      <c r="D150" s="1139" t="str">
        <f t="shared" si="7"/>
        <v>WAAZII</v>
      </c>
      <c r="E150" s="1129" t="s">
        <v>1298</v>
      </c>
      <c r="F150" s="655" t="s">
        <v>1154</v>
      </c>
      <c r="G150" s="1129" t="s">
        <v>95</v>
      </c>
      <c r="H150" s="1129"/>
      <c r="I150" s="1129"/>
      <c r="J150" s="1129"/>
      <c r="K150" s="1129"/>
      <c r="L150" s="1129"/>
      <c r="M150" s="1129"/>
      <c r="N150" s="832"/>
      <c r="O150" s="1129" t="s">
        <v>2419</v>
      </c>
      <c r="P150" s="1129"/>
      <c r="Q150" s="1129"/>
      <c r="R150" s="1129"/>
      <c r="S150" s="1129"/>
      <c r="T150" s="832"/>
    </row>
    <row r="151" spans="1:20">
      <c r="A151" s="1129">
        <v>147</v>
      </c>
      <c r="B151" s="832"/>
      <c r="C151" s="1139" t="str">
        <f t="shared" si="6"/>
        <v>WILSON EUROPE</v>
      </c>
      <c r="D151" s="1139" t="str">
        <f t="shared" si="7"/>
        <v/>
      </c>
      <c r="E151" s="1130" t="s">
        <v>2414</v>
      </c>
      <c r="F151" s="655" t="s">
        <v>587</v>
      </c>
      <c r="G151" s="1130" t="s">
        <v>221</v>
      </c>
      <c r="H151" s="1130" t="s">
        <v>2415</v>
      </c>
      <c r="I151" s="1130" t="s">
        <v>2416</v>
      </c>
      <c r="J151" s="1130" t="s">
        <v>2417</v>
      </c>
      <c r="K151" s="1130" t="s">
        <v>1521</v>
      </c>
      <c r="L151" s="1130"/>
      <c r="M151" s="1130" t="s">
        <v>2418</v>
      </c>
      <c r="N151" s="832"/>
      <c r="O151" s="1130" t="s">
        <v>2387</v>
      </c>
      <c r="P151" s="534">
        <v>0.15</v>
      </c>
      <c r="Q151" s="534">
        <v>0.15</v>
      </c>
      <c r="R151" s="538"/>
      <c r="S151" s="538"/>
      <c r="T151" s="832"/>
    </row>
    <row r="152" spans="1:20">
      <c r="A152" s="1130">
        <v>148</v>
      </c>
      <c r="B152" s="1129"/>
      <c r="C152" s="1139" t="str">
        <f t="shared" si="6"/>
        <v/>
      </c>
      <c r="D152" s="1139" t="str">
        <f t="shared" si="7"/>
        <v>Y.CO</v>
      </c>
      <c r="E152" s="1129" t="s">
        <v>1216</v>
      </c>
      <c r="F152" s="655" t="s">
        <v>1154</v>
      </c>
      <c r="G152" s="1129" t="s">
        <v>95</v>
      </c>
      <c r="H152" s="1129" t="s">
        <v>1217</v>
      </c>
      <c r="I152" s="1129" t="s">
        <v>329</v>
      </c>
      <c r="J152" s="1129" t="s">
        <v>579</v>
      </c>
      <c r="K152" s="1129" t="s">
        <v>53</v>
      </c>
      <c r="L152" s="1129"/>
      <c r="M152" s="1129"/>
      <c r="N152" s="1129"/>
      <c r="O152" s="832" t="s">
        <v>2419</v>
      </c>
      <c r="P152" s="1129"/>
      <c r="Q152" s="1129"/>
      <c r="R152" s="538"/>
      <c r="S152" s="538"/>
      <c r="T152" s="1129"/>
    </row>
    <row r="153" spans="1:20">
      <c r="A153" s="1129">
        <v>149</v>
      </c>
      <c r="B153" s="1129"/>
      <c r="C153" s="1139" t="str">
        <f t="shared" si="6"/>
        <v/>
      </c>
      <c r="D153" s="1139" t="str">
        <f t="shared" si="7"/>
        <v>Yachting Concept</v>
      </c>
      <c r="E153" s="832" t="s">
        <v>1474</v>
      </c>
      <c r="F153" s="655" t="s">
        <v>1154</v>
      </c>
      <c r="G153" s="832" t="s">
        <v>95</v>
      </c>
      <c r="H153" s="539" t="s">
        <v>1738</v>
      </c>
      <c r="I153" s="832" t="s">
        <v>242</v>
      </c>
      <c r="J153" s="832" t="s">
        <v>52</v>
      </c>
      <c r="K153" s="832" t="s">
        <v>53</v>
      </c>
      <c r="L153" s="1129"/>
      <c r="M153" s="832"/>
      <c r="N153" s="1129"/>
      <c r="O153" s="832" t="s">
        <v>2419</v>
      </c>
      <c r="P153" s="1129"/>
      <c r="Q153" s="1129"/>
      <c r="R153" s="538"/>
      <c r="S153" s="538"/>
      <c r="T153" s="1129"/>
    </row>
    <row r="154" spans="1:20">
      <c r="A154" s="1129">
        <v>150</v>
      </c>
      <c r="B154" s="1167"/>
      <c r="C154" s="1139" t="str">
        <f t="shared" si="6"/>
        <v/>
      </c>
      <c r="D154" s="1139" t="str">
        <f t="shared" si="7"/>
        <v>Yachting Partner International</v>
      </c>
      <c r="E154" s="1167" t="s">
        <v>1611</v>
      </c>
      <c r="F154" s="1123" t="s">
        <v>1154</v>
      </c>
      <c r="G154" s="1167" t="s">
        <v>95</v>
      </c>
      <c r="H154" s="1125"/>
      <c r="I154" s="1167"/>
      <c r="J154" s="1167"/>
      <c r="K154" s="1167"/>
      <c r="L154" s="1167"/>
      <c r="M154" s="1167"/>
      <c r="N154" s="1167"/>
      <c r="O154" s="1167" t="s">
        <v>2419</v>
      </c>
      <c r="P154" s="1167"/>
      <c r="Q154" s="1167"/>
      <c r="R154" s="1124"/>
      <c r="S154" s="1124"/>
      <c r="T154" s="1167"/>
    </row>
    <row r="155" spans="1:20" s="1150" customFormat="1">
      <c r="A155" s="1169">
        <v>151</v>
      </c>
      <c r="B155" s="1167"/>
      <c r="C155" s="1139" t="str">
        <f t="shared" si="6"/>
        <v/>
      </c>
      <c r="D155" s="1139" t="str">
        <f t="shared" si="7"/>
        <v>YXT LIMITED</v>
      </c>
      <c r="E155" s="1167" t="s">
        <v>1197</v>
      </c>
      <c r="F155" s="1123" t="s">
        <v>1154</v>
      </c>
      <c r="G155" s="1167" t="s">
        <v>95</v>
      </c>
      <c r="H155" s="1125"/>
      <c r="I155" s="1167"/>
      <c r="J155" s="1167"/>
      <c r="K155" s="1167"/>
      <c r="L155" s="1167"/>
      <c r="M155" s="1167"/>
      <c r="N155" s="1167"/>
      <c r="O155" s="1167" t="s">
        <v>2419</v>
      </c>
      <c r="P155" s="1167"/>
      <c r="Q155" s="1167"/>
      <c r="R155" s="1124"/>
      <c r="S155" s="1124"/>
      <c r="T155" s="1167"/>
    </row>
    <row r="156" spans="1:20">
      <c r="C156" s="1139" t="str">
        <f t="shared" si="6"/>
        <v/>
      </c>
      <c r="D156" s="1139" t="str">
        <f t="shared" si="7"/>
        <v>HILL ROBINSON Limited</v>
      </c>
      <c r="E156" s="716" t="s">
        <v>3104</v>
      </c>
      <c r="F156" s="1123" t="s">
        <v>1154</v>
      </c>
      <c r="G156" s="1167" t="s">
        <v>95</v>
      </c>
    </row>
    <row r="157" spans="1:20">
      <c r="C157" s="1139" t="str">
        <f t="shared" si="6"/>
        <v/>
      </c>
      <c r="D157" s="1139">
        <f t="shared" si="7"/>
        <v>0</v>
      </c>
    </row>
    <row r="158" spans="1:20">
      <c r="C158" s="1139" t="str">
        <f t="shared" si="6"/>
        <v/>
      </c>
      <c r="D158" s="1139">
        <f t="shared" si="7"/>
        <v>0</v>
      </c>
    </row>
    <row r="159" spans="1:20">
      <c r="C159" s="1139" t="str">
        <f t="shared" si="6"/>
        <v/>
      </c>
      <c r="D159" s="1139">
        <f t="shared" si="7"/>
        <v>0</v>
      </c>
    </row>
    <row r="160" spans="1:20">
      <c r="C160" s="1139" t="str">
        <f t="shared" si="6"/>
        <v/>
      </c>
      <c r="D160" s="1139">
        <f t="shared" si="7"/>
        <v>0</v>
      </c>
    </row>
  </sheetData>
  <sortState ref="A4:T155">
    <sortCondition ref="E4:E155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</sheetPr>
  <dimension ref="A1:R258"/>
  <sheetViews>
    <sheetView topLeftCell="A222" workbookViewId="0">
      <selection activeCell="D255" sqref="D255"/>
    </sheetView>
  </sheetViews>
  <sheetFormatPr baseColWidth="10" defaultColWidth="11.42578125" defaultRowHeight="15"/>
  <cols>
    <col min="1" max="1" width="6.7109375" customWidth="1"/>
    <col min="2" max="2" width="7.7109375" customWidth="1"/>
    <col min="3" max="3" width="29.28515625" customWidth="1"/>
    <col min="4" max="4" width="33.42578125" customWidth="1"/>
    <col min="5" max="5" width="23.42578125" customWidth="1"/>
    <col min="8" max="8" width="24.85546875" customWidth="1"/>
    <col min="10" max="10" width="29.42578125" customWidth="1"/>
    <col min="12" max="12" width="27.5703125" customWidth="1"/>
    <col min="15" max="15" width="21.85546875" customWidth="1"/>
  </cols>
  <sheetData>
    <row r="1" spans="1:18" s="527" customFormat="1">
      <c r="A1" s="67">
        <v>150</v>
      </c>
      <c r="B1" s="67">
        <f>INDEX(B4:B300,$A$1,1)</f>
        <v>0</v>
      </c>
      <c r="C1" s="67" t="str">
        <f t="shared" ref="C1:O1" si="0">INDEX(C4:C300,$A$1,1)</f>
        <v>MATHE  Corinne (SOMECASSUR)</v>
      </c>
      <c r="D1" s="67" t="str">
        <f t="shared" si="0"/>
        <v/>
      </c>
      <c r="E1" s="67" t="str">
        <f t="shared" si="0"/>
        <v>SOMECASSUR</v>
      </c>
      <c r="F1" s="67" t="str">
        <f t="shared" si="0"/>
        <v>MASTER</v>
      </c>
      <c r="G1" s="67">
        <f t="shared" si="0"/>
        <v>0</v>
      </c>
      <c r="H1" s="67" t="str">
        <f t="shared" si="0"/>
        <v xml:space="preserve">MATHE </v>
      </c>
      <c r="I1" s="67" t="str">
        <f t="shared" si="0"/>
        <v>Corinne</v>
      </c>
      <c r="J1" s="67" t="str">
        <f t="shared" si="0"/>
        <v>c.mathe@somecassur.fr</v>
      </c>
      <c r="K1" s="67" t="str">
        <f t="shared" si="0"/>
        <v>corinne</v>
      </c>
      <c r="L1" s="67" t="str">
        <f t="shared" si="0"/>
        <v>Plateforme</v>
      </c>
      <c r="M1" s="67" t="str">
        <f t="shared" si="0"/>
        <v>(0033) 493399230</v>
      </c>
      <c r="N1" s="67" t="str">
        <f t="shared" si="0"/>
        <v>(0033) 493391581</v>
      </c>
      <c r="O1" s="67">
        <f t="shared" si="0"/>
        <v>0</v>
      </c>
    </row>
    <row r="2" spans="1:18">
      <c r="A2" s="67">
        <v>262</v>
      </c>
      <c r="B2" s="67">
        <f>INDEX(B4:B300,$A$2,1)</f>
        <v>0</v>
      </c>
      <c r="C2" s="67">
        <f t="shared" ref="C2:O2" si="1">INDEX(C4:C300,$A$2,1)</f>
        <v>0</v>
      </c>
      <c r="D2" s="67">
        <f t="shared" si="1"/>
        <v>0</v>
      </c>
      <c r="E2" s="67">
        <f t="shared" si="1"/>
        <v>0</v>
      </c>
      <c r="F2" s="67">
        <f t="shared" si="1"/>
        <v>0</v>
      </c>
      <c r="G2" s="67">
        <f t="shared" si="1"/>
        <v>0</v>
      </c>
      <c r="H2" s="67">
        <f t="shared" si="1"/>
        <v>0</v>
      </c>
      <c r="I2" s="67">
        <f t="shared" si="1"/>
        <v>0</v>
      </c>
      <c r="J2" s="67">
        <f t="shared" si="1"/>
        <v>0</v>
      </c>
      <c r="K2" s="67">
        <f t="shared" si="1"/>
        <v>0</v>
      </c>
      <c r="L2" s="67">
        <f t="shared" si="1"/>
        <v>0</v>
      </c>
      <c r="M2" s="67">
        <f t="shared" si="1"/>
        <v>0</v>
      </c>
      <c r="N2" s="67">
        <f t="shared" si="1"/>
        <v>0</v>
      </c>
      <c r="O2" s="67">
        <f t="shared" si="1"/>
        <v>0</v>
      </c>
    </row>
    <row r="3" spans="1:18" s="272" customFormat="1" ht="39.950000000000003" customHeight="1">
      <c r="A3" s="66" t="s">
        <v>2441</v>
      </c>
      <c r="B3" s="66" t="s">
        <v>1143</v>
      </c>
      <c r="C3" s="66" t="s">
        <v>2381</v>
      </c>
      <c r="D3" s="66" t="s">
        <v>2382</v>
      </c>
      <c r="E3" s="66" t="s">
        <v>2442</v>
      </c>
      <c r="F3" s="66" t="s">
        <v>179</v>
      </c>
      <c r="G3" s="66" t="s">
        <v>582</v>
      </c>
      <c r="H3" s="66" t="s">
        <v>17</v>
      </c>
      <c r="I3" s="66" t="s">
        <v>18</v>
      </c>
      <c r="J3" s="66" t="s">
        <v>1144</v>
      </c>
      <c r="K3" s="66" t="s">
        <v>1145</v>
      </c>
      <c r="L3" s="66" t="s">
        <v>581</v>
      </c>
      <c r="M3" s="66" t="s">
        <v>213</v>
      </c>
      <c r="N3" s="66" t="s">
        <v>214</v>
      </c>
      <c r="O3" s="66" t="s">
        <v>1147</v>
      </c>
    </row>
    <row r="4" spans="1:18" s="383" customFormat="1" ht="15" customHeight="1">
      <c r="A4" s="69">
        <v>61</v>
      </c>
      <c r="B4" s="69"/>
      <c r="C4" s="451" t="str">
        <f>IF(F4="MASTER",H4&amp;" "&amp;I4&amp;" ("&amp;E4&amp;")","")</f>
        <v>ABDO Charbel (CLOVER BROKERS )</v>
      </c>
      <c r="D4" s="451" t="str">
        <f>IF(F4="MASTER","",H4&amp;" "&amp;I4&amp;" ("&amp;E4&amp;")")</f>
        <v/>
      </c>
      <c r="E4" s="550" t="s">
        <v>304</v>
      </c>
      <c r="F4" s="494" t="s">
        <v>587</v>
      </c>
      <c r="G4" s="494"/>
      <c r="H4" s="494" t="s">
        <v>583</v>
      </c>
      <c r="I4" s="494" t="s">
        <v>584</v>
      </c>
      <c r="J4" s="494" t="s">
        <v>585</v>
      </c>
      <c r="K4" s="494" t="s">
        <v>586</v>
      </c>
      <c r="L4" s="69"/>
      <c r="M4" s="494" t="s">
        <v>588</v>
      </c>
      <c r="N4" s="494"/>
      <c r="O4" s="494"/>
      <c r="P4" s="83"/>
      <c r="Q4" s="83"/>
      <c r="R4" s="83"/>
    </row>
    <row r="5" spans="1:18" s="383" customFormat="1" ht="15" customHeight="1">
      <c r="A5" s="494">
        <v>174</v>
      </c>
      <c r="B5" s="494"/>
      <c r="C5" s="451" t="str">
        <f t="shared" ref="C5:C68" si="2">IF(F5="MASTER",H5&amp;" "&amp;I5&amp;" ("&amp;E5&amp;")","")</f>
        <v>ABI MRAD Jihad (PREMIUM BROKING HOUSE)</v>
      </c>
      <c r="D5" s="451" t="str">
        <f t="shared" ref="D5:D68" si="3">IF(F5="MASTER","",H5&amp;" "&amp;I5&amp;" ("&amp;E5&amp;")")</f>
        <v/>
      </c>
      <c r="E5" s="494" t="s">
        <v>519</v>
      </c>
      <c r="F5" s="494" t="s">
        <v>587</v>
      </c>
      <c r="G5" s="494"/>
      <c r="H5" s="494" t="s">
        <v>589</v>
      </c>
      <c r="I5" s="494" t="s">
        <v>590</v>
      </c>
      <c r="J5" s="549" t="s">
        <v>591</v>
      </c>
      <c r="K5" s="494"/>
      <c r="L5" s="69" t="s">
        <v>592</v>
      </c>
      <c r="M5" s="494" t="s">
        <v>523</v>
      </c>
      <c r="N5" s="494"/>
      <c r="O5" s="494" t="s">
        <v>593</v>
      </c>
      <c r="P5" s="556"/>
      <c r="Q5" s="556"/>
      <c r="R5" s="556"/>
    </row>
    <row r="6" spans="1:18" s="383" customFormat="1" ht="15" customHeight="1">
      <c r="A6" s="69">
        <v>151</v>
      </c>
      <c r="B6" s="69"/>
      <c r="C6" s="451" t="str">
        <f t="shared" si="2"/>
        <v>ABOUMRAD  Jihad (Nasco France)</v>
      </c>
      <c r="D6" s="451" t="str">
        <f t="shared" si="3"/>
        <v/>
      </c>
      <c r="E6" s="69" t="s">
        <v>2406</v>
      </c>
      <c r="F6" s="494" t="s">
        <v>587</v>
      </c>
      <c r="G6" s="69"/>
      <c r="H6" s="69" t="s">
        <v>594</v>
      </c>
      <c r="I6" s="69" t="s">
        <v>590</v>
      </c>
      <c r="J6" s="71" t="s">
        <v>595</v>
      </c>
      <c r="K6" s="494" t="s">
        <v>596</v>
      </c>
      <c r="L6" s="69" t="s">
        <v>592</v>
      </c>
      <c r="M6" s="69"/>
      <c r="N6" s="69"/>
      <c r="O6" s="69"/>
      <c r="P6" s="556"/>
      <c r="Q6" s="556"/>
      <c r="R6" s="556"/>
    </row>
    <row r="7" spans="1:18" s="383" customFormat="1" ht="15" customHeight="1">
      <c r="A7" s="69">
        <v>197</v>
      </c>
      <c r="B7" s="69"/>
      <c r="C7" s="451" t="str">
        <f t="shared" si="2"/>
        <v>ALBIN  Elodie (SUISSCOURTAGE Monaco)</v>
      </c>
      <c r="D7" s="451" t="str">
        <f t="shared" si="3"/>
        <v/>
      </c>
      <c r="E7" s="550" t="s">
        <v>553</v>
      </c>
      <c r="F7" s="494" t="s">
        <v>587</v>
      </c>
      <c r="G7" s="69"/>
      <c r="H7" s="69" t="s">
        <v>597</v>
      </c>
      <c r="I7" s="69" t="s">
        <v>598</v>
      </c>
      <c r="J7" s="71" t="s">
        <v>599</v>
      </c>
      <c r="K7" s="494" t="s">
        <v>600</v>
      </c>
      <c r="L7" s="69" t="s">
        <v>592</v>
      </c>
      <c r="M7" s="69"/>
      <c r="N7" s="69"/>
      <c r="O7" s="69"/>
      <c r="P7" s="556"/>
      <c r="Q7" s="556"/>
      <c r="R7" s="556"/>
    </row>
    <row r="8" spans="1:18" s="383" customFormat="1" ht="15" customHeight="1">
      <c r="A8" s="69">
        <v>73</v>
      </c>
      <c r="B8" s="494">
        <v>68</v>
      </c>
      <c r="C8" s="451" t="str">
        <f t="shared" si="2"/>
        <v/>
      </c>
      <c r="D8" s="451" t="str">
        <f t="shared" si="3"/>
        <v>ALLAS Salla (Darkpelican)</v>
      </c>
      <c r="E8" s="76" t="s">
        <v>332</v>
      </c>
      <c r="F8" s="494" t="s">
        <v>1154</v>
      </c>
      <c r="G8" s="494"/>
      <c r="H8" s="494" t="s">
        <v>1150</v>
      </c>
      <c r="I8" s="494" t="s">
        <v>1151</v>
      </c>
      <c r="J8" s="494" t="s">
        <v>1152</v>
      </c>
      <c r="K8" s="494" t="s">
        <v>1153</v>
      </c>
      <c r="L8" s="69" t="s">
        <v>592</v>
      </c>
      <c r="M8" s="494" t="s">
        <v>1155</v>
      </c>
      <c r="N8" s="494"/>
      <c r="O8" s="494" t="s">
        <v>1156</v>
      </c>
    </row>
    <row r="9" spans="1:18" s="383" customFormat="1" ht="15" customHeight="1">
      <c r="A9" s="69">
        <v>85</v>
      </c>
      <c r="B9" s="494">
        <v>77</v>
      </c>
      <c r="C9" s="451" t="str">
        <f t="shared" si="2"/>
        <v/>
      </c>
      <c r="D9" s="451" t="str">
        <f t="shared" si="3"/>
        <v>ANGUSTI Francesca (Fraseryachts)</v>
      </c>
      <c r="E9" s="494" t="s">
        <v>1157</v>
      </c>
      <c r="F9" s="494" t="s">
        <v>1154</v>
      </c>
      <c r="G9" s="494"/>
      <c r="H9" s="494" t="s">
        <v>1158</v>
      </c>
      <c r="I9" s="494" t="s">
        <v>1159</v>
      </c>
      <c r="J9" s="494" t="s">
        <v>1160</v>
      </c>
      <c r="K9" s="494" t="s">
        <v>1161</v>
      </c>
      <c r="L9" s="69" t="s">
        <v>592</v>
      </c>
      <c r="M9" s="494"/>
      <c r="N9" s="494"/>
      <c r="O9" s="494"/>
    </row>
    <row r="10" spans="1:18" s="383" customFormat="1" ht="15" customHeight="1">
      <c r="A10" s="69">
        <v>40</v>
      </c>
      <c r="B10" s="494">
        <v>23</v>
      </c>
      <c r="C10" s="451" t="str">
        <f t="shared" si="2"/>
        <v/>
      </c>
      <c r="D10" s="451" t="str">
        <f t="shared" si="3"/>
        <v>ARBEZ Elise (Bourbon Offshore Greenmar)</v>
      </c>
      <c r="E10" s="494" t="s">
        <v>754</v>
      </c>
      <c r="F10" s="494" t="s">
        <v>1166</v>
      </c>
      <c r="G10" s="494"/>
      <c r="H10" s="494" t="s">
        <v>1162</v>
      </c>
      <c r="I10" s="494" t="s">
        <v>1163</v>
      </c>
      <c r="J10" s="494" t="s">
        <v>1164</v>
      </c>
      <c r="K10" s="494" t="s">
        <v>1165</v>
      </c>
      <c r="L10" s="69" t="s">
        <v>592</v>
      </c>
      <c r="M10" s="494"/>
      <c r="N10" s="494" t="s">
        <v>1167</v>
      </c>
      <c r="O10" s="494" t="s">
        <v>1168</v>
      </c>
    </row>
    <row r="11" spans="1:18" s="383" customFormat="1" ht="15" customHeight="1">
      <c r="A11" s="69">
        <v>17</v>
      </c>
      <c r="B11" s="69"/>
      <c r="C11" s="451" t="str">
        <f t="shared" si="2"/>
        <v>Ascoma  maritime (ASCOMA MARITIME MONACO)</v>
      </c>
      <c r="D11" s="451" t="str">
        <f t="shared" si="3"/>
        <v/>
      </c>
      <c r="E11" s="550" t="s">
        <v>266</v>
      </c>
      <c r="F11" s="494" t="s">
        <v>587</v>
      </c>
      <c r="G11" s="69"/>
      <c r="H11" s="69" t="s">
        <v>601</v>
      </c>
      <c r="I11" s="69" t="s">
        <v>602</v>
      </c>
      <c r="J11" s="71" t="s">
        <v>603</v>
      </c>
      <c r="K11" s="494" t="s">
        <v>604</v>
      </c>
      <c r="L11" s="69" t="s">
        <v>592</v>
      </c>
      <c r="M11" s="69"/>
      <c r="N11" s="69"/>
      <c r="O11" s="69"/>
      <c r="P11" s="83"/>
      <c r="Q11" s="83"/>
      <c r="R11" s="83"/>
    </row>
    <row r="12" spans="1:18" s="383" customFormat="1" ht="15" customHeight="1">
      <c r="A12" s="69">
        <v>88</v>
      </c>
      <c r="B12" s="494">
        <v>67</v>
      </c>
      <c r="C12" s="451" t="str">
        <f t="shared" si="2"/>
        <v/>
      </c>
      <c r="D12" s="451" t="str">
        <f t="shared" si="3"/>
        <v>ASTOLFI Christine (GASPARD Yachts)</v>
      </c>
      <c r="E12" s="76" t="s">
        <v>371</v>
      </c>
      <c r="F12" s="494" t="s">
        <v>1154</v>
      </c>
      <c r="G12" s="69"/>
      <c r="H12" s="494" t="s">
        <v>1169</v>
      </c>
      <c r="I12" s="494" t="s">
        <v>857</v>
      </c>
      <c r="J12" s="494" t="s">
        <v>1170</v>
      </c>
      <c r="K12" s="494" t="s">
        <v>1171</v>
      </c>
      <c r="L12" s="69" t="s">
        <v>592</v>
      </c>
      <c r="M12" s="554" t="s">
        <v>2447</v>
      </c>
      <c r="N12" s="494" t="s">
        <v>1172</v>
      </c>
      <c r="O12" s="494"/>
    </row>
    <row r="13" spans="1:18" s="383" customFormat="1" ht="15" customHeight="1">
      <c r="A13" s="494">
        <v>36</v>
      </c>
      <c r="B13" s="69"/>
      <c r="C13" s="451" t="str">
        <f t="shared" si="2"/>
        <v>AUERBACH Marta (BOURBON GROUP)</v>
      </c>
      <c r="D13" s="451" t="str">
        <f t="shared" si="3"/>
        <v/>
      </c>
      <c r="E13" s="494" t="s">
        <v>629</v>
      </c>
      <c r="F13" s="494" t="s">
        <v>587</v>
      </c>
      <c r="G13" s="494"/>
      <c r="H13" s="494" t="s">
        <v>607</v>
      </c>
      <c r="I13" s="494" t="s">
        <v>608</v>
      </c>
      <c r="J13" s="494" t="s">
        <v>609</v>
      </c>
      <c r="K13" s="494" t="s">
        <v>610</v>
      </c>
      <c r="L13" s="69" t="s">
        <v>592</v>
      </c>
      <c r="M13" s="494"/>
      <c r="N13" s="494"/>
      <c r="O13" s="494"/>
      <c r="P13" s="83"/>
      <c r="Q13" s="83"/>
      <c r="R13" s="83"/>
    </row>
    <row r="14" spans="1:18" s="383" customFormat="1" ht="15" customHeight="1">
      <c r="A14" s="69">
        <v>14</v>
      </c>
      <c r="B14" s="494">
        <v>17</v>
      </c>
      <c r="C14" s="451" t="str">
        <f t="shared" si="2"/>
        <v/>
      </c>
      <c r="D14" s="451" t="str">
        <f t="shared" si="3"/>
        <v>BAILLIE Claire (Aquamarine)</v>
      </c>
      <c r="E14" s="494" t="s">
        <v>1173</v>
      </c>
      <c r="F14" s="494" t="s">
        <v>1154</v>
      </c>
      <c r="G14" s="69"/>
      <c r="H14" s="494" t="s">
        <v>1174</v>
      </c>
      <c r="I14" s="494" t="s">
        <v>1175</v>
      </c>
      <c r="J14" s="494" t="s">
        <v>1176</v>
      </c>
      <c r="K14" s="494" t="s">
        <v>1177</v>
      </c>
      <c r="L14" s="69" t="s">
        <v>592</v>
      </c>
      <c r="M14" s="494" t="s">
        <v>1178</v>
      </c>
      <c r="N14" s="69"/>
      <c r="O14" s="494" t="s">
        <v>1179</v>
      </c>
    </row>
    <row r="15" spans="1:18" s="383" customFormat="1" ht="15" customHeight="1">
      <c r="A15" s="69">
        <v>76</v>
      </c>
      <c r="B15" s="69"/>
      <c r="C15" s="451" t="str">
        <f t="shared" si="2"/>
        <v>BARAKAT  Darine (EYSSAUTIER)</v>
      </c>
      <c r="D15" s="451" t="str">
        <f t="shared" si="3"/>
        <v/>
      </c>
      <c r="E15" s="69" t="s">
        <v>611</v>
      </c>
      <c r="F15" s="494" t="s">
        <v>587</v>
      </c>
      <c r="G15" s="69"/>
      <c r="H15" s="69" t="s">
        <v>612</v>
      </c>
      <c r="I15" s="69" t="s">
        <v>613</v>
      </c>
      <c r="J15" s="69" t="s">
        <v>614</v>
      </c>
      <c r="K15" s="494" t="s">
        <v>615</v>
      </c>
      <c r="L15" s="69" t="s">
        <v>592</v>
      </c>
      <c r="M15" s="69"/>
      <c r="N15" s="69"/>
      <c r="O15" s="69"/>
      <c r="P15" s="83"/>
      <c r="Q15" s="83"/>
      <c r="R15" s="83"/>
    </row>
    <row r="16" spans="1:18" s="383" customFormat="1" ht="15" customHeight="1">
      <c r="A16" s="69">
        <v>116</v>
      </c>
      <c r="B16" s="69"/>
      <c r="C16" s="451" t="str">
        <f t="shared" si="2"/>
        <v/>
      </c>
      <c r="D16" s="451" t="str">
        <f t="shared" si="3"/>
        <v>BARBERO Vanessa (LALANDRE ASSURANCES)</v>
      </c>
      <c r="E16" s="76" t="s">
        <v>438</v>
      </c>
      <c r="F16" s="494" t="s">
        <v>1154</v>
      </c>
      <c r="G16" s="69" t="s">
        <v>620</v>
      </c>
      <c r="H16" s="69" t="s">
        <v>616</v>
      </c>
      <c r="I16" s="69" t="s">
        <v>617</v>
      </c>
      <c r="J16" s="72" t="s">
        <v>618</v>
      </c>
      <c r="K16" s="72"/>
      <c r="L16" s="69" t="s">
        <v>619</v>
      </c>
      <c r="M16" s="69" t="s">
        <v>621</v>
      </c>
      <c r="N16" s="69" t="s">
        <v>622</v>
      </c>
      <c r="O16" s="69"/>
    </row>
    <row r="17" spans="1:18" s="383" customFormat="1" ht="15" customHeight="1">
      <c r="A17" s="69">
        <v>11</v>
      </c>
      <c r="B17" s="69"/>
      <c r="C17" s="451" t="str">
        <f t="shared" si="2"/>
        <v/>
      </c>
      <c r="D17" s="451" t="str">
        <f t="shared" si="3"/>
        <v>BAYLE Jacqueline (April Marine)</v>
      </c>
      <c r="E17" s="69" t="s">
        <v>623</v>
      </c>
      <c r="F17" s="494" t="s">
        <v>1154</v>
      </c>
      <c r="G17" s="494"/>
      <c r="H17" s="69" t="s">
        <v>624</v>
      </c>
      <c r="I17" s="69" t="s">
        <v>625</v>
      </c>
      <c r="J17" s="71" t="s">
        <v>626</v>
      </c>
      <c r="K17" s="71"/>
      <c r="L17" s="69" t="s">
        <v>592</v>
      </c>
      <c r="M17" s="494" t="s">
        <v>627</v>
      </c>
      <c r="N17" s="494" t="s">
        <v>243</v>
      </c>
      <c r="O17" s="494" t="s">
        <v>628</v>
      </c>
    </row>
    <row r="18" spans="1:18" s="383" customFormat="1" ht="15" customHeight="1">
      <c r="A18" s="69">
        <v>37</v>
      </c>
      <c r="B18" s="69"/>
      <c r="C18" s="451" t="str">
        <f t="shared" si="2"/>
        <v>BEAU Muriel (BOURBON GROUP)</v>
      </c>
      <c r="D18" s="451" t="str">
        <f t="shared" si="3"/>
        <v/>
      </c>
      <c r="E18" s="494" t="s">
        <v>629</v>
      </c>
      <c r="F18" s="494" t="s">
        <v>587</v>
      </c>
      <c r="G18" s="494"/>
      <c r="H18" s="494" t="s">
        <v>630</v>
      </c>
      <c r="I18" s="494" t="s">
        <v>631</v>
      </c>
      <c r="J18" s="494" t="s">
        <v>632</v>
      </c>
      <c r="K18" s="494" t="s">
        <v>633</v>
      </c>
      <c r="L18" s="69" t="s">
        <v>592</v>
      </c>
      <c r="M18" s="494" t="s">
        <v>634</v>
      </c>
      <c r="N18" s="494"/>
      <c r="O18" s="494"/>
      <c r="P18" s="83"/>
      <c r="Q18" s="83"/>
      <c r="R18" s="83"/>
    </row>
    <row r="19" spans="1:18" s="383" customFormat="1" ht="15" customHeight="1">
      <c r="A19" s="69">
        <v>104</v>
      </c>
      <c r="B19" s="69"/>
      <c r="C19" s="451" t="str">
        <f t="shared" si="2"/>
        <v>BECKER  Olivier (INP Marine)</v>
      </c>
      <c r="D19" s="451" t="str">
        <f t="shared" si="3"/>
        <v/>
      </c>
      <c r="E19" s="550" t="s">
        <v>407</v>
      </c>
      <c r="F19" s="494" t="s">
        <v>587</v>
      </c>
      <c r="G19" s="69"/>
      <c r="H19" s="69" t="s">
        <v>635</v>
      </c>
      <c r="I19" s="69" t="s">
        <v>636</v>
      </c>
      <c r="J19" s="71" t="s">
        <v>637</v>
      </c>
      <c r="K19" s="494" t="s">
        <v>638</v>
      </c>
      <c r="L19" s="69" t="s">
        <v>592</v>
      </c>
      <c r="M19" s="69" t="s">
        <v>411</v>
      </c>
      <c r="N19" s="69"/>
      <c r="O19" s="69" t="s">
        <v>639</v>
      </c>
      <c r="P19" s="553"/>
      <c r="Q19" s="553"/>
      <c r="R19" s="553"/>
    </row>
    <row r="20" spans="1:18" s="383" customFormat="1" ht="15" customHeight="1">
      <c r="A20" s="69">
        <v>56</v>
      </c>
      <c r="B20" s="494">
        <v>25</v>
      </c>
      <c r="C20" s="451" t="str">
        <f t="shared" si="2"/>
        <v/>
      </c>
      <c r="D20" s="451" t="str">
        <f t="shared" si="3"/>
        <v>BELLINI Evelyne (Camper &amp; Nicholson)</v>
      </c>
      <c r="E20" s="494" t="s">
        <v>1180</v>
      </c>
      <c r="F20" s="494" t="s">
        <v>1154</v>
      </c>
      <c r="G20" s="69"/>
      <c r="H20" s="494" t="s">
        <v>1182</v>
      </c>
      <c r="I20" s="494" t="s">
        <v>1183</v>
      </c>
      <c r="J20" s="494" t="s">
        <v>1184</v>
      </c>
      <c r="K20" s="494" t="s">
        <v>1185</v>
      </c>
      <c r="L20" s="69" t="s">
        <v>592</v>
      </c>
      <c r="M20" s="494" t="s">
        <v>1186</v>
      </c>
      <c r="N20" s="494"/>
      <c r="O20" s="494"/>
    </row>
    <row r="21" spans="1:18" s="383" customFormat="1" ht="15" customHeight="1">
      <c r="A21" s="69">
        <v>41</v>
      </c>
      <c r="B21" s="494">
        <v>23</v>
      </c>
      <c r="C21" s="451" t="str">
        <f t="shared" si="2"/>
        <v/>
      </c>
      <c r="D21" s="451" t="str">
        <f t="shared" si="3"/>
        <v>BERTHET Mélanie (Bourbon Offshore Greenmar)</v>
      </c>
      <c r="E21" s="494" t="s">
        <v>754</v>
      </c>
      <c r="F21" s="494" t="s">
        <v>1166</v>
      </c>
      <c r="G21" s="494"/>
      <c r="H21" s="494" t="s">
        <v>1187</v>
      </c>
      <c r="I21" s="494" t="s">
        <v>1188</v>
      </c>
      <c r="J21" s="494" t="s">
        <v>1189</v>
      </c>
      <c r="K21" s="494" t="s">
        <v>1190</v>
      </c>
      <c r="L21" s="69" t="s">
        <v>592</v>
      </c>
      <c r="M21" s="494"/>
      <c r="N21" s="494"/>
      <c r="O21" s="494"/>
    </row>
    <row r="22" spans="1:18" s="383" customFormat="1" ht="15" customHeight="1">
      <c r="A22" s="69">
        <v>124</v>
      </c>
      <c r="B22" s="494">
        <v>57</v>
      </c>
      <c r="C22" s="451" t="str">
        <f t="shared" si="2"/>
        <v/>
      </c>
      <c r="D22" s="451" t="str">
        <f t="shared" si="3"/>
        <v>BEZZINA-PERSONENI Cynthia (MAGELLAN)</v>
      </c>
      <c r="E22" s="494" t="s">
        <v>1191</v>
      </c>
      <c r="F22" s="494" t="s">
        <v>1154</v>
      </c>
      <c r="G22" s="69"/>
      <c r="H22" s="494" t="s">
        <v>1193</v>
      </c>
      <c r="I22" s="494" t="s">
        <v>1194</v>
      </c>
      <c r="J22" s="494" t="s">
        <v>1195</v>
      </c>
      <c r="K22" s="494" t="s">
        <v>1196</v>
      </c>
      <c r="L22" s="69" t="s">
        <v>592</v>
      </c>
      <c r="M22" s="494" t="s">
        <v>2455</v>
      </c>
      <c r="N22" s="494"/>
      <c r="O22" s="494"/>
    </row>
    <row r="23" spans="1:18" s="383" customFormat="1" ht="15" customHeight="1">
      <c r="A23" s="494">
        <v>243</v>
      </c>
      <c r="B23" s="494">
        <v>44</v>
      </c>
      <c r="C23" s="451" t="str">
        <f t="shared" si="2"/>
        <v/>
      </c>
      <c r="D23" s="451" t="str">
        <f t="shared" si="3"/>
        <v>BORG Karm (YXT LIMITED)</v>
      </c>
      <c r="E23" s="494" t="s">
        <v>1197</v>
      </c>
      <c r="F23" s="494" t="s">
        <v>1154</v>
      </c>
      <c r="G23" s="494"/>
      <c r="H23" s="494" t="s">
        <v>1198</v>
      </c>
      <c r="I23" s="494" t="s">
        <v>1199</v>
      </c>
      <c r="J23" s="494" t="s">
        <v>1200</v>
      </c>
      <c r="K23" s="494" t="s">
        <v>1201</v>
      </c>
      <c r="L23" s="69"/>
      <c r="M23" s="494"/>
      <c r="N23" s="494"/>
      <c r="O23" s="494"/>
    </row>
    <row r="24" spans="1:18" s="383" customFormat="1" ht="15" customHeight="1">
      <c r="A24" s="494">
        <v>84</v>
      </c>
      <c r="B24" s="69"/>
      <c r="C24" s="451" t="str">
        <f t="shared" si="2"/>
        <v/>
      </c>
      <c r="D24" s="451" t="str">
        <f t="shared" si="3"/>
        <v>BOUILLE gwenael (Franctema)</v>
      </c>
      <c r="E24" s="69" t="s">
        <v>1202</v>
      </c>
      <c r="F24" s="494" t="s">
        <v>1166</v>
      </c>
      <c r="G24" s="69"/>
      <c r="H24" s="69" t="s">
        <v>1203</v>
      </c>
      <c r="I24" s="69" t="s">
        <v>1204</v>
      </c>
      <c r="J24" s="69" t="s">
        <v>1205</v>
      </c>
      <c r="K24" s="494" t="s">
        <v>1206</v>
      </c>
      <c r="L24" s="69" t="s">
        <v>592</v>
      </c>
      <c r="M24" s="69"/>
      <c r="N24" s="69"/>
      <c r="O24" s="69"/>
    </row>
    <row r="25" spans="1:18" s="383" customFormat="1" ht="15" customHeight="1">
      <c r="A25" s="494">
        <v>42</v>
      </c>
      <c r="B25" s="494">
        <v>23</v>
      </c>
      <c r="C25" s="451" t="str">
        <f t="shared" si="2"/>
        <v/>
      </c>
      <c r="D25" s="451" t="str">
        <f t="shared" si="3"/>
        <v>BROOKE Alan (Bourbon Offshore Greenmar)</v>
      </c>
      <c r="E25" s="494" t="s">
        <v>754</v>
      </c>
      <c r="F25" s="494" t="s">
        <v>1154</v>
      </c>
      <c r="G25" s="494"/>
      <c r="H25" s="494" t="s">
        <v>1207</v>
      </c>
      <c r="I25" s="494" t="s">
        <v>1208</v>
      </c>
      <c r="J25" s="494" t="s">
        <v>1209</v>
      </c>
      <c r="K25" s="494" t="s">
        <v>1210</v>
      </c>
      <c r="L25" s="69" t="s">
        <v>592</v>
      </c>
      <c r="M25" s="494"/>
      <c r="N25" s="494"/>
      <c r="O25" s="494"/>
    </row>
    <row r="26" spans="1:18" s="383" customFormat="1" ht="15" customHeight="1">
      <c r="A26" s="69">
        <v>212</v>
      </c>
      <c r="B26" s="494"/>
      <c r="C26" s="451" t="str">
        <f t="shared" si="2"/>
        <v>BROTTO Jeremy (UVEA MARINE SERVICE)</v>
      </c>
      <c r="D26" s="451" t="str">
        <f t="shared" si="3"/>
        <v/>
      </c>
      <c r="E26" s="494" t="s">
        <v>640</v>
      </c>
      <c r="F26" s="494" t="s">
        <v>587</v>
      </c>
      <c r="G26" s="494"/>
      <c r="H26" s="494" t="s">
        <v>641</v>
      </c>
      <c r="I26" s="494" t="s">
        <v>642</v>
      </c>
      <c r="J26" s="494" t="s">
        <v>643</v>
      </c>
      <c r="K26" s="494" t="s">
        <v>644</v>
      </c>
      <c r="L26" s="69" t="s">
        <v>592</v>
      </c>
      <c r="M26" s="494"/>
      <c r="N26" s="494"/>
      <c r="O26" s="494"/>
      <c r="P26" s="556"/>
      <c r="Q26" s="556"/>
      <c r="R26" s="556"/>
    </row>
    <row r="27" spans="1:18" s="383" customFormat="1" ht="15" customHeight="1">
      <c r="A27" s="69">
        <v>32</v>
      </c>
      <c r="B27" s="494">
        <v>22</v>
      </c>
      <c r="C27" s="451" t="str">
        <f t="shared" si="2"/>
        <v/>
      </c>
      <c r="D27" s="451" t="str">
        <f t="shared" si="3"/>
        <v>CAFFO Fabien (BLUEWIN)</v>
      </c>
      <c r="E27" s="494" t="s">
        <v>1211</v>
      </c>
      <c r="F27" s="494" t="s">
        <v>1166</v>
      </c>
      <c r="G27" s="494"/>
      <c r="H27" s="494" t="s">
        <v>1212</v>
      </c>
      <c r="I27" s="494" t="s">
        <v>1213</v>
      </c>
      <c r="J27" s="494" t="s">
        <v>1214</v>
      </c>
      <c r="K27" s="494" t="s">
        <v>1215</v>
      </c>
      <c r="L27" s="69" t="s">
        <v>592</v>
      </c>
      <c r="M27" s="494"/>
      <c r="N27" s="494"/>
      <c r="O27" s="494"/>
    </row>
    <row r="28" spans="1:18" s="383" customFormat="1" ht="15" customHeight="1">
      <c r="A28" s="69">
        <v>110</v>
      </c>
      <c r="B28" s="69"/>
      <c r="C28" s="451" t="str">
        <f t="shared" si="2"/>
        <v>CAMPION  Solange (JOURDAN GASSIN Nice)</v>
      </c>
      <c r="D28" s="451" t="str">
        <f t="shared" si="3"/>
        <v/>
      </c>
      <c r="E28" s="69" t="s">
        <v>433</v>
      </c>
      <c r="F28" s="494" t="s">
        <v>587</v>
      </c>
      <c r="G28" s="69"/>
      <c r="H28" s="69" t="s">
        <v>645</v>
      </c>
      <c r="I28" s="69" t="s">
        <v>646</v>
      </c>
      <c r="J28" s="71" t="s">
        <v>647</v>
      </c>
      <c r="K28" s="494" t="s">
        <v>648</v>
      </c>
      <c r="L28" s="69" t="s">
        <v>592</v>
      </c>
      <c r="M28" s="494" t="s">
        <v>2451</v>
      </c>
      <c r="N28" s="69"/>
      <c r="O28" s="69"/>
      <c r="P28" s="556"/>
      <c r="Q28" s="556"/>
      <c r="R28" s="556"/>
    </row>
    <row r="29" spans="1:18" s="383" customFormat="1" ht="15" customHeight="1">
      <c r="A29" s="494">
        <v>222</v>
      </c>
      <c r="B29" s="494">
        <v>59</v>
      </c>
      <c r="C29" s="451" t="str">
        <f t="shared" si="2"/>
        <v/>
      </c>
      <c r="D29" s="451" t="str">
        <f t="shared" si="3"/>
        <v>Captain Al Adaid (Y.CO)</v>
      </c>
      <c r="E29" s="494" t="s">
        <v>1216</v>
      </c>
      <c r="F29" s="494" t="s">
        <v>1166</v>
      </c>
      <c r="G29" s="494"/>
      <c r="H29" s="494" t="s">
        <v>1218</v>
      </c>
      <c r="I29" s="494" t="s">
        <v>1237</v>
      </c>
      <c r="J29" s="494" t="s">
        <v>1238</v>
      </c>
      <c r="K29" s="494" t="s">
        <v>1239</v>
      </c>
      <c r="L29" s="69" t="s">
        <v>592</v>
      </c>
      <c r="M29" s="494"/>
      <c r="N29" s="494"/>
      <c r="O29" s="494"/>
    </row>
    <row r="30" spans="1:18" s="383" customFormat="1" ht="15" customHeight="1">
      <c r="A30" s="69">
        <v>223</v>
      </c>
      <c r="B30" s="494">
        <v>59</v>
      </c>
      <c r="C30" s="451" t="str">
        <f t="shared" si="2"/>
        <v/>
      </c>
      <c r="D30" s="451" t="str">
        <f t="shared" si="3"/>
        <v>Captain Al Duhail (Y.CO)</v>
      </c>
      <c r="E30" s="494" t="s">
        <v>1216</v>
      </c>
      <c r="F30" s="494" t="s">
        <v>1166</v>
      </c>
      <c r="G30" s="494"/>
      <c r="H30" s="494" t="s">
        <v>1218</v>
      </c>
      <c r="I30" s="494" t="s">
        <v>1240</v>
      </c>
      <c r="J30" s="494" t="s">
        <v>1241</v>
      </c>
      <c r="K30" s="494" t="s">
        <v>1242</v>
      </c>
      <c r="L30" s="69" t="s">
        <v>592</v>
      </c>
      <c r="M30" s="494"/>
      <c r="N30" s="494"/>
      <c r="O30" s="494"/>
    </row>
    <row r="31" spans="1:18" s="383" customFormat="1" ht="15" customHeight="1">
      <c r="A31" s="69">
        <v>224</v>
      </c>
      <c r="B31" s="494">
        <v>59</v>
      </c>
      <c r="C31" s="451" t="str">
        <f t="shared" si="2"/>
        <v/>
      </c>
      <c r="D31" s="451" t="str">
        <f t="shared" si="3"/>
        <v>Captain Al Mirqab II (Y.CO)</v>
      </c>
      <c r="E31" s="494" t="s">
        <v>1216</v>
      </c>
      <c r="F31" s="494" t="s">
        <v>1166</v>
      </c>
      <c r="G31" s="494"/>
      <c r="H31" s="494" t="s">
        <v>1218</v>
      </c>
      <c r="I31" s="494" t="s">
        <v>1243</v>
      </c>
      <c r="J31" s="494" t="s">
        <v>1244</v>
      </c>
      <c r="K31" s="494" t="s">
        <v>1245</v>
      </c>
      <c r="L31" s="69" t="s">
        <v>592</v>
      </c>
      <c r="M31" s="494"/>
      <c r="N31" s="494"/>
      <c r="O31" s="494"/>
    </row>
    <row r="32" spans="1:18" s="383" customFormat="1" ht="15" customHeight="1">
      <c r="A32" s="494">
        <v>225</v>
      </c>
      <c r="B32" s="494">
        <v>59</v>
      </c>
      <c r="C32" s="451" t="str">
        <f t="shared" si="2"/>
        <v/>
      </c>
      <c r="D32" s="451" t="str">
        <f t="shared" si="3"/>
        <v>Captain Al Shoua (Y.CO)</v>
      </c>
      <c r="E32" s="494" t="s">
        <v>1216</v>
      </c>
      <c r="F32" s="494" t="s">
        <v>1166</v>
      </c>
      <c r="G32" s="494"/>
      <c r="H32" s="494" t="s">
        <v>1218</v>
      </c>
      <c r="I32" s="494" t="s">
        <v>1246</v>
      </c>
      <c r="J32" s="494" t="s">
        <v>1247</v>
      </c>
      <c r="K32" s="494" t="s">
        <v>1248</v>
      </c>
      <c r="L32" s="69" t="s">
        <v>592</v>
      </c>
      <c r="M32" s="494"/>
      <c r="N32" s="494"/>
      <c r="O32" s="494"/>
    </row>
    <row r="33" spans="1:18" s="383" customFormat="1" ht="15" customHeight="1">
      <c r="A33" s="69">
        <v>226</v>
      </c>
      <c r="B33" s="494">
        <v>59</v>
      </c>
      <c r="C33" s="451" t="str">
        <f t="shared" si="2"/>
        <v/>
      </c>
      <c r="D33" s="451" t="str">
        <f t="shared" si="3"/>
        <v>Captain Balhimbar (Y.CO)</v>
      </c>
      <c r="E33" s="494" t="s">
        <v>1216</v>
      </c>
      <c r="F33" s="494" t="s">
        <v>1166</v>
      </c>
      <c r="G33" s="494"/>
      <c r="H33" s="494" t="s">
        <v>1218</v>
      </c>
      <c r="I33" s="494" t="s">
        <v>1222</v>
      </c>
      <c r="J33" s="494" t="s">
        <v>1223</v>
      </c>
      <c r="K33" s="494" t="s">
        <v>1224</v>
      </c>
      <c r="L33" s="69" t="s">
        <v>592</v>
      </c>
      <c r="M33" s="494"/>
      <c r="N33" s="494"/>
      <c r="O33" s="494"/>
    </row>
    <row r="34" spans="1:18" s="383" customFormat="1" ht="15" customHeight="1">
      <c r="A34" s="69">
        <v>227</v>
      </c>
      <c r="B34" s="494">
        <v>59</v>
      </c>
      <c r="C34" s="451" t="str">
        <f t="shared" si="2"/>
        <v/>
      </c>
      <c r="D34" s="451" t="str">
        <f t="shared" si="3"/>
        <v>Captain Constellation (Y.CO)</v>
      </c>
      <c r="E34" s="494" t="s">
        <v>1216</v>
      </c>
      <c r="F34" s="494" t="s">
        <v>1166</v>
      </c>
      <c r="G34" s="494"/>
      <c r="H34" s="494" t="s">
        <v>1218</v>
      </c>
      <c r="I34" s="494" t="s">
        <v>1219</v>
      </c>
      <c r="J34" s="494" t="s">
        <v>1220</v>
      </c>
      <c r="K34" s="494" t="s">
        <v>1221</v>
      </c>
      <c r="L34" s="69" t="s">
        <v>592</v>
      </c>
      <c r="M34" s="494"/>
      <c r="N34" s="494"/>
      <c r="O34" s="494"/>
    </row>
    <row r="35" spans="1:18" s="383" customFormat="1" ht="15" customHeight="1">
      <c r="A35" s="494">
        <v>228</v>
      </c>
      <c r="B35" s="494">
        <v>59</v>
      </c>
      <c r="C35" s="451" t="str">
        <f t="shared" si="2"/>
        <v/>
      </c>
      <c r="D35" s="451" t="str">
        <f t="shared" si="3"/>
        <v>Captain Helaitan (Y.CO)</v>
      </c>
      <c r="E35" s="494" t="s">
        <v>1216</v>
      </c>
      <c r="F35" s="494" t="s">
        <v>1166</v>
      </c>
      <c r="G35" s="494"/>
      <c r="H35" s="494" t="s">
        <v>1218</v>
      </c>
      <c r="I35" s="494" t="s">
        <v>1225</v>
      </c>
      <c r="J35" s="494" t="s">
        <v>1226</v>
      </c>
      <c r="K35" s="494" t="s">
        <v>1227</v>
      </c>
      <c r="L35" s="69" t="s">
        <v>592</v>
      </c>
      <c r="M35" s="494"/>
      <c r="N35" s="494"/>
      <c r="O35" s="494"/>
    </row>
    <row r="36" spans="1:18" s="383" customFormat="1" ht="15" customHeight="1">
      <c r="A36" s="69">
        <v>229</v>
      </c>
      <c r="B36" s="494">
        <v>59</v>
      </c>
      <c r="C36" s="451" t="str">
        <f t="shared" si="2"/>
        <v/>
      </c>
      <c r="D36" s="451" t="str">
        <f t="shared" si="3"/>
        <v>Captain Katara (Y.CO)</v>
      </c>
      <c r="E36" s="494" t="s">
        <v>1216</v>
      </c>
      <c r="F36" s="494" t="s">
        <v>1166</v>
      </c>
      <c r="G36" s="494"/>
      <c r="H36" s="494" t="s">
        <v>1218</v>
      </c>
      <c r="I36" s="494" t="s">
        <v>1249</v>
      </c>
      <c r="J36" s="494" t="s">
        <v>1250</v>
      </c>
      <c r="K36" s="494" t="s">
        <v>1251</v>
      </c>
      <c r="L36" s="69" t="s">
        <v>592</v>
      </c>
      <c r="M36" s="494"/>
      <c r="N36" s="494"/>
      <c r="O36" s="494"/>
    </row>
    <row r="37" spans="1:18" s="383" customFormat="1" ht="15" customHeight="1">
      <c r="A37" s="69">
        <v>230</v>
      </c>
      <c r="B37" s="494">
        <v>59</v>
      </c>
      <c r="C37" s="451" t="str">
        <f t="shared" si="2"/>
        <v/>
      </c>
      <c r="D37" s="451" t="str">
        <f t="shared" si="3"/>
        <v>Captain Katara II (Y.CO)</v>
      </c>
      <c r="E37" s="494" t="s">
        <v>1216</v>
      </c>
      <c r="F37" s="494" t="s">
        <v>1166</v>
      </c>
      <c r="G37" s="494"/>
      <c r="H37" s="494" t="s">
        <v>1218</v>
      </c>
      <c r="I37" s="494" t="s">
        <v>1252</v>
      </c>
      <c r="J37" s="494" t="s">
        <v>1253</v>
      </c>
      <c r="K37" s="494" t="s">
        <v>1254</v>
      </c>
      <c r="L37" s="69" t="s">
        <v>592</v>
      </c>
      <c r="M37" s="494"/>
      <c r="N37" s="494"/>
      <c r="O37" s="494"/>
    </row>
    <row r="38" spans="1:18" s="383" customFormat="1" ht="15" customHeight="1">
      <c r="A38" s="494">
        <v>231</v>
      </c>
      <c r="B38" s="494">
        <v>59</v>
      </c>
      <c r="C38" s="451" t="str">
        <f t="shared" si="2"/>
        <v/>
      </c>
      <c r="D38" s="451" t="str">
        <f t="shared" si="3"/>
        <v>Captain Katara III (Y.CO)</v>
      </c>
      <c r="E38" s="494" t="s">
        <v>1216</v>
      </c>
      <c r="F38" s="494" t="s">
        <v>1166</v>
      </c>
      <c r="G38" s="494"/>
      <c r="H38" s="494" t="s">
        <v>1218</v>
      </c>
      <c r="I38" s="494" t="s">
        <v>1255</v>
      </c>
      <c r="J38" s="494" t="s">
        <v>1256</v>
      </c>
      <c r="K38" s="494" t="s">
        <v>1257</v>
      </c>
      <c r="L38" s="69" t="s">
        <v>592</v>
      </c>
      <c r="M38" s="494"/>
      <c r="N38" s="494"/>
      <c r="O38" s="494"/>
    </row>
    <row r="39" spans="1:18" s="383" customFormat="1" ht="15" customHeight="1">
      <c r="A39" s="69">
        <v>232</v>
      </c>
      <c r="B39" s="494">
        <v>59</v>
      </c>
      <c r="C39" s="451" t="str">
        <f t="shared" si="2"/>
        <v/>
      </c>
      <c r="D39" s="451" t="str">
        <f t="shared" si="3"/>
        <v>Captain Katara IV (Y.CO)</v>
      </c>
      <c r="E39" s="494" t="s">
        <v>1216</v>
      </c>
      <c r="F39" s="494" t="s">
        <v>1166</v>
      </c>
      <c r="G39" s="494"/>
      <c r="H39" s="494" t="s">
        <v>1218</v>
      </c>
      <c r="I39" s="494" t="s">
        <v>1258</v>
      </c>
      <c r="J39" s="494" t="s">
        <v>1259</v>
      </c>
      <c r="K39" s="494" t="s">
        <v>1260</v>
      </c>
      <c r="L39" s="69" t="s">
        <v>592</v>
      </c>
      <c r="M39" s="494"/>
      <c r="N39" s="494"/>
      <c r="O39" s="494"/>
    </row>
    <row r="40" spans="1:18" s="383" customFormat="1" ht="15" customHeight="1">
      <c r="A40" s="69">
        <v>233</v>
      </c>
      <c r="B40" s="494">
        <v>59</v>
      </c>
      <c r="C40" s="451" t="str">
        <f t="shared" si="2"/>
        <v/>
      </c>
      <c r="D40" s="451" t="str">
        <f t="shared" si="3"/>
        <v>Captain Maracunda (Y.CO)</v>
      </c>
      <c r="E40" s="494" t="s">
        <v>1216</v>
      </c>
      <c r="F40" s="494" t="s">
        <v>1166</v>
      </c>
      <c r="G40" s="494"/>
      <c r="H40" s="494" t="s">
        <v>1218</v>
      </c>
      <c r="I40" s="494" t="s">
        <v>1228</v>
      </c>
      <c r="J40" s="494" t="s">
        <v>1229</v>
      </c>
      <c r="K40" s="494" t="s">
        <v>1230</v>
      </c>
      <c r="L40" s="69" t="s">
        <v>592</v>
      </c>
      <c r="M40" s="494"/>
      <c r="N40" s="494"/>
      <c r="O40" s="494"/>
    </row>
    <row r="41" spans="1:18" s="383" customFormat="1" ht="15" customHeight="1">
      <c r="A41" s="494">
        <v>234</v>
      </c>
      <c r="B41" s="494">
        <v>59</v>
      </c>
      <c r="C41" s="451" t="str">
        <f t="shared" si="2"/>
        <v/>
      </c>
      <c r="D41" s="451" t="str">
        <f t="shared" si="3"/>
        <v>Captain Sahm (Y.CO)</v>
      </c>
      <c r="E41" s="494" t="s">
        <v>1216</v>
      </c>
      <c r="F41" s="494" t="s">
        <v>1166</v>
      </c>
      <c r="G41" s="494"/>
      <c r="H41" s="494" t="s">
        <v>1218</v>
      </c>
      <c r="I41" s="494" t="s">
        <v>1231</v>
      </c>
      <c r="J41" s="494" t="s">
        <v>1232</v>
      </c>
      <c r="K41" s="494" t="s">
        <v>1233</v>
      </c>
      <c r="L41" s="69" t="s">
        <v>592</v>
      </c>
      <c r="M41" s="494"/>
      <c r="N41" s="494"/>
      <c r="O41" s="494"/>
    </row>
    <row r="42" spans="1:18" s="383" customFormat="1" ht="15" customHeight="1">
      <c r="A42" s="69">
        <v>235</v>
      </c>
      <c r="B42" s="494">
        <v>59</v>
      </c>
      <c r="C42" s="451" t="str">
        <f t="shared" si="2"/>
        <v/>
      </c>
      <c r="D42" s="451" t="str">
        <f t="shared" si="3"/>
        <v>Captain Zikrit (Y.CO)</v>
      </c>
      <c r="E42" s="494" t="s">
        <v>1216</v>
      </c>
      <c r="F42" s="494" t="s">
        <v>1166</v>
      </c>
      <c r="G42" s="494"/>
      <c r="H42" s="494" t="s">
        <v>1218</v>
      </c>
      <c r="I42" s="494" t="s">
        <v>1234</v>
      </c>
      <c r="J42" s="494" t="s">
        <v>1235</v>
      </c>
      <c r="K42" s="494" t="s">
        <v>1236</v>
      </c>
      <c r="L42" s="69" t="s">
        <v>592</v>
      </c>
      <c r="M42" s="494"/>
      <c r="N42" s="494"/>
      <c r="O42" s="494"/>
    </row>
    <row r="43" spans="1:18" s="383" customFormat="1" ht="15" customHeight="1">
      <c r="A43" s="69">
        <v>128</v>
      </c>
      <c r="B43" s="494"/>
      <c r="C43" s="451" t="str">
        <f t="shared" si="2"/>
        <v/>
      </c>
      <c r="D43" s="451" t="str">
        <f t="shared" si="3"/>
        <v>CARNIMOLLA Caroline (Malta Nautic Management)</v>
      </c>
      <c r="E43" s="76" t="s">
        <v>2428</v>
      </c>
      <c r="F43" s="494" t="s">
        <v>1154</v>
      </c>
      <c r="G43" s="494"/>
      <c r="H43" s="494" t="s">
        <v>2456</v>
      </c>
      <c r="I43" s="494" t="s">
        <v>1002</v>
      </c>
      <c r="J43" s="79" t="s">
        <v>2457</v>
      </c>
      <c r="K43" s="494"/>
      <c r="L43" s="69" t="s">
        <v>592</v>
      </c>
      <c r="M43" s="494"/>
      <c r="N43" s="494"/>
      <c r="O43" s="494"/>
    </row>
    <row r="44" spans="1:18" s="383" customFormat="1" ht="15" customHeight="1">
      <c r="A44" s="69">
        <v>170</v>
      </c>
      <c r="B44" s="69"/>
      <c r="C44" s="451" t="str">
        <f t="shared" si="2"/>
        <v/>
      </c>
      <c r="D44" s="451" t="str">
        <f t="shared" si="3"/>
        <v>CARRIOU Stephane (Paul Gauguin Cruises)</v>
      </c>
      <c r="E44" s="69" t="s">
        <v>1261</v>
      </c>
      <c r="F44" s="69" t="s">
        <v>1154</v>
      </c>
      <c r="G44" s="69" t="s">
        <v>1266</v>
      </c>
      <c r="H44" s="69" t="s">
        <v>1264</v>
      </c>
      <c r="I44" s="69" t="s">
        <v>1265</v>
      </c>
      <c r="J44" s="69"/>
      <c r="K44" s="69"/>
      <c r="L44" s="69" t="s">
        <v>619</v>
      </c>
      <c r="M44" s="69" t="s">
        <v>1267</v>
      </c>
      <c r="N44" s="69"/>
      <c r="O44" s="69" t="s">
        <v>1268</v>
      </c>
    </row>
    <row r="45" spans="1:18" s="383" customFormat="1" ht="15" customHeight="1">
      <c r="A45" s="69">
        <v>43</v>
      </c>
      <c r="B45" s="494">
        <v>23</v>
      </c>
      <c r="C45" s="451" t="str">
        <f t="shared" si="2"/>
        <v/>
      </c>
      <c r="D45" s="451" t="str">
        <f t="shared" si="3"/>
        <v>CATOT Aferdita (Bourbon Offshore Greenmar)</v>
      </c>
      <c r="E45" s="494" t="s">
        <v>754</v>
      </c>
      <c r="F45" s="494" t="s">
        <v>1166</v>
      </c>
      <c r="G45" s="494"/>
      <c r="H45" s="494" t="s">
        <v>1269</v>
      </c>
      <c r="I45" s="494" t="s">
        <v>1270</v>
      </c>
      <c r="J45" s="494" t="s">
        <v>1271</v>
      </c>
      <c r="K45" s="494" t="s">
        <v>1272</v>
      </c>
      <c r="L45" s="69" t="s">
        <v>592</v>
      </c>
      <c r="M45" s="494"/>
      <c r="N45" s="494"/>
      <c r="O45" s="494"/>
    </row>
    <row r="46" spans="1:18" s="383" customFormat="1" ht="15" customHeight="1">
      <c r="A46" s="69">
        <v>125</v>
      </c>
      <c r="B46" s="494">
        <v>57</v>
      </c>
      <c r="C46" s="451" t="str">
        <f t="shared" si="2"/>
        <v/>
      </c>
      <c r="D46" s="451" t="str">
        <f t="shared" si="3"/>
        <v>CHITO Christiane (MAGELLAN)</v>
      </c>
      <c r="E46" s="494" t="s">
        <v>1191</v>
      </c>
      <c r="F46" s="69" t="s">
        <v>1154</v>
      </c>
      <c r="G46" s="69" t="s">
        <v>1276</v>
      </c>
      <c r="H46" s="69" t="s">
        <v>1273</v>
      </c>
      <c r="I46" s="69" t="s">
        <v>1274</v>
      </c>
      <c r="J46" s="69" t="s">
        <v>1275</v>
      </c>
      <c r="K46" s="69"/>
      <c r="L46" s="69" t="s">
        <v>619</v>
      </c>
      <c r="M46" s="494" t="s">
        <v>2455</v>
      </c>
      <c r="N46" s="494"/>
      <c r="O46" s="72"/>
    </row>
    <row r="47" spans="1:18" s="383" customFormat="1" ht="15" customHeight="1">
      <c r="A47" s="494">
        <v>135</v>
      </c>
      <c r="B47" s="494"/>
      <c r="C47" s="451" t="str">
        <f t="shared" si="2"/>
        <v/>
      </c>
      <c r="D47" s="451" t="str">
        <f t="shared" si="3"/>
        <v>CITE Charline (Mediterranean Yacht Services)</v>
      </c>
      <c r="E47" s="494" t="s">
        <v>1277</v>
      </c>
      <c r="F47" s="494" t="s">
        <v>1154</v>
      </c>
      <c r="G47" s="494"/>
      <c r="H47" s="494" t="s">
        <v>1279</v>
      </c>
      <c r="I47" s="494" t="s">
        <v>1280</v>
      </c>
      <c r="J47" s="494" t="s">
        <v>1281</v>
      </c>
      <c r="K47" s="494" t="s">
        <v>1282</v>
      </c>
      <c r="L47" s="69" t="s">
        <v>592</v>
      </c>
      <c r="M47" s="494" t="s">
        <v>1283</v>
      </c>
      <c r="N47" s="494"/>
      <c r="O47" s="494" t="s">
        <v>1284</v>
      </c>
    </row>
    <row r="48" spans="1:18" s="383" customFormat="1" ht="15" customHeight="1">
      <c r="A48" s="69">
        <v>179</v>
      </c>
      <c r="B48" s="69"/>
      <c r="C48" s="451" t="str">
        <f t="shared" si="2"/>
        <v>CLUIS Michael (SALVO ASSURANCES)</v>
      </c>
      <c r="D48" s="451" t="str">
        <f t="shared" si="3"/>
        <v/>
      </c>
      <c r="E48" s="69" t="s">
        <v>531</v>
      </c>
      <c r="F48" s="494" t="s">
        <v>587</v>
      </c>
      <c r="G48" s="494"/>
      <c r="H48" s="69" t="s">
        <v>649</v>
      </c>
      <c r="I48" s="69" t="s">
        <v>650</v>
      </c>
      <c r="J48" s="71" t="s">
        <v>651</v>
      </c>
      <c r="K48" s="494" t="s">
        <v>652</v>
      </c>
      <c r="L48" s="69" t="s">
        <v>592</v>
      </c>
      <c r="M48" s="494" t="s">
        <v>653</v>
      </c>
      <c r="N48" s="494"/>
      <c r="O48" s="494"/>
      <c r="P48" s="556"/>
      <c r="Q48" s="556"/>
      <c r="R48" s="556"/>
    </row>
    <row r="49" spans="1:18" s="383" customFormat="1" ht="15" customHeight="1">
      <c r="A49" s="494">
        <v>33</v>
      </c>
      <c r="B49" s="494">
        <v>22</v>
      </c>
      <c r="C49" s="451" t="str">
        <f t="shared" si="2"/>
        <v/>
      </c>
      <c r="D49" s="451" t="str">
        <f t="shared" si="3"/>
        <v>COATES Anne-Laure (BLUEWIN)</v>
      </c>
      <c r="E49" s="494" t="s">
        <v>1211</v>
      </c>
      <c r="F49" s="494" t="s">
        <v>1154</v>
      </c>
      <c r="G49" s="494"/>
      <c r="H49" s="494" t="s">
        <v>1285</v>
      </c>
      <c r="I49" s="494" t="s">
        <v>1286</v>
      </c>
      <c r="J49" s="494" t="s">
        <v>1287</v>
      </c>
      <c r="K49" s="494" t="s">
        <v>1288</v>
      </c>
      <c r="L49" s="69" t="s">
        <v>592</v>
      </c>
      <c r="M49" s="494"/>
      <c r="N49" s="494"/>
      <c r="O49" s="494"/>
    </row>
    <row r="50" spans="1:18" s="383" customFormat="1" ht="15" customHeight="1">
      <c r="A50" s="69">
        <v>181</v>
      </c>
      <c r="B50" s="494">
        <v>70</v>
      </c>
      <c r="C50" s="451" t="str">
        <f t="shared" si="2"/>
        <v/>
      </c>
      <c r="D50" s="451" t="str">
        <f t="shared" si="3"/>
        <v>COHEN Valérie (SEASIDE)</v>
      </c>
      <c r="E50" s="494" t="s">
        <v>1289</v>
      </c>
      <c r="F50" s="494" t="s">
        <v>1154</v>
      </c>
      <c r="G50" s="494"/>
      <c r="H50" s="494" t="s">
        <v>1290</v>
      </c>
      <c r="I50" s="494" t="s">
        <v>668</v>
      </c>
      <c r="J50" s="494" t="s">
        <v>1291</v>
      </c>
      <c r="K50" s="494" t="s">
        <v>1292</v>
      </c>
      <c r="L50" s="69" t="s">
        <v>592</v>
      </c>
      <c r="M50" s="78" t="s">
        <v>1651</v>
      </c>
      <c r="N50" s="494"/>
      <c r="O50" s="494"/>
    </row>
    <row r="51" spans="1:18" s="383" customFormat="1" ht="15" customHeight="1">
      <c r="A51" s="69">
        <v>122</v>
      </c>
      <c r="B51" s="494"/>
      <c r="C51" s="451" t="str">
        <f t="shared" si="2"/>
        <v>CONZALES Jacques (M1 Management)</v>
      </c>
      <c r="D51" s="451" t="str">
        <f t="shared" si="3"/>
        <v/>
      </c>
      <c r="E51" s="557" t="s">
        <v>746</v>
      </c>
      <c r="F51" s="494" t="s">
        <v>587</v>
      </c>
      <c r="G51" s="494"/>
      <c r="H51" s="494" t="s">
        <v>654</v>
      </c>
      <c r="I51" s="494" t="s">
        <v>655</v>
      </c>
      <c r="J51" s="494" t="s">
        <v>656</v>
      </c>
      <c r="K51" s="494" t="s">
        <v>657</v>
      </c>
      <c r="L51" s="69"/>
      <c r="M51" s="494"/>
      <c r="N51" s="494"/>
      <c r="O51" s="494" t="s">
        <v>658</v>
      </c>
      <c r="P51" s="556"/>
      <c r="Q51" s="556"/>
      <c r="R51" s="556"/>
    </row>
    <row r="52" spans="1:18" s="383" customFormat="1" ht="15" customHeight="1">
      <c r="A52" s="69">
        <v>190</v>
      </c>
      <c r="B52" s="69"/>
      <c r="C52" s="451" t="str">
        <f t="shared" si="2"/>
        <v>CORDRAY Marie-Laure (SUD EUROCOURTAGE)</v>
      </c>
      <c r="D52" s="451" t="str">
        <f t="shared" si="3"/>
        <v/>
      </c>
      <c r="E52" s="494" t="s">
        <v>541</v>
      </c>
      <c r="F52" s="494" t="s">
        <v>587</v>
      </c>
      <c r="G52" s="69"/>
      <c r="H52" s="69" t="s">
        <v>662</v>
      </c>
      <c r="I52" s="69" t="s">
        <v>663</v>
      </c>
      <c r="J52" s="72" t="s">
        <v>664</v>
      </c>
      <c r="K52" s="72"/>
      <c r="L52" s="69" t="s">
        <v>619</v>
      </c>
      <c r="M52" s="69" t="s">
        <v>665</v>
      </c>
      <c r="N52" s="69" t="s">
        <v>355</v>
      </c>
      <c r="O52" s="72"/>
      <c r="P52" s="556"/>
      <c r="Q52" s="556"/>
      <c r="R52" s="556"/>
    </row>
    <row r="53" spans="1:18" s="383" customFormat="1" ht="15" customHeight="1">
      <c r="A53" s="494">
        <v>138</v>
      </c>
      <c r="B53" s="494"/>
      <c r="C53" s="451" t="str">
        <f t="shared" si="2"/>
        <v/>
      </c>
      <c r="D53" s="451" t="str">
        <f t="shared" si="3"/>
        <v>CORPORANDY Gilles (Monaco Equipage)</v>
      </c>
      <c r="E53" s="76" t="s">
        <v>471</v>
      </c>
      <c r="F53" s="494" t="s">
        <v>1154</v>
      </c>
      <c r="G53" s="494"/>
      <c r="H53" s="494" t="s">
        <v>1294</v>
      </c>
      <c r="I53" s="494" t="s">
        <v>1295</v>
      </c>
      <c r="J53" s="74" t="s">
        <v>1296</v>
      </c>
      <c r="K53" s="494" t="s">
        <v>1295</v>
      </c>
      <c r="L53" s="69" t="s">
        <v>619</v>
      </c>
      <c r="M53" s="494" t="s">
        <v>1297</v>
      </c>
      <c r="N53" s="494"/>
      <c r="O53" s="494"/>
    </row>
    <row r="54" spans="1:18" s="383" customFormat="1" ht="15" customHeight="1">
      <c r="A54" s="69">
        <v>8</v>
      </c>
      <c r="B54" s="494">
        <v>14</v>
      </c>
      <c r="C54" s="451" t="str">
        <f t="shared" si="2"/>
        <v/>
      </c>
      <c r="D54" s="451" t="str">
        <f t="shared" si="3"/>
        <v>COSSERAT CHRISTIAN (ANP)</v>
      </c>
      <c r="E54" s="494" t="s">
        <v>1300</v>
      </c>
      <c r="F54" s="494" t="s">
        <v>1154</v>
      </c>
      <c r="G54" s="494"/>
      <c r="H54" s="494" t="s">
        <v>1301</v>
      </c>
      <c r="I54" s="494" t="s">
        <v>1302</v>
      </c>
      <c r="J54" s="494" t="s">
        <v>1303</v>
      </c>
      <c r="K54" s="494" t="s">
        <v>1304</v>
      </c>
      <c r="L54" s="69" t="s">
        <v>592</v>
      </c>
      <c r="M54" s="494"/>
      <c r="N54" s="494"/>
      <c r="O54" s="494"/>
    </row>
    <row r="55" spans="1:18" s="383" customFormat="1" ht="15" customHeight="1">
      <c r="A55" s="69">
        <v>44</v>
      </c>
      <c r="B55" s="494">
        <v>23</v>
      </c>
      <c r="C55" s="451" t="str">
        <f t="shared" si="2"/>
        <v/>
      </c>
      <c r="D55" s="451" t="str">
        <f t="shared" si="3"/>
        <v>COSSON Léonie (Bourbon Offshore Greenmar)</v>
      </c>
      <c r="E55" s="494" t="s">
        <v>754</v>
      </c>
      <c r="F55" s="494" t="s">
        <v>1166</v>
      </c>
      <c r="G55" s="494"/>
      <c r="H55" s="494" t="s">
        <v>1305</v>
      </c>
      <c r="I55" s="494" t="s">
        <v>1306</v>
      </c>
      <c r="J55" s="494" t="s">
        <v>1307</v>
      </c>
      <c r="K55" s="494" t="s">
        <v>1308</v>
      </c>
      <c r="L55" s="69" t="s">
        <v>592</v>
      </c>
      <c r="M55" s="494"/>
      <c r="N55" s="494"/>
      <c r="O55" s="494"/>
    </row>
    <row r="56" spans="1:18" s="383" customFormat="1" ht="15" customHeight="1">
      <c r="A56" s="69">
        <v>131</v>
      </c>
      <c r="B56" s="494"/>
      <c r="C56" s="451" t="str">
        <f t="shared" si="2"/>
        <v>COTINEAU Valérie (Maritime Albatros)</v>
      </c>
      <c r="D56" s="451" t="str">
        <f t="shared" si="3"/>
        <v/>
      </c>
      <c r="E56" s="494" t="s">
        <v>666</v>
      </c>
      <c r="F56" s="494" t="s">
        <v>587</v>
      </c>
      <c r="G56" s="494"/>
      <c r="H56" s="494" t="s">
        <v>667</v>
      </c>
      <c r="I56" s="494" t="s">
        <v>668</v>
      </c>
      <c r="J56" s="494" t="s">
        <v>669</v>
      </c>
      <c r="K56" s="494" t="s">
        <v>670</v>
      </c>
      <c r="L56" s="69" t="s">
        <v>592</v>
      </c>
      <c r="M56" s="494"/>
      <c r="N56" s="494"/>
      <c r="O56" s="494"/>
      <c r="P56" s="556"/>
      <c r="Q56" s="556"/>
      <c r="R56" s="556"/>
    </row>
    <row r="57" spans="1:18" s="383" customFormat="1" ht="15" customHeight="1">
      <c r="A57" s="494">
        <v>213</v>
      </c>
      <c r="B57" s="494"/>
      <c r="C57" s="451" t="str">
        <f t="shared" si="2"/>
        <v>COUËSSUREL Yann (UVEA MARINE SERVICE)</v>
      </c>
      <c r="D57" s="451" t="str">
        <f t="shared" si="3"/>
        <v/>
      </c>
      <c r="E57" s="494" t="s">
        <v>640</v>
      </c>
      <c r="F57" s="494" t="s">
        <v>587</v>
      </c>
      <c r="G57" s="494"/>
      <c r="H57" s="494" t="s">
        <v>671</v>
      </c>
      <c r="I57" s="494" t="s">
        <v>672</v>
      </c>
      <c r="J57" s="494" t="s">
        <v>673</v>
      </c>
      <c r="K57" s="494" t="s">
        <v>674</v>
      </c>
      <c r="L57" s="69" t="s">
        <v>592</v>
      </c>
      <c r="M57" s="494"/>
      <c r="N57" s="494"/>
      <c r="O57" s="494"/>
      <c r="P57" s="556"/>
      <c r="Q57" s="556"/>
      <c r="R57" s="556"/>
    </row>
    <row r="58" spans="1:18" s="383" customFormat="1" ht="15" customHeight="1">
      <c r="A58" s="494">
        <v>120</v>
      </c>
      <c r="B58" s="69">
        <v>12</v>
      </c>
      <c r="C58" s="451" t="str">
        <f t="shared" si="2"/>
        <v/>
      </c>
      <c r="D58" s="451" t="str">
        <f t="shared" si="3"/>
        <v>CREACH Mickaël (Long River Corporate)</v>
      </c>
      <c r="E58" s="69" t="s">
        <v>1309</v>
      </c>
      <c r="F58" s="494" t="s">
        <v>1166</v>
      </c>
      <c r="G58" s="69"/>
      <c r="H58" s="69" t="s">
        <v>1310</v>
      </c>
      <c r="I58" s="69" t="s">
        <v>1311</v>
      </c>
      <c r="J58" s="69" t="s">
        <v>1312</v>
      </c>
      <c r="K58" s="494" t="s">
        <v>1313</v>
      </c>
      <c r="L58" s="69" t="s">
        <v>592</v>
      </c>
      <c r="M58" s="494" t="s">
        <v>1314</v>
      </c>
      <c r="N58" s="69"/>
      <c r="O58" s="69"/>
    </row>
    <row r="59" spans="1:18" s="383" customFormat="1" ht="15" customHeight="1">
      <c r="A59" s="494">
        <v>126</v>
      </c>
      <c r="B59" s="494">
        <v>57</v>
      </c>
      <c r="C59" s="451" t="str">
        <f t="shared" si="2"/>
        <v/>
      </c>
      <c r="D59" s="451" t="str">
        <f t="shared" si="3"/>
        <v>CREMER Martin (MAGELLAN)</v>
      </c>
      <c r="E59" s="494" t="s">
        <v>1191</v>
      </c>
      <c r="F59" s="494" t="s">
        <v>1154</v>
      </c>
      <c r="G59" s="69" t="s">
        <v>1319</v>
      </c>
      <c r="H59" s="494" t="s">
        <v>1315</v>
      </c>
      <c r="I59" s="494" t="s">
        <v>1316</v>
      </c>
      <c r="J59" s="494" t="s">
        <v>1317</v>
      </c>
      <c r="K59" s="494" t="s">
        <v>1318</v>
      </c>
      <c r="L59" s="69" t="s">
        <v>592</v>
      </c>
      <c r="M59" s="494" t="s">
        <v>2455</v>
      </c>
      <c r="N59" s="494"/>
      <c r="O59" s="494"/>
    </row>
    <row r="60" spans="1:18" s="383" customFormat="1" ht="15" customHeight="1">
      <c r="A60" s="494">
        <v>141</v>
      </c>
      <c r="B60" s="69"/>
      <c r="C60" s="451" t="str">
        <f t="shared" si="2"/>
        <v/>
      </c>
      <c r="D60" s="451" t="str">
        <f t="shared" si="3"/>
        <v>CROQUET Patricia (MTAIC Cannes)</v>
      </c>
      <c r="E60" s="76" t="s">
        <v>474</v>
      </c>
      <c r="F60" s="494" t="s">
        <v>1154</v>
      </c>
      <c r="G60" s="69"/>
      <c r="H60" s="69" t="s">
        <v>675</v>
      </c>
      <c r="I60" s="69" t="s">
        <v>676</v>
      </c>
      <c r="J60" s="71" t="s">
        <v>677</v>
      </c>
      <c r="K60" s="71"/>
      <c r="L60" s="69" t="s">
        <v>619</v>
      </c>
      <c r="M60" s="69" t="s">
        <v>678</v>
      </c>
      <c r="N60" s="69"/>
      <c r="O60" s="69" t="s">
        <v>679</v>
      </c>
    </row>
    <row r="61" spans="1:18" s="383" customFormat="1" ht="15" customHeight="1">
      <c r="A61" s="69">
        <v>38</v>
      </c>
      <c r="B61" s="69"/>
      <c r="C61" s="451" t="str">
        <f t="shared" si="2"/>
        <v>DARUS Anne (BOURBON GROUP)</v>
      </c>
      <c r="D61" s="451" t="str">
        <f t="shared" si="3"/>
        <v/>
      </c>
      <c r="E61" s="494" t="s">
        <v>629</v>
      </c>
      <c r="F61" s="494" t="s">
        <v>587</v>
      </c>
      <c r="G61" s="494"/>
      <c r="H61" s="494" t="s">
        <v>682</v>
      </c>
      <c r="I61" s="494" t="s">
        <v>683</v>
      </c>
      <c r="J61" s="494" t="s">
        <v>684</v>
      </c>
      <c r="K61" s="494" t="s">
        <v>685</v>
      </c>
      <c r="L61" s="69" t="s">
        <v>592</v>
      </c>
      <c r="M61" s="494"/>
      <c r="N61" s="494"/>
      <c r="O61" s="494"/>
      <c r="P61" s="83"/>
      <c r="Q61" s="83"/>
      <c r="R61" s="83"/>
    </row>
    <row r="62" spans="1:18" s="383" customFormat="1" ht="15" customHeight="1">
      <c r="A62" s="494">
        <v>9</v>
      </c>
      <c r="B62" s="494">
        <v>14</v>
      </c>
      <c r="C62" s="451" t="str">
        <f t="shared" si="2"/>
        <v>DE CAMPOU  Thomas (ANP)</v>
      </c>
      <c r="D62" s="451" t="str">
        <f t="shared" si="3"/>
        <v/>
      </c>
      <c r="E62" s="69" t="s">
        <v>1300</v>
      </c>
      <c r="F62" s="494" t="s">
        <v>587</v>
      </c>
      <c r="G62" s="69"/>
      <c r="H62" s="69" t="s">
        <v>686</v>
      </c>
      <c r="I62" s="69" t="s">
        <v>687</v>
      </c>
      <c r="J62" s="69" t="s">
        <v>688</v>
      </c>
      <c r="K62" s="494" t="s">
        <v>689</v>
      </c>
      <c r="L62" s="69" t="s">
        <v>592</v>
      </c>
      <c r="M62" s="494" t="s">
        <v>690</v>
      </c>
      <c r="N62" s="69"/>
      <c r="O62" s="494" t="s">
        <v>691</v>
      </c>
      <c r="P62" s="83"/>
      <c r="Q62" s="83"/>
      <c r="R62" s="83"/>
    </row>
    <row r="63" spans="1:18" s="383" customFormat="1" ht="15" customHeight="1">
      <c r="A63" s="69">
        <v>89</v>
      </c>
      <c r="B63" s="494">
        <v>67</v>
      </c>
      <c r="C63" s="451" t="str">
        <f t="shared" si="2"/>
        <v/>
      </c>
      <c r="D63" s="451" t="str">
        <f t="shared" si="3"/>
        <v>DE RAIGNIAC Foulques (GASPARD Yachts)</v>
      </c>
      <c r="E63" s="76" t="s">
        <v>371</v>
      </c>
      <c r="F63" s="494" t="s">
        <v>1154</v>
      </c>
      <c r="G63" s="494"/>
      <c r="H63" s="494" t="s">
        <v>1320</v>
      </c>
      <c r="I63" s="494" t="s">
        <v>1321</v>
      </c>
      <c r="J63" s="494" t="s">
        <v>1322</v>
      </c>
      <c r="K63" s="494" t="s">
        <v>1323</v>
      </c>
      <c r="L63" s="69" t="s">
        <v>592</v>
      </c>
      <c r="M63" s="554" t="s">
        <v>2447</v>
      </c>
      <c r="N63" s="494"/>
      <c r="O63" s="494"/>
    </row>
    <row r="64" spans="1:18" s="383" customFormat="1" ht="15" customHeight="1">
      <c r="A64" s="69">
        <v>121</v>
      </c>
      <c r="B64" s="494"/>
      <c r="C64" s="451" t="str">
        <f t="shared" si="2"/>
        <v/>
      </c>
      <c r="D64" s="451" t="str">
        <f t="shared" si="3"/>
        <v>De Wolf Jean-Pierre (Luxembourg Marine Services S.A.)</v>
      </c>
      <c r="E64" s="76" t="s">
        <v>444</v>
      </c>
      <c r="F64" s="69" t="s">
        <v>1154</v>
      </c>
      <c r="G64" s="494"/>
      <c r="H64" s="494" t="s">
        <v>1324</v>
      </c>
      <c r="I64" s="494" t="s">
        <v>1325</v>
      </c>
      <c r="J64" s="74" t="s">
        <v>1326</v>
      </c>
      <c r="K64" s="74"/>
      <c r="L64" s="69"/>
      <c r="M64" s="494" t="s">
        <v>445</v>
      </c>
      <c r="N64" s="494"/>
      <c r="O64" s="494" t="s">
        <v>1327</v>
      </c>
    </row>
    <row r="65" spans="1:18" s="383" customFormat="1" ht="15" customHeight="1">
      <c r="A65" s="494">
        <v>165</v>
      </c>
      <c r="B65" s="69"/>
      <c r="C65" s="451" t="str">
        <f t="shared" si="2"/>
        <v>De Zerbi  Charlene (ONLYYACHT MONACO)</v>
      </c>
      <c r="D65" s="451" t="str">
        <f t="shared" si="3"/>
        <v/>
      </c>
      <c r="E65" s="550" t="s">
        <v>497</v>
      </c>
      <c r="F65" s="494" t="s">
        <v>587</v>
      </c>
      <c r="G65" s="69"/>
      <c r="H65" s="69" t="s">
        <v>692</v>
      </c>
      <c r="I65" s="69" t="s">
        <v>693</v>
      </c>
      <c r="J65" s="71" t="s">
        <v>694</v>
      </c>
      <c r="K65" s="494" t="s">
        <v>695</v>
      </c>
      <c r="L65" s="69" t="s">
        <v>592</v>
      </c>
      <c r="M65" s="494" t="s">
        <v>696</v>
      </c>
      <c r="N65" s="494" t="s">
        <v>697</v>
      </c>
      <c r="O65" s="494"/>
      <c r="P65" s="556"/>
      <c r="Q65" s="556"/>
      <c r="R65" s="556"/>
    </row>
    <row r="66" spans="1:18" s="383" customFormat="1" ht="15" customHeight="1">
      <c r="A66" s="494">
        <v>90</v>
      </c>
      <c r="B66" s="69"/>
      <c r="C66" s="451" t="str">
        <f t="shared" si="2"/>
        <v>DELATTRE  Maryline (GECAR)</v>
      </c>
      <c r="D66" s="451" t="str">
        <f t="shared" si="3"/>
        <v/>
      </c>
      <c r="E66" s="69" t="s">
        <v>698</v>
      </c>
      <c r="F66" s="494" t="s">
        <v>587</v>
      </c>
      <c r="G66" s="69"/>
      <c r="H66" s="69" t="s">
        <v>699</v>
      </c>
      <c r="I66" s="69" t="s">
        <v>700</v>
      </c>
      <c r="J66" s="71" t="s">
        <v>701</v>
      </c>
      <c r="K66" s="494" t="s">
        <v>702</v>
      </c>
      <c r="L66" s="69" t="s">
        <v>592</v>
      </c>
      <c r="M66" s="494" t="s">
        <v>703</v>
      </c>
      <c r="N66" s="69"/>
      <c r="O66" s="69"/>
      <c r="P66" s="553"/>
      <c r="Q66" s="553"/>
      <c r="R66" s="553"/>
    </row>
    <row r="67" spans="1:18" s="383" customFormat="1" ht="15" customHeight="1">
      <c r="A67" s="494">
        <v>198</v>
      </c>
      <c r="B67" s="69"/>
      <c r="C67" s="451" t="str">
        <f t="shared" si="2"/>
        <v>DEMAREST  Stéphanie (SUISSCOURTAGE Monaco)</v>
      </c>
      <c r="D67" s="451" t="str">
        <f t="shared" si="3"/>
        <v/>
      </c>
      <c r="E67" s="550" t="s">
        <v>553</v>
      </c>
      <c r="F67" s="494" t="s">
        <v>587</v>
      </c>
      <c r="G67" s="69"/>
      <c r="H67" s="69" t="s">
        <v>704</v>
      </c>
      <c r="I67" s="69" t="s">
        <v>705</v>
      </c>
      <c r="J67" s="69" t="s">
        <v>706</v>
      </c>
      <c r="K67" s="494" t="s">
        <v>707</v>
      </c>
      <c r="L67" s="69" t="s">
        <v>592</v>
      </c>
      <c r="M67" s="69"/>
      <c r="N67" s="69"/>
      <c r="O67" s="69"/>
      <c r="P67" s="556"/>
      <c r="Q67" s="556"/>
      <c r="R67" s="556"/>
    </row>
    <row r="68" spans="1:18" s="383" customFormat="1" ht="15" customHeight="1">
      <c r="A68" s="69">
        <v>95</v>
      </c>
      <c r="B68" s="69"/>
      <c r="C68" s="451" t="str">
        <f t="shared" si="2"/>
        <v>DİNÇER Kemal (Gras Savoye Turkey )</v>
      </c>
      <c r="D68" s="451" t="str">
        <f t="shared" si="3"/>
        <v/>
      </c>
      <c r="E68" s="550" t="s">
        <v>381</v>
      </c>
      <c r="F68" s="494" t="s">
        <v>587</v>
      </c>
      <c r="G68" s="494"/>
      <c r="H68" s="69" t="s">
        <v>708</v>
      </c>
      <c r="I68" s="69" t="s">
        <v>709</v>
      </c>
      <c r="J68" s="74" t="s">
        <v>710</v>
      </c>
      <c r="K68" s="494" t="s">
        <v>711</v>
      </c>
      <c r="L68" s="69" t="s">
        <v>619</v>
      </c>
      <c r="M68" s="76" t="s">
        <v>712</v>
      </c>
      <c r="N68" s="77" t="s">
        <v>387</v>
      </c>
      <c r="O68" s="77" t="s">
        <v>713</v>
      </c>
      <c r="P68" s="553"/>
      <c r="Q68" s="553"/>
      <c r="R68" s="553"/>
    </row>
    <row r="69" spans="1:18" s="383" customFormat="1" ht="15" customHeight="1">
      <c r="A69" s="69">
        <v>220</v>
      </c>
      <c r="B69" s="69"/>
      <c r="C69" s="451" t="str">
        <f t="shared" ref="C69:C132" si="4">IF(F69="MASTER",H69&amp;" "&amp;I69&amp;" ("&amp;E69&amp;")","")</f>
        <v/>
      </c>
      <c r="D69" s="451" t="str">
        <f t="shared" ref="D69:D132" si="5">IF(F69="MASTER","",H69&amp;" "&amp;I69&amp;" ("&amp;E69&amp;")")</f>
        <v>DOLLING Rob (VERPEKA Yacht Brokerage)</v>
      </c>
      <c r="E69" s="76" t="s">
        <v>562</v>
      </c>
      <c r="F69" s="494" t="s">
        <v>1154</v>
      </c>
      <c r="G69" s="494"/>
      <c r="H69" s="69" t="s">
        <v>714</v>
      </c>
      <c r="I69" s="69" t="s">
        <v>715</v>
      </c>
      <c r="J69" s="494" t="s">
        <v>716</v>
      </c>
      <c r="K69" s="494"/>
      <c r="L69" s="69" t="s">
        <v>619</v>
      </c>
      <c r="M69" s="494" t="s">
        <v>564</v>
      </c>
      <c r="N69" s="494"/>
      <c r="O69" s="494"/>
    </row>
    <row r="70" spans="1:18" s="383" customFormat="1" ht="15" customHeight="1">
      <c r="A70" s="494">
        <v>45</v>
      </c>
      <c r="B70" s="494">
        <v>23</v>
      </c>
      <c r="C70" s="451" t="str">
        <f t="shared" si="4"/>
        <v/>
      </c>
      <c r="D70" s="451" t="str">
        <f t="shared" si="5"/>
        <v>DRZEWIECKI Wojciech (Bourbon Offshore Greenmar)</v>
      </c>
      <c r="E70" s="494" t="s">
        <v>754</v>
      </c>
      <c r="F70" s="494" t="s">
        <v>1154</v>
      </c>
      <c r="G70" s="494"/>
      <c r="H70" s="494" t="s">
        <v>1328</v>
      </c>
      <c r="I70" s="494" t="s">
        <v>1329</v>
      </c>
      <c r="J70" s="494" t="s">
        <v>1330</v>
      </c>
      <c r="K70" s="494" t="s">
        <v>1331</v>
      </c>
      <c r="L70" s="69"/>
      <c r="M70" s="494"/>
      <c r="N70" s="494"/>
      <c r="O70" s="494"/>
    </row>
    <row r="71" spans="1:18" s="383" customFormat="1" ht="15" customHeight="1">
      <c r="A71" s="69">
        <v>191</v>
      </c>
      <c r="B71" s="494"/>
      <c r="C71" s="451" t="str">
        <f t="shared" si="4"/>
        <v>DUMAS Aurélie (SUD EUROCOURTAGE)</v>
      </c>
      <c r="D71" s="451" t="str">
        <f t="shared" si="5"/>
        <v/>
      </c>
      <c r="E71" s="466" t="s">
        <v>541</v>
      </c>
      <c r="F71" s="494" t="s">
        <v>587</v>
      </c>
      <c r="G71" s="69"/>
      <c r="H71" s="494" t="s">
        <v>717</v>
      </c>
      <c r="I71" s="494" t="s">
        <v>718</v>
      </c>
      <c r="J71" s="494" t="s">
        <v>719</v>
      </c>
      <c r="K71" s="494" t="s">
        <v>720</v>
      </c>
      <c r="L71" s="69" t="s">
        <v>592</v>
      </c>
      <c r="M71" s="69" t="s">
        <v>721</v>
      </c>
      <c r="N71" s="69" t="s">
        <v>722</v>
      </c>
      <c r="O71" s="69" t="s">
        <v>723</v>
      </c>
      <c r="P71" s="556"/>
      <c r="Q71" s="556"/>
      <c r="R71" s="556"/>
    </row>
    <row r="72" spans="1:18" s="383" customFormat="1" ht="15" customHeight="1">
      <c r="A72" s="494">
        <v>24</v>
      </c>
      <c r="B72" s="69"/>
      <c r="C72" s="451" t="str">
        <f t="shared" si="4"/>
        <v>Dumesnil François (AXA Agences Dumesnil )</v>
      </c>
      <c r="D72" s="451" t="str">
        <f t="shared" si="5"/>
        <v/>
      </c>
      <c r="E72" s="550" t="s">
        <v>279</v>
      </c>
      <c r="F72" s="494" t="s">
        <v>587</v>
      </c>
      <c r="G72" s="494"/>
      <c r="H72" s="494" t="s">
        <v>724</v>
      </c>
      <c r="I72" s="494" t="s">
        <v>725</v>
      </c>
      <c r="J72" s="494" t="s">
        <v>726</v>
      </c>
      <c r="K72" s="494" t="s">
        <v>727</v>
      </c>
      <c r="L72" s="69"/>
      <c r="M72" s="78">
        <v>33493343832</v>
      </c>
      <c r="N72" s="494"/>
      <c r="O72" s="494"/>
      <c r="P72" s="83"/>
      <c r="Q72" s="83"/>
      <c r="R72" s="83"/>
    </row>
    <row r="73" spans="1:18" s="383" customFormat="1" ht="15" customHeight="1">
      <c r="A73" s="494">
        <v>144</v>
      </c>
      <c r="B73" s="494">
        <v>60</v>
      </c>
      <c r="C73" s="451" t="str">
        <f t="shared" si="4"/>
        <v/>
      </c>
      <c r="D73" s="451" t="str">
        <f t="shared" si="5"/>
        <v>DUREPAIRE Damien (MW AFRITEC)</v>
      </c>
      <c r="E73" s="494" t="s">
        <v>1659</v>
      </c>
      <c r="F73" s="494" t="s">
        <v>1166</v>
      </c>
      <c r="G73" s="494"/>
      <c r="H73" s="494" t="s">
        <v>1332</v>
      </c>
      <c r="I73" s="494" t="s">
        <v>1333</v>
      </c>
      <c r="J73" s="494" t="s">
        <v>1334</v>
      </c>
      <c r="K73" s="494" t="s">
        <v>1335</v>
      </c>
      <c r="L73" s="69" t="s">
        <v>592</v>
      </c>
      <c r="M73" s="494"/>
      <c r="N73" s="494"/>
      <c r="O73" s="494"/>
    </row>
    <row r="74" spans="1:18" s="383" customFormat="1" ht="15" customHeight="1">
      <c r="A74" s="69">
        <v>182</v>
      </c>
      <c r="B74" s="494">
        <v>87</v>
      </c>
      <c r="C74" s="451" t="str">
        <f t="shared" si="4"/>
        <v/>
      </c>
      <c r="D74" s="451" t="str">
        <f t="shared" si="5"/>
        <v>EHRARDT Jéremy (Seazen II Loisirs)</v>
      </c>
      <c r="E74" s="494" t="s">
        <v>1336</v>
      </c>
      <c r="F74" s="494" t="s">
        <v>1166</v>
      </c>
      <c r="G74" s="494"/>
      <c r="H74" s="494" t="s">
        <v>1337</v>
      </c>
      <c r="I74" s="494" t="s">
        <v>1338</v>
      </c>
      <c r="J74" s="494" t="s">
        <v>1339</v>
      </c>
      <c r="K74" s="494" t="s">
        <v>1340</v>
      </c>
      <c r="L74" s="69"/>
      <c r="M74" s="494"/>
      <c r="N74" s="494"/>
      <c r="O74" s="494"/>
    </row>
    <row r="75" spans="1:18" s="383" customFormat="1" ht="15" customHeight="1">
      <c r="A75" s="69">
        <v>152</v>
      </c>
      <c r="B75" s="69"/>
      <c r="C75" s="451" t="str">
        <f t="shared" si="4"/>
        <v>EL HAMMAL  Hanadi (Nasco France)</v>
      </c>
      <c r="D75" s="451" t="str">
        <f t="shared" si="5"/>
        <v/>
      </c>
      <c r="E75" s="69" t="s">
        <v>2406</v>
      </c>
      <c r="F75" s="494" t="s">
        <v>587</v>
      </c>
      <c r="G75" s="69"/>
      <c r="H75" s="69" t="s">
        <v>728</v>
      </c>
      <c r="I75" s="69" t="s">
        <v>729</v>
      </c>
      <c r="J75" s="69" t="s">
        <v>730</v>
      </c>
      <c r="K75" s="494" t="s">
        <v>731</v>
      </c>
      <c r="L75" s="69" t="s">
        <v>592</v>
      </c>
      <c r="M75" s="69" t="s">
        <v>732</v>
      </c>
      <c r="N75" s="69" t="s">
        <v>733</v>
      </c>
      <c r="O75" s="69" t="s">
        <v>734</v>
      </c>
      <c r="P75" s="556"/>
      <c r="Q75" s="556"/>
      <c r="R75" s="556"/>
    </row>
    <row r="76" spans="1:18" s="383" customFormat="1" ht="15" customHeight="1">
      <c r="A76" s="494">
        <v>153</v>
      </c>
      <c r="B76" s="494"/>
      <c r="C76" s="451" t="str">
        <f t="shared" si="4"/>
        <v>EL HOSS Bilal (Nasco France)</v>
      </c>
      <c r="D76" s="451" t="str">
        <f t="shared" si="5"/>
        <v/>
      </c>
      <c r="E76" s="69" t="s">
        <v>2406</v>
      </c>
      <c r="F76" s="494" t="s">
        <v>587</v>
      </c>
      <c r="G76" s="494"/>
      <c r="H76" s="494" t="s">
        <v>735</v>
      </c>
      <c r="I76" s="494" t="s">
        <v>736</v>
      </c>
      <c r="J76" s="494" t="s">
        <v>737</v>
      </c>
      <c r="K76" s="494" t="s">
        <v>738</v>
      </c>
      <c r="L76" s="69" t="s">
        <v>592</v>
      </c>
      <c r="M76" s="494" t="s">
        <v>739</v>
      </c>
      <c r="N76" s="494"/>
      <c r="O76" s="494" t="s">
        <v>740</v>
      </c>
      <c r="P76" s="556"/>
      <c r="Q76" s="556"/>
      <c r="R76" s="556"/>
    </row>
    <row r="77" spans="1:18" s="383" customFormat="1" ht="15" customHeight="1">
      <c r="A77" s="69">
        <v>166</v>
      </c>
      <c r="B77" s="494"/>
      <c r="C77" s="451" t="str">
        <f t="shared" si="4"/>
        <v>ESPINOZA Matteo (ONLYYACHT MONACO)</v>
      </c>
      <c r="D77" s="451" t="str">
        <f t="shared" si="5"/>
        <v/>
      </c>
      <c r="E77" s="550" t="s">
        <v>497</v>
      </c>
      <c r="F77" s="494" t="s">
        <v>587</v>
      </c>
      <c r="G77" s="494"/>
      <c r="H77" s="494" t="s">
        <v>741</v>
      </c>
      <c r="I77" s="494" t="s">
        <v>742</v>
      </c>
      <c r="J77" s="494" t="s">
        <v>743</v>
      </c>
      <c r="K77" s="494" t="s">
        <v>744</v>
      </c>
      <c r="L77" s="69" t="s">
        <v>592</v>
      </c>
      <c r="M77" s="494"/>
      <c r="N77" s="494"/>
      <c r="O77" s="494"/>
      <c r="P77" s="556"/>
      <c r="Q77" s="556"/>
      <c r="R77" s="556"/>
    </row>
    <row r="78" spans="1:18" s="383" customFormat="1" ht="15" customHeight="1">
      <c r="A78" s="69">
        <v>167</v>
      </c>
      <c r="B78" s="69"/>
      <c r="C78" s="451" t="str">
        <f t="shared" si="4"/>
        <v/>
      </c>
      <c r="D78" s="451" t="str">
        <f t="shared" si="5"/>
        <v>ESPINOZA  Matteo (ONLYYACHT MONACO)</v>
      </c>
      <c r="E78" s="76" t="s">
        <v>497</v>
      </c>
      <c r="F78" s="494" t="s">
        <v>1154</v>
      </c>
      <c r="G78" s="69"/>
      <c r="H78" s="69" t="s">
        <v>745</v>
      </c>
      <c r="I78" s="69" t="s">
        <v>742</v>
      </c>
      <c r="J78" s="69" t="s">
        <v>743</v>
      </c>
      <c r="K78" s="69"/>
      <c r="L78" s="69" t="s">
        <v>592</v>
      </c>
      <c r="M78" s="69"/>
      <c r="N78" s="69"/>
      <c r="O78" s="69"/>
    </row>
    <row r="79" spans="1:18" s="383" customFormat="1" ht="15" customHeight="1">
      <c r="A79" s="494">
        <v>123</v>
      </c>
      <c r="B79" s="270"/>
      <c r="C79" s="451" t="str">
        <f t="shared" si="4"/>
        <v/>
      </c>
      <c r="D79" s="451" t="str">
        <f t="shared" si="5"/>
        <v>FADDA Lydie (M1 Management)</v>
      </c>
      <c r="E79" s="494" t="s">
        <v>746</v>
      </c>
      <c r="F79" s="270" t="s">
        <v>1154</v>
      </c>
      <c r="G79" s="270"/>
      <c r="H79" s="270" t="s">
        <v>747</v>
      </c>
      <c r="I79" s="270" t="s">
        <v>748</v>
      </c>
      <c r="J79" s="70" t="s">
        <v>749</v>
      </c>
      <c r="K79" s="270"/>
      <c r="L79" s="69" t="s">
        <v>592</v>
      </c>
      <c r="M79" s="270" t="s">
        <v>1719</v>
      </c>
      <c r="N79" s="270"/>
      <c r="O79" s="270" t="s">
        <v>1719</v>
      </c>
    </row>
    <row r="80" spans="1:18" s="383" customFormat="1" ht="15" customHeight="1">
      <c r="A80" s="494">
        <v>81</v>
      </c>
      <c r="B80" s="69"/>
      <c r="C80" s="451" t="str">
        <f t="shared" si="4"/>
        <v/>
      </c>
      <c r="D80" s="451" t="str">
        <f t="shared" si="5"/>
        <v>FARIS Rafat B. (Fenchurch Faris Ltd)</v>
      </c>
      <c r="E80" s="76" t="s">
        <v>357</v>
      </c>
      <c r="F80" s="494" t="s">
        <v>1154</v>
      </c>
      <c r="G80" s="494"/>
      <c r="H80" s="69" t="s">
        <v>750</v>
      </c>
      <c r="I80" s="69" t="s">
        <v>751</v>
      </c>
      <c r="J80" s="74" t="s">
        <v>752</v>
      </c>
      <c r="K80" s="74"/>
      <c r="L80" s="69" t="s">
        <v>619</v>
      </c>
      <c r="M80" s="494" t="s">
        <v>362</v>
      </c>
      <c r="N80" s="494" t="s">
        <v>363</v>
      </c>
      <c r="O80" s="494" t="s">
        <v>753</v>
      </c>
    </row>
    <row r="81" spans="1:18" s="383" customFormat="1" ht="15" customHeight="1">
      <c r="A81" s="69">
        <v>31</v>
      </c>
      <c r="B81" s="494">
        <v>66</v>
      </c>
      <c r="C81" s="451" t="str">
        <f t="shared" si="4"/>
        <v/>
      </c>
      <c r="D81" s="451" t="str">
        <f t="shared" si="5"/>
        <v>FARMER James (Bluepin Ltd-A and A)</v>
      </c>
      <c r="E81" s="494" t="s">
        <v>1341</v>
      </c>
      <c r="F81" s="494" t="s">
        <v>1166</v>
      </c>
      <c r="G81" s="494"/>
      <c r="H81" s="494" t="s">
        <v>1342</v>
      </c>
      <c r="I81" s="494" t="s">
        <v>1343</v>
      </c>
      <c r="J81" s="494" t="s">
        <v>1344</v>
      </c>
      <c r="K81" s="494" t="s">
        <v>1345</v>
      </c>
      <c r="L81" s="69"/>
      <c r="M81" s="494"/>
      <c r="N81" s="494"/>
      <c r="O81" s="494"/>
    </row>
    <row r="82" spans="1:18" s="383" customFormat="1" ht="15" customHeight="1">
      <c r="A82" s="69">
        <v>46</v>
      </c>
      <c r="B82" s="494">
        <v>23</v>
      </c>
      <c r="C82" s="451" t="str">
        <f t="shared" si="4"/>
        <v/>
      </c>
      <c r="D82" s="451" t="str">
        <f t="shared" si="5"/>
        <v>FARRAS Marc (Bourbon Offshore Greenmar)</v>
      </c>
      <c r="E82" s="494" t="s">
        <v>754</v>
      </c>
      <c r="F82" s="494" t="s">
        <v>1154</v>
      </c>
      <c r="G82" s="494"/>
      <c r="H82" s="494" t="s">
        <v>757</v>
      </c>
      <c r="I82" s="494" t="s">
        <v>758</v>
      </c>
      <c r="J82" s="494" t="s">
        <v>759</v>
      </c>
      <c r="K82" s="494" t="s">
        <v>760</v>
      </c>
      <c r="L82" s="69"/>
      <c r="M82" s="494"/>
      <c r="N82" s="494"/>
      <c r="O82" s="494"/>
    </row>
    <row r="83" spans="1:18" s="383" customFormat="1" ht="15" customHeight="1">
      <c r="A83" s="69">
        <v>175</v>
      </c>
      <c r="B83" s="494"/>
      <c r="C83" s="451" t="str">
        <f t="shared" si="4"/>
        <v/>
      </c>
      <c r="D83" s="451" t="str">
        <f t="shared" si="5"/>
        <v>FERRERO Isabelle (Remo Marine Services SA)</v>
      </c>
      <c r="E83" s="494" t="s">
        <v>1054</v>
      </c>
      <c r="F83" s="494" t="s">
        <v>1154</v>
      </c>
      <c r="G83" s="494"/>
      <c r="H83" s="494" t="s">
        <v>1346</v>
      </c>
      <c r="I83" s="494" t="s">
        <v>1347</v>
      </c>
      <c r="J83" s="494" t="s">
        <v>1348</v>
      </c>
      <c r="K83" s="494" t="s">
        <v>1349</v>
      </c>
      <c r="L83" s="69"/>
      <c r="M83" s="494" t="s">
        <v>1057</v>
      </c>
      <c r="N83" s="494"/>
      <c r="O83" s="494"/>
    </row>
    <row r="84" spans="1:18" s="383" customFormat="1" ht="15" customHeight="1">
      <c r="A84" s="69">
        <v>55</v>
      </c>
      <c r="B84" s="494">
        <v>0</v>
      </c>
      <c r="C84" s="451" t="str">
        <f t="shared" si="4"/>
        <v/>
      </c>
      <c r="D84" s="451" t="str">
        <f t="shared" si="5"/>
        <v>FILIPPI CHRISTOPHE (C314 Management)</v>
      </c>
      <c r="E84" s="494" t="s">
        <v>1350</v>
      </c>
      <c r="F84" s="494" t="s">
        <v>1166</v>
      </c>
      <c r="G84" s="494"/>
      <c r="H84" s="494" t="s">
        <v>1352</v>
      </c>
      <c r="I84" s="494" t="s">
        <v>1353</v>
      </c>
      <c r="J84" s="494" t="s">
        <v>1354</v>
      </c>
      <c r="K84" s="494" t="s">
        <v>1355</v>
      </c>
      <c r="L84" s="69"/>
      <c r="M84" s="494"/>
      <c r="N84" s="494"/>
      <c r="O84" s="494">
        <v>677837846</v>
      </c>
    </row>
    <row r="85" spans="1:18" s="383" customFormat="1" ht="15" customHeight="1">
      <c r="A85" s="69">
        <v>65</v>
      </c>
      <c r="B85" s="69"/>
      <c r="C85" s="451" t="str">
        <f t="shared" si="4"/>
        <v>FLEURIET Michel (CMC Assurances)</v>
      </c>
      <c r="D85" s="451" t="str">
        <f t="shared" si="5"/>
        <v/>
      </c>
      <c r="E85" s="494" t="s">
        <v>761</v>
      </c>
      <c r="F85" s="494" t="s">
        <v>587</v>
      </c>
      <c r="G85" s="494"/>
      <c r="H85" s="494" t="s">
        <v>762</v>
      </c>
      <c r="I85" s="494" t="s">
        <v>763</v>
      </c>
      <c r="J85" s="494" t="s">
        <v>764</v>
      </c>
      <c r="K85" s="494" t="s">
        <v>765</v>
      </c>
      <c r="L85" s="69" t="s">
        <v>592</v>
      </c>
      <c r="M85" s="494" t="s">
        <v>766</v>
      </c>
      <c r="N85" s="494"/>
      <c r="O85" s="494"/>
      <c r="P85" s="83"/>
      <c r="Q85" s="83"/>
      <c r="R85" s="83"/>
    </row>
    <row r="86" spans="1:18" s="383" customFormat="1" ht="15" customHeight="1">
      <c r="A86" s="69">
        <v>109</v>
      </c>
      <c r="B86" s="69"/>
      <c r="C86" s="451" t="str">
        <f t="shared" si="4"/>
        <v>FLOURNOY Charles (John L. Wortham &amp; Son, L.P.)</v>
      </c>
      <c r="D86" s="451" t="str">
        <f t="shared" si="5"/>
        <v/>
      </c>
      <c r="E86" s="494" t="s">
        <v>569</v>
      </c>
      <c r="F86" s="494" t="s">
        <v>587</v>
      </c>
      <c r="G86" s="494"/>
      <c r="H86" s="494" t="s">
        <v>1132</v>
      </c>
      <c r="I86" s="494" t="s">
        <v>1133</v>
      </c>
      <c r="J86" s="549" t="s">
        <v>1134</v>
      </c>
      <c r="K86" s="494"/>
      <c r="L86" s="69" t="s">
        <v>592</v>
      </c>
      <c r="M86" s="494" t="s">
        <v>1135</v>
      </c>
      <c r="N86" s="494" t="s">
        <v>1136</v>
      </c>
      <c r="O86" s="494" t="s">
        <v>1137</v>
      </c>
      <c r="P86" s="553"/>
      <c r="Q86" s="553"/>
      <c r="R86" s="553"/>
    </row>
    <row r="87" spans="1:18" s="383" customFormat="1" ht="15" customHeight="1">
      <c r="A87" s="69">
        <v>47</v>
      </c>
      <c r="B87" s="69"/>
      <c r="C87" s="451" t="str">
        <f t="shared" si="4"/>
        <v>FORFERT Celine (Bourbon Offshore Greenmar)</v>
      </c>
      <c r="D87" s="451" t="str">
        <f t="shared" si="5"/>
        <v/>
      </c>
      <c r="E87" s="494" t="s">
        <v>754</v>
      </c>
      <c r="F87" s="494" t="s">
        <v>587</v>
      </c>
      <c r="G87" s="494"/>
      <c r="H87" s="494" t="s">
        <v>767</v>
      </c>
      <c r="I87" s="494" t="s">
        <v>768</v>
      </c>
      <c r="J87" s="494" t="s">
        <v>769</v>
      </c>
      <c r="K87" s="494" t="s">
        <v>770</v>
      </c>
      <c r="L87" s="69"/>
      <c r="M87" s="494"/>
      <c r="N87" s="494"/>
      <c r="O87" s="494"/>
      <c r="P87" s="83"/>
      <c r="Q87" s="83"/>
      <c r="R87" s="83"/>
    </row>
    <row r="88" spans="1:18" s="383" customFormat="1" ht="15" customHeight="1">
      <c r="A88" s="494">
        <v>12</v>
      </c>
      <c r="B88" s="494"/>
      <c r="C88" s="451" t="str">
        <f t="shared" si="4"/>
        <v>FOURNIER Jean David (April Marine)</v>
      </c>
      <c r="D88" s="451" t="str">
        <f t="shared" si="5"/>
        <v/>
      </c>
      <c r="E88" s="494" t="s">
        <v>623</v>
      </c>
      <c r="F88" s="494" t="s">
        <v>587</v>
      </c>
      <c r="G88" s="494"/>
      <c r="H88" s="494" t="s">
        <v>771</v>
      </c>
      <c r="I88" s="494" t="s">
        <v>772</v>
      </c>
      <c r="J88" s="494" t="s">
        <v>773</v>
      </c>
      <c r="K88" s="494" t="s">
        <v>774</v>
      </c>
      <c r="L88" s="69" t="s">
        <v>592</v>
      </c>
      <c r="M88" s="494" t="s">
        <v>627</v>
      </c>
      <c r="N88" s="494"/>
      <c r="O88" s="494"/>
      <c r="P88" s="83"/>
      <c r="Q88" s="83"/>
      <c r="R88" s="83"/>
    </row>
    <row r="89" spans="1:18" s="383" customFormat="1" ht="15" customHeight="1">
      <c r="A89" s="69">
        <v>136</v>
      </c>
      <c r="B89" s="69"/>
      <c r="C89" s="451" t="str">
        <f t="shared" si="4"/>
        <v>FOURNIER  David (MER &amp; YACHT ASSURANCE)</v>
      </c>
      <c r="D89" s="451" t="str">
        <f t="shared" si="5"/>
        <v/>
      </c>
      <c r="E89" s="494" t="s">
        <v>459</v>
      </c>
      <c r="F89" s="494" t="s">
        <v>587</v>
      </c>
      <c r="G89" s="494"/>
      <c r="H89" s="494" t="s">
        <v>775</v>
      </c>
      <c r="I89" s="494" t="s">
        <v>776</v>
      </c>
      <c r="J89" s="74" t="s">
        <v>777</v>
      </c>
      <c r="K89" s="494" t="s">
        <v>778</v>
      </c>
      <c r="L89" s="69" t="s">
        <v>592</v>
      </c>
      <c r="M89" s="494"/>
      <c r="N89" s="494"/>
      <c r="O89" s="494" t="s">
        <v>461</v>
      </c>
      <c r="P89" s="556"/>
      <c r="Q89" s="556"/>
      <c r="R89" s="556"/>
    </row>
    <row r="90" spans="1:18" s="383" customFormat="1" ht="15" customHeight="1">
      <c r="A90" s="69">
        <v>77</v>
      </c>
      <c r="B90" s="69"/>
      <c r="C90" s="451" t="str">
        <f t="shared" si="4"/>
        <v>GALIBERT Philippe (EYSSAUTIER)</v>
      </c>
      <c r="D90" s="451" t="str">
        <f t="shared" si="5"/>
        <v/>
      </c>
      <c r="E90" s="494" t="s">
        <v>611</v>
      </c>
      <c r="F90" s="494" t="s">
        <v>587</v>
      </c>
      <c r="G90" s="69"/>
      <c r="H90" s="494" t="s">
        <v>782</v>
      </c>
      <c r="I90" s="494" t="s">
        <v>783</v>
      </c>
      <c r="J90" s="494" t="s">
        <v>784</v>
      </c>
      <c r="K90" s="494" t="s">
        <v>785</v>
      </c>
      <c r="L90" s="69" t="s">
        <v>592</v>
      </c>
      <c r="M90" s="69" t="s">
        <v>786</v>
      </c>
      <c r="N90" s="69" t="s">
        <v>787</v>
      </c>
      <c r="O90" s="69" t="s">
        <v>788</v>
      </c>
      <c r="P90" s="83"/>
      <c r="Q90" s="83"/>
      <c r="R90" s="83"/>
    </row>
    <row r="91" spans="1:18" s="383" customFormat="1" ht="15" customHeight="1">
      <c r="A91" s="494">
        <v>192</v>
      </c>
      <c r="B91" s="69"/>
      <c r="C91" s="451" t="str">
        <f t="shared" si="4"/>
        <v>GARD Clarisse (SUD EUROCOURTAGE)</v>
      </c>
      <c r="D91" s="451" t="str">
        <f t="shared" si="5"/>
        <v/>
      </c>
      <c r="E91" s="466" t="s">
        <v>541</v>
      </c>
      <c r="F91" s="494" t="s">
        <v>587</v>
      </c>
      <c r="G91" s="494"/>
      <c r="H91" s="69" t="s">
        <v>789</v>
      </c>
      <c r="I91" s="69" t="s">
        <v>790</v>
      </c>
      <c r="J91" s="74" t="s">
        <v>791</v>
      </c>
      <c r="K91" s="494" t="s">
        <v>792</v>
      </c>
      <c r="L91" s="69" t="s">
        <v>592</v>
      </c>
      <c r="M91" s="74" t="s">
        <v>793</v>
      </c>
      <c r="N91" s="494" t="s">
        <v>794</v>
      </c>
      <c r="O91" s="494"/>
      <c r="P91" s="556"/>
      <c r="Q91" s="556"/>
      <c r="R91" s="556"/>
    </row>
    <row r="92" spans="1:18" s="383" customFormat="1" ht="15" customHeight="1">
      <c r="A92" s="69">
        <v>62</v>
      </c>
      <c r="B92" s="69"/>
      <c r="C92" s="451" t="str">
        <f t="shared" si="4"/>
        <v>GEAGEA Michael (CLOVER BROKERS )</v>
      </c>
      <c r="D92" s="451" t="str">
        <f t="shared" si="5"/>
        <v/>
      </c>
      <c r="E92" s="550" t="s">
        <v>304</v>
      </c>
      <c r="F92" s="494" t="s">
        <v>587</v>
      </c>
      <c r="G92" s="494"/>
      <c r="H92" s="494" t="s">
        <v>795</v>
      </c>
      <c r="I92" s="494" t="s">
        <v>650</v>
      </c>
      <c r="J92" s="494" t="s">
        <v>796</v>
      </c>
      <c r="K92" s="494" t="s">
        <v>652</v>
      </c>
      <c r="L92" s="69"/>
      <c r="M92" s="494"/>
      <c r="N92" s="494"/>
      <c r="O92" s="494"/>
      <c r="P92" s="83"/>
      <c r="Q92" s="83"/>
      <c r="R92" s="83"/>
    </row>
    <row r="93" spans="1:18" s="383" customFormat="1" ht="15" customHeight="1">
      <c r="A93" s="69">
        <v>206</v>
      </c>
      <c r="B93" s="494">
        <v>69</v>
      </c>
      <c r="C93" s="451" t="str">
        <f t="shared" si="4"/>
        <v/>
      </c>
      <c r="D93" s="451" t="str">
        <f t="shared" si="5"/>
        <v>GEHIN Brigitte (THIERRY VOISIN)</v>
      </c>
      <c r="E93" s="494" t="s">
        <v>1356</v>
      </c>
      <c r="F93" s="494" t="s">
        <v>1154</v>
      </c>
      <c r="G93" s="69" t="s">
        <v>1319</v>
      </c>
      <c r="H93" s="494" t="s">
        <v>1357</v>
      </c>
      <c r="I93" s="494" t="s">
        <v>1358</v>
      </c>
      <c r="J93" s="69" t="s">
        <v>1359</v>
      </c>
      <c r="K93" s="494" t="s">
        <v>1360</v>
      </c>
      <c r="L93" s="69" t="s">
        <v>592</v>
      </c>
      <c r="M93" s="69" t="s">
        <v>1361</v>
      </c>
      <c r="N93" s="69" t="s">
        <v>1362</v>
      </c>
      <c r="O93" s="494"/>
    </row>
    <row r="94" spans="1:18" s="383" customFormat="1" ht="15" customHeight="1">
      <c r="A94" s="69">
        <v>86</v>
      </c>
      <c r="B94" s="69"/>
      <c r="C94" s="451" t="str">
        <f t="shared" si="4"/>
        <v>GERVAIS Thierry (GAN EUROCOURTAGE)</v>
      </c>
      <c r="D94" s="451" t="str">
        <f t="shared" si="5"/>
        <v/>
      </c>
      <c r="E94" s="69" t="s">
        <v>797</v>
      </c>
      <c r="F94" s="494" t="s">
        <v>587</v>
      </c>
      <c r="G94" s="69" t="s">
        <v>802</v>
      </c>
      <c r="H94" s="69" t="s">
        <v>799</v>
      </c>
      <c r="I94" s="69" t="s">
        <v>800</v>
      </c>
      <c r="J94" s="72" t="s">
        <v>801</v>
      </c>
      <c r="K94" s="72"/>
      <c r="L94" s="69" t="s">
        <v>619</v>
      </c>
      <c r="M94" s="69" t="s">
        <v>803</v>
      </c>
      <c r="N94" s="69"/>
      <c r="O94" s="69" t="s">
        <v>804</v>
      </c>
      <c r="P94" s="553"/>
      <c r="Q94" s="553"/>
      <c r="R94" s="553"/>
    </row>
    <row r="95" spans="1:18" s="383" customFormat="1" ht="15" customHeight="1">
      <c r="A95" s="69">
        <v>53</v>
      </c>
      <c r="B95" s="494">
        <v>24</v>
      </c>
      <c r="C95" s="451" t="str">
        <f t="shared" si="4"/>
        <v/>
      </c>
      <c r="D95" s="451" t="str">
        <f t="shared" si="5"/>
        <v>GILHARD caroline (Burgess)</v>
      </c>
      <c r="E95" s="494" t="s">
        <v>300</v>
      </c>
      <c r="F95" s="494" t="s">
        <v>1154</v>
      </c>
      <c r="G95" s="69"/>
      <c r="H95" s="494" t="s">
        <v>1366</v>
      </c>
      <c r="I95" s="494" t="s">
        <v>1367</v>
      </c>
      <c r="J95" s="494" t="s">
        <v>1368</v>
      </c>
      <c r="K95" s="494" t="s">
        <v>1367</v>
      </c>
      <c r="L95" s="69" t="s">
        <v>592</v>
      </c>
      <c r="M95" s="494" t="s">
        <v>1369</v>
      </c>
      <c r="N95" s="494"/>
      <c r="O95" s="494"/>
    </row>
    <row r="96" spans="1:18" s="383" customFormat="1" ht="15" customHeight="1">
      <c r="A96" s="69">
        <v>163</v>
      </c>
      <c r="B96" s="494">
        <v>75</v>
      </c>
      <c r="C96" s="451" t="str">
        <f t="shared" si="4"/>
        <v/>
      </c>
      <c r="D96" s="451" t="str">
        <f t="shared" si="5"/>
        <v>GIRARDOT Jean-Pierre (Neymar investments LTD)</v>
      </c>
      <c r="E96" s="494" t="s">
        <v>1736</v>
      </c>
      <c r="F96" s="494" t="s">
        <v>1166</v>
      </c>
      <c r="G96" s="494"/>
      <c r="H96" s="494" t="s">
        <v>1363</v>
      </c>
      <c r="I96" s="494" t="s">
        <v>1325</v>
      </c>
      <c r="J96" s="494" t="s">
        <v>1364</v>
      </c>
      <c r="K96" s="494" t="s">
        <v>1365</v>
      </c>
      <c r="L96" s="69" t="s">
        <v>592</v>
      </c>
      <c r="M96" s="494"/>
      <c r="N96" s="494"/>
      <c r="O96" s="494"/>
    </row>
    <row r="97" spans="1:18" s="383" customFormat="1" ht="15" customHeight="1">
      <c r="A97" s="494">
        <v>48</v>
      </c>
      <c r="B97" s="69"/>
      <c r="C97" s="451" t="str">
        <f t="shared" si="4"/>
        <v>GIRAUD Samuel (Bourbon Offshore Greenmar)</v>
      </c>
      <c r="D97" s="451" t="str">
        <f t="shared" si="5"/>
        <v/>
      </c>
      <c r="E97" s="494" t="s">
        <v>754</v>
      </c>
      <c r="F97" s="494" t="s">
        <v>587</v>
      </c>
      <c r="G97" s="494"/>
      <c r="H97" s="494" t="s">
        <v>805</v>
      </c>
      <c r="I97" s="494" t="s">
        <v>806</v>
      </c>
      <c r="J97" s="494" t="s">
        <v>807</v>
      </c>
      <c r="K97" s="494" t="s">
        <v>808</v>
      </c>
      <c r="L97" s="69"/>
      <c r="M97" s="494"/>
      <c r="N97" s="494"/>
      <c r="O97" s="494"/>
      <c r="P97" s="83"/>
      <c r="Q97" s="83"/>
      <c r="R97" s="83"/>
    </row>
    <row r="98" spans="1:18" s="383" customFormat="1" ht="15" customHeight="1">
      <c r="A98" s="69">
        <v>221</v>
      </c>
      <c r="B98" s="69"/>
      <c r="C98" s="451" t="str">
        <f t="shared" si="4"/>
        <v>GRAY Colin (WILSON EUROPE)</v>
      </c>
      <c r="D98" s="451" t="str">
        <f t="shared" si="5"/>
        <v/>
      </c>
      <c r="E98" s="76" t="s">
        <v>2414</v>
      </c>
      <c r="F98" s="494" t="s">
        <v>587</v>
      </c>
      <c r="G98" s="69"/>
      <c r="H98" s="69" t="s">
        <v>2470</v>
      </c>
      <c r="I98" s="69" t="s">
        <v>2471</v>
      </c>
      <c r="J98" s="551" t="s">
        <v>2472</v>
      </c>
      <c r="K98" s="494"/>
      <c r="L98" s="69" t="s">
        <v>592</v>
      </c>
      <c r="M98" s="78" t="s">
        <v>2473</v>
      </c>
      <c r="N98" s="494"/>
      <c r="O98" s="494" t="s">
        <v>2474</v>
      </c>
      <c r="P98" s="556"/>
      <c r="Q98" s="556"/>
      <c r="R98" s="556"/>
    </row>
    <row r="99" spans="1:18" s="383" customFormat="1" ht="15" customHeight="1">
      <c r="A99" s="69">
        <v>137</v>
      </c>
      <c r="B99" s="69"/>
      <c r="C99" s="451" t="str">
        <f t="shared" si="4"/>
        <v>GROS  Cedric (MERS &amp; RIVIERES )</v>
      </c>
      <c r="D99" s="451" t="str">
        <f t="shared" si="5"/>
        <v/>
      </c>
      <c r="E99" s="550" t="s">
        <v>463</v>
      </c>
      <c r="F99" s="494" t="s">
        <v>587</v>
      </c>
      <c r="G99" s="69"/>
      <c r="H99" s="69" t="s">
        <v>809</v>
      </c>
      <c r="I99" s="69" t="s">
        <v>810</v>
      </c>
      <c r="J99" s="71" t="s">
        <v>811</v>
      </c>
      <c r="K99" s="494" t="s">
        <v>812</v>
      </c>
      <c r="L99" s="69" t="s">
        <v>592</v>
      </c>
      <c r="M99" s="494" t="s">
        <v>813</v>
      </c>
      <c r="N99" s="69"/>
      <c r="O99" s="69"/>
      <c r="P99" s="556"/>
      <c r="Q99" s="556"/>
      <c r="R99" s="556"/>
    </row>
    <row r="100" spans="1:18" s="383" customFormat="1" ht="15" customHeight="1">
      <c r="A100" s="69">
        <v>100</v>
      </c>
      <c r="B100" s="69"/>
      <c r="C100" s="451" t="str">
        <f t="shared" si="4"/>
        <v/>
      </c>
      <c r="D100" s="451" t="str">
        <f t="shared" si="5"/>
        <v>GRUNBERG Guillaume (ICS)</v>
      </c>
      <c r="E100" s="76" t="s">
        <v>399</v>
      </c>
      <c r="F100" s="69" t="s">
        <v>1371</v>
      </c>
      <c r="G100" s="494"/>
      <c r="H100" s="69" t="s">
        <v>1140</v>
      </c>
      <c r="I100" s="69" t="s">
        <v>1141</v>
      </c>
      <c r="J100" s="74" t="s">
        <v>1370</v>
      </c>
      <c r="K100" s="74"/>
      <c r="L100" s="69" t="s">
        <v>592</v>
      </c>
      <c r="M100" s="494"/>
      <c r="N100" s="494"/>
      <c r="O100" s="69" t="s">
        <v>1372</v>
      </c>
    </row>
    <row r="101" spans="1:18" s="383" customFormat="1" ht="15" customHeight="1">
      <c r="A101" s="69">
        <v>241</v>
      </c>
      <c r="B101" s="494"/>
      <c r="C101" s="451" t="str">
        <f t="shared" si="4"/>
        <v>GRUNBERG Guillaume (FROLSON)</v>
      </c>
      <c r="D101" s="451" t="str">
        <f t="shared" si="5"/>
        <v/>
      </c>
      <c r="E101" s="626" t="s">
        <v>2545</v>
      </c>
      <c r="F101" s="494" t="s">
        <v>587</v>
      </c>
      <c r="G101" s="494"/>
      <c r="H101" s="69" t="s">
        <v>1140</v>
      </c>
      <c r="I101" s="69" t="s">
        <v>1141</v>
      </c>
      <c r="J101" s="549" t="s">
        <v>1142</v>
      </c>
      <c r="K101" s="494"/>
      <c r="L101" s="69" t="s">
        <v>592</v>
      </c>
      <c r="M101" s="494"/>
      <c r="N101" s="494"/>
      <c r="O101" s="494"/>
      <c r="P101" s="556"/>
      <c r="Q101" s="556"/>
      <c r="R101" s="556"/>
    </row>
    <row r="102" spans="1:18" s="383" customFormat="1" ht="15" customHeight="1">
      <c r="A102" s="69">
        <v>209</v>
      </c>
      <c r="B102" s="494">
        <v>72</v>
      </c>
      <c r="C102" s="451" t="str">
        <f t="shared" si="4"/>
        <v/>
      </c>
      <c r="D102" s="451" t="str">
        <f t="shared" si="5"/>
        <v>GUENEBEAUD Cédric (UNIQUE YACHTING MONACO  )</v>
      </c>
      <c r="E102" s="76" t="s">
        <v>1373</v>
      </c>
      <c r="F102" s="494" t="s">
        <v>1154</v>
      </c>
      <c r="G102" s="494"/>
      <c r="H102" s="494" t="s">
        <v>1375</v>
      </c>
      <c r="I102" s="494" t="s">
        <v>1376</v>
      </c>
      <c r="J102" s="494" t="s">
        <v>1377</v>
      </c>
      <c r="K102" s="494" t="s">
        <v>1378</v>
      </c>
      <c r="L102" s="69"/>
      <c r="M102" s="494"/>
      <c r="N102" s="494"/>
      <c r="O102" s="494"/>
    </row>
    <row r="103" spans="1:18" s="383" customFormat="1" ht="15" customHeight="1">
      <c r="A103" s="494">
        <v>111</v>
      </c>
      <c r="B103" s="69"/>
      <c r="C103" s="451" t="str">
        <f t="shared" si="4"/>
        <v>GUIDICI Sylvie (JOURDAN GASSIN Nice)</v>
      </c>
      <c r="D103" s="451" t="str">
        <f t="shared" si="5"/>
        <v/>
      </c>
      <c r="E103" s="69" t="s">
        <v>433</v>
      </c>
      <c r="F103" s="494" t="s">
        <v>587</v>
      </c>
      <c r="G103" s="494"/>
      <c r="H103" s="494" t="s">
        <v>814</v>
      </c>
      <c r="I103" s="494" t="s">
        <v>89</v>
      </c>
      <c r="J103" s="494" t="s">
        <v>815</v>
      </c>
      <c r="K103" s="494" t="s">
        <v>816</v>
      </c>
      <c r="L103" s="69" t="s">
        <v>592</v>
      </c>
      <c r="M103" s="494" t="s">
        <v>2451</v>
      </c>
      <c r="N103" s="494"/>
      <c r="O103" s="494"/>
      <c r="P103" s="556"/>
      <c r="Q103" s="556"/>
      <c r="R103" s="556"/>
    </row>
    <row r="104" spans="1:18" s="383" customFormat="1" ht="15" customHeight="1">
      <c r="A104" s="69">
        <v>94</v>
      </c>
      <c r="B104" s="69"/>
      <c r="C104" s="451" t="str">
        <f t="shared" si="4"/>
        <v>GUILLET Pascal (GRAS SAVOYE ASC)</v>
      </c>
      <c r="D104" s="451" t="str">
        <f t="shared" si="5"/>
        <v/>
      </c>
      <c r="E104" s="69" t="s">
        <v>817</v>
      </c>
      <c r="F104" s="494" t="s">
        <v>587</v>
      </c>
      <c r="G104" s="69" t="s">
        <v>824</v>
      </c>
      <c r="H104" s="69" t="s">
        <v>821</v>
      </c>
      <c r="I104" s="69" t="s">
        <v>822</v>
      </c>
      <c r="J104" s="71" t="s">
        <v>823</v>
      </c>
      <c r="K104" s="71"/>
      <c r="L104" s="69" t="s">
        <v>619</v>
      </c>
      <c r="M104" s="69" t="s">
        <v>825</v>
      </c>
      <c r="N104" s="69"/>
      <c r="O104" s="69" t="s">
        <v>826</v>
      </c>
      <c r="P104" s="553"/>
      <c r="Q104" s="553"/>
      <c r="R104" s="553"/>
    </row>
    <row r="105" spans="1:18" s="383" customFormat="1" ht="15" customHeight="1">
      <c r="A105" s="69">
        <v>199</v>
      </c>
      <c r="B105" s="69"/>
      <c r="C105" s="451" t="str">
        <f t="shared" si="4"/>
        <v>GUILLY  Emilie (SUISSCOURTAGE Monaco)</v>
      </c>
      <c r="D105" s="451" t="str">
        <f t="shared" si="5"/>
        <v/>
      </c>
      <c r="E105" s="550" t="s">
        <v>553</v>
      </c>
      <c r="F105" s="494" t="s">
        <v>587</v>
      </c>
      <c r="G105" s="69"/>
      <c r="H105" s="69" t="s">
        <v>827</v>
      </c>
      <c r="I105" s="69" t="s">
        <v>828</v>
      </c>
      <c r="J105" s="69" t="s">
        <v>829</v>
      </c>
      <c r="K105" s="494" t="s">
        <v>830</v>
      </c>
      <c r="L105" s="69" t="s">
        <v>592</v>
      </c>
      <c r="M105" s="494" t="s">
        <v>831</v>
      </c>
      <c r="N105" s="69"/>
      <c r="O105" s="69"/>
      <c r="P105" s="556"/>
      <c r="Q105" s="556"/>
      <c r="R105" s="556"/>
    </row>
    <row r="106" spans="1:18" s="383" customFormat="1" ht="15" customHeight="1">
      <c r="A106" s="494">
        <v>180</v>
      </c>
      <c r="B106" s="69"/>
      <c r="C106" s="451" t="str">
        <f t="shared" si="4"/>
        <v/>
      </c>
      <c r="D106" s="451" t="str">
        <f t="shared" si="5"/>
        <v>HAMILTON Kim (Sarnia Yachts Limited)</v>
      </c>
      <c r="E106" s="69" t="s">
        <v>1379</v>
      </c>
      <c r="F106" s="494" t="s">
        <v>1154</v>
      </c>
      <c r="G106" s="69" t="s">
        <v>1387</v>
      </c>
      <c r="H106" s="69" t="s">
        <v>1384</v>
      </c>
      <c r="I106" s="69" t="s">
        <v>1385</v>
      </c>
      <c r="J106" s="72" t="s">
        <v>1386</v>
      </c>
      <c r="K106" s="72"/>
      <c r="L106" s="69" t="s">
        <v>619</v>
      </c>
      <c r="M106" s="69" t="s">
        <v>1388</v>
      </c>
      <c r="N106" s="69" t="s">
        <v>1389</v>
      </c>
      <c r="O106" s="69" t="s">
        <v>1390</v>
      </c>
    </row>
    <row r="107" spans="1:18" s="383" customFormat="1" ht="15" customHeight="1">
      <c r="A107" s="69">
        <v>10</v>
      </c>
      <c r="B107" s="494">
        <v>14</v>
      </c>
      <c r="C107" s="451" t="str">
        <f t="shared" si="4"/>
        <v/>
      </c>
      <c r="D107" s="451" t="str">
        <f t="shared" si="5"/>
        <v>HARREL COURTES Guillaume (ANP)</v>
      </c>
      <c r="E107" s="494" t="s">
        <v>1300</v>
      </c>
      <c r="F107" s="494" t="s">
        <v>1154</v>
      </c>
      <c r="G107" s="494"/>
      <c r="H107" s="494" t="s">
        <v>1392</v>
      </c>
      <c r="I107" s="494" t="s">
        <v>1141</v>
      </c>
      <c r="J107" s="494" t="s">
        <v>1393</v>
      </c>
      <c r="K107" s="494" t="s">
        <v>1394</v>
      </c>
      <c r="L107" s="69" t="s">
        <v>592</v>
      </c>
      <c r="M107" s="494"/>
      <c r="N107" s="494"/>
      <c r="O107" s="494"/>
    </row>
    <row r="108" spans="1:18" s="383" customFormat="1" ht="15" customHeight="1">
      <c r="A108" s="69">
        <v>101</v>
      </c>
      <c r="B108" s="69"/>
      <c r="C108" s="451" t="str">
        <f t="shared" si="4"/>
        <v>HENRY Martine (ICS)</v>
      </c>
      <c r="D108" s="451" t="str">
        <f t="shared" si="5"/>
        <v/>
      </c>
      <c r="E108" s="550" t="s">
        <v>399</v>
      </c>
      <c r="F108" s="494" t="s">
        <v>587</v>
      </c>
      <c r="G108" s="494"/>
      <c r="H108" s="494" t="s">
        <v>832</v>
      </c>
      <c r="I108" s="494" t="s">
        <v>833</v>
      </c>
      <c r="J108" s="627" t="s">
        <v>2547</v>
      </c>
      <c r="K108" s="494" t="s">
        <v>834</v>
      </c>
      <c r="L108" s="69" t="s">
        <v>592</v>
      </c>
      <c r="M108" s="626" t="s">
        <v>835</v>
      </c>
      <c r="N108" s="626" t="s">
        <v>835</v>
      </c>
      <c r="O108" s="494" t="s">
        <v>835</v>
      </c>
      <c r="P108" s="553"/>
      <c r="Q108" s="553"/>
      <c r="R108" s="553"/>
    </row>
    <row r="109" spans="1:18" s="383" customFormat="1" ht="15" customHeight="1">
      <c r="A109" s="69">
        <v>1</v>
      </c>
      <c r="B109" s="69"/>
      <c r="C109" s="451" t="str">
        <f t="shared" si="4"/>
        <v>HENRY  Christian (ICS)</v>
      </c>
      <c r="D109" s="451" t="str">
        <f t="shared" si="5"/>
        <v/>
      </c>
      <c r="E109" s="550" t="s">
        <v>399</v>
      </c>
      <c r="F109" s="494" t="s">
        <v>587</v>
      </c>
      <c r="G109" s="69"/>
      <c r="H109" s="69" t="s">
        <v>836</v>
      </c>
      <c r="I109" s="69" t="s">
        <v>837</v>
      </c>
      <c r="J109" s="629" t="s">
        <v>2544</v>
      </c>
      <c r="K109" s="494" t="s">
        <v>838</v>
      </c>
      <c r="L109" s="69" t="s">
        <v>592</v>
      </c>
      <c r="M109" s="494" t="s">
        <v>839</v>
      </c>
      <c r="N109" s="69"/>
      <c r="O109" s="494" t="s">
        <v>840</v>
      </c>
      <c r="P109" s="83"/>
      <c r="Q109" s="83"/>
      <c r="R109" s="83"/>
    </row>
    <row r="110" spans="1:18" s="383" customFormat="1" ht="15" customHeight="1">
      <c r="A110" s="69">
        <v>2</v>
      </c>
      <c r="B110" s="69"/>
      <c r="C110" s="451" t="str">
        <f t="shared" si="4"/>
        <v>HENRY  Lucas (ICS)</v>
      </c>
      <c r="D110" s="451" t="str">
        <f t="shared" si="5"/>
        <v/>
      </c>
      <c r="E110" s="550" t="s">
        <v>399</v>
      </c>
      <c r="F110" s="494" t="s">
        <v>587</v>
      </c>
      <c r="G110" s="69"/>
      <c r="H110" s="69" t="s">
        <v>836</v>
      </c>
      <c r="I110" s="69" t="s">
        <v>841</v>
      </c>
      <c r="J110" s="629" t="s">
        <v>2546</v>
      </c>
      <c r="K110" s="494"/>
      <c r="L110" s="69" t="s">
        <v>592</v>
      </c>
      <c r="M110" s="494"/>
      <c r="N110" s="69"/>
      <c r="O110" s="494" t="s">
        <v>842</v>
      </c>
      <c r="P110" s="83"/>
      <c r="Q110" s="83"/>
      <c r="R110" s="83"/>
    </row>
    <row r="111" spans="1:18" s="383" customFormat="1" ht="15" customHeight="1">
      <c r="A111" s="494">
        <v>102</v>
      </c>
      <c r="B111" s="69"/>
      <c r="C111" s="451" t="str">
        <f t="shared" si="4"/>
        <v>HUDECK  Christian (ICS)</v>
      </c>
      <c r="D111" s="451" t="str">
        <f t="shared" si="5"/>
        <v/>
      </c>
      <c r="E111" s="550" t="s">
        <v>399</v>
      </c>
      <c r="F111" s="494" t="s">
        <v>587</v>
      </c>
      <c r="G111" s="69"/>
      <c r="H111" s="69" t="s">
        <v>843</v>
      </c>
      <c r="I111" s="69" t="s">
        <v>837</v>
      </c>
      <c r="J111" s="629" t="s">
        <v>2548</v>
      </c>
      <c r="K111" s="494" t="s">
        <v>838</v>
      </c>
      <c r="L111" s="69" t="s">
        <v>592</v>
      </c>
      <c r="M111" s="69"/>
      <c r="N111" s="69"/>
      <c r="O111" s="494" t="s">
        <v>844</v>
      </c>
      <c r="P111" s="553"/>
      <c r="Q111" s="553"/>
      <c r="R111" s="553"/>
    </row>
    <row r="112" spans="1:18" s="383" customFormat="1" ht="15" customHeight="1">
      <c r="A112" s="69">
        <v>23</v>
      </c>
      <c r="B112" s="69"/>
      <c r="C112" s="451" t="str">
        <f t="shared" si="4"/>
        <v>Hudson Sky Company SA  (Aviation Insurance Brokers)</v>
      </c>
      <c r="D112" s="451" t="str">
        <f t="shared" si="5"/>
        <v/>
      </c>
      <c r="E112" s="69" t="s">
        <v>845</v>
      </c>
      <c r="F112" s="494" t="s">
        <v>587</v>
      </c>
      <c r="G112" s="69"/>
      <c r="H112" s="494" t="s">
        <v>847</v>
      </c>
      <c r="I112" s="69"/>
      <c r="J112" s="71" t="s">
        <v>848</v>
      </c>
      <c r="K112" s="494" t="s">
        <v>849</v>
      </c>
      <c r="L112" s="69" t="s">
        <v>592</v>
      </c>
      <c r="M112" s="494" t="s">
        <v>850</v>
      </c>
      <c r="N112" s="69"/>
      <c r="O112" s="69"/>
      <c r="P112" s="83"/>
      <c r="Q112" s="83"/>
      <c r="R112" s="83"/>
    </row>
    <row r="113" spans="1:18" s="383" customFormat="1" ht="15" customHeight="1">
      <c r="A113" s="69">
        <v>200</v>
      </c>
      <c r="B113" s="537"/>
      <c r="C113" s="451" t="str">
        <f t="shared" si="4"/>
        <v>HUENS DE BROUWER Vincent (SUISSCOURTAGE Monaco)</v>
      </c>
      <c r="D113" s="451" t="str">
        <f t="shared" si="5"/>
        <v/>
      </c>
      <c r="E113" s="550" t="s">
        <v>553</v>
      </c>
      <c r="F113" s="494" t="s">
        <v>587</v>
      </c>
      <c r="G113" s="537"/>
      <c r="H113" s="494" t="s">
        <v>851</v>
      </c>
      <c r="I113" s="494" t="s">
        <v>852</v>
      </c>
      <c r="J113" s="559" t="s">
        <v>853</v>
      </c>
      <c r="K113" s="537"/>
      <c r="L113" s="69" t="s">
        <v>619</v>
      </c>
      <c r="M113" s="537"/>
      <c r="N113" s="537"/>
      <c r="O113" s="560" t="s">
        <v>854</v>
      </c>
      <c r="P113" s="556"/>
      <c r="Q113" s="556"/>
      <c r="R113" s="556"/>
    </row>
    <row r="114" spans="1:18" s="383" customFormat="1" ht="15" customHeight="1">
      <c r="A114" s="69">
        <v>157</v>
      </c>
      <c r="B114" s="69">
        <v>61</v>
      </c>
      <c r="C114" s="451" t="str">
        <f t="shared" si="4"/>
        <v/>
      </c>
      <c r="D114" s="451" t="str">
        <f t="shared" si="5"/>
        <v>HUSSON Romain (Navilux SA)</v>
      </c>
      <c r="E114" s="494" t="s">
        <v>1435</v>
      </c>
      <c r="F114" s="494" t="s">
        <v>1154</v>
      </c>
      <c r="G114" s="494"/>
      <c r="H114" s="494" t="s">
        <v>1395</v>
      </c>
      <c r="I114" s="69" t="s">
        <v>995</v>
      </c>
      <c r="J114" s="494" t="s">
        <v>1396</v>
      </c>
      <c r="K114" s="494" t="s">
        <v>1397</v>
      </c>
      <c r="L114" s="69" t="s">
        <v>592</v>
      </c>
      <c r="M114" s="494" t="s">
        <v>443</v>
      </c>
      <c r="N114" s="494" t="s">
        <v>446</v>
      </c>
      <c r="O114" s="494"/>
    </row>
    <row r="115" spans="1:18" s="383" customFormat="1" ht="15" customHeight="1">
      <c r="A115" s="494">
        <v>186</v>
      </c>
      <c r="B115" s="69"/>
      <c r="C115" s="451" t="str">
        <f t="shared" si="4"/>
        <v/>
      </c>
      <c r="D115" s="451" t="str">
        <f t="shared" si="5"/>
        <v>IFERGAN  Christine (SOMECASSUR)</v>
      </c>
      <c r="E115" s="69" t="s">
        <v>855</v>
      </c>
      <c r="F115" s="494" t="s">
        <v>1154</v>
      </c>
      <c r="G115" s="69"/>
      <c r="H115" s="69" t="s">
        <v>856</v>
      </c>
      <c r="I115" s="69" t="s">
        <v>857</v>
      </c>
      <c r="J115" s="71" t="s">
        <v>858</v>
      </c>
      <c r="K115" s="71"/>
      <c r="L115" s="69" t="s">
        <v>592</v>
      </c>
      <c r="M115" s="69"/>
      <c r="N115" s="69"/>
      <c r="O115" s="69"/>
    </row>
    <row r="116" spans="1:18" s="383" customFormat="1" ht="15" customHeight="1">
      <c r="A116" s="69">
        <v>107</v>
      </c>
      <c r="B116" s="69"/>
      <c r="C116" s="451" t="str">
        <f t="shared" si="4"/>
        <v>ISAIA  Mathieu (ISAIA, AXA Assurances Antibes)</v>
      </c>
      <c r="D116" s="451" t="str">
        <f t="shared" si="5"/>
        <v/>
      </c>
      <c r="E116" s="550" t="s">
        <v>421</v>
      </c>
      <c r="F116" s="494" t="s">
        <v>587</v>
      </c>
      <c r="G116" s="69"/>
      <c r="H116" s="69" t="s">
        <v>859</v>
      </c>
      <c r="I116" s="69" t="s">
        <v>860</v>
      </c>
      <c r="J116" s="71" t="s">
        <v>861</v>
      </c>
      <c r="K116" s="494" t="s">
        <v>862</v>
      </c>
      <c r="L116" s="69" t="s">
        <v>592</v>
      </c>
      <c r="M116" s="69" t="s">
        <v>423</v>
      </c>
      <c r="N116" s="69"/>
      <c r="O116" s="69"/>
      <c r="P116" s="553"/>
      <c r="Q116" s="553"/>
      <c r="R116" s="553"/>
    </row>
    <row r="117" spans="1:18" s="383" customFormat="1" ht="15" customHeight="1">
      <c r="A117" s="494">
        <v>63</v>
      </c>
      <c r="B117" s="69"/>
      <c r="C117" s="451" t="str">
        <f t="shared" si="4"/>
        <v>JABRE Elias (CLOVER BROKERS )</v>
      </c>
      <c r="D117" s="451" t="str">
        <f t="shared" si="5"/>
        <v/>
      </c>
      <c r="E117" s="550" t="s">
        <v>304</v>
      </c>
      <c r="F117" s="494" t="s">
        <v>587</v>
      </c>
      <c r="G117" s="494"/>
      <c r="H117" s="494" t="s">
        <v>863</v>
      </c>
      <c r="I117" s="494" t="s">
        <v>864</v>
      </c>
      <c r="J117" s="494" t="s">
        <v>865</v>
      </c>
      <c r="K117" s="494" t="s">
        <v>866</v>
      </c>
      <c r="L117" s="69"/>
      <c r="M117" s="494"/>
      <c r="N117" s="494"/>
      <c r="O117" s="494"/>
      <c r="P117" s="83"/>
      <c r="Q117" s="83"/>
      <c r="R117" s="83"/>
    </row>
    <row r="118" spans="1:18" s="383" customFormat="1" ht="15" customHeight="1">
      <c r="A118" s="494">
        <v>219</v>
      </c>
      <c r="B118" s="494"/>
      <c r="C118" s="451" t="str">
        <f t="shared" si="4"/>
        <v/>
      </c>
      <c r="D118" s="451" t="str">
        <f t="shared" si="5"/>
        <v>JACQUART Sylvain (Vendome Luxury Boats)</v>
      </c>
      <c r="E118" s="494" t="s">
        <v>1398</v>
      </c>
      <c r="F118" s="494" t="s">
        <v>1166</v>
      </c>
      <c r="G118" s="494"/>
      <c r="H118" s="494" t="s">
        <v>1400</v>
      </c>
      <c r="I118" s="494" t="s">
        <v>1040</v>
      </c>
      <c r="J118" s="494" t="s">
        <v>1401</v>
      </c>
      <c r="K118" s="494" t="s">
        <v>1402</v>
      </c>
      <c r="L118" s="69"/>
      <c r="M118" s="494"/>
      <c r="N118" s="494"/>
      <c r="O118" s="494"/>
    </row>
    <row r="119" spans="1:18" s="383" customFormat="1" ht="15" customHeight="1">
      <c r="A119" s="69">
        <v>92</v>
      </c>
      <c r="B119" s="69"/>
      <c r="C119" s="451" t="str">
        <f t="shared" si="4"/>
        <v>JARAMILLO Sandrine (GES MARITIME)</v>
      </c>
      <c r="D119" s="451" t="str">
        <f t="shared" si="5"/>
        <v/>
      </c>
      <c r="E119" s="69" t="s">
        <v>575</v>
      </c>
      <c r="F119" s="494" t="s">
        <v>587</v>
      </c>
      <c r="G119" s="494"/>
      <c r="H119" s="494" t="s">
        <v>1138</v>
      </c>
      <c r="I119" s="494" t="s">
        <v>1130</v>
      </c>
      <c r="J119" s="549" t="s">
        <v>1139</v>
      </c>
      <c r="K119" s="494"/>
      <c r="L119" s="69"/>
      <c r="M119" s="494"/>
      <c r="N119" s="494"/>
      <c r="O119" s="494"/>
      <c r="P119" s="553"/>
      <c r="Q119" s="553"/>
      <c r="R119" s="553"/>
    </row>
    <row r="120" spans="1:18" s="383" customFormat="1" ht="15" customHeight="1">
      <c r="A120" s="494">
        <v>150</v>
      </c>
      <c r="B120" s="494"/>
      <c r="C120" s="451" t="str">
        <f t="shared" si="4"/>
        <v>JEANTET Olivier (MY INSURANCE BROKERS)</v>
      </c>
      <c r="D120" s="451" t="str">
        <f t="shared" si="5"/>
        <v/>
      </c>
      <c r="E120" s="494" t="s">
        <v>867</v>
      </c>
      <c r="F120" s="494" t="s">
        <v>587</v>
      </c>
      <c r="G120" s="494"/>
      <c r="H120" s="494" t="s">
        <v>869</v>
      </c>
      <c r="I120" s="494" t="s">
        <v>636</v>
      </c>
      <c r="J120" s="494" t="s">
        <v>870</v>
      </c>
      <c r="K120" s="494" t="s">
        <v>638</v>
      </c>
      <c r="L120" s="69" t="s">
        <v>592</v>
      </c>
      <c r="M120" s="494" t="s">
        <v>871</v>
      </c>
      <c r="N120" s="494"/>
      <c r="O120" s="494" t="s">
        <v>872</v>
      </c>
      <c r="P120" s="556"/>
      <c r="Q120" s="556"/>
      <c r="R120" s="556"/>
    </row>
    <row r="121" spans="1:18" s="383" customFormat="1" ht="15" customHeight="1">
      <c r="A121" s="69">
        <v>112</v>
      </c>
      <c r="B121" s="69"/>
      <c r="C121" s="451" t="str">
        <f t="shared" si="4"/>
        <v/>
      </c>
      <c r="D121" s="451" t="str">
        <f t="shared" si="5"/>
        <v>JOURDAN Pierre (JOURDAN GASSIN Nice)</v>
      </c>
      <c r="E121" s="69" t="s">
        <v>433</v>
      </c>
      <c r="F121" s="494" t="s">
        <v>1154</v>
      </c>
      <c r="G121" s="69"/>
      <c r="H121" s="69" t="s">
        <v>873</v>
      </c>
      <c r="I121" s="69" t="s">
        <v>874</v>
      </c>
      <c r="J121" s="71" t="s">
        <v>875</v>
      </c>
      <c r="K121" s="71"/>
      <c r="L121" s="69" t="s">
        <v>619</v>
      </c>
      <c r="M121" s="69" t="s">
        <v>876</v>
      </c>
      <c r="N121" s="69" t="s">
        <v>877</v>
      </c>
      <c r="O121" s="69"/>
    </row>
    <row r="122" spans="1:18" s="383" customFormat="1" ht="15" customHeight="1">
      <c r="A122" s="69">
        <v>49</v>
      </c>
      <c r="B122" s="494">
        <v>23</v>
      </c>
      <c r="C122" s="451" t="str">
        <f t="shared" si="4"/>
        <v/>
      </c>
      <c r="D122" s="451" t="str">
        <f t="shared" si="5"/>
        <v>JOUSEAU Estelle (Bourbon Offshore Greenmar)</v>
      </c>
      <c r="E122" s="494" t="s">
        <v>754</v>
      </c>
      <c r="F122" s="494" t="s">
        <v>1166</v>
      </c>
      <c r="G122" s="494"/>
      <c r="H122" s="494" t="s">
        <v>1403</v>
      </c>
      <c r="I122" s="494" t="s">
        <v>1404</v>
      </c>
      <c r="J122" s="494" t="s">
        <v>1405</v>
      </c>
      <c r="K122" s="494" t="s">
        <v>1406</v>
      </c>
      <c r="L122" s="69"/>
      <c r="M122" s="494"/>
      <c r="N122" s="494"/>
      <c r="O122" s="494"/>
    </row>
    <row r="123" spans="1:18" s="383" customFormat="1" ht="15" customHeight="1">
      <c r="A123" s="69">
        <v>154</v>
      </c>
      <c r="B123" s="69"/>
      <c r="C123" s="451" t="str">
        <f t="shared" si="4"/>
        <v>KARANOUH  Omar (Nasco France)</v>
      </c>
      <c r="D123" s="451" t="str">
        <f t="shared" si="5"/>
        <v/>
      </c>
      <c r="E123" s="69" t="s">
        <v>2406</v>
      </c>
      <c r="F123" s="494" t="s">
        <v>587</v>
      </c>
      <c r="G123" s="69"/>
      <c r="H123" s="69" t="s">
        <v>878</v>
      </c>
      <c r="I123" s="69" t="s">
        <v>879</v>
      </c>
      <c r="J123" s="69" t="s">
        <v>880</v>
      </c>
      <c r="K123" s="494" t="s">
        <v>881</v>
      </c>
      <c r="L123" s="69" t="s">
        <v>592</v>
      </c>
      <c r="M123" s="69"/>
      <c r="N123" s="69"/>
      <c r="O123" s="69"/>
      <c r="P123" s="556"/>
      <c r="Q123" s="556"/>
      <c r="R123" s="556"/>
    </row>
    <row r="124" spans="1:18" s="383" customFormat="1" ht="15" customHeight="1">
      <c r="A124" s="1072"/>
      <c r="B124" s="1072"/>
      <c r="C124" s="451" t="str">
        <f t="shared" si="4"/>
        <v>KENTER Erik (INTRAMAR® insurances)</v>
      </c>
      <c r="D124" s="451" t="str">
        <f t="shared" si="5"/>
        <v/>
      </c>
      <c r="E124" s="1072" t="s">
        <v>2565</v>
      </c>
      <c r="F124" s="494" t="s">
        <v>587</v>
      </c>
      <c r="G124" s="1072"/>
      <c r="H124" s="494" t="s">
        <v>2574</v>
      </c>
      <c r="I124" s="494" t="s">
        <v>2575</v>
      </c>
      <c r="J124" s="1142" t="s">
        <v>2577</v>
      </c>
      <c r="K124" s="1072"/>
      <c r="L124" s="69" t="s">
        <v>592</v>
      </c>
      <c r="M124" s="1126" t="s">
        <v>2570</v>
      </c>
      <c r="N124" s="1072"/>
      <c r="O124" s="1126" t="s">
        <v>2576</v>
      </c>
      <c r="P124" s="1131"/>
      <c r="Q124" s="1131"/>
      <c r="R124" s="1131"/>
    </row>
    <row r="125" spans="1:18" s="383" customFormat="1" ht="15" customHeight="1">
      <c r="A125" s="1129">
        <v>6</v>
      </c>
      <c r="B125" s="69"/>
      <c r="C125" s="451" t="str">
        <f t="shared" si="4"/>
        <v>KHADIRI Bouchaib (AFMA)</v>
      </c>
      <c r="D125" s="451" t="str">
        <f t="shared" si="5"/>
        <v/>
      </c>
      <c r="E125" s="69" t="s">
        <v>230</v>
      </c>
      <c r="F125" s="494" t="s">
        <v>587</v>
      </c>
      <c r="G125" s="537"/>
      <c r="H125" s="1129" t="s">
        <v>882</v>
      </c>
      <c r="I125" s="1129" t="s">
        <v>883</v>
      </c>
      <c r="J125" s="549" t="s">
        <v>884</v>
      </c>
      <c r="K125" s="537"/>
      <c r="L125" s="69" t="s">
        <v>592</v>
      </c>
      <c r="M125" s="1130" t="s">
        <v>234</v>
      </c>
      <c r="N125" s="537"/>
      <c r="O125" s="537" t="s">
        <v>885</v>
      </c>
      <c r="P125" s="83"/>
      <c r="Q125" s="83"/>
      <c r="R125" s="83"/>
    </row>
    <row r="126" spans="1:18" s="383" customFormat="1" ht="15" customHeight="1">
      <c r="A126" s="69">
        <v>29</v>
      </c>
      <c r="B126" s="1126"/>
      <c r="C126" s="451" t="str">
        <f t="shared" si="4"/>
        <v>KOENRAAD  Maes (BELGIBO NV)</v>
      </c>
      <c r="D126" s="451" t="str">
        <f t="shared" si="5"/>
        <v/>
      </c>
      <c r="E126" s="1126" t="s">
        <v>886</v>
      </c>
      <c r="F126" s="494" t="s">
        <v>587</v>
      </c>
      <c r="G126" s="1126"/>
      <c r="H126" s="1126" t="s">
        <v>891</v>
      </c>
      <c r="I126" s="1126" t="s">
        <v>892</v>
      </c>
      <c r="J126" s="71" t="s">
        <v>893</v>
      </c>
      <c r="K126" s="494" t="s">
        <v>894</v>
      </c>
      <c r="L126" s="69" t="s">
        <v>592</v>
      </c>
      <c r="M126" s="494">
        <v>3232475811</v>
      </c>
      <c r="N126" s="494">
        <v>3232475815</v>
      </c>
      <c r="O126" s="494"/>
      <c r="P126" s="83"/>
      <c r="Q126" s="83"/>
      <c r="R126" s="83"/>
    </row>
    <row r="127" spans="1:18" s="383" customFormat="1" ht="15" customHeight="1">
      <c r="A127" s="1126">
        <v>205</v>
      </c>
      <c r="B127" s="494"/>
      <c r="C127" s="451" t="str">
        <f t="shared" si="4"/>
        <v/>
      </c>
      <c r="D127" s="451" t="str">
        <f t="shared" si="5"/>
        <v>KOZAK Joanna (SUNREEF YACHTS CHARTER)</v>
      </c>
      <c r="E127" s="1129" t="s">
        <v>1407</v>
      </c>
      <c r="F127" s="494" t="s">
        <v>1154</v>
      </c>
      <c r="G127" s="494"/>
      <c r="H127" s="494" t="s">
        <v>1409</v>
      </c>
      <c r="I127" s="494" t="s">
        <v>1410</v>
      </c>
      <c r="J127" s="494" t="s">
        <v>1411</v>
      </c>
      <c r="K127" s="494" t="s">
        <v>1412</v>
      </c>
      <c r="L127" s="69"/>
      <c r="M127" s="494" t="s">
        <v>1413</v>
      </c>
      <c r="N127" s="494"/>
      <c r="O127" s="494"/>
      <c r="P127" s="1127"/>
      <c r="Q127" s="1127"/>
      <c r="R127" s="1127"/>
    </row>
    <row r="128" spans="1:18" s="383" customFormat="1" ht="15" customHeight="1">
      <c r="A128" s="1129">
        <v>168</v>
      </c>
      <c r="B128" s="1129"/>
      <c r="C128" s="451" t="str">
        <f t="shared" si="4"/>
        <v>KUIKKA Anne (ONLYYACHT MONACO)</v>
      </c>
      <c r="D128" s="451" t="str">
        <f t="shared" si="5"/>
        <v/>
      </c>
      <c r="E128" s="550" t="s">
        <v>497</v>
      </c>
      <c r="F128" s="494" t="s">
        <v>587</v>
      </c>
      <c r="G128" s="1129"/>
      <c r="H128" s="1129" t="s">
        <v>895</v>
      </c>
      <c r="I128" s="1129" t="s">
        <v>683</v>
      </c>
      <c r="J128" s="1129" t="s">
        <v>896</v>
      </c>
      <c r="K128" s="494" t="s">
        <v>897</v>
      </c>
      <c r="L128" s="69" t="s">
        <v>592</v>
      </c>
      <c r="M128" s="494"/>
      <c r="N128" s="494"/>
      <c r="O128" s="494"/>
      <c r="P128" s="556"/>
      <c r="Q128" s="556"/>
      <c r="R128" s="556"/>
    </row>
    <row r="129" spans="1:18" s="383" customFormat="1" ht="15" customHeight="1">
      <c r="A129" s="69">
        <v>142</v>
      </c>
      <c r="B129" s="69"/>
      <c r="C129" s="451" t="str">
        <f t="shared" si="4"/>
        <v>LABAZ  Leila (MTAIC Cannes)</v>
      </c>
      <c r="D129" s="451" t="str">
        <f t="shared" si="5"/>
        <v/>
      </c>
      <c r="E129" s="550" t="s">
        <v>474</v>
      </c>
      <c r="F129" s="494" t="s">
        <v>587</v>
      </c>
      <c r="G129" s="1126"/>
      <c r="H129" s="1126" t="s">
        <v>898</v>
      </c>
      <c r="I129" s="1126" t="s">
        <v>899</v>
      </c>
      <c r="J129" s="71" t="s">
        <v>900</v>
      </c>
      <c r="K129" s="494" t="s">
        <v>901</v>
      </c>
      <c r="L129" s="69" t="s">
        <v>592</v>
      </c>
      <c r="M129" s="494" t="s">
        <v>902</v>
      </c>
      <c r="N129" s="494" t="s">
        <v>903</v>
      </c>
      <c r="O129" s="494"/>
      <c r="P129" s="556"/>
      <c r="Q129" s="556"/>
      <c r="R129" s="556"/>
    </row>
    <row r="130" spans="1:18" s="383" customFormat="1" ht="15" customHeight="1">
      <c r="A130" s="1126">
        <v>50</v>
      </c>
      <c r="B130" s="69"/>
      <c r="C130" s="451" t="str">
        <f t="shared" si="4"/>
        <v>LAGADIC Yves André (Bourbon OffShore Greenmar)</v>
      </c>
      <c r="D130" s="451" t="str">
        <f t="shared" si="5"/>
        <v/>
      </c>
      <c r="E130" s="1129" t="s">
        <v>904</v>
      </c>
      <c r="F130" s="494" t="s">
        <v>587</v>
      </c>
      <c r="G130" s="1129"/>
      <c r="H130" s="1129" t="s">
        <v>906</v>
      </c>
      <c r="I130" s="1129" t="s">
        <v>907</v>
      </c>
      <c r="J130" s="1129" t="s">
        <v>908</v>
      </c>
      <c r="K130" s="494" t="s">
        <v>909</v>
      </c>
      <c r="L130" s="69"/>
      <c r="M130" s="494"/>
      <c r="N130" s="494"/>
      <c r="O130" s="494"/>
      <c r="P130" s="83"/>
      <c r="Q130" s="83"/>
      <c r="R130" s="83"/>
    </row>
    <row r="131" spans="1:18" s="383" customFormat="1" ht="15" customHeight="1">
      <c r="A131" s="1129">
        <v>117</v>
      </c>
      <c r="B131" s="69"/>
      <c r="C131" s="451" t="str">
        <f t="shared" si="4"/>
        <v>LALANDRE   (LALANDRE ASSURANCES)</v>
      </c>
      <c r="D131" s="451" t="str">
        <f t="shared" si="5"/>
        <v/>
      </c>
      <c r="E131" s="550" t="s">
        <v>438</v>
      </c>
      <c r="F131" s="494" t="s">
        <v>587</v>
      </c>
      <c r="G131" s="69"/>
      <c r="H131" s="69" t="s">
        <v>910</v>
      </c>
      <c r="I131" s="69"/>
      <c r="J131" s="1126" t="s">
        <v>618</v>
      </c>
      <c r="K131" s="494" t="s">
        <v>911</v>
      </c>
      <c r="L131" s="69" t="s">
        <v>592</v>
      </c>
      <c r="M131" s="1129" t="s">
        <v>912</v>
      </c>
      <c r="N131" s="1129" t="s">
        <v>913</v>
      </c>
      <c r="O131" s="1129"/>
      <c r="P131" s="556"/>
      <c r="Q131" s="556"/>
      <c r="R131" s="556"/>
    </row>
    <row r="132" spans="1:18" s="383" customFormat="1" ht="15" customHeight="1">
      <c r="A132" s="69">
        <v>91</v>
      </c>
      <c r="B132" s="69"/>
      <c r="C132" s="451" t="str">
        <f t="shared" si="4"/>
        <v>LE MAUT Soazic (GECAR)</v>
      </c>
      <c r="D132" s="451" t="str">
        <f t="shared" si="5"/>
        <v/>
      </c>
      <c r="E132" s="1126" t="s">
        <v>698</v>
      </c>
      <c r="F132" s="494" t="s">
        <v>587</v>
      </c>
      <c r="G132" s="1126"/>
      <c r="H132" s="1126" t="s">
        <v>2448</v>
      </c>
      <c r="I132" s="1126" t="s">
        <v>2449</v>
      </c>
      <c r="J132" s="551" t="s">
        <v>2450</v>
      </c>
      <c r="K132" s="494"/>
      <c r="L132" s="69"/>
      <c r="M132" s="618"/>
      <c r="N132" s="1126"/>
      <c r="O132" s="1126"/>
      <c r="P132" s="553"/>
      <c r="Q132" s="553"/>
      <c r="R132" s="553"/>
    </row>
    <row r="133" spans="1:18" s="383" customFormat="1" ht="15" customHeight="1">
      <c r="A133" s="1126">
        <v>26</v>
      </c>
      <c r="B133" s="1126"/>
      <c r="C133" s="451" t="str">
        <f t="shared" ref="C133:C196" si="6">IF(F133="MASTER",H133&amp;" "&amp;I133&amp;" ("&amp;E133&amp;")","")</f>
        <v>LE VACON Michel (AXA LE VACON Michel et  KERMALI Dalida)</v>
      </c>
      <c r="D133" s="451" t="str">
        <f t="shared" ref="D133:D196" si="7">IF(F133="MASTER","",H133&amp;" "&amp;I133&amp;" ("&amp;E133&amp;")")</f>
        <v/>
      </c>
      <c r="E133" s="1129" t="s">
        <v>914</v>
      </c>
      <c r="F133" s="494" t="s">
        <v>587</v>
      </c>
      <c r="G133" s="1129"/>
      <c r="H133" s="1129" t="s">
        <v>916</v>
      </c>
      <c r="I133" s="1129" t="s">
        <v>763</v>
      </c>
      <c r="J133" s="1129" t="s">
        <v>917</v>
      </c>
      <c r="K133" s="1129" t="s">
        <v>918</v>
      </c>
      <c r="L133" s="1126"/>
      <c r="M133" s="1129" t="s">
        <v>919</v>
      </c>
      <c r="N133" s="494"/>
      <c r="O133" s="1129" t="s">
        <v>920</v>
      </c>
      <c r="P133" s="83"/>
      <c r="Q133" s="83"/>
      <c r="R133" s="83"/>
    </row>
    <row r="134" spans="1:18" s="383" customFormat="1" ht="15" customHeight="1">
      <c r="A134" s="1072"/>
      <c r="B134" s="1072"/>
      <c r="C134" s="451" t="str">
        <f t="shared" si="6"/>
        <v>LEBLANC Franck (Allianz - Franck LEBLANC)</v>
      </c>
      <c r="D134" s="451" t="str">
        <f t="shared" si="7"/>
        <v/>
      </c>
      <c r="E134" s="1126" t="s">
        <v>2535</v>
      </c>
      <c r="F134" s="494" t="s">
        <v>587</v>
      </c>
      <c r="G134" s="1072"/>
      <c r="H134" s="1126" t="s">
        <v>2533</v>
      </c>
      <c r="I134" s="1126" t="s">
        <v>2534</v>
      </c>
      <c r="J134" s="644" t="s">
        <v>2536</v>
      </c>
      <c r="K134" s="1072"/>
      <c r="L134" s="1072"/>
      <c r="M134" s="618" t="s">
        <v>2530</v>
      </c>
      <c r="N134" s="494" t="s">
        <v>2531</v>
      </c>
      <c r="O134" s="1072"/>
      <c r="P134" s="1131"/>
      <c r="Q134" s="1131"/>
      <c r="R134" s="1131"/>
    </row>
    <row r="135" spans="1:18" s="383" customFormat="1" ht="15" customHeight="1">
      <c r="A135" s="494">
        <v>171</v>
      </c>
      <c r="B135" s="637"/>
      <c r="C135" s="451" t="str">
        <f t="shared" si="6"/>
        <v>LEDUC Colette (PISANO Agence AXA)</v>
      </c>
      <c r="D135" s="451" t="str">
        <f t="shared" si="7"/>
        <v/>
      </c>
      <c r="E135" s="637" t="s">
        <v>921</v>
      </c>
      <c r="F135" s="494" t="s">
        <v>587</v>
      </c>
      <c r="G135" s="1126" t="s">
        <v>926</v>
      </c>
      <c r="H135" s="637" t="s">
        <v>922</v>
      </c>
      <c r="I135" s="637" t="s">
        <v>923</v>
      </c>
      <c r="J135" s="637" t="s">
        <v>924</v>
      </c>
      <c r="K135" s="637" t="s">
        <v>925</v>
      </c>
      <c r="L135" s="69" t="s">
        <v>592</v>
      </c>
      <c r="M135" s="637" t="s">
        <v>927</v>
      </c>
      <c r="N135" s="637" t="s">
        <v>928</v>
      </c>
      <c r="O135" s="637"/>
      <c r="P135" s="556"/>
      <c r="Q135" s="556"/>
      <c r="R135" s="556"/>
    </row>
    <row r="136" spans="1:18" s="383" customFormat="1" ht="15" customHeight="1">
      <c r="A136" s="637">
        <v>60</v>
      </c>
      <c r="B136" s="1129"/>
      <c r="C136" s="451" t="str">
        <f t="shared" si="6"/>
        <v/>
      </c>
      <c r="D136" s="451" t="str">
        <f t="shared" si="7"/>
        <v>LEGROS Jean Louis (Captain-OVER THE RAINBOW OF LONDON)</v>
      </c>
      <c r="E136" s="1129" t="s">
        <v>1414</v>
      </c>
      <c r="F136" s="494" t="s">
        <v>1166</v>
      </c>
      <c r="G136" s="1129"/>
      <c r="H136" s="1129" t="s">
        <v>1415</v>
      </c>
      <c r="I136" s="1129" t="s">
        <v>1416</v>
      </c>
      <c r="J136" s="1129" t="s">
        <v>1417</v>
      </c>
      <c r="K136" s="1129" t="s">
        <v>1418</v>
      </c>
      <c r="L136" s="69"/>
      <c r="M136" s="1129"/>
      <c r="N136" s="1129"/>
      <c r="O136" s="1129"/>
      <c r="P136" s="582"/>
      <c r="Q136" s="582"/>
      <c r="R136" s="582"/>
    </row>
    <row r="137" spans="1:18" s="383" customFormat="1" ht="15" customHeight="1">
      <c r="A137" s="1129">
        <v>78</v>
      </c>
      <c r="B137" s="1126"/>
      <c r="C137" s="451" t="str">
        <f t="shared" si="6"/>
        <v/>
      </c>
      <c r="D137" s="451" t="str">
        <f t="shared" si="7"/>
        <v>LEONARDI Véronique (EYSSAUTIER)</v>
      </c>
      <c r="E137" s="1126" t="s">
        <v>611</v>
      </c>
      <c r="F137" s="494" t="s">
        <v>1154</v>
      </c>
      <c r="G137" s="1126"/>
      <c r="H137" s="1126" t="s">
        <v>929</v>
      </c>
      <c r="I137" s="1126" t="s">
        <v>930</v>
      </c>
      <c r="J137" s="71" t="s">
        <v>931</v>
      </c>
      <c r="K137" s="71"/>
      <c r="L137" s="69" t="s">
        <v>619</v>
      </c>
      <c r="M137" s="1126" t="s">
        <v>932</v>
      </c>
      <c r="N137" s="1126"/>
      <c r="O137" s="1126"/>
      <c r="P137" s="1127"/>
      <c r="Q137" s="1127"/>
      <c r="R137" s="1127"/>
    </row>
    <row r="138" spans="1:18" s="383" customFormat="1" ht="15" customHeight="1">
      <c r="A138" s="617">
        <v>214</v>
      </c>
      <c r="B138" s="1129"/>
      <c r="C138" s="451" t="str">
        <f t="shared" si="6"/>
        <v>LINHARDT Thomas (UVEA MARINE SERVICE)</v>
      </c>
      <c r="D138" s="451" t="str">
        <f t="shared" si="7"/>
        <v/>
      </c>
      <c r="E138" s="1129" t="s">
        <v>640</v>
      </c>
      <c r="F138" s="494" t="s">
        <v>587</v>
      </c>
      <c r="G138" s="1129"/>
      <c r="H138" s="494" t="s">
        <v>933</v>
      </c>
      <c r="I138" s="494" t="s">
        <v>687</v>
      </c>
      <c r="J138" s="494" t="s">
        <v>934</v>
      </c>
      <c r="K138" s="494" t="s">
        <v>935</v>
      </c>
      <c r="L138" s="69" t="s">
        <v>592</v>
      </c>
      <c r="M138" s="1129"/>
      <c r="N138" s="494"/>
      <c r="O138" s="1129"/>
      <c r="P138" s="556"/>
      <c r="Q138" s="556"/>
      <c r="R138" s="556"/>
    </row>
    <row r="139" spans="1:18" s="83" customFormat="1" ht="15" customHeight="1">
      <c r="A139" s="1126">
        <v>74</v>
      </c>
      <c r="B139" s="617"/>
      <c r="C139" s="451" t="str">
        <f t="shared" si="6"/>
        <v>LIVERSET Hugues (DIOT MONTAGNE)</v>
      </c>
      <c r="D139" s="451" t="str">
        <f t="shared" si="7"/>
        <v/>
      </c>
      <c r="E139" s="552" t="s">
        <v>336</v>
      </c>
      <c r="F139" s="494" t="s">
        <v>587</v>
      </c>
      <c r="G139" s="1126" t="s">
        <v>940</v>
      </c>
      <c r="H139" s="494" t="s">
        <v>936</v>
      </c>
      <c r="I139" s="494" t="s">
        <v>937</v>
      </c>
      <c r="J139" s="494" t="s">
        <v>938</v>
      </c>
      <c r="K139" s="494" t="s">
        <v>939</v>
      </c>
      <c r="L139" s="69" t="s">
        <v>592</v>
      </c>
      <c r="M139" s="1126" t="s">
        <v>941</v>
      </c>
      <c r="N139" s="494"/>
      <c r="O139" s="1126" t="s">
        <v>942</v>
      </c>
    </row>
    <row r="140" spans="1:18" s="83" customFormat="1" ht="15" customHeight="1">
      <c r="A140" s="637">
        <v>105</v>
      </c>
      <c r="B140" s="1126"/>
      <c r="C140" s="451" t="str">
        <f t="shared" si="6"/>
        <v>LOCQUET Philippe (Inter Caraïbes Assurances)</v>
      </c>
      <c r="D140" s="451" t="str">
        <f t="shared" si="7"/>
        <v/>
      </c>
      <c r="E140" s="550" t="s">
        <v>413</v>
      </c>
      <c r="F140" s="494" t="s">
        <v>587</v>
      </c>
      <c r="G140" s="494"/>
      <c r="H140" s="494" t="s">
        <v>943</v>
      </c>
      <c r="I140" s="494" t="s">
        <v>783</v>
      </c>
      <c r="J140" s="494" t="s">
        <v>944</v>
      </c>
      <c r="K140" s="494" t="s">
        <v>945</v>
      </c>
      <c r="L140" s="69"/>
      <c r="M140" s="494" t="s">
        <v>946</v>
      </c>
      <c r="N140" s="494"/>
      <c r="O140" s="494"/>
      <c r="P140" s="553"/>
      <c r="Q140" s="553"/>
      <c r="R140" s="553"/>
    </row>
    <row r="141" spans="1:18" s="83" customFormat="1" ht="15" customHeight="1">
      <c r="A141" s="1129">
        <v>75</v>
      </c>
      <c r="B141" s="637">
        <v>84</v>
      </c>
      <c r="C141" s="451" t="str">
        <f t="shared" si="6"/>
        <v/>
      </c>
      <c r="D141" s="451" t="str">
        <f t="shared" si="7"/>
        <v>LORDT Julia (EQUISEA Monaco)</v>
      </c>
      <c r="E141" s="1130" t="s">
        <v>341</v>
      </c>
      <c r="F141" s="494" t="s">
        <v>1154</v>
      </c>
      <c r="G141" s="637"/>
      <c r="H141" s="637" t="s">
        <v>1419</v>
      </c>
      <c r="I141" s="637" t="s">
        <v>1420</v>
      </c>
      <c r="J141" s="637" t="s">
        <v>1421</v>
      </c>
      <c r="K141" s="637" t="s">
        <v>1422</v>
      </c>
      <c r="L141" s="69" t="s">
        <v>592</v>
      </c>
      <c r="M141" s="637" t="s">
        <v>1423</v>
      </c>
      <c r="N141" s="637" t="s">
        <v>1424</v>
      </c>
      <c r="O141" s="637"/>
      <c r="P141" s="582"/>
      <c r="Q141" s="582"/>
      <c r="R141" s="582"/>
    </row>
    <row r="142" spans="1:18" s="83" customFormat="1" ht="15" customHeight="1">
      <c r="A142" s="69">
        <v>106</v>
      </c>
      <c r="B142" s="1129"/>
      <c r="C142" s="451" t="str">
        <f t="shared" si="6"/>
        <v/>
      </c>
      <c r="D142" s="451" t="str">
        <f t="shared" si="7"/>
        <v>MAERTENS Lieven (IPHARRA)</v>
      </c>
      <c r="E142" s="1129" t="s">
        <v>1425</v>
      </c>
      <c r="F142" s="494" t="s">
        <v>1166</v>
      </c>
      <c r="G142" s="1129"/>
      <c r="H142" s="1129" t="s">
        <v>1426</v>
      </c>
      <c r="I142" s="1129" t="s">
        <v>1427</v>
      </c>
      <c r="J142" s="1129" t="s">
        <v>1428</v>
      </c>
      <c r="K142" s="1129" t="s">
        <v>1429</v>
      </c>
      <c r="L142" s="69"/>
      <c r="M142" s="1129"/>
      <c r="N142" s="1129"/>
      <c r="O142" s="1129"/>
      <c r="P142" s="1127"/>
      <c r="Q142" s="1127"/>
      <c r="R142" s="1127"/>
    </row>
    <row r="143" spans="1:18" s="83" customFormat="1" ht="15" customHeight="1">
      <c r="A143" s="617">
        <v>25</v>
      </c>
      <c r="B143" s="1126"/>
      <c r="C143" s="451" t="str">
        <f t="shared" si="6"/>
        <v>MAESTRACCI Jean-Luc (AXA Agences Mm Maestracci Et Tauleigne)</v>
      </c>
      <c r="D143" s="451" t="str">
        <f t="shared" si="7"/>
        <v/>
      </c>
      <c r="E143" s="1130" t="s">
        <v>2391</v>
      </c>
      <c r="F143" s="494" t="s">
        <v>587</v>
      </c>
      <c r="G143" s="1126"/>
      <c r="H143" s="1126" t="s">
        <v>2444</v>
      </c>
      <c r="I143" s="1126" t="s">
        <v>2445</v>
      </c>
      <c r="J143" s="551" t="s">
        <v>2446</v>
      </c>
      <c r="K143" s="80"/>
      <c r="L143" s="69" t="s">
        <v>592</v>
      </c>
      <c r="M143" s="1126" t="s">
        <v>2395</v>
      </c>
      <c r="N143" s="1126"/>
      <c r="O143" s="81"/>
    </row>
    <row r="144" spans="1:18" s="83" customFormat="1" ht="15" customHeight="1">
      <c r="A144" s="1126">
        <v>187</v>
      </c>
      <c r="B144" s="637"/>
      <c r="C144" s="451" t="str">
        <f t="shared" si="6"/>
        <v>MAILLET Clémence (SOMECASSUR)</v>
      </c>
      <c r="D144" s="451" t="str">
        <f t="shared" si="7"/>
        <v/>
      </c>
      <c r="E144" s="1126" t="s">
        <v>855</v>
      </c>
      <c r="F144" s="637" t="s">
        <v>587</v>
      </c>
      <c r="G144" s="494"/>
      <c r="H144" s="494" t="s">
        <v>947</v>
      </c>
      <c r="I144" s="637" t="s">
        <v>948</v>
      </c>
      <c r="J144" s="637" t="s">
        <v>949</v>
      </c>
      <c r="K144" s="637" t="s">
        <v>950</v>
      </c>
      <c r="L144" s="69" t="s">
        <v>592</v>
      </c>
      <c r="M144" s="494"/>
      <c r="N144" s="494"/>
      <c r="O144" s="494"/>
      <c r="P144" s="556"/>
      <c r="Q144" s="556"/>
      <c r="R144" s="556"/>
    </row>
    <row r="145" spans="1:18" s="83" customFormat="1" ht="15" customHeight="1">
      <c r="A145" s="1129">
        <v>99</v>
      </c>
      <c r="B145" s="1129"/>
      <c r="C145" s="451" t="str">
        <f t="shared" si="6"/>
        <v/>
      </c>
      <c r="D145" s="451" t="str">
        <f t="shared" si="7"/>
        <v>MAILLOT Florent (HELIAD II)</v>
      </c>
      <c r="E145" s="494" t="s">
        <v>1430</v>
      </c>
      <c r="F145" s="1129" t="s">
        <v>1166</v>
      </c>
      <c r="G145" s="494"/>
      <c r="H145" s="494" t="s">
        <v>1431</v>
      </c>
      <c r="I145" s="1129" t="s">
        <v>1432</v>
      </c>
      <c r="J145" s="1129" t="s">
        <v>1433</v>
      </c>
      <c r="K145" s="1129" t="s">
        <v>1434</v>
      </c>
      <c r="L145" s="69" t="s">
        <v>592</v>
      </c>
      <c r="M145" s="494"/>
      <c r="N145" s="494"/>
      <c r="O145" s="494"/>
      <c r="P145" s="582"/>
      <c r="Q145" s="582"/>
      <c r="R145" s="582"/>
    </row>
    <row r="146" spans="1:18" s="83" customFormat="1" ht="15" customHeight="1">
      <c r="A146" s="69">
        <v>158</v>
      </c>
      <c r="B146" s="1126"/>
      <c r="C146" s="451" t="str">
        <f t="shared" si="6"/>
        <v/>
      </c>
      <c r="D146" s="451" t="str">
        <f t="shared" si="7"/>
        <v>MANANCOURT Hana (Navilux SA)</v>
      </c>
      <c r="E146" s="637" t="s">
        <v>1435</v>
      </c>
      <c r="F146" s="1126" t="s">
        <v>1154</v>
      </c>
      <c r="G146" s="637"/>
      <c r="H146" s="637" t="s">
        <v>1436</v>
      </c>
      <c r="I146" s="1126" t="s">
        <v>1437</v>
      </c>
      <c r="J146" s="71" t="s">
        <v>1438</v>
      </c>
      <c r="K146" s="71"/>
      <c r="L146" s="69" t="s">
        <v>619</v>
      </c>
      <c r="M146" s="637"/>
      <c r="N146" s="637"/>
      <c r="O146" s="637"/>
      <c r="P146" s="1127"/>
      <c r="Q146" s="1127"/>
      <c r="R146" s="1127"/>
    </row>
    <row r="147" spans="1:18" s="83" customFormat="1" ht="15" customHeight="1">
      <c r="A147" s="617">
        <v>215</v>
      </c>
      <c r="B147" s="1129"/>
      <c r="C147" s="451" t="str">
        <f t="shared" si="6"/>
        <v>Marie Louise  (UVEA MARINE SERVICE)</v>
      </c>
      <c r="D147" s="451" t="str">
        <f t="shared" si="7"/>
        <v/>
      </c>
      <c r="E147" s="1129" t="s">
        <v>640</v>
      </c>
      <c r="F147" s="1129" t="s">
        <v>587</v>
      </c>
      <c r="G147" s="1129"/>
      <c r="H147" s="1129" t="s">
        <v>951</v>
      </c>
      <c r="I147" s="1129"/>
      <c r="J147" s="1129" t="s">
        <v>952</v>
      </c>
      <c r="K147" s="1129" t="s">
        <v>953</v>
      </c>
      <c r="L147" s="69" t="s">
        <v>592</v>
      </c>
      <c r="M147" s="1129"/>
      <c r="N147" s="1129"/>
      <c r="O147" s="1129"/>
      <c r="P147" s="556"/>
      <c r="Q147" s="556"/>
      <c r="R147" s="556"/>
    </row>
    <row r="148" spans="1:18" s="83" customFormat="1" ht="15" customHeight="1">
      <c r="A148" s="1126">
        <v>97</v>
      </c>
      <c r="B148" s="1126"/>
      <c r="C148" s="451" t="str">
        <f t="shared" si="6"/>
        <v/>
      </c>
      <c r="D148" s="451" t="str">
        <f t="shared" si="7"/>
        <v>MARISSI Saida (Groupe ADDOHA)</v>
      </c>
      <c r="E148" s="1126" t="s">
        <v>1701</v>
      </c>
      <c r="F148" s="75" t="s">
        <v>1154</v>
      </c>
      <c r="G148" s="85"/>
      <c r="H148" s="75" t="s">
        <v>1704</v>
      </c>
      <c r="I148" s="75" t="s">
        <v>1705</v>
      </c>
      <c r="J148" s="555" t="s">
        <v>1706</v>
      </c>
      <c r="K148" s="85"/>
      <c r="L148" s="69" t="s">
        <v>592</v>
      </c>
      <c r="M148" s="85" t="s">
        <v>1707</v>
      </c>
      <c r="N148" s="85"/>
      <c r="O148" s="85" t="s">
        <v>1708</v>
      </c>
      <c r="P148" s="582"/>
      <c r="Q148" s="582"/>
      <c r="R148" s="582"/>
    </row>
    <row r="149" spans="1:18" s="83" customFormat="1" ht="15" customHeight="1">
      <c r="A149" s="494">
        <v>87</v>
      </c>
      <c r="B149" s="1129"/>
      <c r="C149" s="451" t="str">
        <f t="shared" si="6"/>
        <v/>
      </c>
      <c r="D149" s="451" t="str">
        <f t="shared" si="7"/>
        <v>MARTIN Denis (Garuda Yachts Charter Unipessoal LDA)</v>
      </c>
      <c r="E149" s="494" t="s">
        <v>1439</v>
      </c>
      <c r="F149" s="494" t="s">
        <v>1154</v>
      </c>
      <c r="G149" s="494"/>
      <c r="H149" s="494" t="s">
        <v>955</v>
      </c>
      <c r="I149" s="494" t="s">
        <v>1443</v>
      </c>
      <c r="J149" s="1129" t="s">
        <v>1444</v>
      </c>
      <c r="K149" s="494" t="s">
        <v>1318</v>
      </c>
      <c r="L149" s="69"/>
      <c r="M149" s="494"/>
      <c r="N149" s="494"/>
      <c r="O149" s="494"/>
      <c r="P149" s="1127"/>
      <c r="Q149" s="1127"/>
      <c r="R149" s="1127"/>
    </row>
    <row r="150" spans="1:18" s="83" customFormat="1" ht="15" customHeight="1">
      <c r="A150" s="637">
        <v>108</v>
      </c>
      <c r="B150" s="1126"/>
      <c r="C150" s="451" t="str">
        <f t="shared" si="6"/>
        <v>MARTIN Laurence (ISIS GLOBAL SOLUTIONS)</v>
      </c>
      <c r="D150" s="451" t="str">
        <f t="shared" si="7"/>
        <v/>
      </c>
      <c r="E150" s="637" t="s">
        <v>954</v>
      </c>
      <c r="F150" s="494" t="s">
        <v>587</v>
      </c>
      <c r="G150" s="637"/>
      <c r="H150" s="637" t="s">
        <v>955</v>
      </c>
      <c r="I150" s="637" t="s">
        <v>91</v>
      </c>
      <c r="J150" s="74" t="s">
        <v>956</v>
      </c>
      <c r="K150" s="494" t="s">
        <v>957</v>
      </c>
      <c r="L150" s="69" t="s">
        <v>619</v>
      </c>
      <c r="M150" s="637" t="s">
        <v>958</v>
      </c>
      <c r="N150" s="494" t="s">
        <v>431</v>
      </c>
      <c r="O150" s="494"/>
      <c r="P150" s="553"/>
      <c r="Q150" s="553"/>
      <c r="R150" s="553"/>
    </row>
    <row r="151" spans="1:18" s="83" customFormat="1" ht="15" customHeight="1">
      <c r="A151" s="1129">
        <v>108</v>
      </c>
      <c r="B151" s="1126"/>
      <c r="C151" s="451" t="str">
        <f t="shared" si="6"/>
        <v>MARTIN Laurence (MUST ASSURANCES)</v>
      </c>
      <c r="D151" s="451" t="str">
        <f t="shared" si="7"/>
        <v/>
      </c>
      <c r="E151" s="1129" t="s">
        <v>2801</v>
      </c>
      <c r="F151" s="1129" t="s">
        <v>587</v>
      </c>
      <c r="G151" s="1129"/>
      <c r="H151" s="1129" t="s">
        <v>955</v>
      </c>
      <c r="I151" s="1129" t="s">
        <v>91</v>
      </c>
      <c r="J151" s="627" t="s">
        <v>2802</v>
      </c>
      <c r="K151" s="1129" t="s">
        <v>957</v>
      </c>
      <c r="L151" s="1126" t="s">
        <v>592</v>
      </c>
      <c r="M151" s="1129" t="s">
        <v>958</v>
      </c>
      <c r="N151" s="1129" t="s">
        <v>431</v>
      </c>
      <c r="O151" s="1129"/>
      <c r="P151" s="553"/>
      <c r="Q151" s="553"/>
      <c r="R151" s="553"/>
    </row>
    <row r="152" spans="1:18" s="83" customFormat="1" ht="15" customHeight="1">
      <c r="A152" s="1129">
        <v>57</v>
      </c>
      <c r="B152" s="1129">
        <v>25</v>
      </c>
      <c r="C152" s="451" t="str">
        <f t="shared" si="6"/>
        <v/>
      </c>
      <c r="D152" s="451" t="str">
        <f t="shared" si="7"/>
        <v>MARTINEZ Lisa (Camper &amp; Nicholson)</v>
      </c>
      <c r="E152" s="1129" t="s">
        <v>1180</v>
      </c>
      <c r="F152" s="1129" t="s">
        <v>1154</v>
      </c>
      <c r="G152" s="1129"/>
      <c r="H152" s="1129" t="s">
        <v>1445</v>
      </c>
      <c r="I152" s="1129" t="s">
        <v>1446</v>
      </c>
      <c r="J152" s="1129" t="s">
        <v>1447</v>
      </c>
      <c r="K152" s="1129" t="s">
        <v>1448</v>
      </c>
      <c r="L152" s="69"/>
      <c r="M152" s="1129"/>
      <c r="N152" s="1129"/>
      <c r="O152" s="1129"/>
      <c r="P152" s="1127"/>
      <c r="Q152" s="1127"/>
      <c r="R152" s="1127"/>
    </row>
    <row r="153" spans="1:18" s="83" customFormat="1" ht="15" customHeight="1">
      <c r="A153" s="69">
        <v>188</v>
      </c>
      <c r="B153" s="1126"/>
      <c r="C153" s="451" t="str">
        <f t="shared" si="6"/>
        <v>MATHE  Corinne (SOMECASSUR)</v>
      </c>
      <c r="D153" s="451" t="str">
        <f t="shared" si="7"/>
        <v/>
      </c>
      <c r="E153" s="1126" t="s">
        <v>855</v>
      </c>
      <c r="F153" s="1129" t="s">
        <v>587</v>
      </c>
      <c r="G153" s="1126"/>
      <c r="H153" s="1126" t="s">
        <v>959</v>
      </c>
      <c r="I153" s="1126" t="s">
        <v>960</v>
      </c>
      <c r="J153" s="1126" t="s">
        <v>961</v>
      </c>
      <c r="K153" s="1129" t="s">
        <v>962</v>
      </c>
      <c r="L153" s="69" t="s">
        <v>592</v>
      </c>
      <c r="M153" s="618" t="s">
        <v>963</v>
      </c>
      <c r="N153" s="1129" t="s">
        <v>964</v>
      </c>
      <c r="O153" s="1129"/>
      <c r="P153" s="556"/>
      <c r="Q153" s="556"/>
      <c r="R153" s="556"/>
    </row>
    <row r="154" spans="1:18" s="83" customFormat="1" ht="15" customHeight="1">
      <c r="A154" s="617">
        <v>130</v>
      </c>
      <c r="B154" s="833"/>
      <c r="C154" s="451" t="str">
        <f t="shared" si="6"/>
        <v/>
      </c>
      <c r="D154" s="451" t="str">
        <f t="shared" si="7"/>
        <v>MAYOU Abigail (Marine Construction Management LLC)</v>
      </c>
      <c r="E154" s="833" t="s">
        <v>1709</v>
      </c>
      <c r="F154" s="75" t="s">
        <v>1154</v>
      </c>
      <c r="G154" s="833"/>
      <c r="H154" s="833" t="s">
        <v>1713</v>
      </c>
      <c r="I154" s="833" t="s">
        <v>1714</v>
      </c>
      <c r="J154" s="627" t="s">
        <v>1715</v>
      </c>
      <c r="K154" s="833"/>
      <c r="L154" s="69" t="s">
        <v>592</v>
      </c>
      <c r="M154" s="833" t="s">
        <v>1716</v>
      </c>
      <c r="N154" s="833" t="s">
        <v>1717</v>
      </c>
      <c r="O154" s="833" t="s">
        <v>1718</v>
      </c>
      <c r="P154" s="582"/>
      <c r="Q154" s="582"/>
      <c r="R154" s="582"/>
    </row>
    <row r="155" spans="1:18" s="83" customFormat="1" ht="15" customHeight="1">
      <c r="A155" s="1126">
        <v>164</v>
      </c>
      <c r="B155" s="1129"/>
      <c r="C155" s="451" t="str">
        <f t="shared" si="6"/>
        <v/>
      </c>
      <c r="D155" s="451" t="str">
        <f t="shared" si="7"/>
        <v>MENGE Dominique (ODM YACHTS SA)</v>
      </c>
      <c r="E155" s="1129" t="s">
        <v>1449</v>
      </c>
      <c r="F155" s="494" t="s">
        <v>1154</v>
      </c>
      <c r="G155" s="1129"/>
      <c r="H155" s="1129" t="s">
        <v>1453</v>
      </c>
      <c r="I155" s="1129" t="s">
        <v>1454</v>
      </c>
      <c r="J155" s="1129" t="s">
        <v>1455</v>
      </c>
      <c r="K155" s="1129" t="s">
        <v>1454</v>
      </c>
      <c r="L155" s="69"/>
      <c r="M155" s="1129"/>
      <c r="N155" s="1129"/>
      <c r="O155" s="1129"/>
      <c r="P155" s="1127"/>
      <c r="Q155" s="1127"/>
      <c r="R155" s="1127"/>
    </row>
    <row r="156" spans="1:18" s="83" customFormat="1" ht="15" customHeight="1">
      <c r="A156" s="1126">
        <v>134</v>
      </c>
      <c r="B156" s="1129"/>
      <c r="C156" s="451" t="str">
        <f t="shared" si="6"/>
        <v/>
      </c>
      <c r="D156" s="451" t="str">
        <f t="shared" si="7"/>
        <v>MESSERI Anne (MD Management Corp.)</v>
      </c>
      <c r="E156" s="1129" t="s">
        <v>1456</v>
      </c>
      <c r="F156" s="494" t="s">
        <v>1154</v>
      </c>
      <c r="G156" s="1129"/>
      <c r="H156" s="1129" t="s">
        <v>1457</v>
      </c>
      <c r="I156" s="1129" t="s">
        <v>683</v>
      </c>
      <c r="J156" s="1129" t="s">
        <v>1458</v>
      </c>
      <c r="K156" s="1129" t="s">
        <v>1459</v>
      </c>
      <c r="L156" s="69"/>
      <c r="M156" s="1129"/>
      <c r="N156" s="1129"/>
      <c r="O156" s="1129"/>
      <c r="P156" s="1127"/>
      <c r="Q156" s="1127"/>
      <c r="R156" s="1127"/>
    </row>
    <row r="157" spans="1:18" s="83" customFormat="1" ht="15" customHeight="1">
      <c r="A157" s="1129">
        <v>201</v>
      </c>
      <c r="B157" s="69"/>
      <c r="C157" s="451" t="str">
        <f t="shared" si="6"/>
        <v>MICHAUT  Elsy (SUISSCOURTAGE Monaco)</v>
      </c>
      <c r="D157" s="451" t="str">
        <f t="shared" si="7"/>
        <v/>
      </c>
      <c r="E157" s="550" t="s">
        <v>553</v>
      </c>
      <c r="F157" s="494" t="s">
        <v>587</v>
      </c>
      <c r="G157" s="69"/>
      <c r="H157" s="69" t="s">
        <v>965</v>
      </c>
      <c r="I157" s="69" t="s">
        <v>966</v>
      </c>
      <c r="J157" s="71" t="s">
        <v>967</v>
      </c>
      <c r="K157" s="71"/>
      <c r="L157" s="69" t="s">
        <v>619</v>
      </c>
      <c r="M157" s="1126" t="s">
        <v>968</v>
      </c>
      <c r="N157" s="69" t="s">
        <v>969</v>
      </c>
      <c r="O157" s="656"/>
      <c r="P157" s="556"/>
      <c r="Q157" s="556"/>
      <c r="R157" s="556"/>
    </row>
    <row r="158" spans="1:18" s="83" customFormat="1" ht="15" customHeight="1">
      <c r="A158" s="1129">
        <v>195</v>
      </c>
      <c r="B158" s="617"/>
      <c r="C158" s="451" t="str">
        <f t="shared" si="6"/>
        <v>MICHOTTE  Stéphane (Suisscourtage Antibes)</v>
      </c>
      <c r="D158" s="451" t="str">
        <f t="shared" si="7"/>
        <v/>
      </c>
      <c r="E158" s="1126" t="s">
        <v>970</v>
      </c>
      <c r="F158" s="494" t="s">
        <v>587</v>
      </c>
      <c r="G158" s="617"/>
      <c r="H158" s="617" t="s">
        <v>972</v>
      </c>
      <c r="I158" s="617" t="s">
        <v>973</v>
      </c>
      <c r="J158" s="1126" t="s">
        <v>974</v>
      </c>
      <c r="K158" s="494" t="s">
        <v>975</v>
      </c>
      <c r="L158" s="69" t="s">
        <v>592</v>
      </c>
      <c r="M158" s="618" t="s">
        <v>976</v>
      </c>
      <c r="N158" s="617"/>
      <c r="O158" s="1126"/>
      <c r="P158" s="556"/>
      <c r="Q158" s="556"/>
      <c r="R158" s="556"/>
    </row>
    <row r="159" spans="1:18" s="83" customFormat="1" ht="15" customHeight="1">
      <c r="A159" s="1126">
        <v>202</v>
      </c>
      <c r="B159" s="1126"/>
      <c r="C159" s="451" t="str">
        <f t="shared" si="6"/>
        <v>MILLET  Barbara (SUISSCOURTAGE Monaco)</v>
      </c>
      <c r="D159" s="451" t="str">
        <f t="shared" si="7"/>
        <v/>
      </c>
      <c r="E159" s="550" t="s">
        <v>553</v>
      </c>
      <c r="F159" s="494" t="s">
        <v>587</v>
      </c>
      <c r="G159" s="1126"/>
      <c r="H159" s="1126" t="s">
        <v>977</v>
      </c>
      <c r="I159" s="1126" t="s">
        <v>978</v>
      </c>
      <c r="J159" s="71" t="s">
        <v>979</v>
      </c>
      <c r="K159" s="494" t="s">
        <v>980</v>
      </c>
      <c r="L159" s="69" t="s">
        <v>592</v>
      </c>
      <c r="M159" s="1126"/>
      <c r="N159" s="1126"/>
      <c r="O159" s="1126"/>
      <c r="P159" s="556"/>
      <c r="Q159" s="556"/>
      <c r="R159" s="556"/>
    </row>
    <row r="160" spans="1:18" s="83" customFormat="1" ht="15" customHeight="1">
      <c r="A160" s="1129">
        <v>18</v>
      </c>
      <c r="B160" s="1126"/>
      <c r="C160" s="451" t="str">
        <f t="shared" si="6"/>
        <v>MIOR  Nicolas (ASCOMA MARITIME MONACO)</v>
      </c>
      <c r="D160" s="451" t="str">
        <f t="shared" si="7"/>
        <v/>
      </c>
      <c r="E160" s="550" t="s">
        <v>266</v>
      </c>
      <c r="F160" s="494" t="s">
        <v>587</v>
      </c>
      <c r="G160" s="1126"/>
      <c r="H160" s="1126" t="s">
        <v>981</v>
      </c>
      <c r="I160" s="1126" t="s">
        <v>982</v>
      </c>
      <c r="J160" s="1126" t="s">
        <v>983</v>
      </c>
      <c r="K160" s="494" t="s">
        <v>984</v>
      </c>
      <c r="L160" s="69" t="s">
        <v>592</v>
      </c>
      <c r="M160" s="494" t="s">
        <v>2443</v>
      </c>
      <c r="N160" s="1126"/>
      <c r="O160" s="1129" t="s">
        <v>985</v>
      </c>
    </row>
    <row r="161" spans="1:18" s="83" customFormat="1" ht="15" customHeight="1">
      <c r="A161" s="617">
        <v>80</v>
      </c>
      <c r="B161" s="1129">
        <v>85</v>
      </c>
      <c r="C161" s="451" t="str">
        <f t="shared" si="6"/>
        <v/>
      </c>
      <c r="D161" s="451" t="str">
        <f t="shared" si="7"/>
        <v>MIREMONT Patrick (Fastnet LTD - The Snapper)</v>
      </c>
      <c r="E161" s="1129" t="s">
        <v>1460</v>
      </c>
      <c r="F161" s="494" t="s">
        <v>1166</v>
      </c>
      <c r="G161" s="1129"/>
      <c r="H161" s="1129" t="s">
        <v>1461</v>
      </c>
      <c r="I161" s="1129" t="s">
        <v>1462</v>
      </c>
      <c r="J161" s="1129" t="s">
        <v>1463</v>
      </c>
      <c r="K161" s="494" t="s">
        <v>1464</v>
      </c>
      <c r="L161" s="69" t="s">
        <v>592</v>
      </c>
      <c r="M161" s="494"/>
      <c r="N161" s="1129"/>
      <c r="O161" s="1129"/>
      <c r="P161" s="1127"/>
      <c r="Q161" s="1127"/>
      <c r="R161" s="1127"/>
    </row>
    <row r="162" spans="1:18" s="83" customFormat="1" ht="15" customHeight="1">
      <c r="A162" s="1126">
        <v>113</v>
      </c>
      <c r="B162" s="1126"/>
      <c r="C162" s="451" t="str">
        <f t="shared" si="6"/>
        <v>MONCEL  Etienne (JOURDAN GASSIN Nice)</v>
      </c>
      <c r="D162" s="451" t="str">
        <f t="shared" si="7"/>
        <v/>
      </c>
      <c r="E162" s="1126" t="s">
        <v>433</v>
      </c>
      <c r="F162" s="494" t="s">
        <v>587</v>
      </c>
      <c r="G162" s="1126"/>
      <c r="H162" s="1126" t="s">
        <v>986</v>
      </c>
      <c r="I162" s="1126" t="s">
        <v>987</v>
      </c>
      <c r="J162" s="1126" t="s">
        <v>988</v>
      </c>
      <c r="K162" s="494" t="s">
        <v>989</v>
      </c>
      <c r="L162" s="69" t="s">
        <v>592</v>
      </c>
      <c r="M162" s="494" t="s">
        <v>2451</v>
      </c>
      <c r="N162" s="1126"/>
      <c r="O162" s="1126"/>
      <c r="P162" s="556"/>
      <c r="Q162" s="556"/>
      <c r="R162" s="556"/>
    </row>
    <row r="163" spans="1:18" s="83" customFormat="1" ht="15" customHeight="1">
      <c r="A163" s="1126">
        <v>193</v>
      </c>
      <c r="B163" s="1126"/>
      <c r="C163" s="451" t="str">
        <f t="shared" si="6"/>
        <v>MONNIER  Nicolas (SUD EUROCOURTAGE)</v>
      </c>
      <c r="D163" s="451" t="str">
        <f t="shared" si="7"/>
        <v/>
      </c>
      <c r="E163" s="466" t="s">
        <v>541</v>
      </c>
      <c r="F163" s="494" t="s">
        <v>587</v>
      </c>
      <c r="G163" s="1126"/>
      <c r="H163" s="1126" t="s">
        <v>990</v>
      </c>
      <c r="I163" s="1126" t="s">
        <v>982</v>
      </c>
      <c r="J163" s="1126" t="s">
        <v>991</v>
      </c>
      <c r="K163" s="494" t="s">
        <v>984</v>
      </c>
      <c r="L163" s="69" t="s">
        <v>592</v>
      </c>
      <c r="M163" s="494" t="s">
        <v>992</v>
      </c>
      <c r="N163" s="494" t="s">
        <v>993</v>
      </c>
      <c r="O163" s="494"/>
      <c r="P163" s="556"/>
      <c r="Q163" s="556"/>
      <c r="R163" s="556"/>
    </row>
    <row r="164" spans="1:18" s="83" customFormat="1" ht="15" customHeight="1">
      <c r="A164" s="1129">
        <v>210</v>
      </c>
      <c r="B164" s="637">
        <v>72</v>
      </c>
      <c r="C164" s="451" t="str">
        <f t="shared" si="6"/>
        <v/>
      </c>
      <c r="D164" s="451" t="str">
        <f t="shared" si="7"/>
        <v>MOROZOVA Olga (UNIQUE YACHTING MONACO  )</v>
      </c>
      <c r="E164" s="1130" t="s">
        <v>1373</v>
      </c>
      <c r="F164" s="494" t="s">
        <v>1154</v>
      </c>
      <c r="G164" s="637"/>
      <c r="H164" s="637" t="s">
        <v>1465</v>
      </c>
      <c r="I164" s="637" t="s">
        <v>1466</v>
      </c>
      <c r="J164" s="637" t="s">
        <v>1467</v>
      </c>
      <c r="K164" s="494" t="s">
        <v>1468</v>
      </c>
      <c r="L164" s="69"/>
      <c r="M164" s="765"/>
      <c r="N164" s="637"/>
      <c r="O164" s="637"/>
      <c r="P164" s="582"/>
      <c r="Q164" s="582"/>
      <c r="R164" s="582"/>
    </row>
    <row r="165" spans="1:18" s="83" customFormat="1" ht="15" customHeight="1">
      <c r="A165" s="1126">
        <v>59</v>
      </c>
      <c r="B165" s="1129"/>
      <c r="C165" s="451" t="str">
        <f t="shared" si="6"/>
        <v/>
      </c>
      <c r="D165" s="451" t="str">
        <f t="shared" si="7"/>
        <v>MOSTACCI Teddy (Captain-007)</v>
      </c>
      <c r="E165" s="1129" t="s">
        <v>1469</v>
      </c>
      <c r="F165" s="494" t="s">
        <v>1166</v>
      </c>
      <c r="G165" s="1129"/>
      <c r="H165" s="1129" t="s">
        <v>1470</v>
      </c>
      <c r="I165" s="1129" t="s">
        <v>1471</v>
      </c>
      <c r="J165" s="1129" t="s">
        <v>1472</v>
      </c>
      <c r="K165" s="494" t="s">
        <v>1473</v>
      </c>
      <c r="L165" s="69"/>
      <c r="M165" s="1129"/>
      <c r="N165" s="1129"/>
      <c r="O165" s="1129"/>
      <c r="P165" s="1127"/>
      <c r="Q165" s="1127"/>
      <c r="R165" s="1127"/>
    </row>
    <row r="166" spans="1:18" s="83" customFormat="1" ht="15" customHeight="1">
      <c r="A166" s="1129">
        <v>240</v>
      </c>
      <c r="B166" s="1129"/>
      <c r="C166" s="451" t="str">
        <f t="shared" si="6"/>
        <v/>
      </c>
      <c r="D166" s="451" t="str">
        <f t="shared" si="7"/>
        <v>MOURY Laurence (Yachting Concept)</v>
      </c>
      <c r="E166" s="1129" t="s">
        <v>1474</v>
      </c>
      <c r="F166" s="494" t="s">
        <v>1154</v>
      </c>
      <c r="G166" s="1129"/>
      <c r="H166" s="1129" t="s">
        <v>1475</v>
      </c>
      <c r="I166" s="1129" t="s">
        <v>91</v>
      </c>
      <c r="J166" s="1129" t="s">
        <v>1476</v>
      </c>
      <c r="K166" s="494" t="s">
        <v>957</v>
      </c>
      <c r="L166" s="69" t="s">
        <v>592</v>
      </c>
      <c r="M166" s="1129"/>
      <c r="N166" s="1129"/>
      <c r="O166" s="1129"/>
      <c r="P166" s="1127"/>
      <c r="Q166" s="1127"/>
      <c r="R166" s="1127"/>
    </row>
    <row r="167" spans="1:18" s="83" customFormat="1" ht="15" customHeight="1">
      <c r="A167" s="1126">
        <v>203</v>
      </c>
      <c r="B167" s="1126"/>
      <c r="C167" s="451" t="str">
        <f t="shared" si="6"/>
        <v>MUSSO  Romain (SUISSCOURTAGE Monaco)</v>
      </c>
      <c r="D167" s="451" t="str">
        <f t="shared" si="7"/>
        <v/>
      </c>
      <c r="E167" s="550" t="s">
        <v>553</v>
      </c>
      <c r="F167" s="494" t="s">
        <v>587</v>
      </c>
      <c r="G167" s="617"/>
      <c r="H167" s="617" t="s">
        <v>994</v>
      </c>
      <c r="I167" s="617" t="s">
        <v>995</v>
      </c>
      <c r="J167" s="1126" t="s">
        <v>996</v>
      </c>
      <c r="K167" s="637" t="s">
        <v>997</v>
      </c>
      <c r="L167" s="69" t="s">
        <v>592</v>
      </c>
      <c r="M167" s="645"/>
      <c r="N167" s="617"/>
      <c r="O167" s="617"/>
      <c r="P167" s="556"/>
      <c r="Q167" s="556"/>
      <c r="R167" s="556"/>
    </row>
    <row r="168" spans="1:18" s="83" customFormat="1" ht="15" customHeight="1">
      <c r="A168" s="494">
        <v>159</v>
      </c>
      <c r="B168" s="1126">
        <v>61</v>
      </c>
      <c r="C168" s="451" t="str">
        <f t="shared" si="6"/>
        <v/>
      </c>
      <c r="D168" s="451" t="str">
        <f t="shared" si="7"/>
        <v>NAFFOUTI Fabienne (Navilux SA)</v>
      </c>
      <c r="E168" s="1129" t="s">
        <v>1435</v>
      </c>
      <c r="F168" s="494" t="s">
        <v>1154</v>
      </c>
      <c r="G168" s="1126"/>
      <c r="H168" s="1126" t="s">
        <v>1477</v>
      </c>
      <c r="I168" s="1126" t="s">
        <v>1051</v>
      </c>
      <c r="J168" s="71" t="s">
        <v>1478</v>
      </c>
      <c r="K168" s="494" t="s">
        <v>1479</v>
      </c>
      <c r="L168" s="69" t="s">
        <v>592</v>
      </c>
      <c r="M168" s="1126" t="s">
        <v>490</v>
      </c>
      <c r="N168" s="1126" t="s">
        <v>1480</v>
      </c>
      <c r="O168" s="1126"/>
      <c r="P168" s="1127"/>
      <c r="Q168" s="1127"/>
      <c r="R168" s="1127"/>
    </row>
    <row r="169" spans="1:18" s="83" customFormat="1" ht="15" customHeight="1">
      <c r="A169" s="1129">
        <v>244</v>
      </c>
      <c r="B169" s="494">
        <v>88</v>
      </c>
      <c r="C169" s="451" t="str">
        <f t="shared" si="6"/>
        <v>NAMAK Arawan (Poe-ma Thai Insurance Brokers Co., Ltd)</v>
      </c>
      <c r="D169" s="451" t="str">
        <f t="shared" si="7"/>
        <v/>
      </c>
      <c r="E169" s="1126" t="s">
        <v>2512</v>
      </c>
      <c r="F169" s="494" t="s">
        <v>587</v>
      </c>
      <c r="G169" s="1126"/>
      <c r="H169" s="1126" t="s">
        <v>2517</v>
      </c>
      <c r="I169" s="1126" t="s">
        <v>2518</v>
      </c>
      <c r="J169" s="1126" t="s">
        <v>2519</v>
      </c>
      <c r="K169" s="1129"/>
      <c r="L169" s="69"/>
      <c r="M169" s="1126"/>
      <c r="N169" s="1126"/>
      <c r="O169" s="1126"/>
      <c r="P169" s="1150"/>
      <c r="Q169" s="1150"/>
      <c r="R169" s="1150"/>
    </row>
    <row r="170" spans="1:18" s="83" customFormat="1" ht="15" customHeight="1">
      <c r="A170" s="1129">
        <v>216</v>
      </c>
      <c r="B170" s="494"/>
      <c r="C170" s="451" t="str">
        <f t="shared" si="6"/>
        <v>Neieta  (UVEA MARINE SERVICE)</v>
      </c>
      <c r="D170" s="451" t="str">
        <f t="shared" si="7"/>
        <v/>
      </c>
      <c r="E170" s="1129" t="s">
        <v>640</v>
      </c>
      <c r="F170" s="494" t="s">
        <v>587</v>
      </c>
      <c r="G170" s="1129"/>
      <c r="H170" s="494" t="s">
        <v>998</v>
      </c>
      <c r="I170" s="494"/>
      <c r="J170" s="1129" t="s">
        <v>999</v>
      </c>
      <c r="K170" s="1129" t="s">
        <v>1000</v>
      </c>
      <c r="L170" s="69" t="s">
        <v>592</v>
      </c>
      <c r="M170" s="494"/>
      <c r="N170" s="1129"/>
      <c r="O170" s="494"/>
      <c r="P170" s="556"/>
      <c r="Q170" s="556"/>
      <c r="R170" s="556"/>
    </row>
    <row r="171" spans="1:18" s="83" customFormat="1" ht="15" customHeight="1">
      <c r="A171" s="1126">
        <v>143</v>
      </c>
      <c r="B171" s="494"/>
      <c r="C171" s="451" t="str">
        <f t="shared" si="6"/>
        <v/>
      </c>
      <c r="D171" s="451" t="str">
        <f t="shared" si="7"/>
        <v>NOUAMRIA Caroline (MTAIC Cannes)</v>
      </c>
      <c r="E171" s="1130" t="s">
        <v>474</v>
      </c>
      <c r="F171" s="494" t="s">
        <v>1154</v>
      </c>
      <c r="G171" s="1129"/>
      <c r="H171" s="494" t="s">
        <v>1001</v>
      </c>
      <c r="I171" s="494" t="s">
        <v>1002</v>
      </c>
      <c r="J171" s="74" t="s">
        <v>1003</v>
      </c>
      <c r="K171" s="74"/>
      <c r="L171" s="69" t="s">
        <v>619</v>
      </c>
      <c r="M171" s="637"/>
      <c r="N171" s="1129"/>
      <c r="O171" s="494"/>
      <c r="P171" s="383"/>
      <c r="Q171" s="383"/>
      <c r="R171" s="383"/>
    </row>
    <row r="172" spans="1:18" s="83" customFormat="1" ht="15" customHeight="1">
      <c r="A172" s="1129">
        <v>15</v>
      </c>
      <c r="B172" s="494">
        <v>18</v>
      </c>
      <c r="C172" s="451" t="str">
        <f t="shared" si="6"/>
        <v/>
      </c>
      <c r="D172" s="451" t="str">
        <f t="shared" si="7"/>
        <v>NOYER Céline (Aquila Yachting)</v>
      </c>
      <c r="E172" s="494" t="s">
        <v>1666</v>
      </c>
      <c r="F172" s="494" t="s">
        <v>1154</v>
      </c>
      <c r="G172" s="1126"/>
      <c r="H172" s="494" t="s">
        <v>1481</v>
      </c>
      <c r="I172" s="494" t="s">
        <v>90</v>
      </c>
      <c r="J172" s="1129" t="s">
        <v>1482</v>
      </c>
      <c r="K172" s="494" t="s">
        <v>1483</v>
      </c>
      <c r="L172" s="69" t="s">
        <v>592</v>
      </c>
      <c r="M172" s="494" t="s">
        <v>1484</v>
      </c>
      <c r="N172" s="1126"/>
      <c r="O172" s="494" t="s">
        <v>1485</v>
      </c>
      <c r="P172" s="1127"/>
      <c r="Q172" s="1127"/>
      <c r="R172" s="1127"/>
    </row>
    <row r="173" spans="1:18" s="83" customFormat="1" ht="15" customHeight="1">
      <c r="A173" s="617">
        <v>5</v>
      </c>
      <c r="B173" s="494">
        <v>82</v>
      </c>
      <c r="C173" s="451" t="str">
        <f t="shared" si="6"/>
        <v/>
      </c>
      <c r="D173" s="451" t="str">
        <f t="shared" si="7"/>
        <v>OLLIVRY Pierre (Adros Shipping Limited)</v>
      </c>
      <c r="E173" s="494" t="s">
        <v>1720</v>
      </c>
      <c r="F173" s="494" t="s">
        <v>1166</v>
      </c>
      <c r="G173" s="494"/>
      <c r="H173" s="494" t="s">
        <v>1486</v>
      </c>
      <c r="I173" s="494" t="s">
        <v>874</v>
      </c>
      <c r="J173" s="1129" t="s">
        <v>1487</v>
      </c>
      <c r="K173" s="494" t="s">
        <v>1488</v>
      </c>
      <c r="L173" s="69" t="s">
        <v>592</v>
      </c>
      <c r="M173" s="637"/>
      <c r="N173" s="494"/>
      <c r="O173" s="494"/>
      <c r="P173" s="1127"/>
      <c r="Q173" s="1127"/>
      <c r="R173" s="1127"/>
    </row>
    <row r="174" spans="1:18" s="83" customFormat="1" ht="15" customHeight="1">
      <c r="A174" s="617">
        <v>208</v>
      </c>
      <c r="B174" s="637"/>
      <c r="C174" s="451" t="str">
        <f t="shared" si="6"/>
        <v>ORIGET Thomas (TOP CHARTER)</v>
      </c>
      <c r="D174" s="451" t="str">
        <f t="shared" si="7"/>
        <v/>
      </c>
      <c r="E174" s="494" t="s">
        <v>2435</v>
      </c>
      <c r="F174" s="494" t="s">
        <v>587</v>
      </c>
      <c r="G174" s="1129"/>
      <c r="H174" s="494" t="s">
        <v>2467</v>
      </c>
      <c r="I174" s="494" t="s">
        <v>687</v>
      </c>
      <c r="J174" s="549" t="s">
        <v>2468</v>
      </c>
      <c r="K174" s="494"/>
      <c r="L174" s="69" t="s">
        <v>592</v>
      </c>
      <c r="M174" s="494" t="s">
        <v>2469</v>
      </c>
      <c r="N174" s="494"/>
      <c r="O174" s="494"/>
      <c r="P174" s="556"/>
      <c r="Q174" s="556"/>
      <c r="R174" s="556"/>
    </row>
    <row r="175" spans="1:18" s="83" customFormat="1" ht="15" customHeight="1">
      <c r="A175" s="1126">
        <v>145</v>
      </c>
      <c r="B175" s="637"/>
      <c r="C175" s="451" t="str">
        <f t="shared" si="6"/>
        <v/>
      </c>
      <c r="D175" s="451" t="str">
        <f t="shared" si="7"/>
        <v>ORIO Iltud (MW AFRITEC)</v>
      </c>
      <c r="E175" s="494" t="s">
        <v>1659</v>
      </c>
      <c r="F175" s="494" t="s">
        <v>1166</v>
      </c>
      <c r="G175" s="1129"/>
      <c r="H175" s="494" t="s">
        <v>1489</v>
      </c>
      <c r="I175" s="494" t="s">
        <v>1490</v>
      </c>
      <c r="J175" s="494" t="s">
        <v>1491</v>
      </c>
      <c r="K175" s="494" t="s">
        <v>1492</v>
      </c>
      <c r="L175" s="69" t="s">
        <v>592</v>
      </c>
      <c r="M175" s="637"/>
      <c r="N175" s="494"/>
      <c r="O175" s="637"/>
      <c r="P175" s="582"/>
      <c r="Q175" s="582"/>
      <c r="R175" s="582"/>
    </row>
    <row r="176" spans="1:18" s="83" customFormat="1" ht="15" customHeight="1">
      <c r="A176" s="1126">
        <v>127</v>
      </c>
      <c r="B176" s="1129">
        <v>57</v>
      </c>
      <c r="C176" s="451" t="str">
        <f t="shared" si="6"/>
        <v/>
      </c>
      <c r="D176" s="451" t="str">
        <f t="shared" si="7"/>
        <v>ORTIZ Marie (MAGELLAN)</v>
      </c>
      <c r="E176" s="494" t="s">
        <v>1191</v>
      </c>
      <c r="F176" s="494" t="s">
        <v>1154</v>
      </c>
      <c r="G176" s="1126"/>
      <c r="H176" s="494" t="s">
        <v>1493</v>
      </c>
      <c r="I176" s="494" t="s">
        <v>1494</v>
      </c>
      <c r="J176" s="494" t="s">
        <v>1495</v>
      </c>
      <c r="K176" s="494" t="s">
        <v>1496</v>
      </c>
      <c r="L176" s="69" t="s">
        <v>592</v>
      </c>
      <c r="M176" s="494" t="s">
        <v>2455</v>
      </c>
      <c r="N176" s="494"/>
      <c r="O176" s="494"/>
      <c r="P176" s="1127"/>
      <c r="Q176" s="1127"/>
      <c r="R176" s="1127"/>
    </row>
    <row r="177" spans="1:18" s="83" customFormat="1" ht="15" customHeight="1">
      <c r="A177" s="1129">
        <v>129</v>
      </c>
      <c r="B177" s="1129"/>
      <c r="C177" s="451" t="str">
        <f t="shared" si="6"/>
        <v/>
      </c>
      <c r="D177" s="451" t="str">
        <f t="shared" si="7"/>
        <v>OTIENO Christine (Mann Made Corporate Services Limited)</v>
      </c>
      <c r="E177" s="637" t="s">
        <v>1497</v>
      </c>
      <c r="F177" s="494" t="s">
        <v>1154</v>
      </c>
      <c r="G177" s="494"/>
      <c r="H177" s="494" t="s">
        <v>1502</v>
      </c>
      <c r="I177" s="494" t="s">
        <v>857</v>
      </c>
      <c r="J177" s="494" t="s">
        <v>1503</v>
      </c>
      <c r="K177" s="494" t="s">
        <v>1504</v>
      </c>
      <c r="L177" s="69" t="s">
        <v>592</v>
      </c>
      <c r="M177" s="1129" t="s">
        <v>1505</v>
      </c>
      <c r="N177" s="494"/>
      <c r="O177" s="1129" t="s">
        <v>1506</v>
      </c>
      <c r="P177" s="1127"/>
      <c r="Q177" s="1127"/>
      <c r="R177" s="1127"/>
    </row>
    <row r="178" spans="1:18" s="83" customFormat="1" ht="15" customHeight="1">
      <c r="A178" s="1129">
        <v>21</v>
      </c>
      <c r="B178" s="1126"/>
      <c r="C178" s="451" t="str">
        <f t="shared" si="6"/>
        <v>PAGNAMENTA Ilaria (Assicurazioni Pagnamenta Insurance Broker SA )</v>
      </c>
      <c r="D178" s="451" t="str">
        <f t="shared" si="7"/>
        <v/>
      </c>
      <c r="E178" s="637" t="s">
        <v>1004</v>
      </c>
      <c r="F178" s="494" t="s">
        <v>587</v>
      </c>
      <c r="G178" s="494"/>
      <c r="H178" s="494" t="s">
        <v>1006</v>
      </c>
      <c r="I178" s="494" t="s">
        <v>1007</v>
      </c>
      <c r="J178" s="494" t="s">
        <v>1008</v>
      </c>
      <c r="K178" s="494" t="s">
        <v>1009</v>
      </c>
      <c r="L178" s="69" t="s">
        <v>592</v>
      </c>
      <c r="M178" s="1129" t="s">
        <v>1010</v>
      </c>
      <c r="N178" s="494"/>
      <c r="O178" s="1129"/>
    </row>
    <row r="179" spans="1:18" s="83" customFormat="1" ht="15" customHeight="1">
      <c r="A179" s="69">
        <v>22</v>
      </c>
      <c r="B179" s="1126"/>
      <c r="C179" s="451" t="str">
        <f t="shared" si="6"/>
        <v>PAGNAMENTA Luca (Assicurazioni Pagnamenta Insurance Broker SA )</v>
      </c>
      <c r="D179" s="451" t="str">
        <f t="shared" si="7"/>
        <v/>
      </c>
      <c r="E179" s="1129" t="s">
        <v>1004</v>
      </c>
      <c r="F179" s="494" t="s">
        <v>587</v>
      </c>
      <c r="G179" s="494"/>
      <c r="H179" s="494" t="s">
        <v>1006</v>
      </c>
      <c r="I179" s="494" t="s">
        <v>1011</v>
      </c>
      <c r="J179" s="494" t="s">
        <v>1012</v>
      </c>
      <c r="K179" s="494" t="s">
        <v>1013</v>
      </c>
      <c r="L179" s="69" t="s">
        <v>592</v>
      </c>
      <c r="M179" s="1126" t="s">
        <v>1014</v>
      </c>
      <c r="N179" s="494"/>
      <c r="O179" s="1126" t="s">
        <v>1015</v>
      </c>
    </row>
    <row r="180" spans="1:18" s="553" customFormat="1" ht="15" customHeight="1">
      <c r="A180" s="617">
        <v>217</v>
      </c>
      <c r="B180" s="637"/>
      <c r="C180" s="451" t="str">
        <f t="shared" si="6"/>
        <v>PENEDO Pilar (UVEA MARINE SERVICE)</v>
      </c>
      <c r="D180" s="451" t="str">
        <f t="shared" si="7"/>
        <v/>
      </c>
      <c r="E180" s="1129" t="s">
        <v>640</v>
      </c>
      <c r="F180" s="494" t="s">
        <v>587</v>
      </c>
      <c r="G180" s="494"/>
      <c r="H180" s="494" t="s">
        <v>1016</v>
      </c>
      <c r="I180" s="494" t="s">
        <v>1017</v>
      </c>
      <c r="J180" s="637" t="s">
        <v>1018</v>
      </c>
      <c r="K180" s="494" t="s">
        <v>1019</v>
      </c>
      <c r="L180" s="69" t="s">
        <v>592</v>
      </c>
      <c r="M180" s="494"/>
      <c r="N180" s="494"/>
      <c r="O180" s="494"/>
      <c r="P180" s="556"/>
      <c r="Q180" s="556"/>
      <c r="R180" s="556"/>
    </row>
    <row r="181" spans="1:18" s="553" customFormat="1" ht="15" customHeight="1">
      <c r="A181" s="69">
        <v>35</v>
      </c>
      <c r="B181" s="637">
        <v>1011</v>
      </c>
      <c r="C181" s="451" t="str">
        <f t="shared" si="6"/>
        <v/>
      </c>
      <c r="D181" s="451" t="str">
        <f t="shared" si="7"/>
        <v>PEREIRA José Carlos (BOATTRUST )</v>
      </c>
      <c r="E181" s="1130" t="s">
        <v>296</v>
      </c>
      <c r="F181" s="494" t="s">
        <v>1154</v>
      </c>
      <c r="G181" s="637"/>
      <c r="H181" s="637" t="s">
        <v>1508</v>
      </c>
      <c r="I181" s="637" t="s">
        <v>1509</v>
      </c>
      <c r="J181" s="637" t="s">
        <v>1510</v>
      </c>
      <c r="K181" s="494" t="s">
        <v>1511</v>
      </c>
      <c r="L181" s="69"/>
      <c r="M181" s="637" t="s">
        <v>1512</v>
      </c>
      <c r="N181" s="637"/>
      <c r="O181" s="494" t="s">
        <v>1513</v>
      </c>
      <c r="P181" s="383"/>
      <c r="Q181" s="383"/>
      <c r="R181" s="383"/>
    </row>
    <row r="182" spans="1:18" s="553" customFormat="1" ht="15" customHeight="1">
      <c r="A182" s="1126">
        <v>211</v>
      </c>
      <c r="B182" s="1129">
        <v>72</v>
      </c>
      <c r="C182" s="451" t="str">
        <f t="shared" si="6"/>
        <v/>
      </c>
      <c r="D182" s="451" t="str">
        <f t="shared" si="7"/>
        <v>PERREL Olivier (UNIQUE YACHTING MONACO  )</v>
      </c>
      <c r="E182" s="1130" t="s">
        <v>1373</v>
      </c>
      <c r="F182" s="494" t="s">
        <v>1154</v>
      </c>
      <c r="G182" s="494"/>
      <c r="H182" s="494" t="s">
        <v>1514</v>
      </c>
      <c r="I182" s="494" t="s">
        <v>636</v>
      </c>
      <c r="J182" s="1129" t="s">
        <v>1515</v>
      </c>
      <c r="K182" s="494" t="s">
        <v>1516</v>
      </c>
      <c r="L182" s="69"/>
      <c r="M182" s="494"/>
      <c r="N182" s="494"/>
      <c r="O182" s="494"/>
      <c r="P182" s="1127"/>
      <c r="Q182" s="1127"/>
      <c r="R182" s="1127"/>
    </row>
    <row r="183" spans="1:18" s="553" customFormat="1" ht="15" customHeight="1">
      <c r="A183" s="1126">
        <v>7</v>
      </c>
      <c r="B183" s="1129">
        <v>71</v>
      </c>
      <c r="C183" s="451" t="str">
        <f t="shared" si="6"/>
        <v/>
      </c>
      <c r="D183" s="451" t="str">
        <f t="shared" si="7"/>
        <v>PETITJEAN Eric (Alliance Yacht Management Ltd)</v>
      </c>
      <c r="E183" s="1129" t="s">
        <v>1517</v>
      </c>
      <c r="F183" s="494" t="s">
        <v>1166</v>
      </c>
      <c r="G183" s="1129"/>
      <c r="H183" s="1129" t="s">
        <v>1522</v>
      </c>
      <c r="I183" s="1129" t="s">
        <v>1523</v>
      </c>
      <c r="J183" s="1129" t="s">
        <v>1524</v>
      </c>
      <c r="K183" s="494" t="s">
        <v>1525</v>
      </c>
      <c r="L183" s="69"/>
      <c r="M183" s="1129" t="s">
        <v>1526</v>
      </c>
      <c r="N183" s="1129"/>
      <c r="O183" s="494" t="s">
        <v>1527</v>
      </c>
      <c r="P183" s="1127"/>
      <c r="Q183" s="1127"/>
      <c r="R183" s="1127"/>
    </row>
    <row r="184" spans="1:18" s="553" customFormat="1" ht="15" customHeight="1">
      <c r="A184" s="1129">
        <v>27</v>
      </c>
      <c r="B184" s="1126"/>
      <c r="C184" s="451" t="str">
        <f t="shared" si="6"/>
        <v>PEYLET Marie-Christine (AXA Yachting Solutions)</v>
      </c>
      <c r="D184" s="451" t="str">
        <f t="shared" si="7"/>
        <v/>
      </c>
      <c r="E184" s="1129" t="s">
        <v>289</v>
      </c>
      <c r="F184" s="494" t="s">
        <v>587</v>
      </c>
      <c r="G184" s="1129"/>
      <c r="H184" s="1129" t="s">
        <v>1020</v>
      </c>
      <c r="I184" s="1129" t="s">
        <v>1021</v>
      </c>
      <c r="J184" s="549" t="s">
        <v>1022</v>
      </c>
      <c r="K184" s="494"/>
      <c r="L184" s="69"/>
      <c r="M184" s="1129"/>
      <c r="N184" s="1129"/>
      <c r="O184" s="494"/>
      <c r="P184" s="83"/>
      <c r="Q184" s="83"/>
      <c r="R184" s="83"/>
    </row>
    <row r="185" spans="1:18" s="553" customFormat="1" ht="15" customHeight="1">
      <c r="A185" s="69">
        <v>103</v>
      </c>
      <c r="B185" s="1126"/>
      <c r="C185" s="451" t="str">
        <f t="shared" si="6"/>
        <v/>
      </c>
      <c r="D185" s="451" t="str">
        <f t="shared" si="7"/>
        <v>PIALLES  Eric (IDOL YACHTING LIMITED)</v>
      </c>
      <c r="E185" s="1126" t="s">
        <v>1528</v>
      </c>
      <c r="F185" s="494" t="s">
        <v>1166</v>
      </c>
      <c r="G185" s="1126"/>
      <c r="H185" s="1126" t="s">
        <v>1532</v>
      </c>
      <c r="I185" s="1126" t="s">
        <v>1523</v>
      </c>
      <c r="J185" s="71"/>
      <c r="K185" s="494"/>
      <c r="L185" s="69" t="s">
        <v>592</v>
      </c>
      <c r="M185" s="1126"/>
      <c r="N185" s="1126"/>
      <c r="O185" s="637" t="s">
        <v>1533</v>
      </c>
      <c r="P185" s="383"/>
      <c r="Q185" s="383"/>
      <c r="R185" s="383"/>
    </row>
    <row r="186" spans="1:18" s="553" customFormat="1" ht="15" customHeight="1">
      <c r="A186" s="617">
        <v>178</v>
      </c>
      <c r="B186" s="494">
        <v>1052</v>
      </c>
      <c r="C186" s="451" t="str">
        <f t="shared" si="6"/>
        <v/>
      </c>
      <c r="D186" s="451" t="str">
        <f t="shared" si="7"/>
        <v>PIARDI David (Ryo Charter Limitada)</v>
      </c>
      <c r="E186" s="494" t="s">
        <v>1534</v>
      </c>
      <c r="F186" s="494" t="s">
        <v>1166</v>
      </c>
      <c r="G186" s="494"/>
      <c r="H186" s="494" t="s">
        <v>1539</v>
      </c>
      <c r="I186" s="494" t="s">
        <v>776</v>
      </c>
      <c r="J186" s="637" t="s">
        <v>1540</v>
      </c>
      <c r="K186" s="494" t="s">
        <v>1541</v>
      </c>
      <c r="L186" s="69"/>
      <c r="M186" s="637"/>
      <c r="N186" s="637"/>
      <c r="O186" s="637"/>
      <c r="P186" s="1127"/>
      <c r="Q186" s="1127"/>
      <c r="R186" s="1127"/>
    </row>
    <row r="187" spans="1:18" s="553" customFormat="1" ht="15" customHeight="1">
      <c r="A187" s="69">
        <v>160</v>
      </c>
      <c r="B187" s="494">
        <v>61</v>
      </c>
      <c r="C187" s="451" t="str">
        <f t="shared" si="6"/>
        <v/>
      </c>
      <c r="D187" s="451" t="str">
        <f t="shared" si="7"/>
        <v>PICARD Caroline (Navilux SA)</v>
      </c>
      <c r="E187" s="637" t="s">
        <v>1435</v>
      </c>
      <c r="F187" s="494" t="s">
        <v>1154</v>
      </c>
      <c r="G187" s="494"/>
      <c r="H187" s="494" t="s">
        <v>1542</v>
      </c>
      <c r="I187" s="494" t="s">
        <v>1002</v>
      </c>
      <c r="J187" s="494" t="s">
        <v>1543</v>
      </c>
      <c r="K187" s="494" t="s">
        <v>1367</v>
      </c>
      <c r="L187" s="69" t="s">
        <v>592</v>
      </c>
      <c r="M187" s="1129"/>
      <c r="N187" s="1129"/>
      <c r="O187" s="1129"/>
      <c r="P187" s="1127"/>
      <c r="Q187" s="1127"/>
      <c r="R187" s="1127"/>
    </row>
    <row r="188" spans="1:18" s="553" customFormat="1" ht="15" customHeight="1">
      <c r="A188" s="1126">
        <v>4</v>
      </c>
      <c r="B188" s="637"/>
      <c r="C188" s="451" t="str">
        <f t="shared" si="6"/>
        <v>PITAOULIS Georges (ABC Maritime)</v>
      </c>
      <c r="D188" s="451" t="str">
        <f t="shared" si="7"/>
        <v/>
      </c>
      <c r="E188" s="637" t="s">
        <v>1023</v>
      </c>
      <c r="F188" s="494" t="s">
        <v>587</v>
      </c>
      <c r="G188" s="637"/>
      <c r="H188" s="637" t="s">
        <v>1025</v>
      </c>
      <c r="I188" s="637" t="s">
        <v>1026</v>
      </c>
      <c r="J188" s="1129" t="s">
        <v>1027</v>
      </c>
      <c r="K188" s="494" t="s">
        <v>1028</v>
      </c>
      <c r="L188" s="69" t="s">
        <v>619</v>
      </c>
      <c r="M188" s="1129" t="s">
        <v>1029</v>
      </c>
      <c r="N188" s="1129"/>
      <c r="O188" s="1129"/>
      <c r="P188" s="83"/>
      <c r="Q188" s="83"/>
      <c r="R188" s="83"/>
    </row>
    <row r="189" spans="1:18" s="553" customFormat="1" ht="15" customHeight="1">
      <c r="A189" s="1126">
        <v>118</v>
      </c>
      <c r="B189" s="637"/>
      <c r="C189" s="451" t="str">
        <f t="shared" si="6"/>
        <v/>
      </c>
      <c r="D189" s="451" t="str">
        <f t="shared" si="7"/>
        <v>POCACHARD Christel (LENGERS YACHTS)</v>
      </c>
      <c r="E189" s="1129" t="s">
        <v>1544</v>
      </c>
      <c r="F189" s="494" t="s">
        <v>1154</v>
      </c>
      <c r="G189" s="494" t="s">
        <v>1552</v>
      </c>
      <c r="H189" s="494" t="s">
        <v>1548</v>
      </c>
      <c r="I189" s="494" t="s">
        <v>1549</v>
      </c>
      <c r="J189" s="1129" t="s">
        <v>1550</v>
      </c>
      <c r="K189" s="494" t="s">
        <v>1551</v>
      </c>
      <c r="L189" s="69" t="s">
        <v>592</v>
      </c>
      <c r="M189" s="652" t="s">
        <v>1553</v>
      </c>
      <c r="N189" s="652"/>
      <c r="O189" s="652" t="s">
        <v>1554</v>
      </c>
      <c r="P189" s="1127"/>
      <c r="Q189" s="1127"/>
      <c r="R189" s="1127"/>
    </row>
    <row r="190" spans="1:18" s="553" customFormat="1" ht="15" customHeight="1">
      <c r="A190" s="1129">
        <v>156</v>
      </c>
      <c r="B190" s="1129"/>
      <c r="C190" s="451" t="str">
        <f t="shared" si="6"/>
        <v/>
      </c>
      <c r="D190" s="451" t="str">
        <f t="shared" si="7"/>
        <v>POCACHARD Christel (NATUR’ALLY YACHTING)</v>
      </c>
      <c r="E190" s="1129" t="s">
        <v>2432</v>
      </c>
      <c r="F190" s="637" t="s">
        <v>1154</v>
      </c>
      <c r="G190" s="1129" t="s">
        <v>1552</v>
      </c>
      <c r="H190" s="1129" t="s">
        <v>1548</v>
      </c>
      <c r="I190" s="1129" t="s">
        <v>1549</v>
      </c>
      <c r="J190" s="627" t="s">
        <v>2458</v>
      </c>
      <c r="K190" s="637" t="s">
        <v>1551</v>
      </c>
      <c r="L190" s="69" t="s">
        <v>592</v>
      </c>
      <c r="M190" s="833" t="s">
        <v>2459</v>
      </c>
      <c r="N190" s="833"/>
      <c r="O190" s="833" t="s">
        <v>2459</v>
      </c>
      <c r="P190" s="1127"/>
      <c r="Q190" s="1127"/>
      <c r="R190" s="1127"/>
    </row>
    <row r="191" spans="1:18" s="553" customFormat="1" ht="15" customHeight="1">
      <c r="A191" s="1126">
        <v>172</v>
      </c>
      <c r="B191" s="1129"/>
      <c r="C191" s="451" t="str">
        <f t="shared" si="6"/>
        <v>POGGIO Daniele (POGGIO Monaco)</v>
      </c>
      <c r="D191" s="451" t="str">
        <f t="shared" si="7"/>
        <v/>
      </c>
      <c r="E191" s="550" t="s">
        <v>513</v>
      </c>
      <c r="F191" s="494" t="s">
        <v>587</v>
      </c>
      <c r="G191" s="1129"/>
      <c r="H191" s="1129" t="s">
        <v>1030</v>
      </c>
      <c r="I191" s="1129" t="s">
        <v>1034</v>
      </c>
      <c r="J191" s="1129" t="s">
        <v>1032</v>
      </c>
      <c r="K191" s="494" t="s">
        <v>1035</v>
      </c>
      <c r="L191" s="69" t="s">
        <v>592</v>
      </c>
      <c r="M191" s="1129" t="s">
        <v>1036</v>
      </c>
      <c r="N191" s="1129"/>
      <c r="O191" s="1129" t="s">
        <v>1037</v>
      </c>
      <c r="P191" s="556"/>
      <c r="Q191" s="556"/>
      <c r="R191" s="556"/>
    </row>
    <row r="192" spans="1:18" s="553" customFormat="1" ht="15" customHeight="1">
      <c r="A192" s="1126">
        <v>173</v>
      </c>
      <c r="B192" s="617"/>
      <c r="C192" s="451" t="str">
        <f t="shared" si="6"/>
        <v>POGGIO dominique  (POGGIO Monaco)</v>
      </c>
      <c r="D192" s="451" t="str">
        <f t="shared" si="7"/>
        <v/>
      </c>
      <c r="E192" s="550" t="s">
        <v>513</v>
      </c>
      <c r="F192" s="1129" t="s">
        <v>587</v>
      </c>
      <c r="G192" s="1126"/>
      <c r="H192" s="1126" t="s">
        <v>1030</v>
      </c>
      <c r="I192" s="1126" t="s">
        <v>1031</v>
      </c>
      <c r="J192" s="71" t="s">
        <v>1032</v>
      </c>
      <c r="K192" s="1129" t="s">
        <v>1033</v>
      </c>
      <c r="L192" s="69" t="s">
        <v>592</v>
      </c>
      <c r="M192" s="1126"/>
      <c r="N192" s="1126"/>
      <c r="O192" s="1126"/>
      <c r="P192" s="556"/>
      <c r="Q192" s="556"/>
      <c r="R192" s="556"/>
    </row>
    <row r="193" spans="1:18" s="553" customFormat="1" ht="15" customHeight="1">
      <c r="A193" s="1129">
        <v>66</v>
      </c>
      <c r="B193" s="1126"/>
      <c r="C193" s="451" t="str">
        <f t="shared" si="6"/>
        <v>POSSO Sylvain (Compagnie du Ponant)</v>
      </c>
      <c r="D193" s="451" t="str">
        <f t="shared" si="7"/>
        <v/>
      </c>
      <c r="E193" s="1129" t="s">
        <v>1038</v>
      </c>
      <c r="F193" s="1129" t="s">
        <v>587</v>
      </c>
      <c r="G193" s="1129"/>
      <c r="H193" s="1129" t="s">
        <v>1039</v>
      </c>
      <c r="I193" s="1129" t="s">
        <v>1040</v>
      </c>
      <c r="J193" s="1129" t="s">
        <v>1041</v>
      </c>
      <c r="K193" s="1129" t="s">
        <v>1042</v>
      </c>
      <c r="L193" s="69" t="s">
        <v>592</v>
      </c>
      <c r="M193" s="1129"/>
      <c r="N193" s="1129"/>
      <c r="O193" s="1129"/>
      <c r="P193" s="83"/>
      <c r="Q193" s="83"/>
      <c r="R193" s="83"/>
    </row>
    <row r="194" spans="1:18" s="553" customFormat="1" ht="15" customHeight="1">
      <c r="A194" s="1126">
        <v>28</v>
      </c>
      <c r="B194" s="1126"/>
      <c r="C194" s="451" t="str">
        <f t="shared" si="6"/>
        <v/>
      </c>
      <c r="D194" s="451" t="str">
        <f t="shared" si="7"/>
        <v>POUWELS Karine (Bachmann Marine)</v>
      </c>
      <c r="E194" s="1126" t="s">
        <v>1555</v>
      </c>
      <c r="F194" s="1126" t="s">
        <v>1154</v>
      </c>
      <c r="G194" s="1126" t="s">
        <v>1560</v>
      </c>
      <c r="H194" s="1126" t="s">
        <v>1558</v>
      </c>
      <c r="I194" s="1126" t="s">
        <v>1559</v>
      </c>
      <c r="J194" s="1126"/>
      <c r="K194" s="1126"/>
      <c r="L194" s="69" t="s">
        <v>619</v>
      </c>
      <c r="M194" s="1126" t="s">
        <v>1561</v>
      </c>
      <c r="N194" s="1126"/>
      <c r="O194" s="1126"/>
      <c r="P194" s="1127"/>
      <c r="Q194" s="1127"/>
      <c r="R194" s="1127"/>
    </row>
    <row r="195" spans="1:18" s="556" customFormat="1" ht="15" customHeight="1">
      <c r="A195" s="1126">
        <v>146</v>
      </c>
      <c r="B195" s="494">
        <v>60</v>
      </c>
      <c r="C195" s="451" t="str">
        <f t="shared" si="6"/>
        <v/>
      </c>
      <c r="D195" s="451" t="str">
        <f t="shared" si="7"/>
        <v>PRADINES Lionel (MW AFRITEC)</v>
      </c>
      <c r="E195" s="494" t="s">
        <v>1659</v>
      </c>
      <c r="F195" s="494" t="s">
        <v>1154</v>
      </c>
      <c r="G195" s="494"/>
      <c r="H195" s="494" t="s">
        <v>1565</v>
      </c>
      <c r="I195" s="494" t="s">
        <v>1566</v>
      </c>
      <c r="J195" s="494" t="s">
        <v>1567</v>
      </c>
      <c r="K195" s="494" t="s">
        <v>1568</v>
      </c>
      <c r="L195" s="69"/>
      <c r="M195" s="637"/>
      <c r="N195" s="494"/>
      <c r="O195" s="494"/>
      <c r="P195" s="1127"/>
      <c r="Q195" s="1127"/>
      <c r="R195" s="1127"/>
    </row>
    <row r="196" spans="1:18" s="556" customFormat="1" ht="15" customHeight="1">
      <c r="A196" s="1129">
        <v>183</v>
      </c>
      <c r="B196" s="494"/>
      <c r="C196" s="451" t="str">
        <f t="shared" si="6"/>
        <v>PRONO  Marie-Guenole (SETAF SAGET)</v>
      </c>
      <c r="D196" s="451" t="str">
        <f t="shared" si="7"/>
        <v/>
      </c>
      <c r="E196" s="494" t="s">
        <v>1043</v>
      </c>
      <c r="F196" s="494" t="s">
        <v>587</v>
      </c>
      <c r="G196" s="494"/>
      <c r="H196" s="494" t="s">
        <v>1047</v>
      </c>
      <c r="I196" s="494" t="s">
        <v>1048</v>
      </c>
      <c r="J196" s="494" t="s">
        <v>1049</v>
      </c>
      <c r="K196" s="494" t="s">
        <v>1048</v>
      </c>
      <c r="L196" s="69"/>
      <c r="M196" s="494"/>
      <c r="N196" s="494"/>
      <c r="O196" s="494"/>
    </row>
    <row r="197" spans="1:18" s="556" customFormat="1" ht="15" customHeight="1">
      <c r="A197" s="1126">
        <v>236</v>
      </c>
      <c r="B197" s="494">
        <v>59</v>
      </c>
      <c r="C197" s="451" t="str">
        <f t="shared" ref="C197:C258" si="8">IF(F197="MASTER",H197&amp;" "&amp;I197&amp;" ("&amp;E197&amp;")","")</f>
        <v/>
      </c>
      <c r="D197" s="451" t="str">
        <f t="shared" ref="D197:D258" si="9">IF(F197="MASTER","",H197&amp;" "&amp;I197&amp;" ("&amp;E197&amp;")")</f>
        <v>Purser Constellation (Y.CO)</v>
      </c>
      <c r="E197" s="494" t="s">
        <v>1216</v>
      </c>
      <c r="F197" s="494" t="s">
        <v>1166</v>
      </c>
      <c r="G197" s="494"/>
      <c r="H197" s="494" t="s">
        <v>1570</v>
      </c>
      <c r="I197" s="494" t="s">
        <v>1219</v>
      </c>
      <c r="J197" s="494" t="s">
        <v>1571</v>
      </c>
      <c r="K197" s="494" t="s">
        <v>1572</v>
      </c>
      <c r="L197" s="69"/>
      <c r="M197" s="637"/>
      <c r="N197" s="494"/>
      <c r="O197" s="494"/>
      <c r="P197" s="383"/>
      <c r="Q197" s="383"/>
      <c r="R197" s="383"/>
    </row>
    <row r="198" spans="1:18" s="556" customFormat="1" ht="15" customHeight="1">
      <c r="A198" s="1129">
        <v>237</v>
      </c>
      <c r="B198" s="494">
        <v>59</v>
      </c>
      <c r="C198" s="451" t="str">
        <f t="shared" si="8"/>
        <v/>
      </c>
      <c r="D198" s="451" t="str">
        <f t="shared" si="9"/>
        <v>Purser Katara (Y.CO)</v>
      </c>
      <c r="E198" s="494" t="s">
        <v>1216</v>
      </c>
      <c r="F198" s="494" t="s">
        <v>1166</v>
      </c>
      <c r="G198" s="494"/>
      <c r="H198" s="494" t="s">
        <v>1570</v>
      </c>
      <c r="I198" s="494" t="s">
        <v>1249</v>
      </c>
      <c r="J198" s="494" t="s">
        <v>1573</v>
      </c>
      <c r="K198" s="494" t="s">
        <v>1574</v>
      </c>
      <c r="L198" s="69"/>
      <c r="M198" s="494"/>
      <c r="N198" s="494"/>
      <c r="O198" s="494"/>
      <c r="P198" s="383"/>
      <c r="Q198" s="383"/>
      <c r="R198" s="383"/>
    </row>
    <row r="199" spans="1:18" s="556" customFormat="1" ht="15" customHeight="1">
      <c r="A199" s="617">
        <v>238</v>
      </c>
      <c r="B199" s="494">
        <v>59</v>
      </c>
      <c r="C199" s="451" t="str">
        <f t="shared" si="8"/>
        <v/>
      </c>
      <c r="D199" s="451" t="str">
        <f t="shared" si="9"/>
        <v>Purser Maracunda (Y.CO)</v>
      </c>
      <c r="E199" s="494" t="s">
        <v>1216</v>
      </c>
      <c r="F199" s="494" t="s">
        <v>1166</v>
      </c>
      <c r="G199" s="494"/>
      <c r="H199" s="494" t="s">
        <v>1570</v>
      </c>
      <c r="I199" s="494" t="s">
        <v>1228</v>
      </c>
      <c r="J199" s="765" t="s">
        <v>1575</v>
      </c>
      <c r="K199" s="494" t="s">
        <v>1576</v>
      </c>
      <c r="L199" s="69"/>
      <c r="M199" s="637" t="s">
        <v>1577</v>
      </c>
      <c r="N199" s="494"/>
      <c r="O199" s="494" t="s">
        <v>1578</v>
      </c>
      <c r="P199" s="383"/>
      <c r="Q199" s="383"/>
      <c r="R199" s="383"/>
    </row>
    <row r="200" spans="1:18" s="556" customFormat="1" ht="15" customHeight="1">
      <c r="A200" s="69">
        <v>239</v>
      </c>
      <c r="B200" s="494">
        <v>59</v>
      </c>
      <c r="C200" s="451" t="str">
        <f t="shared" si="8"/>
        <v/>
      </c>
      <c r="D200" s="451" t="str">
        <f t="shared" si="9"/>
        <v>Purser Al Shoua (Y.CO)</v>
      </c>
      <c r="E200" s="494" t="s">
        <v>1216</v>
      </c>
      <c r="F200" s="494" t="s">
        <v>1166</v>
      </c>
      <c r="G200" s="494"/>
      <c r="H200" s="494" t="s">
        <v>1570</v>
      </c>
      <c r="I200" s="494" t="s">
        <v>1246</v>
      </c>
      <c r="J200" s="1129" t="s">
        <v>1579</v>
      </c>
      <c r="K200" s="494" t="s">
        <v>1580</v>
      </c>
      <c r="L200" s="69"/>
      <c r="M200" s="494"/>
      <c r="N200" s="494"/>
      <c r="O200" s="494"/>
      <c r="P200" s="383"/>
      <c r="Q200" s="383"/>
      <c r="R200" s="383"/>
    </row>
    <row r="201" spans="1:18" s="556" customFormat="1" ht="15" customHeight="1">
      <c r="A201" s="1126">
        <v>67</v>
      </c>
      <c r="B201" s="637">
        <v>26</v>
      </c>
      <c r="C201" s="451" t="str">
        <f t="shared" si="8"/>
        <v/>
      </c>
      <c r="D201" s="451" t="str">
        <f t="shared" si="9"/>
        <v>Purser Austral  (Compagnie du Ponant)</v>
      </c>
      <c r="E201" s="765" t="s">
        <v>1038</v>
      </c>
      <c r="F201" s="494" t="s">
        <v>1166</v>
      </c>
      <c r="G201" s="637"/>
      <c r="H201" s="637" t="s">
        <v>1581</v>
      </c>
      <c r="I201" s="637"/>
      <c r="J201" s="637" t="s">
        <v>1582</v>
      </c>
      <c r="K201" s="494" t="s">
        <v>1583</v>
      </c>
      <c r="L201" s="69"/>
      <c r="M201" s="637"/>
      <c r="N201" s="637"/>
      <c r="O201" s="637"/>
      <c r="P201" s="582"/>
      <c r="Q201" s="582"/>
      <c r="R201" s="582"/>
    </row>
    <row r="202" spans="1:18" s="556" customFormat="1" ht="15" customHeight="1">
      <c r="A202" s="1126">
        <v>68</v>
      </c>
      <c r="B202" s="637">
        <v>26</v>
      </c>
      <c r="C202" s="451" t="str">
        <f t="shared" si="8"/>
        <v/>
      </c>
      <c r="D202" s="451" t="str">
        <f t="shared" si="9"/>
        <v>Purser Boreal  (Compagnie du Ponant)</v>
      </c>
      <c r="E202" s="758" t="s">
        <v>1038</v>
      </c>
      <c r="F202" s="637" t="s">
        <v>1166</v>
      </c>
      <c r="G202" s="637"/>
      <c r="H202" s="637" t="s">
        <v>1584</v>
      </c>
      <c r="I202" s="637"/>
      <c r="J202" s="637" t="s">
        <v>1585</v>
      </c>
      <c r="K202" s="637" t="s">
        <v>1586</v>
      </c>
      <c r="L202" s="69"/>
      <c r="M202" s="637"/>
      <c r="N202" s="637"/>
      <c r="O202" s="637"/>
      <c r="P202" s="383"/>
      <c r="Q202" s="383"/>
      <c r="R202" s="383"/>
    </row>
    <row r="203" spans="1:18" s="556" customFormat="1" ht="15" customHeight="1">
      <c r="A203" s="1129">
        <v>69</v>
      </c>
      <c r="B203" s="1129">
        <v>26</v>
      </c>
      <c r="C203" s="451" t="str">
        <f t="shared" si="8"/>
        <v/>
      </c>
      <c r="D203" s="451" t="str">
        <f t="shared" si="9"/>
        <v>Purser Ponant  (Compagnie du Ponant)</v>
      </c>
      <c r="E203" s="1129" t="s">
        <v>1038</v>
      </c>
      <c r="F203" s="494" t="s">
        <v>1166</v>
      </c>
      <c r="G203" s="1129"/>
      <c r="H203" s="1129" t="s">
        <v>1587</v>
      </c>
      <c r="I203" s="1129"/>
      <c r="J203" s="1129" t="s">
        <v>1588</v>
      </c>
      <c r="K203" s="494" t="s">
        <v>1589</v>
      </c>
      <c r="L203" s="69"/>
      <c r="M203" s="1129"/>
      <c r="N203" s="1129"/>
      <c r="O203" s="1129"/>
      <c r="P203" s="1127"/>
      <c r="Q203" s="1127"/>
      <c r="R203" s="1127"/>
    </row>
    <row r="204" spans="1:18" s="556" customFormat="1" ht="15" customHeight="1">
      <c r="A204" s="69">
        <v>70</v>
      </c>
      <c r="B204" s="1129">
        <v>26</v>
      </c>
      <c r="C204" s="451" t="str">
        <f t="shared" si="8"/>
        <v/>
      </c>
      <c r="D204" s="451" t="str">
        <f t="shared" si="9"/>
        <v>Purser Soleal  (Compagnie du Ponant)</v>
      </c>
      <c r="E204" s="1129" t="s">
        <v>1038</v>
      </c>
      <c r="F204" s="1129" t="s">
        <v>1166</v>
      </c>
      <c r="G204" s="1129"/>
      <c r="H204" s="1129" t="s">
        <v>1590</v>
      </c>
      <c r="I204" s="1129"/>
      <c r="J204" s="1129" t="s">
        <v>1591</v>
      </c>
      <c r="K204" s="1129" t="s">
        <v>1592</v>
      </c>
      <c r="L204" s="69"/>
      <c r="M204" s="1129"/>
      <c r="N204" s="1129"/>
      <c r="O204" s="1129"/>
      <c r="P204" s="1127"/>
      <c r="Q204" s="1127"/>
      <c r="R204" s="1127"/>
    </row>
    <row r="205" spans="1:18" s="556" customFormat="1" ht="15" customHeight="1">
      <c r="A205" s="617">
        <v>169</v>
      </c>
      <c r="B205" s="1126"/>
      <c r="C205" s="451" t="str">
        <f t="shared" si="8"/>
        <v>RACO  Fabienne (ONLYYACHT MONACO)</v>
      </c>
      <c r="D205" s="451" t="str">
        <f t="shared" si="9"/>
        <v/>
      </c>
      <c r="E205" s="550" t="s">
        <v>497</v>
      </c>
      <c r="F205" s="1129" t="s">
        <v>587</v>
      </c>
      <c r="G205" s="1126"/>
      <c r="H205" s="1126" t="s">
        <v>1050</v>
      </c>
      <c r="I205" s="1126" t="s">
        <v>1051</v>
      </c>
      <c r="J205" s="71" t="s">
        <v>1052</v>
      </c>
      <c r="K205" s="1129" t="s">
        <v>1053</v>
      </c>
      <c r="L205" s="69" t="s">
        <v>592</v>
      </c>
      <c r="M205" s="1126"/>
      <c r="N205" s="1126"/>
      <c r="O205" s="1126"/>
    </row>
    <row r="206" spans="1:18" s="556" customFormat="1" ht="15" customHeight="1">
      <c r="A206" s="69">
        <v>161</v>
      </c>
      <c r="B206" s="833"/>
      <c r="C206" s="451" t="str">
        <f t="shared" si="8"/>
        <v/>
      </c>
      <c r="D206" s="451" t="str">
        <f t="shared" si="9"/>
        <v>RAMBALDELLI-FERREIRA Cynthia (Navilux SA)</v>
      </c>
      <c r="E206" s="494" t="s">
        <v>1435</v>
      </c>
      <c r="F206" s="833" t="s">
        <v>1154</v>
      </c>
      <c r="G206" s="833"/>
      <c r="H206" s="833" t="s">
        <v>2460</v>
      </c>
      <c r="I206" s="833" t="s">
        <v>1194</v>
      </c>
      <c r="J206" s="627" t="s">
        <v>1396</v>
      </c>
      <c r="K206" s="833"/>
      <c r="L206" s="69" t="s">
        <v>592</v>
      </c>
      <c r="M206" s="833"/>
      <c r="N206" s="833"/>
      <c r="O206" s="833"/>
      <c r="P206" s="383"/>
      <c r="Q206" s="383"/>
      <c r="R206" s="383"/>
    </row>
    <row r="207" spans="1:18" s="556" customFormat="1" ht="15" customHeight="1">
      <c r="A207" s="1126">
        <v>133</v>
      </c>
      <c r="B207" s="494"/>
      <c r="C207" s="451" t="str">
        <f t="shared" si="8"/>
        <v/>
      </c>
      <c r="D207" s="451" t="str">
        <f t="shared" si="9"/>
        <v>RÄZ Max (MAX RÄZ)</v>
      </c>
      <c r="E207" s="494" t="s">
        <v>1593</v>
      </c>
      <c r="F207" s="494" t="s">
        <v>1154</v>
      </c>
      <c r="G207" s="494"/>
      <c r="H207" s="494" t="s">
        <v>1597</v>
      </c>
      <c r="I207" s="494" t="s">
        <v>1598</v>
      </c>
      <c r="J207" s="494" t="s">
        <v>1599</v>
      </c>
      <c r="K207" s="494" t="s">
        <v>1600</v>
      </c>
      <c r="L207" s="69" t="s">
        <v>592</v>
      </c>
      <c r="M207" s="637"/>
      <c r="N207" s="494"/>
      <c r="O207" s="494"/>
      <c r="P207" s="383"/>
      <c r="Q207" s="383"/>
      <c r="R207" s="383"/>
    </row>
    <row r="208" spans="1:18" s="556" customFormat="1" ht="15" customHeight="1">
      <c r="A208" s="1126">
        <v>34</v>
      </c>
      <c r="B208" s="494">
        <v>65</v>
      </c>
      <c r="C208" s="451" t="str">
        <f t="shared" si="8"/>
        <v/>
      </c>
      <c r="D208" s="451" t="str">
        <f t="shared" si="9"/>
        <v>READ Sean (Blush Yachting Ltd)</v>
      </c>
      <c r="E208" s="494" t="s">
        <v>1601</v>
      </c>
      <c r="F208" s="494" t="s">
        <v>1166</v>
      </c>
      <c r="G208" s="494"/>
      <c r="H208" s="494" t="s">
        <v>1602</v>
      </c>
      <c r="I208" s="494" t="s">
        <v>1603</v>
      </c>
      <c r="J208" s="494" t="s">
        <v>1604</v>
      </c>
      <c r="K208" s="494" t="s">
        <v>1605</v>
      </c>
      <c r="L208" s="69"/>
      <c r="M208" s="637"/>
      <c r="N208" s="494"/>
      <c r="O208" s="494"/>
      <c r="P208" s="383"/>
      <c r="Q208" s="383"/>
      <c r="R208" s="383"/>
    </row>
    <row r="209" spans="1:18" s="556" customFormat="1" ht="15" customHeight="1">
      <c r="A209" s="1129">
        <v>51</v>
      </c>
      <c r="B209" s="494">
        <v>23</v>
      </c>
      <c r="C209" s="451" t="str">
        <f t="shared" si="8"/>
        <v/>
      </c>
      <c r="D209" s="451" t="str">
        <f t="shared" si="9"/>
        <v>REMONDIERE Yvette (Bourbon Offshore Greenmar)</v>
      </c>
      <c r="E209" s="494" t="s">
        <v>754</v>
      </c>
      <c r="F209" s="494" t="s">
        <v>1154</v>
      </c>
      <c r="G209" s="494"/>
      <c r="H209" s="494" t="s">
        <v>1056</v>
      </c>
      <c r="I209" s="494" t="s">
        <v>1606</v>
      </c>
      <c r="J209" s="494" t="s">
        <v>1607</v>
      </c>
      <c r="K209" s="494" t="s">
        <v>1608</v>
      </c>
      <c r="L209" s="69" t="s">
        <v>592</v>
      </c>
      <c r="M209" s="637"/>
      <c r="N209" s="494"/>
      <c r="O209" s="494"/>
      <c r="P209" s="582"/>
      <c r="Q209" s="582"/>
      <c r="R209" s="582"/>
    </row>
    <row r="210" spans="1:18" s="556" customFormat="1" ht="15" customHeight="1">
      <c r="A210" s="1126">
        <v>176</v>
      </c>
      <c r="B210" s="494">
        <v>52</v>
      </c>
      <c r="C210" s="451" t="str">
        <f t="shared" si="8"/>
        <v/>
      </c>
      <c r="D210" s="451" t="str">
        <f t="shared" si="9"/>
        <v>REMONDIERE Marc (Remo Marine Services SA)</v>
      </c>
      <c r="E210" s="494" t="s">
        <v>1054</v>
      </c>
      <c r="F210" s="494" t="s">
        <v>1154</v>
      </c>
      <c r="G210" s="494"/>
      <c r="H210" s="494" t="s">
        <v>1056</v>
      </c>
      <c r="I210" s="494" t="s">
        <v>758</v>
      </c>
      <c r="J210" s="494" t="s">
        <v>1609</v>
      </c>
      <c r="K210" s="494" t="s">
        <v>1610</v>
      </c>
      <c r="L210" s="69" t="s">
        <v>592</v>
      </c>
      <c r="M210" s="1129" t="s">
        <v>1057</v>
      </c>
      <c r="N210" s="494"/>
      <c r="O210" s="494">
        <v>33673827004</v>
      </c>
      <c r="P210" s="383"/>
      <c r="Q210" s="383"/>
      <c r="R210" s="383"/>
    </row>
    <row r="211" spans="1:18" s="556" customFormat="1" ht="15" customHeight="1">
      <c r="A211" s="1126">
        <v>242</v>
      </c>
      <c r="B211" s="494"/>
      <c r="C211" s="451" t="str">
        <f t="shared" si="8"/>
        <v/>
      </c>
      <c r="D211" s="451" t="str">
        <f t="shared" si="9"/>
        <v>RENAR Patrick (Yachting Partner International)</v>
      </c>
      <c r="E211" s="494" t="s">
        <v>1611</v>
      </c>
      <c r="F211" s="494" t="s">
        <v>1154</v>
      </c>
      <c r="G211" s="494"/>
      <c r="H211" s="494" t="s">
        <v>1612</v>
      </c>
      <c r="I211" s="494" t="s">
        <v>1462</v>
      </c>
      <c r="J211" s="494" t="s">
        <v>1613</v>
      </c>
      <c r="K211" s="494" t="s">
        <v>1614</v>
      </c>
      <c r="L211" s="69" t="s">
        <v>592</v>
      </c>
      <c r="M211" s="1129"/>
      <c r="N211" s="494"/>
      <c r="O211" s="494"/>
      <c r="P211" s="1127"/>
      <c r="Q211" s="1127"/>
      <c r="R211" s="1127"/>
    </row>
    <row r="212" spans="1:18" s="556" customFormat="1" ht="15" customHeight="1">
      <c r="A212" s="494">
        <v>54</v>
      </c>
      <c r="B212" s="494">
        <v>24</v>
      </c>
      <c r="C212" s="451" t="str">
        <f t="shared" si="8"/>
        <v/>
      </c>
      <c r="D212" s="451" t="str">
        <f t="shared" si="9"/>
        <v>RENSHAW Kevin (Burgess)</v>
      </c>
      <c r="E212" s="494" t="s">
        <v>300</v>
      </c>
      <c r="F212" s="494" t="s">
        <v>1154</v>
      </c>
      <c r="G212" s="494"/>
      <c r="H212" s="494" t="s">
        <v>1615</v>
      </c>
      <c r="I212" s="494" t="s">
        <v>1299</v>
      </c>
      <c r="J212" s="637" t="s">
        <v>1616</v>
      </c>
      <c r="K212" s="494" t="s">
        <v>1617</v>
      </c>
      <c r="L212" s="69" t="s">
        <v>592</v>
      </c>
      <c r="M212" s="618" t="s">
        <v>1618</v>
      </c>
      <c r="N212" s="494"/>
      <c r="O212" s="494"/>
      <c r="P212" s="1127"/>
      <c r="Q212" s="1127"/>
      <c r="R212" s="1127"/>
    </row>
    <row r="213" spans="1:18" s="556" customFormat="1" ht="15" customHeight="1">
      <c r="A213" s="637">
        <v>177</v>
      </c>
      <c r="B213" s="637"/>
      <c r="C213" s="451" t="str">
        <f t="shared" si="8"/>
        <v>REYNIER Bernard (RY Assurances, Reynier Yachting)</v>
      </c>
      <c r="D213" s="451" t="str">
        <f t="shared" si="9"/>
        <v/>
      </c>
      <c r="E213" s="637" t="s">
        <v>1058</v>
      </c>
      <c r="F213" s="494" t="s">
        <v>587</v>
      </c>
      <c r="G213" s="494"/>
      <c r="H213" s="494" t="s">
        <v>1060</v>
      </c>
      <c r="I213" s="494" t="s">
        <v>1061</v>
      </c>
      <c r="J213" s="494" t="s">
        <v>1062</v>
      </c>
      <c r="K213" s="494" t="s">
        <v>1063</v>
      </c>
      <c r="L213" s="69" t="s">
        <v>592</v>
      </c>
      <c r="M213" s="637" t="s">
        <v>1064</v>
      </c>
      <c r="N213" s="494"/>
      <c r="O213" s="494">
        <v>33623437239</v>
      </c>
    </row>
    <row r="214" spans="1:18" s="556" customFormat="1" ht="15" customHeight="1">
      <c r="A214" s="494">
        <v>162</v>
      </c>
      <c r="B214" s="494">
        <v>61</v>
      </c>
      <c r="C214" s="451" t="str">
        <f t="shared" si="8"/>
        <v/>
      </c>
      <c r="D214" s="451" t="str">
        <f t="shared" si="9"/>
        <v>RIBEIRO Louisa (Navilux SA)</v>
      </c>
      <c r="E214" s="494" t="s">
        <v>1435</v>
      </c>
      <c r="F214" s="494" t="s">
        <v>1154</v>
      </c>
      <c r="G214" s="637"/>
      <c r="H214" s="494" t="s">
        <v>1619</v>
      </c>
      <c r="I214" s="494" t="s">
        <v>1620</v>
      </c>
      <c r="J214" s="1129" t="s">
        <v>1621</v>
      </c>
      <c r="K214" s="494" t="s">
        <v>1622</v>
      </c>
      <c r="L214" s="69"/>
      <c r="M214" s="637"/>
      <c r="N214" s="637"/>
      <c r="O214" s="637"/>
      <c r="P214" s="383"/>
      <c r="Q214" s="383"/>
      <c r="R214" s="383"/>
    </row>
    <row r="215" spans="1:18" s="556" customFormat="1" ht="15" customHeight="1">
      <c r="A215" s="1129">
        <v>147</v>
      </c>
      <c r="B215" s="1129">
        <v>60</v>
      </c>
      <c r="C215" s="451" t="str">
        <f t="shared" si="8"/>
        <v/>
      </c>
      <c r="D215" s="451" t="str">
        <f t="shared" si="9"/>
        <v>RIOU Hervé (MW AFRITEC)</v>
      </c>
      <c r="E215" s="1129" t="s">
        <v>1659</v>
      </c>
      <c r="F215" s="494" t="s">
        <v>1166</v>
      </c>
      <c r="G215" s="637"/>
      <c r="H215" s="637" t="s">
        <v>1623</v>
      </c>
      <c r="I215" s="637" t="s">
        <v>1624</v>
      </c>
      <c r="J215" s="1129" t="s">
        <v>1625</v>
      </c>
      <c r="K215" s="637" t="s">
        <v>1492</v>
      </c>
      <c r="L215" s="69"/>
      <c r="M215" s="637"/>
      <c r="N215" s="637"/>
      <c r="O215" s="637"/>
      <c r="P215" s="1127"/>
      <c r="Q215" s="1127"/>
      <c r="R215" s="1127"/>
    </row>
    <row r="216" spans="1:18" s="556" customFormat="1" ht="15" customHeight="1">
      <c r="A216" s="1129">
        <v>30</v>
      </c>
      <c r="B216" s="1129">
        <v>80</v>
      </c>
      <c r="C216" s="451" t="str">
        <f t="shared" si="8"/>
        <v/>
      </c>
      <c r="D216" s="451" t="str">
        <f t="shared" si="9"/>
        <v>SADOUET Pascal (BLACK DIAMOND LTD)</v>
      </c>
      <c r="E216" s="1129" t="s">
        <v>1629</v>
      </c>
      <c r="F216" s="494" t="s">
        <v>1166</v>
      </c>
      <c r="G216" s="1129"/>
      <c r="H216" s="494" t="s">
        <v>1630</v>
      </c>
      <c r="I216" s="494" t="s">
        <v>822</v>
      </c>
      <c r="J216" s="82" t="s">
        <v>1631</v>
      </c>
      <c r="K216" s="1129"/>
      <c r="L216" s="69" t="s">
        <v>592</v>
      </c>
      <c r="M216" s="1129"/>
      <c r="N216" s="1129"/>
      <c r="O216" s="1129"/>
      <c r="P216" s="1127"/>
      <c r="Q216" s="1127"/>
      <c r="R216" s="1127"/>
    </row>
    <row r="217" spans="1:18" s="556" customFormat="1" ht="15" customHeight="1">
      <c r="A217" s="1072"/>
      <c r="B217" s="1072"/>
      <c r="C217" s="451" t="str">
        <f t="shared" si="8"/>
        <v/>
      </c>
      <c r="D217" s="451" t="str">
        <f t="shared" si="9"/>
        <v>SAGITOVA Katia (Luxembourg Marine Services S.A.)</v>
      </c>
      <c r="E217" s="1130" t="s">
        <v>444</v>
      </c>
      <c r="F217" s="494" t="s">
        <v>1154</v>
      </c>
      <c r="G217" s="1072"/>
      <c r="H217" s="1129" t="s">
        <v>2767</v>
      </c>
      <c r="I217" s="1129" t="s">
        <v>2768</v>
      </c>
      <c r="J217" s="627" t="s">
        <v>2769</v>
      </c>
      <c r="K217" s="1072"/>
      <c r="L217" s="69" t="s">
        <v>592</v>
      </c>
      <c r="M217" s="1072" t="s">
        <v>2770</v>
      </c>
      <c r="N217" s="1072"/>
      <c r="O217" s="1072"/>
      <c r="P217" s="1150"/>
      <c r="Q217" s="1150"/>
      <c r="R217" s="1150"/>
    </row>
    <row r="218" spans="1:18" s="556" customFormat="1" ht="15" customHeight="1">
      <c r="A218" s="1126">
        <v>64</v>
      </c>
      <c r="B218" s="1126"/>
      <c r="C218" s="451" t="str">
        <f t="shared" si="8"/>
        <v>SALLOUM Ghassan (CLOVER BROKERS )</v>
      </c>
      <c r="D218" s="451" t="str">
        <f t="shared" si="9"/>
        <v/>
      </c>
      <c r="E218" s="550" t="s">
        <v>304</v>
      </c>
      <c r="F218" s="494" t="s">
        <v>587</v>
      </c>
      <c r="G218" s="1129"/>
      <c r="H218" s="494" t="s">
        <v>1065</v>
      </c>
      <c r="I218" s="494" t="s">
        <v>1066</v>
      </c>
      <c r="J218" s="1129" t="s">
        <v>1067</v>
      </c>
      <c r="K218" s="637" t="s">
        <v>1068</v>
      </c>
      <c r="L218" s="69"/>
      <c r="M218" s="1129"/>
      <c r="N218" s="1129"/>
      <c r="O218" s="1129"/>
      <c r="P218" s="83"/>
      <c r="Q218" s="83"/>
      <c r="R218" s="83"/>
    </row>
    <row r="219" spans="1:18" s="556" customFormat="1" ht="15" customHeight="1">
      <c r="A219" s="1129">
        <v>207</v>
      </c>
      <c r="B219" s="1129">
        <v>69</v>
      </c>
      <c r="C219" s="451" t="str">
        <f t="shared" si="8"/>
        <v/>
      </c>
      <c r="D219" s="451" t="str">
        <f t="shared" si="9"/>
        <v>SANDRONI VALERIE (THIERRY VOISIN)</v>
      </c>
      <c r="E219" s="1129" t="s">
        <v>1356</v>
      </c>
      <c r="F219" s="494" t="s">
        <v>1154</v>
      </c>
      <c r="G219" s="617" t="s">
        <v>1636</v>
      </c>
      <c r="H219" s="1129" t="s">
        <v>1632</v>
      </c>
      <c r="I219" s="1129" t="s">
        <v>1633</v>
      </c>
      <c r="J219" s="1129" t="s">
        <v>1634</v>
      </c>
      <c r="K219" s="1129" t="s">
        <v>1635</v>
      </c>
      <c r="L219" s="69" t="s">
        <v>592</v>
      </c>
      <c r="M219" s="1126" t="s">
        <v>1637</v>
      </c>
      <c r="N219" s="1126" t="s">
        <v>1638</v>
      </c>
      <c r="O219" s="617" t="s">
        <v>1639</v>
      </c>
      <c r="P219" s="1127"/>
      <c r="Q219" s="1127"/>
      <c r="R219" s="1127"/>
    </row>
    <row r="220" spans="1:18" s="556" customFormat="1" ht="15" customHeight="1">
      <c r="A220" s="1126">
        <v>19</v>
      </c>
      <c r="B220" s="1126"/>
      <c r="C220" s="451" t="str">
        <f t="shared" si="8"/>
        <v>SAPORITA Manuel (ASCOMA MARITIME MONACO)</v>
      </c>
      <c r="D220" s="451" t="str">
        <f t="shared" si="9"/>
        <v/>
      </c>
      <c r="E220" s="550" t="s">
        <v>266</v>
      </c>
      <c r="F220" s="494" t="s">
        <v>587</v>
      </c>
      <c r="G220" s="1126" t="s">
        <v>1072</v>
      </c>
      <c r="H220" s="1126" t="s">
        <v>1069</v>
      </c>
      <c r="I220" s="1126" t="s">
        <v>1070</v>
      </c>
      <c r="J220" s="656" t="s">
        <v>1071</v>
      </c>
      <c r="K220" s="656"/>
      <c r="L220" s="69" t="s">
        <v>619</v>
      </c>
      <c r="M220" s="656" t="s">
        <v>1073</v>
      </c>
      <c r="N220" s="656" t="s">
        <v>271</v>
      </c>
      <c r="O220" s="1126"/>
      <c r="P220" s="83"/>
      <c r="Q220" s="83"/>
      <c r="R220" s="83"/>
    </row>
    <row r="221" spans="1:18" s="556" customFormat="1" ht="15" customHeight="1">
      <c r="A221" s="1129">
        <v>189</v>
      </c>
      <c r="B221" s="1129">
        <v>1012</v>
      </c>
      <c r="C221" s="451" t="str">
        <f t="shared" si="8"/>
        <v/>
      </c>
      <c r="D221" s="451" t="str">
        <f t="shared" si="9"/>
        <v>SATJANU Hari Adi (South East Asia Exotic Cruise)</v>
      </c>
      <c r="E221" s="1129" t="s">
        <v>1640</v>
      </c>
      <c r="F221" s="494" t="s">
        <v>1154</v>
      </c>
      <c r="G221" s="1129"/>
      <c r="H221" s="1129" t="s">
        <v>1644</v>
      </c>
      <c r="I221" s="1129" t="s">
        <v>1645</v>
      </c>
      <c r="J221" s="84" t="s">
        <v>1646</v>
      </c>
      <c r="K221" s="494" t="s">
        <v>1647</v>
      </c>
      <c r="L221" s="69"/>
      <c r="M221" s="1129" t="s">
        <v>1648</v>
      </c>
      <c r="N221" s="1129"/>
      <c r="O221" s="1129"/>
      <c r="P221" s="1127"/>
      <c r="Q221" s="1127"/>
      <c r="R221" s="1127"/>
    </row>
    <row r="222" spans="1:18" s="556" customFormat="1" ht="15" customHeight="1">
      <c r="A222" s="1126">
        <v>185</v>
      </c>
      <c r="B222" s="1126"/>
      <c r="C222" s="451" t="str">
        <f t="shared" si="8"/>
        <v>SMITH Seamus (Smith Enterprises)</v>
      </c>
      <c r="D222" s="451" t="str">
        <f t="shared" si="9"/>
        <v/>
      </c>
      <c r="E222" s="1130" t="s">
        <v>2411</v>
      </c>
      <c r="F222" s="494" t="s">
        <v>587</v>
      </c>
      <c r="G222" s="1126"/>
      <c r="H222" s="1126" t="s">
        <v>2463</v>
      </c>
      <c r="I222" s="1126" t="s">
        <v>2464</v>
      </c>
      <c r="J222" s="551" t="s">
        <v>2465</v>
      </c>
      <c r="K222" s="1129" t="s">
        <v>2466</v>
      </c>
      <c r="L222" s="69" t="s">
        <v>592</v>
      </c>
      <c r="M222" s="1126"/>
      <c r="N222" s="1126"/>
      <c r="O222" s="1126"/>
    </row>
    <row r="223" spans="1:18" s="556" customFormat="1" ht="15" customHeight="1">
      <c r="A223" s="1126">
        <v>155</v>
      </c>
      <c r="B223" s="537"/>
      <c r="C223" s="451" t="str">
        <f t="shared" si="8"/>
        <v>SOYER Maxence (Nasco France)</v>
      </c>
      <c r="D223" s="451" t="str">
        <f t="shared" si="9"/>
        <v/>
      </c>
      <c r="E223" s="1126" t="s">
        <v>2406</v>
      </c>
      <c r="F223" s="494" t="s">
        <v>587</v>
      </c>
      <c r="G223" s="537"/>
      <c r="H223" s="1129" t="s">
        <v>1074</v>
      </c>
      <c r="I223" s="1129" t="s">
        <v>1075</v>
      </c>
      <c r="J223" s="558" t="s">
        <v>1076</v>
      </c>
      <c r="K223" s="537" t="s">
        <v>1077</v>
      </c>
      <c r="L223" s="69" t="s">
        <v>592</v>
      </c>
      <c r="M223" s="537" t="s">
        <v>1078</v>
      </c>
      <c r="N223" s="537" t="s">
        <v>1079</v>
      </c>
      <c r="O223" s="537"/>
    </row>
    <row r="224" spans="1:18" s="556" customFormat="1" ht="15" customHeight="1">
      <c r="A224" s="1129"/>
      <c r="B224" s="1129"/>
      <c r="C224" s="451" t="str">
        <f t="shared" si="8"/>
        <v>Spinelli Charles Croce (ASN One SA)</v>
      </c>
      <c r="D224" s="451" t="str">
        <f t="shared" si="9"/>
        <v/>
      </c>
      <c r="E224" s="1126" t="s">
        <v>2785</v>
      </c>
      <c r="F224" s="494" t="s">
        <v>587</v>
      </c>
      <c r="G224" s="1126" t="s">
        <v>2788</v>
      </c>
      <c r="H224" s="1126" t="s">
        <v>2789</v>
      </c>
      <c r="I224" s="1126" t="s">
        <v>2790</v>
      </c>
      <c r="J224" s="1128" t="s">
        <v>2791</v>
      </c>
      <c r="K224" s="1129"/>
      <c r="L224" s="69" t="s">
        <v>592</v>
      </c>
      <c r="M224" s="1126" t="s">
        <v>2792</v>
      </c>
      <c r="N224" s="1126"/>
      <c r="O224" s="1126" t="s">
        <v>2793</v>
      </c>
      <c r="P224" s="582"/>
      <c r="Q224" s="582"/>
      <c r="R224" s="582"/>
    </row>
    <row r="225" spans="1:18" s="556" customFormat="1" ht="15" customHeight="1">
      <c r="A225" s="1129">
        <v>93</v>
      </c>
      <c r="B225" s="1129">
        <v>40</v>
      </c>
      <c r="C225" s="451" t="str">
        <f t="shared" si="8"/>
        <v/>
      </c>
      <c r="D225" s="451" t="str">
        <f t="shared" si="9"/>
        <v>STECKAR David (Globe Skipper)</v>
      </c>
      <c r="E225" s="1129" t="s">
        <v>1652</v>
      </c>
      <c r="F225" s="494" t="s">
        <v>1154</v>
      </c>
      <c r="G225" s="1129"/>
      <c r="H225" s="1129" t="s">
        <v>1653</v>
      </c>
      <c r="I225" s="1129" t="s">
        <v>776</v>
      </c>
      <c r="J225" s="1129" t="s">
        <v>1654</v>
      </c>
      <c r="K225" s="1129" t="s">
        <v>1655</v>
      </c>
      <c r="L225" s="69"/>
      <c r="M225" s="1129" t="s">
        <v>1656</v>
      </c>
      <c r="N225" s="1129"/>
      <c r="O225" s="1129"/>
      <c r="P225" s="1127"/>
      <c r="Q225" s="1127"/>
      <c r="R225" s="1127"/>
    </row>
    <row r="226" spans="1:18" s="556" customFormat="1" ht="15" customHeight="1">
      <c r="A226" s="1072"/>
      <c r="B226" s="1072"/>
      <c r="C226" s="451" t="str">
        <f t="shared" si="8"/>
        <v/>
      </c>
      <c r="D226" s="451" t="str">
        <f t="shared" si="9"/>
        <v>STECKAR David (BOAT'in France)</v>
      </c>
      <c r="E226" s="637" t="s">
        <v>2623</v>
      </c>
      <c r="F226" s="494" t="s">
        <v>1154</v>
      </c>
      <c r="G226" s="1072"/>
      <c r="H226" s="1126" t="s">
        <v>1653</v>
      </c>
      <c r="I226" s="1126" t="s">
        <v>776</v>
      </c>
      <c r="J226" s="1142" t="s">
        <v>2628</v>
      </c>
      <c r="K226" s="1072"/>
      <c r="L226" s="69" t="s">
        <v>592</v>
      </c>
      <c r="M226" s="1126" t="s">
        <v>2629</v>
      </c>
      <c r="N226" s="1072"/>
      <c r="O226" s="1126" t="s">
        <v>2629</v>
      </c>
      <c r="P226" s="1150"/>
      <c r="Q226" s="1150"/>
      <c r="R226" s="1150"/>
    </row>
    <row r="227" spans="1:18" s="556" customFormat="1" ht="15" customHeight="1">
      <c r="A227" s="1129">
        <v>39</v>
      </c>
      <c r="B227" s="69"/>
      <c r="C227" s="451" t="str">
        <f t="shared" si="8"/>
        <v>STEIN Nicolas (BOURBON GROUP)</v>
      </c>
      <c r="D227" s="451" t="str">
        <f t="shared" si="9"/>
        <v/>
      </c>
      <c r="E227" s="1129" t="s">
        <v>629</v>
      </c>
      <c r="F227" s="494" t="s">
        <v>587</v>
      </c>
      <c r="G227" s="1129"/>
      <c r="H227" s="1129" t="s">
        <v>1080</v>
      </c>
      <c r="I227" s="1129" t="s">
        <v>982</v>
      </c>
      <c r="J227" s="1129" t="s">
        <v>1081</v>
      </c>
      <c r="K227" s="1129" t="s">
        <v>984</v>
      </c>
      <c r="L227" s="69"/>
      <c r="M227" s="1129" t="s">
        <v>1082</v>
      </c>
      <c r="N227" s="1129"/>
      <c r="O227" s="1129"/>
      <c r="P227" s="83"/>
      <c r="Q227" s="83"/>
      <c r="R227" s="83"/>
    </row>
    <row r="228" spans="1:18" s="556" customFormat="1" ht="15" customHeight="1">
      <c r="A228" s="69">
        <v>184</v>
      </c>
      <c r="B228" s="617"/>
      <c r="C228" s="451" t="str">
        <f t="shared" si="8"/>
        <v>TETU Edith (SLCA SA)</v>
      </c>
      <c r="D228" s="451" t="str">
        <f t="shared" si="9"/>
        <v/>
      </c>
      <c r="E228" s="1130" t="s">
        <v>2407</v>
      </c>
      <c r="F228" s="494" t="s">
        <v>587</v>
      </c>
      <c r="G228" s="1126"/>
      <c r="H228" s="1126" t="s">
        <v>2461</v>
      </c>
      <c r="I228" s="617" t="s">
        <v>2462</v>
      </c>
      <c r="J228" s="1126"/>
      <c r="K228" s="1129"/>
      <c r="L228" s="69" t="s">
        <v>592</v>
      </c>
      <c r="M228" s="1126" t="s">
        <v>2410</v>
      </c>
      <c r="N228" s="1126"/>
      <c r="O228" s="1126"/>
    </row>
    <row r="229" spans="1:18" s="556" customFormat="1" ht="15" customHeight="1">
      <c r="A229" s="69">
        <v>82</v>
      </c>
      <c r="B229" s="1126"/>
      <c r="C229" s="451" t="str">
        <f t="shared" si="8"/>
        <v/>
      </c>
      <c r="D229" s="451" t="str">
        <f t="shared" si="9"/>
        <v>THOMAJ Edita  (Fenchurch Faris Ltd)</v>
      </c>
      <c r="E229" s="1130" t="s">
        <v>357</v>
      </c>
      <c r="F229" s="494" t="s">
        <v>1154</v>
      </c>
      <c r="G229" s="494"/>
      <c r="H229" s="71" t="s">
        <v>1083</v>
      </c>
      <c r="I229" s="1126" t="s">
        <v>1084</v>
      </c>
      <c r="J229" s="74" t="s">
        <v>1085</v>
      </c>
      <c r="K229" s="74"/>
      <c r="L229" s="69" t="s">
        <v>619</v>
      </c>
      <c r="M229" s="637" t="s">
        <v>362</v>
      </c>
      <c r="N229" s="494" t="s">
        <v>363</v>
      </c>
      <c r="O229" s="494" t="s">
        <v>753</v>
      </c>
      <c r="P229" s="1127"/>
      <c r="Q229" s="1127"/>
      <c r="R229" s="1127"/>
    </row>
    <row r="230" spans="1:18" s="556" customFormat="1" ht="15" customHeight="1">
      <c r="A230" s="69">
        <v>139</v>
      </c>
      <c r="B230" s="1129"/>
      <c r="C230" s="451" t="str">
        <f t="shared" si="8"/>
        <v/>
      </c>
      <c r="D230" s="451" t="str">
        <f t="shared" si="9"/>
        <v>THOUANT Stéphanie (Monaco Equipage)</v>
      </c>
      <c r="E230" s="1130" t="s">
        <v>471</v>
      </c>
      <c r="F230" s="494" t="s">
        <v>1154</v>
      </c>
      <c r="G230" s="637"/>
      <c r="H230" s="637" t="s">
        <v>1657</v>
      </c>
      <c r="I230" s="637" t="s">
        <v>705</v>
      </c>
      <c r="J230" s="74" t="s">
        <v>1658</v>
      </c>
      <c r="K230" s="74"/>
      <c r="L230" s="69" t="s">
        <v>619</v>
      </c>
      <c r="M230" s="637"/>
      <c r="N230" s="637"/>
      <c r="O230" s="637"/>
      <c r="P230" s="1127"/>
      <c r="Q230" s="1127"/>
      <c r="R230" s="1127"/>
    </row>
    <row r="231" spans="1:18" s="556" customFormat="1" ht="15" customHeight="1">
      <c r="A231" s="69">
        <v>79</v>
      </c>
      <c r="B231" s="1126"/>
      <c r="C231" s="451" t="str">
        <f t="shared" si="8"/>
        <v>TIREL Matthieu (EYSSAUTIER)</v>
      </c>
      <c r="D231" s="451" t="str">
        <f t="shared" si="9"/>
        <v/>
      </c>
      <c r="E231" s="1129" t="s">
        <v>611</v>
      </c>
      <c r="F231" s="494" t="s">
        <v>587</v>
      </c>
      <c r="G231" s="1129"/>
      <c r="H231" s="1129" t="s">
        <v>1086</v>
      </c>
      <c r="I231" s="1129" t="s">
        <v>1087</v>
      </c>
      <c r="J231" s="1129" t="s">
        <v>1088</v>
      </c>
      <c r="K231" s="1129" t="s">
        <v>1089</v>
      </c>
      <c r="L231" s="69" t="s">
        <v>592</v>
      </c>
      <c r="M231" s="1129"/>
      <c r="N231" s="1129"/>
      <c r="O231" s="1129"/>
      <c r="P231" s="83"/>
      <c r="Q231" s="83"/>
      <c r="R231" s="83"/>
    </row>
    <row r="232" spans="1:18" s="556" customFormat="1" ht="15" customHeight="1">
      <c r="A232" s="617">
        <v>98</v>
      </c>
      <c r="B232" s="617"/>
      <c r="C232" s="451" t="str">
        <f t="shared" si="8"/>
        <v/>
      </c>
      <c r="D232" s="451" t="str">
        <f t="shared" si="9"/>
        <v>TOUATI Arthur (Groupe Suisscourtage)</v>
      </c>
      <c r="E232" s="1126" t="s">
        <v>1090</v>
      </c>
      <c r="F232" s="494" t="s">
        <v>1154</v>
      </c>
      <c r="G232" s="617"/>
      <c r="H232" s="617" t="s">
        <v>1092</v>
      </c>
      <c r="I232" s="617" t="s">
        <v>1093</v>
      </c>
      <c r="J232" s="656" t="s">
        <v>1094</v>
      </c>
      <c r="K232" s="656"/>
      <c r="L232" s="69" t="s">
        <v>619</v>
      </c>
      <c r="M232" s="617" t="s">
        <v>494</v>
      </c>
      <c r="N232" s="617" t="s">
        <v>1095</v>
      </c>
      <c r="O232" s="617"/>
      <c r="P232" s="1127"/>
      <c r="Q232" s="1127"/>
      <c r="R232" s="1127"/>
    </row>
    <row r="233" spans="1:18" s="556" customFormat="1" ht="15" customHeight="1">
      <c r="A233" s="69">
        <v>196</v>
      </c>
      <c r="B233" s="1126"/>
      <c r="C233" s="451" t="str">
        <f t="shared" si="8"/>
        <v>TOUATI Arthur (Suisscourtage Antibes)</v>
      </c>
      <c r="D233" s="451" t="str">
        <f t="shared" si="9"/>
        <v/>
      </c>
      <c r="E233" s="1126" t="s">
        <v>970</v>
      </c>
      <c r="F233" s="494" t="s">
        <v>587</v>
      </c>
      <c r="G233" s="1126"/>
      <c r="H233" s="1126" t="s">
        <v>1092</v>
      </c>
      <c r="I233" s="1126" t="s">
        <v>1093</v>
      </c>
      <c r="J233" s="656" t="s">
        <v>1094</v>
      </c>
      <c r="K233" s="656"/>
      <c r="L233" s="69" t="s">
        <v>619</v>
      </c>
      <c r="M233" s="1126" t="s">
        <v>494</v>
      </c>
      <c r="N233" s="1126" t="s">
        <v>1095</v>
      </c>
      <c r="O233" s="1126"/>
    </row>
    <row r="234" spans="1:18" s="556" customFormat="1" ht="15" customHeight="1">
      <c r="A234" s="1126">
        <v>20</v>
      </c>
      <c r="B234" s="1126"/>
      <c r="C234" s="451" t="str">
        <f t="shared" si="8"/>
        <v>TOULZE Pascale (ASCOMA MARITIME MONACO)</v>
      </c>
      <c r="D234" s="451" t="str">
        <f t="shared" si="9"/>
        <v/>
      </c>
      <c r="E234" s="550" t="s">
        <v>266</v>
      </c>
      <c r="F234" s="494" t="s">
        <v>587</v>
      </c>
      <c r="G234" s="494"/>
      <c r="H234" s="494" t="s">
        <v>1096</v>
      </c>
      <c r="I234" s="494" t="s">
        <v>1097</v>
      </c>
      <c r="J234" s="1129" t="s">
        <v>1098</v>
      </c>
      <c r="K234" s="494" t="s">
        <v>1099</v>
      </c>
      <c r="L234" s="69" t="s">
        <v>592</v>
      </c>
      <c r="M234" s="494" t="s">
        <v>1100</v>
      </c>
      <c r="N234" s="494" t="s">
        <v>1101</v>
      </c>
      <c r="O234" s="494"/>
      <c r="P234" s="83"/>
      <c r="Q234" s="83"/>
      <c r="R234" s="83"/>
    </row>
    <row r="235" spans="1:18" s="556" customFormat="1" ht="15" customHeight="1">
      <c r="A235" s="617">
        <v>119</v>
      </c>
      <c r="B235" s="1129"/>
      <c r="C235" s="451" t="str">
        <f t="shared" si="8"/>
        <v>TOUZET Sandrine (LK Courtage)</v>
      </c>
      <c r="D235" s="451" t="str">
        <f t="shared" si="9"/>
        <v/>
      </c>
      <c r="E235" s="1130" t="s">
        <v>565</v>
      </c>
      <c r="F235" s="494" t="s">
        <v>587</v>
      </c>
      <c r="G235" s="1129"/>
      <c r="H235" s="1129" t="s">
        <v>1129</v>
      </c>
      <c r="I235" s="1129" t="s">
        <v>1130</v>
      </c>
      <c r="J235" s="549" t="s">
        <v>917</v>
      </c>
      <c r="K235" s="637"/>
      <c r="L235" s="69" t="s">
        <v>619</v>
      </c>
      <c r="M235" s="1129" t="s">
        <v>1131</v>
      </c>
      <c r="N235" s="1129"/>
      <c r="O235" s="1129"/>
    </row>
    <row r="236" spans="1:18" s="556" customFormat="1" ht="15" customHeight="1">
      <c r="A236" s="617">
        <v>148</v>
      </c>
      <c r="B236" s="1129">
        <v>60</v>
      </c>
      <c r="C236" s="451" t="str">
        <f t="shared" si="8"/>
        <v/>
      </c>
      <c r="D236" s="451" t="str">
        <f t="shared" si="9"/>
        <v>TSHIBANGU Franck Kanyinda (MW AFRITEC)</v>
      </c>
      <c r="E236" s="1129" t="s">
        <v>1659</v>
      </c>
      <c r="F236" s="494" t="s">
        <v>1166</v>
      </c>
      <c r="G236" s="1129"/>
      <c r="H236" s="1129" t="s">
        <v>1660</v>
      </c>
      <c r="I236" s="1129" t="s">
        <v>1661</v>
      </c>
      <c r="J236" s="1129" t="s">
        <v>1662</v>
      </c>
      <c r="K236" s="1129" t="s">
        <v>1663</v>
      </c>
      <c r="L236" s="69"/>
      <c r="M236" s="1129" t="s">
        <v>1664</v>
      </c>
      <c r="N236" s="1129"/>
      <c r="O236" s="1129" t="s">
        <v>1665</v>
      </c>
      <c r="P236" s="1127"/>
      <c r="Q236" s="1127"/>
      <c r="R236" s="1127"/>
    </row>
    <row r="237" spans="1:18" s="556" customFormat="1" ht="15" customHeight="1">
      <c r="A237" s="1126">
        <v>194</v>
      </c>
      <c r="B237" s="1126"/>
      <c r="C237" s="451" t="str">
        <f t="shared" si="8"/>
        <v>URSINI Marion (SUD EUROCOURTAGE)</v>
      </c>
      <c r="D237" s="451" t="str">
        <f t="shared" si="9"/>
        <v/>
      </c>
      <c r="E237" s="466" t="s">
        <v>541</v>
      </c>
      <c r="F237" s="494" t="s">
        <v>587</v>
      </c>
      <c r="G237" s="1126"/>
      <c r="H237" s="1126" t="s">
        <v>1102</v>
      </c>
      <c r="I237" s="1126" t="s">
        <v>1103</v>
      </c>
      <c r="J237" s="71" t="s">
        <v>1104</v>
      </c>
      <c r="K237" s="71"/>
      <c r="L237" s="69" t="s">
        <v>619</v>
      </c>
      <c r="M237" s="1126" t="s">
        <v>545</v>
      </c>
      <c r="N237" s="1126"/>
      <c r="O237" s="1126"/>
    </row>
    <row r="238" spans="1:18" s="556" customFormat="1" ht="15" customHeight="1">
      <c r="A238" s="1126">
        <v>16</v>
      </c>
      <c r="B238" s="494">
        <v>18</v>
      </c>
      <c r="C238" s="451" t="str">
        <f t="shared" si="8"/>
        <v/>
      </c>
      <c r="D238" s="451" t="str">
        <f t="shared" si="9"/>
        <v>VALERA Elisa (Aquila Yachting)</v>
      </c>
      <c r="E238" s="494" t="s">
        <v>1666</v>
      </c>
      <c r="F238" s="494" t="s">
        <v>1154</v>
      </c>
      <c r="G238" s="494"/>
      <c r="H238" s="494" t="s">
        <v>1670</v>
      </c>
      <c r="I238" s="494" t="s">
        <v>1671</v>
      </c>
      <c r="J238" s="494" t="s">
        <v>1482</v>
      </c>
      <c r="K238" s="494" t="s">
        <v>1672</v>
      </c>
      <c r="L238" s="69" t="s">
        <v>592</v>
      </c>
      <c r="M238" s="494" t="s">
        <v>1673</v>
      </c>
      <c r="N238" s="494" t="s">
        <v>1674</v>
      </c>
      <c r="O238" s="494"/>
      <c r="P238" s="1127"/>
      <c r="Q238" s="1127"/>
      <c r="R238" s="1127"/>
    </row>
    <row r="239" spans="1:18" s="556" customFormat="1" ht="15" customHeight="1">
      <c r="A239" s="1129">
        <v>96</v>
      </c>
      <c r="B239" s="1129"/>
      <c r="C239" s="451" t="str">
        <f t="shared" si="8"/>
        <v/>
      </c>
      <c r="D239" s="451" t="str">
        <f t="shared" si="9"/>
        <v>VALLOT Bernard (Grenadines Transportes Maritimos Lda)</v>
      </c>
      <c r="E239" s="1129" t="s">
        <v>1732</v>
      </c>
      <c r="F239" s="494" t="s">
        <v>1166</v>
      </c>
      <c r="G239" s="1129"/>
      <c r="H239" s="1129" t="s">
        <v>1675</v>
      </c>
      <c r="I239" s="1129" t="s">
        <v>1061</v>
      </c>
      <c r="J239" s="1129" t="s">
        <v>1676</v>
      </c>
      <c r="K239" s="494" t="s">
        <v>1063</v>
      </c>
      <c r="L239" s="69" t="s">
        <v>592</v>
      </c>
      <c r="M239" s="1129"/>
      <c r="N239" s="1129"/>
      <c r="O239" s="1129"/>
      <c r="P239" s="1127"/>
      <c r="Q239" s="1127"/>
      <c r="R239" s="1127"/>
    </row>
    <row r="240" spans="1:18" s="556" customFormat="1" ht="15" customHeight="1">
      <c r="A240" s="69">
        <v>115</v>
      </c>
      <c r="B240" s="1126"/>
      <c r="C240" s="451" t="str">
        <f t="shared" si="8"/>
        <v>VAN BETS Laurie (Junge Verzekeringsmakelaars NV)</v>
      </c>
      <c r="D240" s="451" t="str">
        <f t="shared" si="9"/>
        <v/>
      </c>
      <c r="E240" s="1126" t="s">
        <v>2401</v>
      </c>
      <c r="F240" s="494" t="s">
        <v>587</v>
      </c>
      <c r="G240" s="1126"/>
      <c r="H240" s="1126" t="s">
        <v>2452</v>
      </c>
      <c r="I240" s="1126" t="s">
        <v>2453</v>
      </c>
      <c r="J240" s="551" t="s">
        <v>2454</v>
      </c>
      <c r="K240" s="494"/>
      <c r="L240" s="69" t="s">
        <v>592</v>
      </c>
      <c r="M240" s="618"/>
      <c r="N240" s="1126"/>
      <c r="O240" s="1126"/>
    </row>
    <row r="241" spans="1:18" s="556" customFormat="1" ht="15" customHeight="1">
      <c r="A241" s="1126">
        <v>58</v>
      </c>
      <c r="B241" s="1129">
        <v>81</v>
      </c>
      <c r="C241" s="451" t="str">
        <f t="shared" si="8"/>
        <v/>
      </c>
      <c r="D241" s="451" t="str">
        <f t="shared" si="9"/>
        <v>VAN HOUTTE Eric (Capitaine Luisa May)</v>
      </c>
      <c r="E241" s="1129" t="s">
        <v>1677</v>
      </c>
      <c r="F241" s="494" t="s">
        <v>1166</v>
      </c>
      <c r="G241" s="1129"/>
      <c r="H241" s="1129" t="s">
        <v>1678</v>
      </c>
      <c r="I241" s="1129" t="s">
        <v>1523</v>
      </c>
      <c r="J241" s="1129" t="s">
        <v>1679</v>
      </c>
      <c r="K241" s="1129" t="s">
        <v>1680</v>
      </c>
      <c r="L241" s="69"/>
      <c r="M241" s="1129" t="s">
        <v>1681</v>
      </c>
      <c r="N241" s="1129"/>
      <c r="O241" s="1129"/>
      <c r="P241" s="383"/>
      <c r="Q241" s="383"/>
      <c r="R241" s="383"/>
    </row>
    <row r="242" spans="1:18" s="556" customFormat="1" ht="15" customHeight="1">
      <c r="A242" s="1129">
        <v>114</v>
      </c>
      <c r="B242" s="1126"/>
      <c r="C242" s="451" t="str">
        <f t="shared" si="8"/>
        <v/>
      </c>
      <c r="D242" s="451" t="str">
        <f t="shared" si="9"/>
        <v>VAN MEENIN Grégory  (JOURDAN GASSIN Nice)</v>
      </c>
      <c r="E242" s="1126" t="s">
        <v>433</v>
      </c>
      <c r="F242" s="494" t="s">
        <v>1154</v>
      </c>
      <c r="G242" s="1126"/>
      <c r="H242" s="1126" t="s">
        <v>1105</v>
      </c>
      <c r="I242" s="1126" t="s">
        <v>1106</v>
      </c>
      <c r="J242" s="71" t="s">
        <v>875</v>
      </c>
      <c r="K242" s="71"/>
      <c r="L242" s="69" t="s">
        <v>619</v>
      </c>
      <c r="M242" s="1126" t="s">
        <v>1107</v>
      </c>
      <c r="N242" s="1126" t="s">
        <v>877</v>
      </c>
      <c r="O242" s="1126"/>
      <c r="P242" s="1127"/>
      <c r="Q242" s="1127"/>
      <c r="R242" s="1127"/>
    </row>
    <row r="243" spans="1:18" s="556" customFormat="1" ht="15" customHeight="1">
      <c r="A243" s="1129">
        <v>132</v>
      </c>
      <c r="B243" s="637"/>
      <c r="C243" s="451" t="str">
        <f t="shared" si="8"/>
        <v>VIDEAU Philippe (Maritime Albatros)</v>
      </c>
      <c r="D243" s="451" t="str">
        <f t="shared" si="9"/>
        <v/>
      </c>
      <c r="E243" s="1129" t="s">
        <v>666</v>
      </c>
      <c r="F243" s="494" t="s">
        <v>587</v>
      </c>
      <c r="G243" s="637"/>
      <c r="H243" s="494" t="s">
        <v>1108</v>
      </c>
      <c r="I243" s="494" t="s">
        <v>783</v>
      </c>
      <c r="J243" s="494" t="s">
        <v>1109</v>
      </c>
      <c r="K243" s="494" t="s">
        <v>1110</v>
      </c>
      <c r="L243" s="69"/>
      <c r="M243" s="637"/>
      <c r="N243" s="637"/>
      <c r="O243" s="637"/>
    </row>
    <row r="244" spans="1:18" s="556" customFormat="1" ht="15" customHeight="1">
      <c r="A244" s="1126">
        <v>218</v>
      </c>
      <c r="B244" s="637"/>
      <c r="C244" s="451" t="str">
        <f t="shared" si="8"/>
        <v>VIELFAURE François (UVEA MARINE SERVICE)</v>
      </c>
      <c r="D244" s="451" t="str">
        <f t="shared" si="9"/>
        <v/>
      </c>
      <c r="E244" s="1129" t="s">
        <v>640</v>
      </c>
      <c r="F244" s="494" t="s">
        <v>587</v>
      </c>
      <c r="G244" s="637"/>
      <c r="H244" s="637" t="s">
        <v>1111</v>
      </c>
      <c r="I244" s="637" t="s">
        <v>725</v>
      </c>
      <c r="J244" s="637" t="s">
        <v>1112</v>
      </c>
      <c r="K244" s="637" t="s">
        <v>1113</v>
      </c>
      <c r="L244" s="69" t="s">
        <v>592</v>
      </c>
      <c r="M244" s="637"/>
      <c r="N244" s="637"/>
      <c r="O244" s="637"/>
    </row>
    <row r="245" spans="1:18" s="556" customFormat="1" ht="15" customHeight="1">
      <c r="A245" s="69">
        <v>52</v>
      </c>
      <c r="B245" s="1129">
        <v>23</v>
      </c>
      <c r="C245" s="451" t="str">
        <f t="shared" si="8"/>
        <v/>
      </c>
      <c r="D245" s="451" t="str">
        <f t="shared" si="9"/>
        <v>VIGNEUX Françoise (Bourbon Offshore Greenmar)</v>
      </c>
      <c r="E245" s="1129" t="s">
        <v>754</v>
      </c>
      <c r="F245" s="494" t="s">
        <v>1154</v>
      </c>
      <c r="G245" s="1129"/>
      <c r="H245" s="494" t="s">
        <v>1682</v>
      </c>
      <c r="I245" s="494" t="s">
        <v>1683</v>
      </c>
      <c r="J245" s="494" t="s">
        <v>1684</v>
      </c>
      <c r="K245" s="494" t="s">
        <v>1685</v>
      </c>
      <c r="L245" s="69" t="s">
        <v>592</v>
      </c>
      <c r="M245" s="1129" t="s">
        <v>1686</v>
      </c>
      <c r="N245" s="1129"/>
      <c r="O245" s="1129" t="s">
        <v>1687</v>
      </c>
      <c r="P245" s="1127"/>
      <c r="Q245" s="1127"/>
      <c r="R245" s="1127"/>
    </row>
    <row r="246" spans="1:18" s="556" customFormat="1" ht="15" customHeight="1">
      <c r="A246" s="1126">
        <v>140</v>
      </c>
      <c r="B246" s="1129"/>
      <c r="C246" s="451" t="str">
        <f t="shared" si="8"/>
        <v/>
      </c>
      <c r="D246" s="451" t="str">
        <f t="shared" si="9"/>
        <v>VOGELE Pascal (Moonlight Shipping Ltd)</v>
      </c>
      <c r="E246" s="1129" t="s">
        <v>1734</v>
      </c>
      <c r="F246" s="660" t="s">
        <v>1166</v>
      </c>
      <c r="G246" s="1129"/>
      <c r="H246" s="1129" t="s">
        <v>1688</v>
      </c>
      <c r="I246" s="1129" t="s">
        <v>822</v>
      </c>
      <c r="J246" s="1129" t="s">
        <v>1689</v>
      </c>
      <c r="K246" s="1129" t="s">
        <v>1690</v>
      </c>
      <c r="L246" s="655" t="s">
        <v>592</v>
      </c>
      <c r="M246" s="1129"/>
      <c r="N246" s="1129"/>
      <c r="O246" s="1129"/>
      <c r="P246" s="1127"/>
      <c r="Q246" s="1127"/>
      <c r="R246" s="1127"/>
    </row>
    <row r="247" spans="1:18" s="580" customFormat="1">
      <c r="A247" s="655">
        <v>149</v>
      </c>
      <c r="B247" s="660">
        <v>60</v>
      </c>
      <c r="C247" s="451" t="str">
        <f t="shared" si="8"/>
        <v/>
      </c>
      <c r="D247" s="451" t="str">
        <f t="shared" si="9"/>
        <v>WAN André (MW AFRITEC)</v>
      </c>
      <c r="E247" s="1129" t="s">
        <v>1659</v>
      </c>
      <c r="F247" s="660" t="s">
        <v>1154</v>
      </c>
      <c r="G247" s="660"/>
      <c r="H247" s="660" t="s">
        <v>1691</v>
      </c>
      <c r="I247" s="660" t="s">
        <v>1692</v>
      </c>
      <c r="J247" s="660" t="s">
        <v>1693</v>
      </c>
      <c r="K247" s="660" t="s">
        <v>1568</v>
      </c>
      <c r="L247" s="655"/>
      <c r="M247" s="660"/>
      <c r="N247" s="660"/>
      <c r="O247" s="660"/>
      <c r="P247" s="1127"/>
      <c r="Q247" s="1127"/>
      <c r="R247" s="1127"/>
    </row>
    <row r="248" spans="1:18">
      <c r="A248" s="1126">
        <v>71</v>
      </c>
      <c r="B248" s="832">
        <v>83</v>
      </c>
      <c r="C248" s="451" t="str">
        <f t="shared" si="8"/>
        <v/>
      </c>
      <c r="D248" s="451" t="str">
        <f t="shared" si="9"/>
        <v>WENDT Frédérique (D&amp;B SERVICES -Cayman Islands)</v>
      </c>
      <c r="E248" s="1130" t="s">
        <v>319</v>
      </c>
      <c r="F248" s="832" t="s">
        <v>1154</v>
      </c>
      <c r="G248" s="1129"/>
      <c r="H248" s="1129" t="s">
        <v>1694</v>
      </c>
      <c r="I248" s="1129" t="s">
        <v>1695</v>
      </c>
      <c r="J248" s="1129" t="s">
        <v>1696</v>
      </c>
      <c r="K248" s="832" t="s">
        <v>1697</v>
      </c>
      <c r="L248" s="655" t="s">
        <v>592</v>
      </c>
      <c r="M248" s="1129" t="s">
        <v>1698</v>
      </c>
      <c r="N248" s="1129" t="s">
        <v>1699</v>
      </c>
      <c r="O248" s="1129"/>
      <c r="P248" s="582"/>
      <c r="Q248" s="582"/>
      <c r="R248" s="582"/>
    </row>
    <row r="249" spans="1:18">
      <c r="A249" s="1167">
        <v>72</v>
      </c>
      <c r="B249" s="1167">
        <v>83</v>
      </c>
      <c r="C249" s="451" t="str">
        <f t="shared" si="8"/>
        <v/>
      </c>
      <c r="D249" s="451" t="str">
        <f t="shared" si="9"/>
        <v>WENDT Frédérique (D&amp;B SERVICES -France)</v>
      </c>
      <c r="E249" s="1169" t="s">
        <v>327</v>
      </c>
      <c r="F249" s="1167" t="s">
        <v>1154</v>
      </c>
      <c r="G249" s="1167"/>
      <c r="H249" s="1167" t="s">
        <v>1694</v>
      </c>
      <c r="I249" s="1167" t="s">
        <v>1695</v>
      </c>
      <c r="J249" s="1167" t="s">
        <v>1696</v>
      </c>
      <c r="K249" s="1167" t="s">
        <v>1697</v>
      </c>
      <c r="L249" s="1123" t="s">
        <v>592</v>
      </c>
      <c r="M249" s="1167" t="s">
        <v>1698</v>
      </c>
      <c r="N249" s="1167" t="s">
        <v>1699</v>
      </c>
      <c r="O249" s="1167"/>
      <c r="P249" s="1127"/>
      <c r="Q249" s="1127"/>
      <c r="R249" s="1127"/>
    </row>
    <row r="250" spans="1:18" ht="25.5">
      <c r="A250" s="1123">
        <v>83</v>
      </c>
      <c r="B250" s="1123"/>
      <c r="C250" s="451" t="str">
        <f t="shared" si="8"/>
        <v>Zambon Sandra (FILHET ALLARD Maritime)</v>
      </c>
      <c r="D250" s="451" t="str">
        <f t="shared" si="9"/>
        <v/>
      </c>
      <c r="E250" s="1140" t="s">
        <v>365</v>
      </c>
      <c r="F250" s="1122" t="s">
        <v>587</v>
      </c>
      <c r="G250" s="1123" t="s">
        <v>1117</v>
      </c>
      <c r="H250" s="1167" t="s">
        <v>1114</v>
      </c>
      <c r="I250" s="1167" t="s">
        <v>1115</v>
      </c>
      <c r="J250" s="1167" t="s">
        <v>1116</v>
      </c>
      <c r="K250" s="1167" t="s">
        <v>1114</v>
      </c>
      <c r="L250" s="1123" t="s">
        <v>592</v>
      </c>
      <c r="M250" s="1123" t="s">
        <v>1118</v>
      </c>
      <c r="N250" s="1123" t="s">
        <v>1119</v>
      </c>
      <c r="O250" s="1141"/>
      <c r="P250" s="553"/>
      <c r="Q250" s="553"/>
      <c r="R250" s="553"/>
    </row>
    <row r="251" spans="1:18" ht="25.5">
      <c r="A251" s="1167">
        <v>204</v>
      </c>
      <c r="B251" s="1123"/>
      <c r="C251" s="451" t="str">
        <f t="shared" si="8"/>
        <v>ZIANE Myriam (SUISSCOURTAGE Monaco)</v>
      </c>
      <c r="D251" s="451" t="str">
        <f t="shared" si="9"/>
        <v/>
      </c>
      <c r="E251" s="1140" t="s">
        <v>553</v>
      </c>
      <c r="F251" s="1122" t="s">
        <v>587</v>
      </c>
      <c r="G251" s="1123"/>
      <c r="H251" s="1123" t="s">
        <v>1120</v>
      </c>
      <c r="I251" s="1123" t="s">
        <v>1121</v>
      </c>
      <c r="J251" s="1141" t="s">
        <v>1122</v>
      </c>
      <c r="K251" s="1141"/>
      <c r="L251" s="1123" t="s">
        <v>619</v>
      </c>
      <c r="M251" s="1123" t="s">
        <v>555</v>
      </c>
      <c r="N251" s="1123" t="s">
        <v>556</v>
      </c>
      <c r="O251" s="1123"/>
      <c r="P251" s="556"/>
      <c r="Q251" s="556"/>
      <c r="R251" s="556"/>
    </row>
    <row r="252" spans="1:18">
      <c r="A252" s="1126">
        <v>13</v>
      </c>
      <c r="B252" s="1129"/>
      <c r="C252" s="451" t="str">
        <f t="shared" si="8"/>
        <v>ZUNINO Stéphanie (April Yacht)</v>
      </c>
      <c r="D252" s="451" t="str">
        <f t="shared" si="9"/>
        <v/>
      </c>
      <c r="E252" s="1129" t="s">
        <v>246</v>
      </c>
      <c r="F252" s="1129" t="s">
        <v>587</v>
      </c>
      <c r="G252" s="1129"/>
      <c r="H252" s="1129" t="s">
        <v>1125</v>
      </c>
      <c r="I252" s="1129" t="s">
        <v>705</v>
      </c>
      <c r="J252" s="1129" t="s">
        <v>1126</v>
      </c>
      <c r="K252" s="1129" t="s">
        <v>707</v>
      </c>
      <c r="L252" s="1126" t="s">
        <v>592</v>
      </c>
      <c r="M252" s="1129" t="s">
        <v>1127</v>
      </c>
      <c r="N252" s="1129" t="s">
        <v>1128</v>
      </c>
      <c r="O252" s="1129"/>
      <c r="P252" s="83"/>
      <c r="Q252" s="83"/>
      <c r="R252" s="83"/>
    </row>
    <row r="253" spans="1:18" s="83" customFormat="1" ht="15" customHeight="1">
      <c r="A253" s="1167">
        <v>3</v>
      </c>
      <c r="B253" s="1167">
        <v>13</v>
      </c>
      <c r="C253" s="451" t="str">
        <f t="shared" si="8"/>
        <v/>
      </c>
      <c r="D253" s="451" t="str">
        <f t="shared" si="9"/>
        <v xml:space="preserve"> Sabrina  (A7rent)</v>
      </c>
      <c r="E253" s="1123" t="s">
        <v>1626</v>
      </c>
      <c r="F253" s="1167" t="s">
        <v>1154</v>
      </c>
      <c r="G253" s="1123"/>
      <c r="H253" s="1123"/>
      <c r="I253" s="1123" t="s">
        <v>1700</v>
      </c>
      <c r="J253" s="1123" t="s">
        <v>1627</v>
      </c>
      <c r="K253" s="1167" t="s">
        <v>1628</v>
      </c>
      <c r="L253" s="645" t="s">
        <v>592</v>
      </c>
      <c r="M253" s="1123"/>
      <c r="N253" s="1123"/>
      <c r="O253" s="1123"/>
      <c r="P253" s="1127"/>
      <c r="Q253" s="1127"/>
      <c r="R253" s="1127"/>
    </row>
    <row r="254" spans="1:18">
      <c r="C254" s="451" t="str">
        <f t="shared" si="8"/>
        <v/>
      </c>
      <c r="D254" s="451" t="str">
        <f t="shared" si="9"/>
        <v xml:space="preserve">  ()</v>
      </c>
    </row>
    <row r="255" spans="1:18">
      <c r="C255" s="451" t="str">
        <f t="shared" si="8"/>
        <v/>
      </c>
      <c r="D255" s="451" t="str">
        <f t="shared" si="9"/>
        <v xml:space="preserve">  ()</v>
      </c>
    </row>
    <row r="256" spans="1:18">
      <c r="C256" s="451" t="str">
        <f t="shared" si="8"/>
        <v/>
      </c>
      <c r="D256" s="451" t="str">
        <f t="shared" si="9"/>
        <v xml:space="preserve">  ()</v>
      </c>
    </row>
    <row r="257" spans="3:4">
      <c r="C257" s="451" t="str">
        <f t="shared" si="8"/>
        <v/>
      </c>
      <c r="D257" s="451" t="str">
        <f t="shared" si="9"/>
        <v xml:space="preserve">  ()</v>
      </c>
    </row>
    <row r="258" spans="3:4">
      <c r="C258" s="451" t="str">
        <f t="shared" si="8"/>
        <v/>
      </c>
      <c r="D258" s="451" t="str">
        <f t="shared" si="9"/>
        <v xml:space="preserve">  ()</v>
      </c>
    </row>
  </sheetData>
  <sortState ref="A4:R253">
    <sortCondition ref="H4:H253"/>
  </sortState>
  <hyperlinks>
    <hyperlink ref="J60" r:id="rId1"/>
    <hyperlink ref="J121" r:id="rId2"/>
    <hyperlink ref="J242" r:id="rId3" display="mailto:gregory.vanmeenin@jgm.fr"/>
    <hyperlink ref="J16" r:id="rId4" display="mailto:cannes@agence.generali.fr"/>
    <hyperlink ref="J106" r:id="rId5" display="mailto:kim.hamilton@sarniayachts.com"/>
    <hyperlink ref="J232" r:id="rId6" display="mailto:atouati@suisscourtage.com"/>
    <hyperlink ref="J229" r:id="rId7"/>
    <hyperlink ref="J80" r:id="rId8"/>
    <hyperlink ref="J137" r:id="rId9"/>
    <hyperlink ref="J168" r:id="rId10"/>
    <hyperlink ref="J171" r:id="rId11" display="mailto:caroline.nouamria@mtaic.com"/>
    <hyperlink ref="J230" r:id="rId12"/>
    <hyperlink ref="J53" r:id="rId13"/>
    <hyperlink ref="J17" r:id="rId14"/>
    <hyperlink ref="J100" r:id="rId15"/>
    <hyperlink ref="J64" r:id="rId16" display="mailto:jpdewolf@lms.lu"/>
    <hyperlink ref="J216" r:id="rId17"/>
    <hyperlink ref="J148" r:id="rId18"/>
    <hyperlink ref="J154" r:id="rId19"/>
    <hyperlink ref="J79" r:id="rId20"/>
    <hyperlink ref="J206" r:id="rId21"/>
    <hyperlink ref="J190" r:id="rId22"/>
    <hyperlink ref="J43" r:id="rId23"/>
    <hyperlink ref="J146" r:id="rId24"/>
    <hyperlink ref="J11" r:id="rId25" display="mailto:maritime@ascoma.com"/>
    <hyperlink ref="J112" r:id="rId26" display="mailto:general@meriv.fr"/>
    <hyperlink ref="J116" r:id="rId27" display="mailto:agence.isaia@axa.fr"/>
    <hyperlink ref="J129" r:id="rId28"/>
    <hyperlink ref="J205" r:id="rId29" display="mailto:fraco@onlyyacht.com"/>
    <hyperlink ref="J52" r:id="rId30" display="mailto:mlcordray@agence.generali.fr"/>
    <hyperlink ref="J104" r:id="rId31"/>
    <hyperlink ref="J94" r:id="rId32"/>
    <hyperlink ref="J233" r:id="rId33" display="mailto:atouati@suisscourtage.com"/>
    <hyperlink ref="J220" r:id="rId34" display="mailto:Manuel.Saporita@ascoma.com"/>
    <hyperlink ref="M220" r:id="rId35" display="tel:%2B377 97 97 44 25"/>
    <hyperlink ref="N220" r:id="rId36" display="tel:%2B377 97 97 44 24"/>
    <hyperlink ref="J251" r:id="rId37" display="mailto:mziane@suisscourtage.com"/>
    <hyperlink ref="J157" r:id="rId38"/>
    <hyperlink ref="J48" r:id="rId39"/>
    <hyperlink ref="M91" r:id="rId40" display="tel:%2B 33 %280%29970 444 165"/>
    <hyperlink ref="J91" r:id="rId41"/>
    <hyperlink ref="J150" r:id="rId42"/>
    <hyperlink ref="J89" r:id="rId43"/>
    <hyperlink ref="J126" r:id="rId44"/>
    <hyperlink ref="J159" r:id="rId45"/>
    <hyperlink ref="J66" r:id="rId46"/>
    <hyperlink ref="J28" r:id="rId47"/>
    <hyperlink ref="J99" r:id="rId48"/>
    <hyperlink ref="J6" r:id="rId49"/>
    <hyperlink ref="J65" r:id="rId50"/>
    <hyperlink ref="J192" r:id="rId51"/>
    <hyperlink ref="J237" r:id="rId52"/>
    <hyperlink ref="J7" r:id="rId53"/>
    <hyperlink ref="J19" r:id="rId54"/>
    <hyperlink ref="J68" r:id="rId55"/>
    <hyperlink ref="J223" r:id="rId56"/>
    <hyperlink ref="O113" r:id="rId57" display="tel:%2B33 640 614 601"/>
    <hyperlink ref="J5" r:id="rId58"/>
    <hyperlink ref="J235" r:id="rId59"/>
    <hyperlink ref="J86" r:id="rId60"/>
    <hyperlink ref="J119" r:id="rId61" display="mailto:Jaramillo@gesmaritime.com"/>
    <hyperlink ref="J101" r:id="rId62"/>
    <hyperlink ref="J98" r:id="rId63"/>
    <hyperlink ref="J174" r:id="rId64"/>
    <hyperlink ref="J143" r:id="rId65"/>
    <hyperlink ref="J132" r:id="rId66"/>
    <hyperlink ref="J222" r:id="rId67"/>
    <hyperlink ref="J240" r:id="rId68"/>
    <hyperlink ref="J184" r:id="rId69"/>
    <hyperlink ref="J109" r:id="rId70"/>
    <hyperlink ref="J110" r:id="rId71"/>
    <hyperlink ref="J108" r:id="rId72"/>
    <hyperlink ref="J111" r:id="rId73"/>
    <hyperlink ref="J124" r:id="rId74"/>
    <hyperlink ref="J226" r:id="rId75"/>
    <hyperlink ref="J217" r:id="rId76"/>
    <hyperlink ref="J224" r:id="rId77"/>
    <hyperlink ref="J151" r:id="rId78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</sheetPr>
  <dimension ref="A1:F41"/>
  <sheetViews>
    <sheetView workbookViewId="0">
      <selection activeCell="D29" sqref="D29"/>
    </sheetView>
  </sheetViews>
  <sheetFormatPr baseColWidth="10" defaultColWidth="11.42578125" defaultRowHeight="15"/>
  <cols>
    <col min="1" max="1" width="31.28515625" customWidth="1"/>
    <col min="2" max="2" width="34.85546875" customWidth="1"/>
    <col min="3" max="3" width="28.7109375" customWidth="1"/>
    <col min="4" max="4" width="28.42578125" customWidth="1"/>
    <col min="5" max="5" width="27.85546875" customWidth="1"/>
    <col min="6" max="6" width="36.140625" customWidth="1"/>
  </cols>
  <sheetData>
    <row r="1" spans="1:6" ht="16.5">
      <c r="A1">
        <v>1</v>
      </c>
      <c r="B1" s="88" t="s">
        <v>1739</v>
      </c>
      <c r="C1" s="89" t="s">
        <v>1740</v>
      </c>
      <c r="D1" s="89" t="s">
        <v>1741</v>
      </c>
      <c r="E1" s="49" t="s">
        <v>1742</v>
      </c>
      <c r="F1" s="49" t="s">
        <v>1743</v>
      </c>
    </row>
    <row r="2" spans="1:6">
      <c r="A2" s="90" t="str">
        <f>CHOOSE($A$1,B2,C2,D2,E2,F2)</f>
        <v>Rank</v>
      </c>
      <c r="B2" s="91" t="s">
        <v>1744</v>
      </c>
      <c r="C2" s="91" t="s">
        <v>93</v>
      </c>
      <c r="D2" s="91" t="s">
        <v>93</v>
      </c>
      <c r="E2" s="91" t="s">
        <v>1745</v>
      </c>
      <c r="F2" s="86" t="s">
        <v>1746</v>
      </c>
    </row>
    <row r="3" spans="1:6">
      <c r="A3" s="90" t="str">
        <f t="shared" ref="A3:A41" si="0">CHOOSE($A$1,B3,C3,D3,E3,F3)</f>
        <v>Given Name</v>
      </c>
      <c r="B3" s="91" t="s">
        <v>1747</v>
      </c>
      <c r="C3" s="91" t="s">
        <v>1748</v>
      </c>
      <c r="D3" s="91" t="s">
        <v>17</v>
      </c>
      <c r="E3" s="86" t="s">
        <v>1749</v>
      </c>
      <c r="F3" s="86" t="s">
        <v>1750</v>
      </c>
    </row>
    <row r="4" spans="1:6">
      <c r="A4" s="90" t="str">
        <f t="shared" si="0"/>
        <v>period           months</v>
      </c>
      <c r="B4" s="91" t="s">
        <v>1751</v>
      </c>
      <c r="C4" s="91" t="s">
        <v>1752</v>
      </c>
      <c r="D4" s="91" t="s">
        <v>1753</v>
      </c>
      <c r="E4" s="86" t="s">
        <v>1754</v>
      </c>
      <c r="F4" s="86" t="s">
        <v>1755</v>
      </c>
    </row>
    <row r="5" spans="1:6">
      <c r="A5" s="90" t="str">
        <f t="shared" si="0"/>
        <v>Annual Salaries</v>
      </c>
      <c r="B5" s="91" t="s">
        <v>1756</v>
      </c>
      <c r="C5" s="91" t="s">
        <v>1757</v>
      </c>
      <c r="D5" s="91" t="s">
        <v>1758</v>
      </c>
      <c r="E5" s="86" t="s">
        <v>1759</v>
      </c>
      <c r="F5" s="86" t="s">
        <v>1760</v>
      </c>
    </row>
    <row r="6" spans="1:6">
      <c r="A6" s="90" t="str">
        <f t="shared" si="0"/>
        <v>Medical</v>
      </c>
      <c r="B6" s="91" t="s">
        <v>195</v>
      </c>
      <c r="C6" s="91" t="s">
        <v>1761</v>
      </c>
      <c r="D6" s="91" t="s">
        <v>195</v>
      </c>
      <c r="E6" s="86" t="s">
        <v>1762</v>
      </c>
      <c r="F6" s="86" t="s">
        <v>1763</v>
      </c>
    </row>
    <row r="7" spans="1:6">
      <c r="A7" s="90" t="str">
        <f t="shared" si="0"/>
        <v>Formula 1A</v>
      </c>
      <c r="B7" s="91" t="s">
        <v>1764</v>
      </c>
      <c r="C7" s="91" t="s">
        <v>1765</v>
      </c>
      <c r="D7" s="91" t="s">
        <v>1766</v>
      </c>
      <c r="E7" s="86" t="s">
        <v>1767</v>
      </c>
      <c r="F7" s="86" t="s">
        <v>1768</v>
      </c>
    </row>
    <row r="8" spans="1:6">
      <c r="A8" s="90" t="str">
        <f t="shared" si="0"/>
        <v>Formula 1B</v>
      </c>
      <c r="B8" s="91" t="s">
        <v>1769</v>
      </c>
      <c r="C8" s="91" t="s">
        <v>1770</v>
      </c>
      <c r="D8" s="91" t="s">
        <v>1771</v>
      </c>
      <c r="E8" s="86" t="s">
        <v>1772</v>
      </c>
      <c r="F8" s="86" t="s">
        <v>1773</v>
      </c>
    </row>
    <row r="9" spans="1:6">
      <c r="A9" s="90" t="str">
        <f t="shared" si="0"/>
        <v>Formula 1C</v>
      </c>
      <c r="B9" s="91" t="s">
        <v>1774</v>
      </c>
      <c r="C9" s="91" t="s">
        <v>1775</v>
      </c>
      <c r="D9" s="91" t="s">
        <v>1776</v>
      </c>
      <c r="E9" s="86" t="s">
        <v>1777</v>
      </c>
      <c r="F9" s="86" t="s">
        <v>1778</v>
      </c>
    </row>
    <row r="10" spans="1:6">
      <c r="A10" s="90" t="str">
        <f t="shared" si="0"/>
        <v>Formula 2</v>
      </c>
      <c r="B10" s="91" t="s">
        <v>1779</v>
      </c>
      <c r="C10" s="91" t="s">
        <v>1780</v>
      </c>
      <c r="D10" s="91" t="s">
        <v>1781</v>
      </c>
      <c r="E10" s="86" t="s">
        <v>1782</v>
      </c>
      <c r="F10" s="86" t="s">
        <v>1783</v>
      </c>
    </row>
    <row r="11" spans="1:6">
      <c r="A11" s="90" t="str">
        <f t="shared" si="0"/>
        <v>Formula 3</v>
      </c>
      <c r="B11" s="91" t="s">
        <v>88</v>
      </c>
      <c r="C11" s="91" t="s">
        <v>1784</v>
      </c>
      <c r="D11" s="91" t="s">
        <v>1785</v>
      </c>
      <c r="E11" s="86" t="s">
        <v>1786</v>
      </c>
      <c r="F11" s="86" t="s">
        <v>1787</v>
      </c>
    </row>
    <row r="12" spans="1:6" ht="26.25">
      <c r="A12" s="90" t="str">
        <f t="shared" si="0"/>
        <v>TOTAL Annual provisional premium</v>
      </c>
      <c r="B12" s="91" t="s">
        <v>1788</v>
      </c>
      <c r="C12" s="91" t="s">
        <v>1789</v>
      </c>
      <c r="D12" s="91" t="s">
        <v>1790</v>
      </c>
      <c r="E12" s="86" t="s">
        <v>1791</v>
      </c>
      <c r="F12" s="86" t="s">
        <v>1792</v>
      </c>
    </row>
    <row r="13" spans="1:6" ht="26.25">
      <c r="A13" s="90" t="str">
        <f t="shared" si="0"/>
        <v>TOTAL compared to the annual payroll (%)</v>
      </c>
      <c r="B13" s="91" t="s">
        <v>1793</v>
      </c>
      <c r="C13" s="91" t="s">
        <v>1794</v>
      </c>
      <c r="D13" s="91" t="s">
        <v>1795</v>
      </c>
      <c r="E13" s="86" t="s">
        <v>1796</v>
      </c>
      <c r="F13" s="86" t="s">
        <v>1797</v>
      </c>
    </row>
    <row r="14" spans="1:6">
      <c r="A14" s="90" t="str">
        <f t="shared" si="0"/>
        <v>Chosen formula</v>
      </c>
      <c r="B14" s="91" t="s">
        <v>1798</v>
      </c>
      <c r="C14" s="91" t="s">
        <v>1799</v>
      </c>
      <c r="D14" s="91" t="s">
        <v>1800</v>
      </c>
      <c r="E14" s="86" t="s">
        <v>1801</v>
      </c>
      <c r="F14" s="86" t="s">
        <v>1802</v>
      </c>
    </row>
    <row r="15" spans="1:6">
      <c r="A15" s="90" t="str">
        <f t="shared" si="0"/>
        <v>Premium</v>
      </c>
      <c r="B15" s="91" t="s">
        <v>1803</v>
      </c>
      <c r="C15" s="91" t="s">
        <v>1804</v>
      </c>
      <c r="D15" s="91" t="s">
        <v>1805</v>
      </c>
      <c r="E15" s="86" t="s">
        <v>1806</v>
      </c>
      <c r="F15" s="86" t="s">
        <v>1807</v>
      </c>
    </row>
    <row r="16" spans="1:6">
      <c r="A16" s="90" t="str">
        <f t="shared" si="0"/>
        <v>Monthly Salary</v>
      </c>
      <c r="B16" s="91" t="s">
        <v>1808</v>
      </c>
      <c r="C16" s="91" t="s">
        <v>1809</v>
      </c>
      <c r="D16" s="91" t="s">
        <v>1810</v>
      </c>
      <c r="E16" s="86" t="s">
        <v>1811</v>
      </c>
      <c r="F16" s="86" t="s">
        <v>1812</v>
      </c>
    </row>
    <row r="17" spans="1:6">
      <c r="A17" s="90" t="str">
        <f t="shared" si="0"/>
        <v>EUR-RATE 2012</v>
      </c>
      <c r="B17" s="92" t="s">
        <v>1813</v>
      </c>
      <c r="C17" s="92" t="s">
        <v>1814</v>
      </c>
      <c r="D17" s="92" t="s">
        <v>1815</v>
      </c>
      <c r="E17" s="92" t="s">
        <v>1816</v>
      </c>
      <c r="F17" s="86" t="s">
        <v>1817</v>
      </c>
    </row>
    <row r="18" spans="1:6">
      <c r="A18" s="90" t="str">
        <f t="shared" si="0"/>
        <v>USD-RATE 2012</v>
      </c>
      <c r="B18" s="92" t="s">
        <v>1818</v>
      </c>
      <c r="C18" s="92" t="s">
        <v>1819</v>
      </c>
      <c r="D18" s="92" t="s">
        <v>1820</v>
      </c>
      <c r="E18" s="92" t="s">
        <v>1821</v>
      </c>
      <c r="F18" s="86" t="s">
        <v>1822</v>
      </c>
    </row>
    <row r="19" spans="1:6">
      <c r="A19" s="90" t="str">
        <f t="shared" si="0"/>
        <v>EUR-RATE 2013-365 days</v>
      </c>
      <c r="B19" s="92" t="s">
        <v>1823</v>
      </c>
      <c r="C19" s="92" t="s">
        <v>1824</v>
      </c>
      <c r="D19" s="92" t="s">
        <v>1825</v>
      </c>
      <c r="E19" s="92" t="s">
        <v>1826</v>
      </c>
      <c r="F19" s="86" t="s">
        <v>1827</v>
      </c>
    </row>
    <row r="20" spans="1:6">
      <c r="A20" s="90" t="str">
        <f t="shared" si="0"/>
        <v>EUR-RATE 2013-120 days</v>
      </c>
      <c r="B20" s="92" t="s">
        <v>1828</v>
      </c>
      <c r="C20" s="92" t="s">
        <v>1829</v>
      </c>
      <c r="D20" s="92" t="s">
        <v>1830</v>
      </c>
      <c r="E20" s="92" t="s">
        <v>1831</v>
      </c>
      <c r="F20" s="86" t="s">
        <v>1832</v>
      </c>
    </row>
    <row r="21" spans="1:6">
      <c r="A21" s="90" t="str">
        <f t="shared" si="0"/>
        <v>USD-RATE 2013-365 days</v>
      </c>
      <c r="B21" s="92" t="s">
        <v>1833</v>
      </c>
      <c r="C21" s="92" t="s">
        <v>1834</v>
      </c>
      <c r="D21" s="92" t="s">
        <v>1835</v>
      </c>
      <c r="E21" s="92" t="s">
        <v>1836</v>
      </c>
      <c r="F21" s="86" t="s">
        <v>1837</v>
      </c>
    </row>
    <row r="22" spans="1:6">
      <c r="A22" s="90" t="str">
        <f t="shared" si="0"/>
        <v>USD-RATE 2013-120 days</v>
      </c>
      <c r="B22" s="92" t="s">
        <v>1838</v>
      </c>
      <c r="C22" s="92" t="s">
        <v>1839</v>
      </c>
      <c r="D22" s="92" t="s">
        <v>1840</v>
      </c>
      <c r="E22" s="92" t="s">
        <v>1841</v>
      </c>
      <c r="F22" s="86" t="s">
        <v>1842</v>
      </c>
    </row>
    <row r="23" spans="1:6">
      <c r="A23" s="90" t="str">
        <f t="shared" si="0"/>
        <v>USD-RATE 2013-130 days</v>
      </c>
      <c r="B23" s="92" t="s">
        <v>1843</v>
      </c>
      <c r="C23" s="92" t="s">
        <v>1844</v>
      </c>
      <c r="D23" s="92" t="s">
        <v>1845</v>
      </c>
      <c r="E23" s="92" t="s">
        <v>1846</v>
      </c>
      <c r="F23" s="86" t="s">
        <v>1847</v>
      </c>
    </row>
    <row r="24" spans="1:6">
      <c r="A24" s="90" t="str">
        <f t="shared" si="0"/>
        <v>EUR-REDUCED RATE ACE-2013-120 days</v>
      </c>
      <c r="B24" s="92" t="s">
        <v>1848</v>
      </c>
      <c r="C24" s="92" t="s">
        <v>1849</v>
      </c>
      <c r="D24" s="92" t="s">
        <v>1850</v>
      </c>
      <c r="E24" s="92" t="s">
        <v>1851</v>
      </c>
      <c r="F24" s="86" t="s">
        <v>1852</v>
      </c>
    </row>
    <row r="25" spans="1:6">
      <c r="A25" s="90" t="str">
        <f t="shared" si="0"/>
        <v>EUR-REDUCED RATE ACE--2013-365 days</v>
      </c>
      <c r="B25" s="92" t="s">
        <v>1853</v>
      </c>
      <c r="C25" s="92" t="s">
        <v>1854</v>
      </c>
      <c r="D25" s="92" t="s">
        <v>1855</v>
      </c>
      <c r="E25" s="92" t="s">
        <v>1856</v>
      </c>
      <c r="F25" s="86" t="s">
        <v>1857</v>
      </c>
    </row>
    <row r="26" spans="1:6">
      <c r="A26" s="90" t="str">
        <f t="shared" si="0"/>
        <v>EUR-RATE 2015-365 days</v>
      </c>
      <c r="B26" s="92" t="s">
        <v>1858</v>
      </c>
      <c r="C26" s="92" t="s">
        <v>1859</v>
      </c>
      <c r="D26" s="92" t="s">
        <v>1860</v>
      </c>
      <c r="E26" s="92" t="s">
        <v>1861</v>
      </c>
      <c r="F26" s="86" t="s">
        <v>1862</v>
      </c>
    </row>
    <row r="27" spans="1:6">
      <c r="A27" s="90" t="str">
        <f t="shared" si="0"/>
        <v>EUR-RATE 2015-120 days</v>
      </c>
      <c r="B27" s="92" t="s">
        <v>1863</v>
      </c>
      <c r="C27" s="92" t="s">
        <v>1864</v>
      </c>
      <c r="D27" s="92" t="s">
        <v>1865</v>
      </c>
      <c r="E27" s="92" t="s">
        <v>1866</v>
      </c>
      <c r="F27" s="86" t="s">
        <v>1867</v>
      </c>
    </row>
    <row r="28" spans="1:6">
      <c r="A28" s="90" t="str">
        <f t="shared" si="0"/>
        <v>USD-RATE 2015-365 days</v>
      </c>
      <c r="B28" s="92" t="s">
        <v>1868</v>
      </c>
      <c r="C28" s="92" t="s">
        <v>1869</v>
      </c>
      <c r="D28" s="92" t="s">
        <v>1870</v>
      </c>
      <c r="E28" s="92" t="s">
        <v>1871</v>
      </c>
      <c r="F28" s="86" t="s">
        <v>1872</v>
      </c>
    </row>
    <row r="29" spans="1:6">
      <c r="A29" s="90" t="str">
        <f t="shared" si="0"/>
        <v>USD-RATE 2015-120 days</v>
      </c>
      <c r="B29" s="92" t="s">
        <v>1873</v>
      </c>
      <c r="C29" s="92" t="s">
        <v>1874</v>
      </c>
      <c r="D29" s="92" t="s">
        <v>1875</v>
      </c>
      <c r="E29" s="92" t="s">
        <v>1876</v>
      </c>
      <c r="F29" s="86" t="s">
        <v>1877</v>
      </c>
    </row>
    <row r="30" spans="1:6">
      <c r="A30" s="90" t="str">
        <f t="shared" si="0"/>
        <v>EUR-REDUCED RATE ACE-2015-120 days</v>
      </c>
      <c r="B30" s="92" t="s">
        <v>1878</v>
      </c>
      <c r="C30" s="92" t="s">
        <v>1879</v>
      </c>
      <c r="D30" s="92" t="s">
        <v>1880</v>
      </c>
      <c r="E30" s="92" t="s">
        <v>1881</v>
      </c>
      <c r="F30" s="86" t="s">
        <v>1882</v>
      </c>
    </row>
    <row r="31" spans="1:6">
      <c r="A31" s="90" t="str">
        <f t="shared" si="0"/>
        <v>EUR-REDUCED RATE ACE--2015-365 days</v>
      </c>
      <c r="B31" s="92" t="s">
        <v>1883</v>
      </c>
      <c r="C31" s="92" t="s">
        <v>1884</v>
      </c>
      <c r="D31" s="92" t="s">
        <v>1885</v>
      </c>
      <c r="E31" s="92" t="s">
        <v>1886</v>
      </c>
      <c r="F31" s="86" t="s">
        <v>1887</v>
      </c>
    </row>
    <row r="32" spans="1:6">
      <c r="A32" s="90">
        <f t="shared" si="0"/>
        <v>0</v>
      </c>
      <c r="B32" s="86"/>
      <c r="C32" s="86"/>
      <c r="D32" s="86"/>
      <c r="E32" s="86"/>
      <c r="F32" s="86"/>
    </row>
    <row r="33" spans="1:6">
      <c r="A33" s="90" t="str">
        <f t="shared" si="0"/>
        <v>DAILY CALCULATION</v>
      </c>
      <c r="B33" s="86" t="s">
        <v>1888</v>
      </c>
      <c r="C33" s="87" t="s">
        <v>1889</v>
      </c>
      <c r="D33" s="86" t="s">
        <v>1890</v>
      </c>
      <c r="E33" s="86" t="s">
        <v>1891</v>
      </c>
      <c r="F33" s="86" t="s">
        <v>1892</v>
      </c>
    </row>
    <row r="34" spans="1:6">
      <c r="A34" s="90" t="str">
        <f t="shared" si="0"/>
        <v>MONTHLY CALCULATION</v>
      </c>
      <c r="B34" s="86" t="s">
        <v>1893</v>
      </c>
      <c r="C34" s="93" t="s">
        <v>1894</v>
      </c>
      <c r="D34" s="86" t="s">
        <v>1895</v>
      </c>
      <c r="E34" s="86" t="s">
        <v>1896</v>
      </c>
      <c r="F34" s="86" t="s">
        <v>1897</v>
      </c>
    </row>
    <row r="35" spans="1:6">
      <c r="A35" s="90" t="str">
        <f t="shared" si="0"/>
        <v>proportional salary based</v>
      </c>
      <c r="B35" s="68" t="s">
        <v>1898</v>
      </c>
      <c r="C35" s="86" t="s">
        <v>1899</v>
      </c>
      <c r="D35" s="86" t="s">
        <v>1900</v>
      </c>
      <c r="E35" s="68" t="s">
        <v>1901</v>
      </c>
      <c r="F35" s="86" t="s">
        <v>1902</v>
      </c>
    </row>
    <row r="36" spans="1:6">
      <c r="A36" s="90" t="str">
        <f t="shared" si="0"/>
        <v>based on</v>
      </c>
      <c r="B36" s="68" t="s">
        <v>1903</v>
      </c>
      <c r="C36" s="86" t="s">
        <v>1904</v>
      </c>
      <c r="D36" s="86" t="s">
        <v>1905</v>
      </c>
      <c r="E36" s="68" t="s">
        <v>1906</v>
      </c>
      <c r="F36" s="86" t="s">
        <v>1907</v>
      </c>
    </row>
    <row r="37" spans="1:6">
      <c r="A37" s="90" t="str">
        <f t="shared" si="0"/>
        <v>Brokerage</v>
      </c>
      <c r="B37" s="87" t="s">
        <v>82</v>
      </c>
      <c r="C37" s="86" t="s">
        <v>96</v>
      </c>
      <c r="D37" s="68" t="s">
        <v>1908</v>
      </c>
      <c r="E37" s="87" t="s">
        <v>1909</v>
      </c>
      <c r="F37" s="86" t="s">
        <v>1910</v>
      </c>
    </row>
    <row r="38" spans="1:6">
      <c r="A38" s="90" t="str">
        <f t="shared" si="0"/>
        <v xml:space="preserve">Net Premium to be paid: </v>
      </c>
      <c r="B38" s="68" t="s">
        <v>1911</v>
      </c>
      <c r="C38" s="68" t="s">
        <v>1912</v>
      </c>
      <c r="D38" s="68" t="s">
        <v>1913</v>
      </c>
      <c r="E38" s="68" t="s">
        <v>1914</v>
      </c>
      <c r="F38" s="86" t="s">
        <v>1915</v>
      </c>
    </row>
    <row r="39" spans="1:6">
      <c r="A39" s="90" t="str">
        <f t="shared" si="0"/>
        <v>Duration: 365 days Waiting period: 7 days</v>
      </c>
      <c r="B39" s="94" t="s">
        <v>1916</v>
      </c>
      <c r="C39" s="68" t="s">
        <v>1917</v>
      </c>
      <c r="D39" s="86" t="s">
        <v>1918</v>
      </c>
      <c r="E39" s="86" t="s">
        <v>1919</v>
      </c>
      <c r="F39" s="86" t="s">
        <v>1920</v>
      </c>
    </row>
    <row r="40" spans="1:6">
      <c r="A40" s="90" t="str">
        <f t="shared" si="0"/>
        <v>Duration: 120 days Waiting period: 7 days</v>
      </c>
      <c r="B40" s="94" t="s">
        <v>1921</v>
      </c>
      <c r="C40" s="68" t="s">
        <v>1922</v>
      </c>
      <c r="D40" s="86" t="s">
        <v>1923</v>
      </c>
      <c r="E40" s="86" t="s">
        <v>1924</v>
      </c>
      <c r="F40" s="86" t="s">
        <v>1925</v>
      </c>
    </row>
    <row r="41" spans="1:6">
      <c r="A41" s="90" t="str">
        <f t="shared" si="0"/>
        <v>Duration: 130 days Waiting period: 7 days</v>
      </c>
      <c r="B41" s="94" t="s">
        <v>1926</v>
      </c>
      <c r="C41" s="68" t="s">
        <v>1927</v>
      </c>
      <c r="D41" s="86" t="s">
        <v>1928</v>
      </c>
      <c r="E41" s="86" t="s">
        <v>1929</v>
      </c>
      <c r="F41" s="86" t="s">
        <v>1930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1:G63"/>
  <sheetViews>
    <sheetView topLeftCell="A28" workbookViewId="0">
      <selection activeCell="A53" sqref="A53"/>
    </sheetView>
  </sheetViews>
  <sheetFormatPr baseColWidth="10" defaultColWidth="11.42578125" defaultRowHeight="15"/>
  <cols>
    <col min="1" max="1" width="11.42578125" style="939"/>
    <col min="2" max="2" width="36.85546875" customWidth="1"/>
    <col min="3" max="3" width="18.7109375" customWidth="1"/>
    <col min="4" max="4" width="38.42578125" customWidth="1"/>
    <col min="5" max="5" width="45" customWidth="1"/>
  </cols>
  <sheetData>
    <row r="1" spans="1:7">
      <c r="A1" s="1008" t="s">
        <v>2736</v>
      </c>
      <c r="B1" s="1008" t="s">
        <v>2714</v>
      </c>
      <c r="C1" s="1008" t="s">
        <v>2715</v>
      </c>
      <c r="D1" s="1008" t="s">
        <v>2747</v>
      </c>
    </row>
    <row r="2" spans="1:7">
      <c r="B2" s="261">
        <v>0.04</v>
      </c>
      <c r="C2" s="993" t="s">
        <v>2151</v>
      </c>
      <c r="D2" s="994">
        <f>B2</f>
        <v>0.04</v>
      </c>
      <c r="E2" t="s">
        <v>2152</v>
      </c>
      <c r="G2" s="334" t="s">
        <v>2135</v>
      </c>
    </row>
    <row r="3" spans="1:7">
      <c r="B3" s="95" t="b">
        <v>0</v>
      </c>
      <c r="C3" s="97" t="s">
        <v>1931</v>
      </c>
      <c r="D3" s="262" t="b">
        <v>0</v>
      </c>
      <c r="E3" s="160" t="s">
        <v>1932</v>
      </c>
      <c r="F3" s="35" t="s">
        <v>2001</v>
      </c>
    </row>
    <row r="4" spans="1:7">
      <c r="B4" s="95"/>
      <c r="C4" s="97" t="s">
        <v>1933</v>
      </c>
      <c r="D4" s="262" t="b">
        <v>1</v>
      </c>
      <c r="E4" s="160" t="s">
        <v>1934</v>
      </c>
      <c r="F4" s="35" t="s">
        <v>2001</v>
      </c>
    </row>
    <row r="5" spans="1:7" s="271" customFormat="1">
      <c r="A5" s="939"/>
      <c r="B5" s="95">
        <v>26</v>
      </c>
      <c r="C5" s="97" t="s">
        <v>2156</v>
      </c>
      <c r="D5" s="276">
        <f t="shared" ref="D5" si="0">B5</f>
        <v>26</v>
      </c>
      <c r="E5" s="160" t="s">
        <v>2155</v>
      </c>
      <c r="F5" s="275"/>
    </row>
    <row r="6" spans="1:7">
      <c r="B6" s="95" t="b">
        <v>0</v>
      </c>
      <c r="C6" s="97" t="s">
        <v>1935</v>
      </c>
      <c r="D6" s="262" t="b">
        <v>1</v>
      </c>
      <c r="E6" s="160" t="s">
        <v>1936</v>
      </c>
      <c r="F6" s="35" t="s">
        <v>2001</v>
      </c>
    </row>
    <row r="7" spans="1:7">
      <c r="B7" s="95" t="b">
        <v>0</v>
      </c>
      <c r="C7" s="97"/>
      <c r="D7" s="96" t="b">
        <f t="shared" ref="D7:D15" si="1">B7</f>
        <v>0</v>
      </c>
      <c r="E7" s="160" t="s">
        <v>1937</v>
      </c>
      <c r="F7" s="35" t="s">
        <v>2001</v>
      </c>
    </row>
    <row r="8" spans="1:7" s="375" customFormat="1">
      <c r="A8" s="939"/>
      <c r="B8" s="95" t="b">
        <v>0</v>
      </c>
      <c r="C8" s="97"/>
      <c r="D8" s="96" t="b">
        <f t="shared" si="1"/>
        <v>0</v>
      </c>
      <c r="E8" s="160" t="s">
        <v>2243</v>
      </c>
      <c r="F8" s="379"/>
    </row>
    <row r="9" spans="1:7" s="375" customFormat="1">
      <c r="A9" s="939"/>
      <c r="B9" s="95" t="b">
        <v>1</v>
      </c>
      <c r="C9" s="97"/>
      <c r="D9" s="96" t="b">
        <f t="shared" si="1"/>
        <v>1</v>
      </c>
      <c r="E9" s="160" t="s">
        <v>2248</v>
      </c>
      <c r="F9" s="379"/>
    </row>
    <row r="10" spans="1:7" s="458" customFormat="1">
      <c r="A10" s="939"/>
      <c r="B10" s="95" t="b">
        <v>1</v>
      </c>
      <c r="C10" s="97"/>
      <c r="D10" s="96" t="b">
        <f t="shared" si="1"/>
        <v>1</v>
      </c>
      <c r="E10" s="160" t="s">
        <v>2352</v>
      </c>
      <c r="F10" s="379"/>
    </row>
    <row r="12" spans="1:7" s="167" customFormat="1">
      <c r="B12" s="162">
        <v>16</v>
      </c>
      <c r="C12" s="164"/>
      <c r="D12" s="163">
        <f t="shared" si="1"/>
        <v>16</v>
      </c>
      <c r="E12" s="165" t="s">
        <v>1932</v>
      </c>
      <c r="F12" s="166"/>
    </row>
    <row r="13" spans="1:7" s="167" customFormat="1">
      <c r="B13" s="168" t="e">
        <v>#REF!</v>
      </c>
      <c r="C13" s="164"/>
      <c r="D13" s="163" t="e">
        <f t="shared" si="1"/>
        <v>#REF!</v>
      </c>
      <c r="E13" s="165"/>
      <c r="F13" s="166"/>
    </row>
    <row r="14" spans="1:7" s="167" customFormat="1">
      <c r="B14" s="168" t="e">
        <v>#REF!</v>
      </c>
      <c r="C14" s="170"/>
      <c r="D14" s="169" t="e">
        <f t="shared" si="1"/>
        <v>#REF!</v>
      </c>
      <c r="E14" s="165"/>
      <c r="F14" s="166"/>
    </row>
    <row r="15" spans="1:7" s="167" customFormat="1">
      <c r="B15" s="168" t="e">
        <v>#REF!</v>
      </c>
      <c r="C15" s="170"/>
      <c r="D15" s="169" t="e">
        <f t="shared" si="1"/>
        <v>#REF!</v>
      </c>
      <c r="E15" s="165"/>
      <c r="F15" s="166"/>
    </row>
    <row r="16" spans="1:7" s="877" customFormat="1">
      <c r="A16" s="939"/>
      <c r="B16" s="47">
        <f>IF(Admin!E28=0%,1,(1+Admin!E28))</f>
        <v>1.04</v>
      </c>
      <c r="C16" s="99" t="s">
        <v>2151</v>
      </c>
      <c r="D16" s="98">
        <f>B16</f>
        <v>1.04</v>
      </c>
      <c r="E16" s="160" t="s">
        <v>2196</v>
      </c>
      <c r="F16" s="572"/>
    </row>
    <row r="17" spans="1:6">
      <c r="B17" s="100" t="e">
        <f>Cotations!#REF!</f>
        <v>#REF!</v>
      </c>
      <c r="C17" s="102" t="s">
        <v>1938</v>
      </c>
      <c r="D17" s="101" t="e">
        <f t="shared" ref="D17:D43" si="2">B17</f>
        <v>#REF!</v>
      </c>
      <c r="E17" s="159" t="s">
        <v>1939</v>
      </c>
      <c r="F17" s="35" t="s">
        <v>2001</v>
      </c>
    </row>
    <row r="18" spans="1:6">
      <c r="B18" s="100" t="e">
        <f>Cotations!#REF!</f>
        <v>#REF!</v>
      </c>
      <c r="C18" s="102" t="s">
        <v>1940</v>
      </c>
      <c r="D18" s="101" t="e">
        <f t="shared" si="2"/>
        <v>#REF!</v>
      </c>
      <c r="E18" s="159" t="s">
        <v>1941</v>
      </c>
      <c r="F18" s="35" t="s">
        <v>2001</v>
      </c>
    </row>
    <row r="19" spans="1:6">
      <c r="B19" s="103" t="e">
        <f>#REF!</f>
        <v>#REF!</v>
      </c>
      <c r="C19" s="102" t="s">
        <v>1942</v>
      </c>
      <c r="D19" s="104" t="e">
        <f t="shared" si="2"/>
        <v>#REF!</v>
      </c>
      <c r="E19" s="159" t="s">
        <v>1943</v>
      </c>
      <c r="F19" s="35" t="s">
        <v>2001</v>
      </c>
    </row>
    <row r="20" spans="1:6">
      <c r="B20" s="105" t="str">
        <f>Admin!B2&amp;"            "&amp;IF(Admin!B3="","","(old name: "&amp;Admin!B4&amp;")")</f>
        <v xml:space="preserve">IDOL            </v>
      </c>
      <c r="C20" s="99" t="s">
        <v>1944</v>
      </c>
      <c r="D20" s="98" t="str">
        <f t="shared" si="2"/>
        <v xml:space="preserve">IDOL            </v>
      </c>
      <c r="E20" s="160" t="s">
        <v>1945</v>
      </c>
      <c r="F20" s="35" t="s">
        <v>2001</v>
      </c>
    </row>
    <row r="21" spans="1:6">
      <c r="B21" s="47" t="str">
        <f>IF(Crewlist!$X$1="FR",TEXT(B23,"aaaa"),TEXT(B23,"yyyy"))</f>
        <v>2014</v>
      </c>
      <c r="C21" s="99" t="s">
        <v>2004</v>
      </c>
      <c r="D21" s="98" t="str">
        <f t="shared" si="2"/>
        <v>2014</v>
      </c>
      <c r="E21" s="160" t="s">
        <v>1946</v>
      </c>
      <c r="F21" s="35" t="s">
        <v>2001</v>
      </c>
    </row>
    <row r="22" spans="1:6">
      <c r="B22" s="106">
        <f>Crewlist!G1</f>
        <v>42745</v>
      </c>
      <c r="C22" s="108" t="s">
        <v>2003</v>
      </c>
      <c r="D22" s="107">
        <f t="shared" si="2"/>
        <v>42745</v>
      </c>
      <c r="E22" s="160" t="s">
        <v>1947</v>
      </c>
      <c r="F22" s="35" t="s">
        <v>2001</v>
      </c>
    </row>
    <row r="23" spans="1:6">
      <c r="B23" s="106">
        <f>Admin!E4</f>
        <v>41760</v>
      </c>
      <c r="C23" s="108" t="s">
        <v>2002</v>
      </c>
      <c r="D23" s="107">
        <f t="shared" si="2"/>
        <v>41760</v>
      </c>
      <c r="E23" s="160" t="s">
        <v>1948</v>
      </c>
      <c r="F23" s="35" t="s">
        <v>2001</v>
      </c>
    </row>
    <row r="24" spans="1:6">
      <c r="B24" s="106">
        <f>Admin!E5</f>
        <v>42930</v>
      </c>
      <c r="C24" s="108" t="s">
        <v>1949</v>
      </c>
      <c r="D24" s="107">
        <f t="shared" si="2"/>
        <v>42930</v>
      </c>
      <c r="E24" s="160" t="s">
        <v>1950</v>
      </c>
      <c r="F24" s="35" t="s">
        <v>2001</v>
      </c>
    </row>
    <row r="25" spans="1:6">
      <c r="B25" s="106">
        <f>B24-365</f>
        <v>42565</v>
      </c>
      <c r="C25" s="108" t="s">
        <v>1951</v>
      </c>
      <c r="D25" s="107">
        <f>B25</f>
        <v>42565</v>
      </c>
      <c r="E25" s="161"/>
      <c r="F25" s="35" t="s">
        <v>2001</v>
      </c>
    </row>
    <row r="26" spans="1:6" s="571" customFormat="1">
      <c r="A26" s="939"/>
      <c r="B26" s="575">
        <f>B24-731</f>
        <v>42199</v>
      </c>
      <c r="C26" s="108" t="s">
        <v>2506</v>
      </c>
      <c r="D26" s="107">
        <f>B26</f>
        <v>42199</v>
      </c>
      <c r="E26" s="161"/>
      <c r="F26" s="572"/>
    </row>
    <row r="27" spans="1:6">
      <c r="B27" s="575" t="str">
        <f>IF(Admin!E6="","",Admin!E6)</f>
        <v/>
      </c>
      <c r="C27" s="99" t="s">
        <v>1952</v>
      </c>
      <c r="D27" s="107" t="str">
        <f t="shared" ref="D27:D38" si="3">B27</f>
        <v/>
      </c>
      <c r="E27" s="160" t="s">
        <v>1953</v>
      </c>
      <c r="F27" s="35" t="s">
        <v>2001</v>
      </c>
    </row>
    <row r="28" spans="1:6">
      <c r="B28" s="47" t="str">
        <f>IF(Crewlist!$X$1="EN",IF(DATECANCEL="",TEXT(DATERENOUV,"yyyy"),TEXT(DATECANCEL,"yyyy")),IF(DATECANCEL="",TEXT(DATERENOUV,"aaaa"),TEXT(DATECANCEL,"aaaa")))</f>
        <v>2017</v>
      </c>
      <c r="C28" s="99" t="s">
        <v>1954</v>
      </c>
      <c r="D28" s="107" t="str">
        <f t="shared" si="3"/>
        <v>2017</v>
      </c>
      <c r="E28" s="160" t="s">
        <v>1955</v>
      </c>
      <c r="F28" s="35" t="s">
        <v>2001</v>
      </c>
    </row>
    <row r="29" spans="1:6">
      <c r="B29" s="47">
        <f>B28-1</f>
        <v>2016</v>
      </c>
      <c r="C29" s="99" t="s">
        <v>1956</v>
      </c>
      <c r="D29" s="107">
        <f t="shared" si="3"/>
        <v>2016</v>
      </c>
      <c r="E29" s="160" t="s">
        <v>1957</v>
      </c>
      <c r="F29" s="35" t="s">
        <v>2001</v>
      </c>
    </row>
    <row r="30" spans="1:6">
      <c r="B30" s="47">
        <f>B28-2</f>
        <v>2015</v>
      </c>
      <c r="C30" s="99" t="s">
        <v>1958</v>
      </c>
      <c r="D30" s="107">
        <f t="shared" si="3"/>
        <v>2015</v>
      </c>
      <c r="E30" s="160" t="s">
        <v>1959</v>
      </c>
      <c r="F30" s="35" t="s">
        <v>2001</v>
      </c>
    </row>
    <row r="31" spans="1:6">
      <c r="B31" s="47" t="str">
        <f>IF(Crewlist!$X$1="EN",IF(DATECANCEL="",TEXT(DATERENOUV,"dd/mm"),TEXT(DATECANCEL,"dd/mm")),IF(DATECANCEL="",TEXT(DATERENOUV,"jj/mm"),TEXT(DATECANCEL,"jj/mm")))</f>
        <v>14/07</v>
      </c>
      <c r="C31" s="99" t="s">
        <v>2005</v>
      </c>
      <c r="D31" s="107" t="str">
        <f t="shared" si="3"/>
        <v>14/07</v>
      </c>
      <c r="E31" s="161" t="s">
        <v>1960</v>
      </c>
      <c r="F31" s="35" t="s">
        <v>2001</v>
      </c>
    </row>
    <row r="32" spans="1:6">
      <c r="B32" s="47" t="str">
        <f>IF(B157="31/12",ANRENOUVMOINSUN&amp;"-"&amp;ANRENOUVMOINSUN,ANRENOUVMOINSDEUX&amp;"-"&amp;ANRENOUVMOINSUN)</f>
        <v>2015-2016</v>
      </c>
      <c r="C32" s="99"/>
      <c r="D32" s="107" t="str">
        <f t="shared" si="3"/>
        <v>2015-2016</v>
      </c>
      <c r="E32" s="161"/>
      <c r="F32" s="35" t="s">
        <v>2001</v>
      </c>
    </row>
    <row r="33" spans="1:6">
      <c r="B33" s="47" t="str">
        <f>IF(B31="31/12",ANRENOUV&amp;"-"&amp;ANRENOUV,ANRENOUVMOINSUN&amp;"-"&amp;ANRENOUV)</f>
        <v>2016-2017</v>
      </c>
      <c r="C33" s="99"/>
      <c r="D33" s="107" t="str">
        <f t="shared" si="3"/>
        <v>2016-2017</v>
      </c>
      <c r="E33" s="161"/>
      <c r="F33" s="35" t="s">
        <v>2001</v>
      </c>
    </row>
    <row r="34" spans="1:6" s="877" customFormat="1">
      <c r="A34" s="939"/>
      <c r="B34" s="927">
        <f>MIN(365,Admin!G27)</f>
        <v>184</v>
      </c>
      <c r="C34" s="99" t="s">
        <v>2677</v>
      </c>
      <c r="D34" s="928">
        <f t="shared" si="3"/>
        <v>184</v>
      </c>
      <c r="E34" s="161" t="s">
        <v>2675</v>
      </c>
      <c r="F34" s="572"/>
    </row>
    <row r="35" spans="1:6" s="877" customFormat="1">
      <c r="A35" s="939"/>
      <c r="B35" s="927">
        <f>MIN(12,Admin!F27)</f>
        <v>6</v>
      </c>
      <c r="C35" s="99" t="s">
        <v>2678</v>
      </c>
      <c r="D35" s="928">
        <f t="shared" si="3"/>
        <v>6</v>
      </c>
      <c r="E35" s="161" t="s">
        <v>2676</v>
      </c>
      <c r="F35" s="572"/>
    </row>
    <row r="36" spans="1:6" s="877" customFormat="1">
      <c r="A36" s="939"/>
      <c r="B36" s="927">
        <f>MAX(Admin!G27,Admin!D42)</f>
        <v>1810</v>
      </c>
      <c r="C36" s="99" t="s">
        <v>2679</v>
      </c>
      <c r="D36" s="928">
        <f t="shared" si="3"/>
        <v>1810</v>
      </c>
      <c r="E36" s="161" t="s">
        <v>2681</v>
      </c>
      <c r="F36" s="572"/>
    </row>
    <row r="37" spans="1:6" s="877" customFormat="1">
      <c r="A37" s="939"/>
      <c r="B37" s="927">
        <f>MAX(Admin!F27,Admin!D43)</f>
        <v>120</v>
      </c>
      <c r="C37" s="99" t="s">
        <v>2680</v>
      </c>
      <c r="D37" s="928">
        <f t="shared" si="3"/>
        <v>120</v>
      </c>
      <c r="E37" s="161" t="s">
        <v>2682</v>
      </c>
      <c r="F37" s="572"/>
    </row>
    <row r="38" spans="1:6" s="1068" customFormat="1">
      <c r="B38" s="927">
        <f>MIN(REALDAYS1,Admin!I30)</f>
        <v>1810</v>
      </c>
      <c r="C38" s="1073" t="s">
        <v>2765</v>
      </c>
      <c r="D38" s="928">
        <f t="shared" si="3"/>
        <v>1810</v>
      </c>
      <c r="E38" s="1074"/>
      <c r="F38" s="1069"/>
    </row>
    <row r="39" spans="1:6" s="1068" customFormat="1">
      <c r="B39" s="927">
        <f>MIN(Admin!G31,Admin!I31)</f>
        <v>450</v>
      </c>
      <c r="C39" s="1073" t="s">
        <v>2766</v>
      </c>
      <c r="D39" s="928"/>
      <c r="E39" s="1074"/>
      <c r="F39" s="1069"/>
    </row>
    <row r="40" spans="1:6">
      <c r="B40" s="575">
        <v>42588</v>
      </c>
      <c r="C40" s="108"/>
      <c r="D40" s="107">
        <f t="shared" si="2"/>
        <v>42588</v>
      </c>
      <c r="E40" s="109" t="s">
        <v>1961</v>
      </c>
      <c r="F40" s="35" t="s">
        <v>2001</v>
      </c>
    </row>
    <row r="41" spans="1:6">
      <c r="B41" s="575">
        <v>42588</v>
      </c>
      <c r="C41" s="108"/>
      <c r="D41" s="107">
        <f t="shared" si="2"/>
        <v>42588</v>
      </c>
      <c r="E41" s="109" t="s">
        <v>1962</v>
      </c>
      <c r="F41" s="35" t="s">
        <v>2001</v>
      </c>
    </row>
    <row r="42" spans="1:6" s="831" customFormat="1">
      <c r="A42" s="939"/>
      <c r="B42" s="95" t="str">
        <f>Admin!E2</f>
        <v>12522.3</v>
      </c>
      <c r="C42" s="97" t="s">
        <v>2644</v>
      </c>
      <c r="D42" s="107" t="str">
        <f t="shared" si="2"/>
        <v>12522.3</v>
      </c>
      <c r="E42" s="160" t="s">
        <v>2645</v>
      </c>
      <c r="F42" s="572"/>
    </row>
    <row r="43" spans="1:6">
      <c r="A43" s="885">
        <v>2</v>
      </c>
      <c r="B43" s="885" t="str">
        <f>IF(A43=1,"",INDEX(LIST!$J$1:$J$21,A43,1))</f>
        <v>All Crew members, except day workers</v>
      </c>
      <c r="C43" s="97" t="s">
        <v>2740</v>
      </c>
      <c r="D43" s="107" t="str">
        <f t="shared" si="2"/>
        <v>All Crew members, except day workers</v>
      </c>
      <c r="E43" s="160" t="s">
        <v>2737</v>
      </c>
    </row>
    <row r="44" spans="1:6" s="831" customFormat="1">
      <c r="A44" s="939"/>
      <c r="B44" s="95" t="e">
        <f>IF(Admin!#REF!="","",Admin!#REF!)</f>
        <v>#REF!</v>
      </c>
      <c r="C44" s="97" t="s">
        <v>2741</v>
      </c>
      <c r="D44" s="96" t="e">
        <f t="shared" ref="D44:D54" si="4">B44</f>
        <v>#REF!</v>
      </c>
      <c r="E44" s="160" t="s">
        <v>2641</v>
      </c>
      <c r="F44" s="572"/>
    </row>
    <row r="45" spans="1:6" s="831" customFormat="1">
      <c r="A45" s="939"/>
      <c r="B45" s="95" t="e">
        <f>IF(Admin!#REF!="","",Admin!#REF!)</f>
        <v>#REF!</v>
      </c>
      <c r="C45" s="97" t="s">
        <v>2742</v>
      </c>
      <c r="D45" s="96" t="e">
        <f t="shared" si="4"/>
        <v>#REF!</v>
      </c>
      <c r="E45" s="160" t="s">
        <v>2642</v>
      </c>
      <c r="F45" s="572"/>
    </row>
    <row r="46" spans="1:6">
      <c r="F46" s="35"/>
    </row>
    <row r="47" spans="1:6">
      <c r="F47" s="35"/>
    </row>
    <row r="48" spans="1:6" s="939" customFormat="1">
      <c r="A48" s="885">
        <v>8</v>
      </c>
      <c r="B48" s="47" t="str">
        <f>IF(A48=1,"",INDEX(LIST!$J$1:$J$21,A48,1))</f>
        <v>Captain only</v>
      </c>
      <c r="C48" s="97" t="s">
        <v>2739</v>
      </c>
      <c r="D48" s="107" t="str">
        <f t="shared" si="4"/>
        <v>Captain only</v>
      </c>
      <c r="E48" s="160" t="s">
        <v>2738</v>
      </c>
    </row>
    <row r="49" spans="1:6" s="939" customFormat="1">
      <c r="B49" s="47" t="str">
        <f>IF(Admin!A48="","",Admin!A48)</f>
        <v>L2025408</v>
      </c>
      <c r="C49" s="97" t="s">
        <v>2743</v>
      </c>
      <c r="D49" s="96" t="str">
        <f t="shared" si="4"/>
        <v>L2025408</v>
      </c>
      <c r="E49" s="160" t="s">
        <v>2640</v>
      </c>
    </row>
    <row r="50" spans="1:6" s="939" customFormat="1">
      <c r="B50" s="47">
        <f>IF(Admin!A55="","",Admin!A55)</f>
        <v>240450</v>
      </c>
      <c r="C50" s="97" t="s">
        <v>2744</v>
      </c>
      <c r="D50" s="96">
        <f t="shared" si="4"/>
        <v>240450</v>
      </c>
      <c r="E50" s="160" t="s">
        <v>2643</v>
      </c>
    </row>
    <row r="51" spans="1:6" s="939" customFormat="1">
      <c r="B51" s="47" t="e">
        <f>IF(Admin!B48="N/A","",INDEX(colProduct,MATCH(Admin!B55,colchoice,0)))</f>
        <v>#N/A</v>
      </c>
      <c r="C51" s="97" t="s">
        <v>2745</v>
      </c>
      <c r="D51" s="96" t="e">
        <f t="shared" si="4"/>
        <v>#N/A</v>
      </c>
      <c r="E51" s="1009"/>
    </row>
    <row r="52" spans="1:6">
      <c r="A52" s="885">
        <v>5</v>
      </c>
      <c r="B52" s="47" t="str">
        <f>IF(A52=1,"",INDEX(Formules!$D$56:$D$66,A52,1))</f>
        <v>Formula 3</v>
      </c>
      <c r="C52" s="97" t="s">
        <v>2746</v>
      </c>
      <c r="D52" s="96" t="str">
        <f t="shared" si="4"/>
        <v>Formula 3</v>
      </c>
    </row>
    <row r="53" spans="1:6" s="939" customFormat="1">
      <c r="A53" s="885">
        <v>10</v>
      </c>
      <c r="B53" s="47" t="str">
        <f>IF(A53=1,"",INDEX(LIST!$J$1:$J$21,A53,1))</f>
        <v>All others on board</v>
      </c>
      <c r="C53" s="1046" t="s">
        <v>2751</v>
      </c>
      <c r="D53" s="96" t="str">
        <f t="shared" si="4"/>
        <v>All others on board</v>
      </c>
      <c r="F53" s="572"/>
    </row>
    <row r="54" spans="1:6" s="939" customFormat="1">
      <c r="B54" s="47" t="str">
        <f>IF(Admin!A73="","",Admin!A73)</f>
        <v>L2024408</v>
      </c>
      <c r="C54" s="97" t="s">
        <v>2750</v>
      </c>
      <c r="D54" s="96" t="str">
        <f t="shared" si="4"/>
        <v>L2024408</v>
      </c>
      <c r="E54" s="160" t="s">
        <v>2640</v>
      </c>
      <c r="F54" s="572"/>
    </row>
    <row r="55" spans="1:6" ht="14.25" customHeight="1">
      <c r="B55" s="47">
        <f>IF(Admin!A81="","",Admin!A81)</f>
        <v>240303</v>
      </c>
      <c r="C55" s="97" t="s">
        <v>2749</v>
      </c>
      <c r="D55" s="96">
        <f t="shared" ref="D55:D62" si="5">B55</f>
        <v>240303</v>
      </c>
      <c r="E55" s="160" t="s">
        <v>2643</v>
      </c>
      <c r="F55" s="35"/>
    </row>
    <row r="56" spans="1:6" s="939" customFormat="1" ht="14.25" customHeight="1">
      <c r="B56" s="47" t="e">
        <f>IF(Admin!B73="N/A","",INDEX(colProduct,MATCH(Admin!B73,colchoice,0)))</f>
        <v>#N/A</v>
      </c>
      <c r="C56" s="97" t="s">
        <v>2759</v>
      </c>
      <c r="D56" s="96" t="e">
        <f t="shared" si="5"/>
        <v>#N/A</v>
      </c>
      <c r="E56" s="160"/>
      <c r="F56" s="572"/>
    </row>
    <row r="57" spans="1:6" s="939" customFormat="1" ht="14.25" customHeight="1">
      <c r="A57" s="885">
        <v>5</v>
      </c>
      <c r="B57" s="47" t="str">
        <f>IF(A57=1,"",INDEX(Formules!$D$56:$D$66,A57,1))</f>
        <v>Formula 3</v>
      </c>
      <c r="C57" s="97" t="s">
        <v>2760</v>
      </c>
      <c r="D57" s="96" t="str">
        <f t="shared" si="5"/>
        <v>Formula 3</v>
      </c>
      <c r="E57" s="160"/>
      <c r="F57" s="572"/>
    </row>
    <row r="58" spans="1:6" s="939" customFormat="1" ht="14.25" customHeight="1">
      <c r="A58" s="885">
        <v>7</v>
      </c>
      <c r="B58" s="47" t="str">
        <f>IF(A58=1,"",INDEX(LIST!$J$1:$J$21,A58,1))</f>
        <v>Day Workers</v>
      </c>
      <c r="C58" s="1045" t="s">
        <v>2755</v>
      </c>
      <c r="D58" s="96" t="str">
        <f t="shared" si="5"/>
        <v>Day Workers</v>
      </c>
      <c r="E58" s="160"/>
      <c r="F58" s="572"/>
    </row>
    <row r="59" spans="1:6" s="939" customFormat="1" ht="14.25" customHeight="1">
      <c r="B59" s="47">
        <f>IF(Admin!A99="","",Admin!A99)</f>
        <v>140494</v>
      </c>
      <c r="C59" s="97" t="s">
        <v>2758</v>
      </c>
      <c r="D59" s="96">
        <f t="shared" si="5"/>
        <v>140494</v>
      </c>
      <c r="E59" s="160" t="s">
        <v>2640</v>
      </c>
      <c r="F59" s="572"/>
    </row>
    <row r="60" spans="1:6">
      <c r="B60" s="47">
        <f>IF(Admin!A107="","",Admin!A107)</f>
        <v>140494</v>
      </c>
      <c r="C60" s="97" t="s">
        <v>2756</v>
      </c>
      <c r="D60" s="96">
        <f t="shared" si="5"/>
        <v>140494</v>
      </c>
      <c r="E60" s="160" t="s">
        <v>2643</v>
      </c>
      <c r="F60" s="35"/>
    </row>
    <row r="61" spans="1:6">
      <c r="B61" s="47" t="e">
        <f>IF(Admin!B99="N/A","",INDEX(colProduct,MATCH(Admin!B99,colchoice,0)))</f>
        <v>#N/A</v>
      </c>
      <c r="C61" s="97" t="s">
        <v>2761</v>
      </c>
      <c r="D61" s="96" t="e">
        <f t="shared" si="5"/>
        <v>#N/A</v>
      </c>
    </row>
    <row r="62" spans="1:6">
      <c r="A62" s="885">
        <v>6</v>
      </c>
      <c r="B62" s="47" t="str">
        <f>IF(A62=1,"",INDEX(Formules!$D$56:$D$66,A62,1))</f>
        <v>Formula Day Worker</v>
      </c>
      <c r="C62" s="97" t="s">
        <v>2762</v>
      </c>
      <c r="D62" s="96" t="str">
        <f t="shared" si="5"/>
        <v>Formula Day Worker</v>
      </c>
    </row>
    <row r="63" spans="1:6">
      <c r="A63" s="88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7" tint="0.59999389629810485"/>
  </sheetPr>
  <dimension ref="A1:G123"/>
  <sheetViews>
    <sheetView workbookViewId="0">
      <selection activeCell="D21" sqref="D21"/>
    </sheetView>
  </sheetViews>
  <sheetFormatPr baseColWidth="10" defaultColWidth="11.42578125" defaultRowHeight="15"/>
  <cols>
    <col min="1" max="1" width="9.42578125" customWidth="1"/>
    <col min="2" max="2" width="21" customWidth="1"/>
    <col min="3" max="3" width="56.5703125" customWidth="1"/>
    <col min="4" max="4" width="31.5703125" customWidth="1"/>
    <col min="5" max="5" width="39.42578125" customWidth="1"/>
    <col min="6" max="6" width="8.7109375" customWidth="1"/>
    <col min="7" max="7" width="26.5703125" customWidth="1"/>
  </cols>
  <sheetData>
    <row r="1" spans="1:6">
      <c r="A1" s="179"/>
      <c r="B1" s="220" t="s">
        <v>2109</v>
      </c>
      <c r="C1" s="180" t="s">
        <v>2006</v>
      </c>
      <c r="D1" s="216"/>
      <c r="E1" s="216"/>
      <c r="F1" s="217"/>
    </row>
    <row r="2" spans="1:6">
      <c r="A2" s="181">
        <v>2</v>
      </c>
      <c r="B2" s="111"/>
      <c r="C2" s="182" t="str">
        <f>INDEX(C3:C15,$A$2,1)</f>
        <v>Renouvellement d'affaire</v>
      </c>
      <c r="F2" s="217"/>
    </row>
    <row r="3" spans="1:6">
      <c r="A3" s="184"/>
      <c r="B3" s="112"/>
      <c r="C3" s="132" t="s">
        <v>2007</v>
      </c>
      <c r="F3" s="217"/>
    </row>
    <row r="4" spans="1:6">
      <c r="A4" s="184"/>
      <c r="B4" s="112"/>
      <c r="C4" s="132" t="s">
        <v>2008</v>
      </c>
      <c r="F4" s="217"/>
    </row>
    <row r="5" spans="1:6">
      <c r="A5" s="184"/>
      <c r="B5" s="112"/>
      <c r="C5" s="132" t="s">
        <v>2009</v>
      </c>
      <c r="F5" s="217"/>
    </row>
    <row r="6" spans="1:6">
      <c r="A6" s="184"/>
      <c r="B6" s="112"/>
      <c r="C6" s="132" t="s">
        <v>2010</v>
      </c>
      <c r="F6" s="217"/>
    </row>
    <row r="7" spans="1:6">
      <c r="A7" s="184"/>
      <c r="B7" s="112"/>
      <c r="C7" s="132" t="s">
        <v>2011</v>
      </c>
      <c r="D7" s="216"/>
      <c r="E7" s="216"/>
      <c r="F7" s="217"/>
    </row>
    <row r="8" spans="1:6">
      <c r="A8" s="184"/>
      <c r="B8" s="112"/>
      <c r="C8" s="132" t="s">
        <v>2012</v>
      </c>
      <c r="D8" s="213"/>
      <c r="E8" s="213"/>
      <c r="F8" s="158"/>
    </row>
    <row r="9" spans="1:6">
      <c r="A9" s="184"/>
      <c r="B9" s="112"/>
      <c r="C9" s="132" t="s">
        <v>2013</v>
      </c>
      <c r="D9" s="213"/>
      <c r="E9" s="213"/>
      <c r="F9" s="158"/>
    </row>
    <row r="10" spans="1:6">
      <c r="A10" s="184"/>
      <c r="B10" s="112"/>
      <c r="C10" s="132" t="s">
        <v>2014</v>
      </c>
      <c r="D10" s="213"/>
      <c r="E10" s="213"/>
      <c r="F10" s="158"/>
    </row>
    <row r="11" spans="1:6">
      <c r="A11" s="184"/>
      <c r="B11" s="112"/>
      <c r="C11" s="132" t="s">
        <v>2015</v>
      </c>
      <c r="D11" s="213"/>
      <c r="E11" s="158"/>
      <c r="F11" s="158"/>
    </row>
    <row r="12" spans="1:6">
      <c r="A12" s="184"/>
      <c r="B12" s="112"/>
      <c r="C12" s="132" t="s">
        <v>2016</v>
      </c>
      <c r="D12" s="213"/>
      <c r="E12" s="213"/>
      <c r="F12" s="158"/>
    </row>
    <row r="13" spans="1:6">
      <c r="A13" s="184"/>
      <c r="B13" s="112"/>
      <c r="C13" s="132" t="s">
        <v>2017</v>
      </c>
      <c r="D13" s="213"/>
      <c r="E13" s="213"/>
      <c r="F13" s="158"/>
    </row>
    <row r="14" spans="1:6">
      <c r="A14" s="184"/>
      <c r="B14" s="112"/>
      <c r="C14" s="132" t="s">
        <v>2018</v>
      </c>
      <c r="D14" s="213"/>
      <c r="E14" s="213"/>
      <c r="F14" s="158"/>
    </row>
    <row r="15" spans="1:6">
      <c r="A15" s="184"/>
      <c r="B15" s="112"/>
      <c r="C15" s="132"/>
      <c r="D15" s="213"/>
      <c r="E15" s="213"/>
      <c r="F15" s="158"/>
    </row>
    <row r="16" spans="1:6" s="778" customFormat="1">
      <c r="A16" s="291"/>
      <c r="B16" s="754"/>
      <c r="C16" s="132"/>
      <c r="D16" s="213"/>
      <c r="E16" s="213"/>
      <c r="F16" s="582"/>
    </row>
    <row r="17" spans="1:7" s="778" customFormat="1">
      <c r="A17" s="182">
        <v>3</v>
      </c>
      <c r="C17" s="182" t="str">
        <f>INDEX(C18:C25,$A$17,1)</f>
        <v>Crewlist</v>
      </c>
      <c r="D17" s="213"/>
      <c r="E17" s="213"/>
      <c r="F17" s="582"/>
    </row>
    <row r="18" spans="1:7" s="778" customFormat="1">
      <c r="A18" s="291"/>
      <c r="B18" s="216"/>
      <c r="C18" s="661" t="s">
        <v>2601</v>
      </c>
      <c r="D18" s="213"/>
      <c r="E18" s="213"/>
      <c r="F18" s="582"/>
    </row>
    <row r="19" spans="1:7" s="778" customFormat="1">
      <c r="A19" s="291"/>
      <c r="B19" s="216"/>
      <c r="C19" s="661" t="s">
        <v>2602</v>
      </c>
      <c r="D19" s="213"/>
      <c r="E19" s="213"/>
      <c r="F19" s="582"/>
    </row>
    <row r="20" spans="1:7" s="778" customFormat="1">
      <c r="A20" s="291"/>
      <c r="B20" s="216"/>
      <c r="C20" s="770" t="s">
        <v>2600</v>
      </c>
      <c r="D20" s="213"/>
      <c r="E20" s="213"/>
      <c r="F20" s="582"/>
    </row>
    <row r="21" spans="1:7">
      <c r="A21" s="184"/>
      <c r="B21" s="216"/>
      <c r="C21" s="770"/>
      <c r="D21" s="213"/>
      <c r="E21" s="213"/>
      <c r="F21" s="158"/>
    </row>
    <row r="22" spans="1:7">
      <c r="A22" s="184"/>
      <c r="B22" s="112"/>
      <c r="C22" s="132"/>
      <c r="D22" s="213"/>
      <c r="E22" s="213"/>
      <c r="F22" s="158"/>
    </row>
    <row r="23" spans="1:7">
      <c r="A23" s="184"/>
      <c r="B23" s="112"/>
      <c r="C23" s="132"/>
      <c r="D23" s="213"/>
      <c r="E23" s="213"/>
      <c r="F23" s="158"/>
    </row>
    <row r="24" spans="1:7">
      <c r="A24" s="184"/>
      <c r="B24" s="112"/>
      <c r="C24" s="132"/>
    </row>
    <row r="25" spans="1:7">
      <c r="A25" s="184"/>
      <c r="B25" s="112"/>
      <c r="C25" s="132"/>
      <c r="D25" s="112"/>
      <c r="E25" s="112"/>
      <c r="F25" s="112"/>
      <c r="G25" s="183"/>
    </row>
    <row r="26" spans="1:7">
      <c r="A26" s="184"/>
      <c r="B26" s="112"/>
      <c r="C26" s="185" t="s">
        <v>2059</v>
      </c>
      <c r="D26" s="178"/>
      <c r="E26" s="194"/>
      <c r="F26" s="194" t="s">
        <v>2044</v>
      </c>
      <c r="G26" s="183"/>
    </row>
    <row r="27" spans="1:7">
      <c r="A27" s="181">
        <v>2</v>
      </c>
      <c r="B27" s="111"/>
      <c r="C27" s="195" t="str">
        <f>CHOOSE(A27,C28,C29,C30,C31,C32,C33,C34,C35,C36,C37,C38)</f>
        <v xml:space="preserve">RENEWAL OF CONTRACT YACHTING </v>
      </c>
      <c r="D27" s="196"/>
      <c r="E27" s="195" t="str">
        <f>CHOOSE(A27,E28,E29,E30,E31,E32,E33,E34,E35,E36,K37,K38)</f>
        <v>Please renew this Policy Number :</v>
      </c>
      <c r="F27" s="132" t="s">
        <v>2045</v>
      </c>
      <c r="G27" s="183"/>
    </row>
    <row r="28" spans="1:7">
      <c r="A28" s="197">
        <v>1</v>
      </c>
      <c r="B28" s="157"/>
      <c r="C28" s="171" t="s">
        <v>2046</v>
      </c>
      <c r="D28" s="172"/>
      <c r="E28" s="173" t="s">
        <v>2047</v>
      </c>
      <c r="F28" s="174"/>
      <c r="G28" s="183"/>
    </row>
    <row r="29" spans="1:7">
      <c r="A29" s="197">
        <v>2</v>
      </c>
      <c r="B29" s="157"/>
      <c r="C29" s="175" t="s">
        <v>2048</v>
      </c>
      <c r="D29" s="176"/>
      <c r="E29" s="177" t="s">
        <v>2049</v>
      </c>
      <c r="F29" s="178"/>
      <c r="G29" s="183"/>
    </row>
    <row r="30" spans="1:7">
      <c r="A30" s="197">
        <v>3</v>
      </c>
      <c r="B30" s="157"/>
      <c r="C30" s="175" t="s">
        <v>2050</v>
      </c>
      <c r="D30" s="176"/>
      <c r="E30" s="177" t="s">
        <v>2051</v>
      </c>
      <c r="F30" s="178"/>
      <c r="G30" s="183"/>
    </row>
    <row r="31" spans="1:7">
      <c r="A31" s="197">
        <v>4</v>
      </c>
      <c r="B31" s="157"/>
      <c r="C31" s="175" t="s">
        <v>2052</v>
      </c>
      <c r="D31" s="176"/>
      <c r="E31" s="177" t="s">
        <v>2047</v>
      </c>
      <c r="F31" s="178"/>
      <c r="G31" s="183"/>
    </row>
    <row r="32" spans="1:7">
      <c r="A32" s="197">
        <v>5</v>
      </c>
      <c r="B32" s="157"/>
      <c r="C32" s="175" t="s">
        <v>2053</v>
      </c>
      <c r="D32" s="176"/>
      <c r="E32" s="177" t="s">
        <v>2047</v>
      </c>
      <c r="F32" s="178"/>
      <c r="G32" s="183"/>
    </row>
    <row r="33" spans="1:7">
      <c r="A33" s="197">
        <v>6</v>
      </c>
      <c r="B33" s="157"/>
      <c r="C33" s="175" t="s">
        <v>2054</v>
      </c>
      <c r="D33" s="176"/>
      <c r="E33" s="177" t="s">
        <v>2055</v>
      </c>
      <c r="F33" s="178"/>
      <c r="G33" s="183"/>
    </row>
    <row r="34" spans="1:7">
      <c r="A34" s="197">
        <v>7</v>
      </c>
      <c r="B34" s="157"/>
      <c r="C34" s="175" t="s">
        <v>2056</v>
      </c>
      <c r="D34" s="176"/>
      <c r="E34" s="177" t="s">
        <v>2047</v>
      </c>
      <c r="F34" s="178"/>
      <c r="G34" s="183"/>
    </row>
    <row r="35" spans="1:7">
      <c r="A35" s="197">
        <v>8</v>
      </c>
      <c r="B35" s="157"/>
      <c r="C35" s="175" t="s">
        <v>2057</v>
      </c>
      <c r="D35" s="176"/>
      <c r="E35" s="177" t="s">
        <v>2047</v>
      </c>
      <c r="F35" s="178"/>
      <c r="G35" s="183"/>
    </row>
    <row r="36" spans="1:7">
      <c r="A36" s="197"/>
      <c r="B36" s="157"/>
      <c r="C36" s="175" t="s">
        <v>2058</v>
      </c>
      <c r="D36" s="176"/>
      <c r="E36" s="177" t="s">
        <v>2047</v>
      </c>
      <c r="F36" s="178"/>
      <c r="G36" s="183"/>
    </row>
    <row r="37" spans="1:7" ht="15.75" thickBot="1">
      <c r="A37" s="198"/>
      <c r="B37" s="199"/>
      <c r="C37" s="199"/>
      <c r="D37" s="199"/>
      <c r="E37" s="199"/>
      <c r="F37" s="199"/>
      <c r="G37" s="200"/>
    </row>
    <row r="38" spans="1:7">
      <c r="A38" s="184"/>
      <c r="B38" s="112"/>
      <c r="C38" s="112"/>
      <c r="D38" s="112"/>
      <c r="E38" s="112"/>
      <c r="F38" s="112"/>
      <c r="G38" s="183"/>
    </row>
    <row r="39" spans="1:7" s="458" customFormat="1">
      <c r="A39" s="291"/>
      <c r="B39" s="448"/>
      <c r="C39" s="448"/>
      <c r="D39" s="448"/>
      <c r="E39" s="448"/>
      <c r="F39" s="448"/>
      <c r="G39" s="183"/>
    </row>
    <row r="40" spans="1:7" s="458" customFormat="1">
      <c r="A40" s="291"/>
      <c r="B40" s="448"/>
      <c r="C40" s="273" t="s">
        <v>2295</v>
      </c>
      <c r="D40" s="448"/>
      <c r="E40" s="448"/>
      <c r="F40" s="448"/>
      <c r="G40" s="183"/>
    </row>
    <row r="41" spans="1:7" s="458" customFormat="1">
      <c r="A41" s="291"/>
      <c r="B41" s="448"/>
      <c r="C41" s="273" t="s">
        <v>2356</v>
      </c>
      <c r="D41" s="448"/>
      <c r="E41" s="448"/>
      <c r="F41" s="448"/>
      <c r="G41" s="183"/>
    </row>
    <row r="42" spans="1:7" s="458" customFormat="1">
      <c r="A42" s="291"/>
      <c r="B42" s="448"/>
      <c r="C42" s="273" t="s">
        <v>2368</v>
      </c>
      <c r="D42" s="448"/>
      <c r="E42" s="448"/>
      <c r="F42" s="448"/>
      <c r="G42" s="183"/>
    </row>
    <row r="43" spans="1:7">
      <c r="A43" s="184"/>
      <c r="B43" s="112"/>
      <c r="C43" s="112"/>
      <c r="D43" s="112"/>
      <c r="E43" s="112"/>
      <c r="F43" s="112"/>
      <c r="G43" s="183"/>
    </row>
    <row r="44" spans="1:7">
      <c r="A44" s="184"/>
      <c r="B44" s="112"/>
      <c r="C44" s="185" t="s">
        <v>2019</v>
      </c>
      <c r="D44" s="112"/>
      <c r="E44" s="112"/>
      <c r="F44" s="112"/>
      <c r="G44" s="183"/>
    </row>
    <row r="45" spans="1:7">
      <c r="A45" s="181">
        <v>2</v>
      </c>
      <c r="B45" s="111"/>
      <c r="C45" s="186" t="str">
        <f>CHOOSE(A45,C46,C47,C48,C49,C50,C51,C52,C53)</f>
        <v>renewal invoice (facture de renouvellement)</v>
      </c>
      <c r="D45" s="112"/>
      <c r="E45" s="186" t="str">
        <f>CHOOSE(A45,E46,E47,E48,E49,E50,E51,E52,E53)</f>
        <v>Renewal invoice</v>
      </c>
      <c r="F45" s="112"/>
      <c r="G45" s="187" t="str">
        <f>CHOOSE(A45,G46,G47,G48,G49,G50,G51,G52,G53)</f>
        <v>AIG EUROPE &amp; ANKER</v>
      </c>
    </row>
    <row r="46" spans="1:7">
      <c r="A46" s="184">
        <v>1</v>
      </c>
      <c r="B46" s="112"/>
      <c r="C46" s="132" t="s">
        <v>2020</v>
      </c>
      <c r="D46" s="112"/>
      <c r="E46" s="132" t="s">
        <v>2021</v>
      </c>
      <c r="F46" s="112"/>
      <c r="G46" s="188" t="s">
        <v>2022</v>
      </c>
    </row>
    <row r="47" spans="1:7">
      <c r="A47" s="184">
        <v>2</v>
      </c>
      <c r="B47" s="112"/>
      <c r="C47" s="132" t="s">
        <v>2023</v>
      </c>
      <c r="D47" s="112"/>
      <c r="E47" s="132" t="s">
        <v>2024</v>
      </c>
      <c r="F47" s="112"/>
      <c r="G47" s="188" t="s">
        <v>2022</v>
      </c>
    </row>
    <row r="48" spans="1:7">
      <c r="A48" s="184">
        <v>3</v>
      </c>
      <c r="B48" s="112"/>
      <c r="C48" s="132" t="s">
        <v>2025</v>
      </c>
      <c r="D48" s="112"/>
      <c r="E48" s="132" t="s">
        <v>2026</v>
      </c>
      <c r="F48" s="112"/>
      <c r="G48" s="188" t="s">
        <v>2022</v>
      </c>
    </row>
    <row r="49" spans="1:7">
      <c r="A49" s="184">
        <v>4</v>
      </c>
      <c r="B49" s="112"/>
      <c r="C49" s="132" t="s">
        <v>2027</v>
      </c>
      <c r="D49" s="112"/>
      <c r="E49" s="132" t="s">
        <v>2028</v>
      </c>
      <c r="F49" s="112"/>
      <c r="G49" s="188" t="s">
        <v>2022</v>
      </c>
    </row>
    <row r="50" spans="1:7">
      <c r="A50" s="184">
        <v>5</v>
      </c>
      <c r="B50" s="112"/>
      <c r="C50" s="132" t="s">
        <v>2029</v>
      </c>
      <c r="D50" s="112"/>
      <c r="E50" s="132" t="s">
        <v>2030</v>
      </c>
      <c r="F50" s="112"/>
      <c r="G50" s="188" t="s">
        <v>2022</v>
      </c>
    </row>
    <row r="51" spans="1:7">
      <c r="A51" s="184">
        <v>6</v>
      </c>
      <c r="B51" s="112"/>
      <c r="C51" s="132" t="s">
        <v>2031</v>
      </c>
      <c r="D51" s="112"/>
      <c r="E51" s="132" t="s">
        <v>2032</v>
      </c>
      <c r="F51" s="112"/>
      <c r="G51" s="188" t="s">
        <v>197</v>
      </c>
    </row>
    <row r="52" spans="1:7">
      <c r="A52" s="184">
        <v>7</v>
      </c>
      <c r="B52" s="112"/>
      <c r="C52" s="132" t="s">
        <v>2033</v>
      </c>
      <c r="D52" s="112"/>
      <c r="E52" s="132" t="s">
        <v>2034</v>
      </c>
      <c r="F52" s="112"/>
      <c r="G52" s="188" t="s">
        <v>2035</v>
      </c>
    </row>
    <row r="53" spans="1:7">
      <c r="A53" s="184"/>
      <c r="B53" s="112"/>
      <c r="C53" s="132"/>
      <c r="D53" s="112"/>
      <c r="E53" s="110"/>
      <c r="F53" s="112"/>
      <c r="G53" s="189"/>
    </row>
    <row r="54" spans="1:7">
      <c r="A54" s="184"/>
      <c r="B54" s="112"/>
      <c r="C54" s="132"/>
      <c r="D54" s="112"/>
      <c r="E54" s="110"/>
      <c r="F54" s="112"/>
      <c r="G54" s="189"/>
    </row>
    <row r="55" spans="1:7">
      <c r="A55" s="184"/>
      <c r="B55" s="112"/>
      <c r="C55" s="132"/>
      <c r="D55" s="112"/>
      <c r="E55" s="110"/>
      <c r="F55" s="112"/>
      <c r="G55" s="183"/>
    </row>
    <row r="56" spans="1:7">
      <c r="A56" s="184"/>
      <c r="B56" s="112"/>
      <c r="C56" s="112"/>
      <c r="D56" s="112"/>
      <c r="E56" s="112"/>
      <c r="F56" s="112"/>
      <c r="G56" s="183"/>
    </row>
    <row r="57" spans="1:7">
      <c r="A57" s="184"/>
      <c r="B57" s="112"/>
      <c r="C57" s="185" t="s">
        <v>2036</v>
      </c>
      <c r="D57" s="112"/>
      <c r="E57" s="112"/>
      <c r="F57" s="112"/>
      <c r="G57" s="183"/>
    </row>
    <row r="58" spans="1:7">
      <c r="A58" s="190">
        <v>2</v>
      </c>
      <c r="B58" s="209"/>
      <c r="C58" s="186" t="str">
        <f>CHOOSE(A58,C59,C60,C61,C62,C63,C64,C65,C66)</f>
        <v>Français</v>
      </c>
      <c r="D58" s="112"/>
      <c r="E58" s="112"/>
      <c r="F58" s="112"/>
      <c r="G58" s="183"/>
    </row>
    <row r="59" spans="1:7">
      <c r="A59" s="184"/>
      <c r="B59" s="112"/>
      <c r="C59" s="132" t="s">
        <v>1739</v>
      </c>
      <c r="D59" s="112"/>
      <c r="E59" s="112"/>
      <c r="F59" s="112"/>
      <c r="G59" s="183"/>
    </row>
    <row r="60" spans="1:7">
      <c r="A60" s="184"/>
      <c r="B60" s="112"/>
      <c r="C60" s="132" t="s">
        <v>1740</v>
      </c>
      <c r="D60" s="112"/>
      <c r="E60" s="112"/>
      <c r="F60" s="112"/>
      <c r="G60" s="183"/>
    </row>
    <row r="61" spans="1:7">
      <c r="A61" s="184"/>
      <c r="B61" s="112"/>
      <c r="C61" s="132" t="s">
        <v>1741</v>
      </c>
      <c r="D61" s="112"/>
      <c r="E61" s="112"/>
      <c r="F61" s="112"/>
      <c r="G61" s="183"/>
    </row>
    <row r="62" spans="1:7">
      <c r="A62" s="184"/>
      <c r="B62" s="112"/>
      <c r="C62" s="132" t="s">
        <v>2037</v>
      </c>
      <c r="D62" s="112"/>
      <c r="E62" s="112"/>
      <c r="F62" s="112"/>
      <c r="G62" s="183"/>
    </row>
    <row r="63" spans="1:7">
      <c r="A63" s="184"/>
      <c r="B63" s="112"/>
      <c r="C63" s="132" t="s">
        <v>2038</v>
      </c>
      <c r="D63" s="112"/>
      <c r="E63" s="112"/>
      <c r="F63" s="112"/>
      <c r="G63" s="183"/>
    </row>
    <row r="64" spans="1:7">
      <c r="A64" s="184"/>
      <c r="B64" s="112"/>
      <c r="C64" s="132"/>
      <c r="D64" s="112"/>
      <c r="E64" s="112"/>
      <c r="F64" s="112"/>
      <c r="G64" s="183"/>
    </row>
    <row r="65" spans="1:7">
      <c r="A65" s="184"/>
      <c r="B65" s="112"/>
      <c r="C65" s="132"/>
      <c r="D65" s="112"/>
      <c r="E65" s="112"/>
      <c r="F65" s="112"/>
      <c r="G65" s="183"/>
    </row>
    <row r="66" spans="1:7">
      <c r="A66" s="184"/>
      <c r="B66" s="112"/>
      <c r="C66" s="132"/>
      <c r="D66" s="112"/>
      <c r="E66" s="112"/>
      <c r="F66" s="112"/>
      <c r="G66" s="183"/>
    </row>
    <row r="67" spans="1:7">
      <c r="A67" s="184"/>
      <c r="B67" s="112"/>
      <c r="C67" s="185" t="s">
        <v>2041</v>
      </c>
      <c r="D67" s="112"/>
      <c r="E67" s="112"/>
      <c r="F67" s="112"/>
      <c r="G67" s="183"/>
    </row>
    <row r="68" spans="1:7">
      <c r="A68" s="184" t="s">
        <v>2039</v>
      </c>
      <c r="B68" s="112"/>
      <c r="C68" s="191"/>
      <c r="D68" s="112"/>
      <c r="E68" s="112"/>
      <c r="F68" s="112"/>
      <c r="G68" s="183"/>
    </row>
    <row r="69" spans="1:7">
      <c r="A69" s="181">
        <v>2</v>
      </c>
      <c r="B69" s="111"/>
      <c r="C69" s="182" t="str">
        <f>INDEX($C$72:$C$76,A69,1)</f>
        <v>USD</v>
      </c>
      <c r="D69" s="185" t="s">
        <v>2036</v>
      </c>
      <c r="E69" s="112"/>
      <c r="F69" s="112"/>
      <c r="G69" s="183"/>
    </row>
    <row r="70" spans="1:7" s="778" customFormat="1">
      <c r="A70" s="181">
        <v>1</v>
      </c>
      <c r="B70" s="111" t="s">
        <v>2110</v>
      </c>
      <c r="C70" s="182" t="str">
        <f>INDEX($C$72:$C$76,A70,1)</f>
        <v>EUR</v>
      </c>
      <c r="D70" s="185" t="s">
        <v>2042</v>
      </c>
      <c r="E70" s="754"/>
      <c r="F70" s="754"/>
      <c r="G70" s="183"/>
    </row>
    <row r="71" spans="1:7" s="778" customFormat="1">
      <c r="A71" s="181">
        <v>1</v>
      </c>
      <c r="B71" s="111" t="s">
        <v>2610</v>
      </c>
      <c r="C71" s="182" t="str">
        <f>INDEX($C$72:$C$76,A71,1)</f>
        <v>EUR</v>
      </c>
      <c r="D71" s="185" t="s">
        <v>2043</v>
      </c>
      <c r="E71" s="754"/>
      <c r="F71" s="754"/>
      <c r="G71" s="183"/>
    </row>
    <row r="72" spans="1:7">
      <c r="A72" s="184"/>
      <c r="B72" s="112"/>
      <c r="C72" s="112" t="s">
        <v>32</v>
      </c>
      <c r="D72" s="112"/>
      <c r="E72" s="112"/>
      <c r="F72" s="112"/>
      <c r="G72" s="183"/>
    </row>
    <row r="73" spans="1:7">
      <c r="A73" s="184"/>
      <c r="B73" s="112"/>
      <c r="C73" s="112" t="s">
        <v>87</v>
      </c>
      <c r="D73" s="112"/>
      <c r="E73" s="112"/>
      <c r="F73" s="112"/>
      <c r="G73" s="183"/>
    </row>
    <row r="74" spans="1:7">
      <c r="A74" s="184"/>
      <c r="B74" s="112"/>
      <c r="C74" s="112" t="s">
        <v>2040</v>
      </c>
      <c r="D74" s="112"/>
      <c r="E74" s="112"/>
      <c r="F74" s="112"/>
      <c r="G74" s="183"/>
    </row>
    <row r="75" spans="1:7">
      <c r="A75" s="184"/>
      <c r="B75" s="112"/>
      <c r="C75" s="112"/>
      <c r="D75" s="112"/>
      <c r="E75" s="112"/>
      <c r="F75" s="112"/>
      <c r="G75" s="183"/>
    </row>
    <row r="76" spans="1:7">
      <c r="A76" s="184"/>
      <c r="B76" s="112"/>
      <c r="C76" s="112"/>
      <c r="D76" s="112"/>
      <c r="E76" s="112"/>
      <c r="F76" s="112"/>
      <c r="G76" s="183"/>
    </row>
    <row r="77" spans="1:7">
      <c r="A77" s="184"/>
      <c r="B77" s="112"/>
      <c r="C77" s="112"/>
      <c r="D77" s="157"/>
      <c r="E77" s="112"/>
      <c r="F77" s="112"/>
      <c r="G77" s="183"/>
    </row>
    <row r="78" spans="1:7">
      <c r="A78" s="201"/>
      <c r="B78" s="201"/>
      <c r="C78" s="185" t="s">
        <v>2060</v>
      </c>
      <c r="D78" s="211"/>
      <c r="E78" s="112"/>
      <c r="F78" s="112"/>
      <c r="G78" s="183"/>
    </row>
    <row r="79" spans="1:7">
      <c r="A79" s="202">
        <v>2</v>
      </c>
      <c r="B79" s="201"/>
      <c r="C79" s="203" t="str">
        <f>IF(A79=1,"",CHOOSE(A79, "None (Neant)","Annual", "Semi-Annual", "Quarterly", "Monthly","Weekly","Daily"))</f>
        <v>Annual</v>
      </c>
    </row>
    <row r="80" spans="1:7">
      <c r="A80" s="202">
        <v>2</v>
      </c>
      <c r="B80" s="201"/>
      <c r="C80" s="203" t="str">
        <f>IF(A80=1,"",CHOOSE(A80, "None (Neant)","Annual", "Semi-Annual", "Quarterly", "Monthly","Weekly","Daily"))</f>
        <v>Annual</v>
      </c>
    </row>
    <row r="81" spans="1:3">
      <c r="A81" s="202">
        <v>1</v>
      </c>
      <c r="B81" s="201"/>
      <c r="C81" s="203" t="str">
        <f>IF(A81=1,"",CHOOSE(A81, "None (Neant)","Annual", "Semi-Annual", "Quarterly", "Monthly","Weekly","Daily"))</f>
        <v/>
      </c>
    </row>
    <row r="82" spans="1:3">
      <c r="A82" s="201"/>
      <c r="B82" s="210"/>
      <c r="C82" s="210" t="s">
        <v>2061</v>
      </c>
    </row>
    <row r="83" spans="1:3">
      <c r="A83" s="201"/>
      <c r="B83" s="205">
        <v>1</v>
      </c>
      <c r="C83" s="204" t="s">
        <v>2062</v>
      </c>
    </row>
    <row r="84" spans="1:3">
      <c r="A84" s="201"/>
      <c r="B84" s="205">
        <v>2</v>
      </c>
      <c r="C84" s="205" t="s">
        <v>12</v>
      </c>
    </row>
    <row r="85" spans="1:3">
      <c r="A85" s="201"/>
      <c r="B85" s="205">
        <v>3</v>
      </c>
      <c r="C85" s="205" t="s">
        <v>2064</v>
      </c>
    </row>
    <row r="86" spans="1:3">
      <c r="A86" s="201"/>
      <c r="B86" s="205">
        <v>4</v>
      </c>
      <c r="C86" s="205" t="s">
        <v>2066</v>
      </c>
    </row>
    <row r="87" spans="1:3">
      <c r="A87" s="201"/>
      <c r="B87" s="205">
        <v>5</v>
      </c>
      <c r="C87" s="205" t="s">
        <v>2069</v>
      </c>
    </row>
    <row r="88" spans="1:3">
      <c r="A88" s="201"/>
      <c r="B88" s="205">
        <v>6</v>
      </c>
      <c r="C88" s="206" t="s">
        <v>2071</v>
      </c>
    </row>
    <row r="89" spans="1:3">
      <c r="B89" s="205">
        <v>7</v>
      </c>
      <c r="C89" s="206" t="s">
        <v>2074</v>
      </c>
    </row>
    <row r="93" spans="1:3">
      <c r="A93" s="291"/>
      <c r="B93" s="390"/>
      <c r="C93" s="185" t="s">
        <v>2314</v>
      </c>
    </row>
    <row r="94" spans="1:3" s="375" customFormat="1">
      <c r="A94" s="291"/>
      <c r="B94" s="390"/>
      <c r="C94" s="185" t="s">
        <v>2308</v>
      </c>
    </row>
    <row r="95" spans="1:3">
      <c r="A95" s="181">
        <v>1</v>
      </c>
      <c r="B95" s="192" t="str">
        <f>CHOOSE(A95,B97,B98,B99,B100)</f>
        <v>PHname</v>
      </c>
      <c r="C95" s="192" t="str">
        <f>CHOOSE(A95,C97,C98,C99,C100)</f>
        <v>Shipowner</v>
      </c>
    </row>
    <row r="96" spans="1:3" s="375" customFormat="1">
      <c r="A96" s="181">
        <v>4</v>
      </c>
      <c r="B96" s="192" t="str">
        <f>CHOOSE(A96,B97,B98,B99,B100)</f>
        <v>BRname</v>
      </c>
      <c r="C96" s="192" t="str">
        <f>CHOOSE(A96,C97,C98,C99,C100)</f>
        <v>Broker</v>
      </c>
    </row>
    <row r="97" spans="1:6">
      <c r="A97" s="291"/>
      <c r="B97" s="375" t="s">
        <v>2298</v>
      </c>
      <c r="C97" s="193" t="s">
        <v>2309</v>
      </c>
    </row>
    <row r="98" spans="1:6">
      <c r="A98" s="291"/>
      <c r="B98" s="375" t="s">
        <v>2303</v>
      </c>
      <c r="C98" s="193" t="s">
        <v>94</v>
      </c>
    </row>
    <row r="99" spans="1:6">
      <c r="A99" s="291"/>
      <c r="B99" s="375" t="s">
        <v>2310</v>
      </c>
      <c r="C99" s="390" t="s">
        <v>95</v>
      </c>
    </row>
    <row r="100" spans="1:6">
      <c r="B100" s="375" t="s">
        <v>2311</v>
      </c>
      <c r="C100" s="375" t="s">
        <v>29</v>
      </c>
    </row>
    <row r="104" spans="1:6">
      <c r="C104" s="192" t="e">
        <f>CHOOSE(A104,C105,C106,C107,C108)</f>
        <v>#VALUE!</v>
      </c>
    </row>
    <row r="105" spans="1:6">
      <c r="C105" s="270" t="s">
        <v>2224</v>
      </c>
      <c r="E105" s="273">
        <v>0</v>
      </c>
      <c r="F105">
        <v>0</v>
      </c>
    </row>
    <row r="106" spans="1:6">
      <c r="C106" s="270" t="s">
        <v>2315</v>
      </c>
      <c r="E106" s="273">
        <v>365</v>
      </c>
      <c r="F106" s="447" t="s">
        <v>2320</v>
      </c>
    </row>
    <row r="107" spans="1:6">
      <c r="C107" s="270" t="s">
        <v>2316</v>
      </c>
      <c r="E107" s="273">
        <v>12</v>
      </c>
      <c r="F107" s="447" t="s">
        <v>2320</v>
      </c>
    </row>
    <row r="108" spans="1:6">
      <c r="C108" s="270" t="s">
        <v>2317</v>
      </c>
      <c r="E108" s="273">
        <v>365</v>
      </c>
      <c r="F108" s="447" t="s">
        <v>2140</v>
      </c>
    </row>
    <row r="109" spans="1:6">
      <c r="C109" s="270" t="s">
        <v>2318</v>
      </c>
      <c r="E109" s="273">
        <v>12</v>
      </c>
      <c r="F109" s="447" t="s">
        <v>2140</v>
      </c>
    </row>
    <row r="112" spans="1:6">
      <c r="A112" s="885">
        <v>1</v>
      </c>
      <c r="B112" s="885"/>
      <c r="C112" s="182" t="str">
        <f>INDEX($C$113:$C$115,A112,1)</f>
        <v>Calcul par année complète (365 jours)</v>
      </c>
    </row>
    <row r="113" spans="1:3">
      <c r="C113" s="884" t="s">
        <v>2660</v>
      </c>
    </row>
    <row r="114" spans="1:3">
      <c r="C114" s="661" t="s">
        <v>2661</v>
      </c>
    </row>
    <row r="115" spans="1:3">
      <c r="C115" s="661"/>
    </row>
    <row r="116" spans="1:3">
      <c r="C116" s="661"/>
    </row>
    <row r="117" spans="1:3">
      <c r="C117" s="661"/>
    </row>
    <row r="119" spans="1:3">
      <c r="A119" s="885">
        <v>1</v>
      </c>
      <c r="B119" s="885"/>
      <c r="C119" s="182" t="str">
        <f>INDEX($C$120:$C$123,A119,1)</f>
        <v>WCA Luxembourg</v>
      </c>
    </row>
    <row r="120" spans="1:3">
      <c r="C120" s="833" t="s">
        <v>2662</v>
      </c>
    </row>
    <row r="121" spans="1:3">
      <c r="C121" s="833" t="s">
        <v>2663</v>
      </c>
    </row>
    <row r="122" spans="1:3">
      <c r="C122" s="661" t="s">
        <v>2664</v>
      </c>
    </row>
    <row r="123" spans="1:3">
      <c r="C123" s="66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0.79998168889431442"/>
  </sheetPr>
  <dimension ref="A1:M24"/>
  <sheetViews>
    <sheetView workbookViewId="0">
      <selection activeCell="F10" sqref="F10"/>
    </sheetView>
  </sheetViews>
  <sheetFormatPr baseColWidth="10" defaultColWidth="11.42578125" defaultRowHeight="15"/>
  <cols>
    <col min="1" max="1" width="29.85546875" customWidth="1"/>
    <col min="2" max="2" width="17.5703125" style="375" customWidth="1"/>
    <col min="4" max="4" width="11.42578125" style="580"/>
    <col min="5" max="5" width="16.85546875" customWidth="1"/>
    <col min="7" max="7" width="30.28515625" customWidth="1"/>
    <col min="9" max="9" width="26.140625" customWidth="1"/>
    <col min="10" max="10" width="43.28515625" customWidth="1"/>
    <col min="12" max="12" width="34.5703125" customWidth="1"/>
  </cols>
  <sheetData>
    <row r="1" spans="1:13">
      <c r="A1" s="424" t="s">
        <v>2275</v>
      </c>
      <c r="B1" s="424" t="s">
        <v>2275</v>
      </c>
      <c r="C1" s="273" t="s">
        <v>2224</v>
      </c>
      <c r="D1" s="583" t="s">
        <v>2224</v>
      </c>
      <c r="E1" s="273" t="s">
        <v>2224</v>
      </c>
      <c r="F1" s="273" t="s">
        <v>2289</v>
      </c>
      <c r="G1" s="454" t="s">
        <v>4</v>
      </c>
      <c r="H1" s="270" t="s">
        <v>2255</v>
      </c>
      <c r="I1" s="996" t="s">
        <v>2224</v>
      </c>
      <c r="J1" s="997" t="s">
        <v>2062</v>
      </c>
      <c r="K1" s="221" t="s">
        <v>2062</v>
      </c>
      <c r="L1" s="997" t="s">
        <v>2062</v>
      </c>
      <c r="M1" s="132" t="s">
        <v>2007</v>
      </c>
    </row>
    <row r="2" spans="1:13">
      <c r="A2" s="661" t="s">
        <v>2621</v>
      </c>
      <c r="B2" s="273" t="s">
        <v>2279</v>
      </c>
      <c r="C2" s="437" t="b">
        <v>1</v>
      </c>
      <c r="D2" s="585" t="s">
        <v>2168</v>
      </c>
      <c r="E2" s="273" t="s">
        <v>2138</v>
      </c>
      <c r="F2" s="273" t="s">
        <v>2288</v>
      </c>
      <c r="G2" s="454" t="s">
        <v>7</v>
      </c>
      <c r="H2" s="270" t="s">
        <v>2254</v>
      </c>
      <c r="I2" s="996" t="s">
        <v>2315</v>
      </c>
      <c r="J2" s="997" t="s">
        <v>2063</v>
      </c>
      <c r="K2" s="223" t="s">
        <v>2091</v>
      </c>
      <c r="L2" s="997" t="s">
        <v>1976</v>
      </c>
      <c r="M2" s="132" t="s">
        <v>2008</v>
      </c>
    </row>
    <row r="3" spans="1:13">
      <c r="A3" s="661" t="s">
        <v>2276</v>
      </c>
      <c r="B3" s="273" t="s">
        <v>2280</v>
      </c>
      <c r="C3" s="437" t="b">
        <v>0</v>
      </c>
      <c r="D3" s="585" t="s">
        <v>2169</v>
      </c>
      <c r="E3" s="273" t="s">
        <v>2140</v>
      </c>
      <c r="F3" s="270" t="s">
        <v>2290</v>
      </c>
      <c r="H3" s="273"/>
      <c r="I3" s="996" t="s">
        <v>2316</v>
      </c>
      <c r="J3" s="997" t="s">
        <v>2065</v>
      </c>
      <c r="K3" s="223" t="s">
        <v>2094</v>
      </c>
      <c r="L3" s="997" t="s">
        <v>2116</v>
      </c>
      <c r="M3" s="132" t="s">
        <v>2009</v>
      </c>
    </row>
    <row r="4" spans="1:13">
      <c r="A4" s="661" t="s">
        <v>2277</v>
      </c>
      <c r="B4" s="273" t="s">
        <v>2236</v>
      </c>
      <c r="C4" s="273"/>
      <c r="D4" s="583"/>
      <c r="E4" s="273" t="s">
        <v>2241</v>
      </c>
      <c r="F4" s="270" t="s">
        <v>2291</v>
      </c>
      <c r="H4" s="273"/>
      <c r="I4" s="996" t="s">
        <v>2317</v>
      </c>
      <c r="J4" s="997" t="s">
        <v>2067</v>
      </c>
      <c r="K4" s="223" t="s">
        <v>2096</v>
      </c>
      <c r="L4" s="997" t="s">
        <v>1979</v>
      </c>
      <c r="M4" s="132" t="s">
        <v>2010</v>
      </c>
    </row>
    <row r="5" spans="1:13">
      <c r="A5" s="661" t="s">
        <v>2850</v>
      </c>
      <c r="B5" s="273" t="s">
        <v>2153</v>
      </c>
      <c r="C5" s="273"/>
      <c r="D5" s="583"/>
      <c r="E5" s="661" t="s">
        <v>133</v>
      </c>
      <c r="F5" s="270" t="s">
        <v>2292</v>
      </c>
      <c r="I5" s="996" t="s">
        <v>2318</v>
      </c>
      <c r="J5" s="997" t="s">
        <v>2070</v>
      </c>
      <c r="K5" s="223" t="s">
        <v>1779</v>
      </c>
      <c r="L5" s="997" t="s">
        <v>2068</v>
      </c>
      <c r="M5" s="132" t="s">
        <v>2011</v>
      </c>
    </row>
    <row r="6" spans="1:13">
      <c r="A6" s="661" t="s">
        <v>2851</v>
      </c>
      <c r="B6" s="273" t="s">
        <v>2216</v>
      </c>
      <c r="C6" s="273"/>
      <c r="D6" s="583"/>
      <c r="E6" s="273"/>
      <c r="F6" s="270" t="s">
        <v>2293</v>
      </c>
      <c r="J6" s="997" t="s">
        <v>2072</v>
      </c>
      <c r="K6" s="223" t="s">
        <v>88</v>
      </c>
      <c r="L6" s="997" t="s">
        <v>2117</v>
      </c>
      <c r="M6" s="132" t="s">
        <v>2012</v>
      </c>
    </row>
    <row r="7" spans="1:13">
      <c r="A7" s="661" t="s">
        <v>2236</v>
      </c>
      <c r="B7" s="270" t="s">
        <v>2281</v>
      </c>
      <c r="F7" s="884" t="s">
        <v>2784</v>
      </c>
      <c r="J7" s="991" t="s">
        <v>2075</v>
      </c>
      <c r="K7" s="222" t="s">
        <v>2098</v>
      </c>
      <c r="L7" s="997" t="s">
        <v>2073</v>
      </c>
      <c r="M7" s="132" t="s">
        <v>2013</v>
      </c>
    </row>
    <row r="8" spans="1:13">
      <c r="A8" s="661" t="s">
        <v>2153</v>
      </c>
      <c r="B8" s="273" t="s">
        <v>2282</v>
      </c>
      <c r="F8" s="884" t="s">
        <v>2887</v>
      </c>
      <c r="J8" s="997" t="s">
        <v>2077</v>
      </c>
      <c r="K8" s="222" t="s">
        <v>2099</v>
      </c>
      <c r="L8" s="997" t="s">
        <v>2076</v>
      </c>
      <c r="M8" s="132" t="s">
        <v>2014</v>
      </c>
    </row>
    <row r="9" spans="1:13">
      <c r="A9" s="661" t="s">
        <v>2852</v>
      </c>
      <c r="B9" s="270" t="s">
        <v>2283</v>
      </c>
      <c r="F9" s="884" t="s">
        <v>2888</v>
      </c>
      <c r="J9" s="997" t="s">
        <v>2078</v>
      </c>
      <c r="K9" s="222" t="s">
        <v>2100</v>
      </c>
      <c r="L9" s="997" t="s">
        <v>2378</v>
      </c>
      <c r="M9" s="132" t="s">
        <v>2015</v>
      </c>
    </row>
    <row r="10" spans="1:13">
      <c r="A10" s="661" t="s">
        <v>2853</v>
      </c>
      <c r="B10" s="273" t="s">
        <v>2284</v>
      </c>
      <c r="J10" s="997" t="s">
        <v>2080</v>
      </c>
      <c r="K10" s="223" t="s">
        <v>2101</v>
      </c>
      <c r="L10" s="997" t="s">
        <v>2079</v>
      </c>
      <c r="M10" s="132" t="s">
        <v>2016</v>
      </c>
    </row>
    <row r="11" spans="1:13">
      <c r="A11" s="270" t="s">
        <v>2216</v>
      </c>
      <c r="B11" s="270" t="s">
        <v>2285</v>
      </c>
      <c r="J11" s="997" t="s">
        <v>2082</v>
      </c>
      <c r="L11" s="997" t="s">
        <v>2081</v>
      </c>
      <c r="M11" s="132" t="s">
        <v>2017</v>
      </c>
    </row>
    <row r="12" spans="1:13">
      <c r="A12" s="270" t="s">
        <v>2281</v>
      </c>
      <c r="B12" s="270" t="s">
        <v>2278</v>
      </c>
      <c r="J12" s="997" t="s">
        <v>2725</v>
      </c>
      <c r="L12" s="997" t="s">
        <v>2083</v>
      </c>
      <c r="M12" s="132" t="s">
        <v>2018</v>
      </c>
    </row>
    <row r="13" spans="1:13">
      <c r="A13" s="661" t="s">
        <v>2282</v>
      </c>
      <c r="B13" s="390"/>
      <c r="J13" s="997" t="s">
        <v>2726</v>
      </c>
      <c r="L13" s="997" t="s">
        <v>2084</v>
      </c>
    </row>
    <row r="14" spans="1:13">
      <c r="A14" s="661" t="s">
        <v>2283</v>
      </c>
      <c r="B14" s="390"/>
      <c r="J14" s="997" t="s">
        <v>2102</v>
      </c>
      <c r="L14" s="997" t="s">
        <v>2086</v>
      </c>
    </row>
    <row r="15" spans="1:13">
      <c r="A15" s="270" t="s">
        <v>2284</v>
      </c>
      <c r="B15" s="382"/>
      <c r="J15" s="997" t="s">
        <v>2085</v>
      </c>
      <c r="L15" s="997" t="s">
        <v>2088</v>
      </c>
    </row>
    <row r="16" spans="1:13">
      <c r="A16" s="270" t="s">
        <v>2285</v>
      </c>
      <c r="B16" s="382"/>
      <c r="J16" s="997" t="s">
        <v>2087</v>
      </c>
      <c r="L16" s="997" t="s">
        <v>2350</v>
      </c>
    </row>
    <row r="17" spans="1:12">
      <c r="A17" s="661"/>
      <c r="B17" s="390"/>
      <c r="J17" s="997" t="s">
        <v>2349</v>
      </c>
      <c r="L17" s="997" t="s">
        <v>2578</v>
      </c>
    </row>
    <row r="18" spans="1:12">
      <c r="A18" s="661"/>
      <c r="B18" s="390"/>
      <c r="J18" s="997" t="s">
        <v>2504</v>
      </c>
      <c r="L18" s="997" t="s">
        <v>2579</v>
      </c>
    </row>
    <row r="19" spans="1:12">
      <c r="A19" s="270"/>
      <c r="B19" s="382"/>
      <c r="J19" s="991"/>
      <c r="L19" s="997" t="s">
        <v>2580</v>
      </c>
    </row>
    <row r="20" spans="1:12">
      <c r="A20" s="270"/>
      <c r="B20" s="382"/>
      <c r="J20" s="991"/>
      <c r="L20" s="997" t="s">
        <v>2581</v>
      </c>
    </row>
    <row r="21" spans="1:12">
      <c r="J21" s="991"/>
      <c r="L21" s="997" t="s">
        <v>2582</v>
      </c>
    </row>
    <row r="22" spans="1:12">
      <c r="J22" s="991"/>
      <c r="L22" s="997" t="s">
        <v>2583</v>
      </c>
    </row>
    <row r="23" spans="1:12">
      <c r="J23" s="991"/>
      <c r="L23" s="997" t="s">
        <v>2630</v>
      </c>
    </row>
    <row r="24" spans="1:12">
      <c r="J24" s="991"/>
      <c r="L24" s="997" t="s">
        <v>2632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J19"/>
  <sheetViews>
    <sheetView workbookViewId="0">
      <selection activeCell="J16" sqref="J16"/>
    </sheetView>
  </sheetViews>
  <sheetFormatPr baseColWidth="10" defaultColWidth="9.140625" defaultRowHeight="15"/>
  <cols>
    <col min="1" max="1" width="13" customWidth="1"/>
    <col min="2" max="2" width="22.85546875" customWidth="1"/>
    <col min="5" max="5" width="25.140625" customWidth="1"/>
    <col min="9" max="9" width="30.28515625" customWidth="1"/>
  </cols>
  <sheetData>
    <row r="1" spans="1:10" s="375" customFormat="1">
      <c r="C1" s="375" t="s">
        <v>2000</v>
      </c>
    </row>
    <row r="2" spans="1:10">
      <c r="A2" s="1991" t="s">
        <v>2273</v>
      </c>
      <c r="B2" s="398" t="s">
        <v>2261</v>
      </c>
      <c r="C2" s="228">
        <v>1</v>
      </c>
      <c r="E2" s="662" t="s">
        <v>2494</v>
      </c>
      <c r="F2" s="228">
        <v>1</v>
      </c>
      <c r="I2" s="1272" t="s">
        <v>2261</v>
      </c>
      <c r="J2" s="228">
        <v>1</v>
      </c>
    </row>
    <row r="3" spans="1:10">
      <c r="A3" s="1992"/>
      <c r="B3" s="406" t="s">
        <v>2854</v>
      </c>
      <c r="C3" s="228">
        <v>2</v>
      </c>
      <c r="E3" s="662" t="s">
        <v>2585</v>
      </c>
      <c r="F3" s="228">
        <v>2</v>
      </c>
      <c r="I3" s="1232" t="s">
        <v>2817</v>
      </c>
      <c r="J3" s="228">
        <v>2</v>
      </c>
    </row>
    <row r="4" spans="1:10">
      <c r="A4" s="1992"/>
      <c r="B4" s="406" t="s">
        <v>2264</v>
      </c>
      <c r="C4" s="416">
        <v>3</v>
      </c>
      <c r="E4" s="662" t="s">
        <v>206</v>
      </c>
      <c r="F4" s="416">
        <v>3</v>
      </c>
      <c r="I4" s="406" t="s">
        <v>2264</v>
      </c>
      <c r="J4" s="416">
        <v>3</v>
      </c>
    </row>
    <row r="5" spans="1:10">
      <c r="A5" s="1992"/>
      <c r="B5" s="1265" t="s">
        <v>2158</v>
      </c>
      <c r="C5" s="228">
        <v>4</v>
      </c>
      <c r="E5" s="662" t="s">
        <v>2586</v>
      </c>
      <c r="F5" s="228">
        <v>4</v>
      </c>
      <c r="I5" s="1272" t="s">
        <v>2158</v>
      </c>
      <c r="J5" s="228">
        <v>4</v>
      </c>
    </row>
    <row r="6" spans="1:10" ht="15" customHeight="1">
      <c r="A6" s="1993"/>
      <c r="B6" s="404" t="s">
        <v>2263</v>
      </c>
      <c r="C6" s="228">
        <v>5</v>
      </c>
      <c r="E6" s="662" t="s">
        <v>2587</v>
      </c>
      <c r="F6" s="228">
        <v>5</v>
      </c>
      <c r="I6" s="404" t="s">
        <v>2263</v>
      </c>
      <c r="J6" s="228">
        <v>5</v>
      </c>
    </row>
    <row r="7" spans="1:10">
      <c r="A7" s="1277" t="s">
        <v>2197</v>
      </c>
      <c r="B7" s="1265" t="s">
        <v>2154</v>
      </c>
      <c r="C7" s="416">
        <v>6</v>
      </c>
      <c r="E7" s="662" t="s">
        <v>2588</v>
      </c>
      <c r="F7" s="416">
        <v>6</v>
      </c>
      <c r="I7" s="1272" t="s">
        <v>2154</v>
      </c>
      <c r="J7" s="416">
        <v>6</v>
      </c>
    </row>
    <row r="8" spans="1:10">
      <c r="A8" s="1278"/>
      <c r="B8" s="404" t="s">
        <v>2262</v>
      </c>
      <c r="C8" s="228">
        <v>7</v>
      </c>
      <c r="E8" s="672" t="s">
        <v>202</v>
      </c>
      <c r="F8" s="228">
        <v>7</v>
      </c>
      <c r="I8" s="404" t="s">
        <v>2262</v>
      </c>
      <c r="J8" s="228">
        <v>7</v>
      </c>
    </row>
    <row r="9" spans="1:10">
      <c r="A9" s="1278"/>
      <c r="B9" s="404" t="s">
        <v>2259</v>
      </c>
      <c r="C9" s="228">
        <v>8</v>
      </c>
      <c r="E9" s="308" t="s">
        <v>203</v>
      </c>
      <c r="F9" s="228">
        <v>8</v>
      </c>
      <c r="I9" s="404" t="s">
        <v>2259</v>
      </c>
      <c r="J9" s="228">
        <v>8</v>
      </c>
    </row>
    <row r="10" spans="1:10" ht="15" customHeight="1">
      <c r="A10" s="1279"/>
      <c r="B10" s="404" t="s">
        <v>2260</v>
      </c>
      <c r="C10" s="416">
        <v>9</v>
      </c>
      <c r="E10" s="663" t="s">
        <v>204</v>
      </c>
      <c r="F10" s="416">
        <v>9</v>
      </c>
      <c r="I10" s="1392" t="s">
        <v>2780</v>
      </c>
      <c r="J10" s="416">
        <v>9</v>
      </c>
    </row>
    <row r="11" spans="1:10">
      <c r="A11" s="1275" t="s">
        <v>2270</v>
      </c>
      <c r="B11" s="404" t="s">
        <v>2266</v>
      </c>
      <c r="C11" s="228">
        <v>10</v>
      </c>
      <c r="E11" s="663" t="s">
        <v>205</v>
      </c>
      <c r="F11" s="228">
        <v>10</v>
      </c>
      <c r="I11" s="1392" t="s">
        <v>2776</v>
      </c>
      <c r="J11" s="228">
        <v>10</v>
      </c>
    </row>
    <row r="12" spans="1:10">
      <c r="A12" s="1275"/>
      <c r="B12" s="404" t="s">
        <v>2267</v>
      </c>
      <c r="C12" s="228">
        <v>11</v>
      </c>
      <c r="I12" s="404" t="s">
        <v>2260</v>
      </c>
      <c r="J12" s="228">
        <v>11</v>
      </c>
    </row>
    <row r="13" spans="1:10">
      <c r="A13" s="1275"/>
      <c r="B13" s="404" t="s">
        <v>2260</v>
      </c>
      <c r="C13" s="416">
        <v>12</v>
      </c>
      <c r="I13" s="1392" t="s">
        <v>2777</v>
      </c>
      <c r="J13" s="416">
        <v>12</v>
      </c>
    </row>
    <row r="14" spans="1:10">
      <c r="A14" s="1275"/>
      <c r="B14" s="404" t="s">
        <v>57</v>
      </c>
      <c r="C14" s="228">
        <v>13</v>
      </c>
      <c r="I14" s="404" t="s">
        <v>2266</v>
      </c>
      <c r="J14" s="228">
        <v>13</v>
      </c>
    </row>
    <row r="15" spans="1:10">
      <c r="A15" s="1276"/>
      <c r="B15" s="457" t="s">
        <v>2321</v>
      </c>
      <c r="C15" s="228">
        <v>14</v>
      </c>
      <c r="I15" s="404" t="s">
        <v>2267</v>
      </c>
      <c r="J15" s="228">
        <v>14</v>
      </c>
    </row>
    <row r="16" spans="1:10">
      <c r="I16" s="404" t="s">
        <v>2260</v>
      </c>
      <c r="J16" s="228">
        <v>15</v>
      </c>
    </row>
    <row r="17" spans="9:10">
      <c r="I17" s="1392" t="s">
        <v>2778</v>
      </c>
      <c r="J17" s="228">
        <v>16</v>
      </c>
    </row>
    <row r="18" spans="9:10">
      <c r="I18" s="404" t="s">
        <v>2779</v>
      </c>
      <c r="J18" s="416">
        <v>17</v>
      </c>
    </row>
    <row r="19" spans="9:10">
      <c r="I19" s="1393" t="s">
        <v>2321</v>
      </c>
      <c r="J19" s="228">
        <v>18</v>
      </c>
    </row>
  </sheetData>
  <mergeCells count="1">
    <mergeCell ref="A2:A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7"/>
  <sheetViews>
    <sheetView workbookViewId="0">
      <selection activeCell="K11" sqref="K11"/>
    </sheetView>
  </sheetViews>
  <sheetFormatPr baseColWidth="10" defaultColWidth="11.42578125" defaultRowHeight="15"/>
  <sheetData>
    <row r="1" spans="1:17" s="561" customFormat="1" ht="21" customHeight="1">
      <c r="A1" s="1995" t="s">
        <v>2475</v>
      </c>
      <c r="B1" s="1995"/>
      <c r="C1" s="1995"/>
      <c r="D1" s="1995"/>
      <c r="E1" s="1995"/>
      <c r="G1" s="1996" t="s">
        <v>2476</v>
      </c>
      <c r="H1" s="1997"/>
      <c r="I1" s="1997"/>
      <c r="J1" s="1997"/>
      <c r="K1" s="1998"/>
    </row>
    <row r="2" spans="1:17" s="561" customFormat="1" ht="21" customHeight="1" thickBot="1">
      <c r="A2" s="1995"/>
      <c r="B2" s="1995"/>
      <c r="C2" s="1995"/>
      <c r="D2" s="1995"/>
      <c r="E2" s="1995"/>
      <c r="G2" s="1999"/>
      <c r="H2" s="2000"/>
      <c r="I2" s="2000"/>
      <c r="J2" s="2000"/>
      <c r="K2" s="2001"/>
    </row>
    <row r="3" spans="1:17" s="561" customFormat="1"/>
    <row r="4" spans="1:17" s="561" customFormat="1" ht="15.75" customHeight="1">
      <c r="G4" s="2002" t="s">
        <v>2477</v>
      </c>
      <c r="H4" s="2002"/>
      <c r="I4" s="2002"/>
      <c r="J4" s="2002"/>
      <c r="K4" s="2002"/>
      <c r="M4" s="2002" t="s">
        <v>2478</v>
      </c>
      <c r="N4" s="2002"/>
      <c r="O4" s="2002"/>
      <c r="P4" s="2002"/>
      <c r="Q4" s="2002"/>
    </row>
    <row r="5" spans="1:17" s="561" customFormat="1" ht="15" customHeight="1">
      <c r="G5" s="2002"/>
      <c r="H5" s="2002"/>
      <c r="I5" s="2002"/>
      <c r="J5" s="2002"/>
      <c r="K5" s="2002"/>
      <c r="M5" s="2002"/>
      <c r="N5" s="2002"/>
      <c r="O5" s="2002"/>
      <c r="P5" s="2002"/>
      <c r="Q5" s="2002"/>
    </row>
    <row r="6" spans="1:17" s="561" customFormat="1">
      <c r="G6" s="2003" t="s">
        <v>2479</v>
      </c>
      <c r="H6" s="2003"/>
      <c r="I6" s="2003"/>
      <c r="J6" s="562" t="s">
        <v>2480</v>
      </c>
      <c r="K6" s="562" t="s">
        <v>2481</v>
      </c>
      <c r="M6" s="2003" t="s">
        <v>2479</v>
      </c>
      <c r="N6" s="2003"/>
      <c r="O6" s="2003"/>
      <c r="P6" s="562" t="s">
        <v>2480</v>
      </c>
      <c r="Q6" s="562" t="s">
        <v>2481</v>
      </c>
    </row>
    <row r="7" spans="1:17" s="561" customFormat="1" ht="30.75" customHeight="1">
      <c r="G7" s="1994" t="s">
        <v>2482</v>
      </c>
      <c r="H7" s="1994"/>
      <c r="I7" s="1994"/>
      <c r="J7" s="272">
        <v>500</v>
      </c>
      <c r="K7" s="563">
        <v>500</v>
      </c>
      <c r="M7" s="1994" t="s">
        <v>2483</v>
      </c>
      <c r="N7" s="1994"/>
      <c r="O7" s="1994"/>
      <c r="P7" s="561" t="s">
        <v>2484</v>
      </c>
      <c r="Q7" s="563" t="s">
        <v>2484</v>
      </c>
    </row>
  </sheetData>
  <mergeCells count="8">
    <mergeCell ref="G7:I7"/>
    <mergeCell ref="M7:O7"/>
    <mergeCell ref="A1:E2"/>
    <mergeCell ref="G1:K2"/>
    <mergeCell ref="G4:K5"/>
    <mergeCell ref="M4:Q5"/>
    <mergeCell ref="G6:I6"/>
    <mergeCell ref="M6:O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34"/>
  <sheetViews>
    <sheetView workbookViewId="0">
      <selection activeCell="D8" sqref="D8"/>
    </sheetView>
  </sheetViews>
  <sheetFormatPr baseColWidth="10" defaultColWidth="11.42578125" defaultRowHeight="15"/>
  <sheetData>
    <row r="1" spans="1:4" s="778" customFormat="1">
      <c r="A1" s="2008" t="s">
        <v>2611</v>
      </c>
      <c r="B1" s="2008"/>
      <c r="C1" s="2008"/>
      <c r="D1" s="2008"/>
    </row>
    <row r="2" spans="1:4" s="778" customFormat="1">
      <c r="A2" s="778" t="str">
        <f>B2&amp;"/"&amp;C2</f>
        <v>EUR/USD</v>
      </c>
      <c r="B2" s="778" t="s">
        <v>32</v>
      </c>
      <c r="C2" s="778" t="s">
        <v>87</v>
      </c>
      <c r="D2" s="778">
        <v>1.1100000000000001</v>
      </c>
    </row>
    <row r="3" spans="1:4" s="778" customFormat="1">
      <c r="A3" s="778" t="str">
        <f t="shared" ref="A3:A9" si="0">B3&amp;"/"&amp;C3</f>
        <v>USD/EUR</v>
      </c>
      <c r="B3" s="778" t="s">
        <v>87</v>
      </c>
      <c r="C3" s="778" t="s">
        <v>32</v>
      </c>
      <c r="D3" s="778">
        <v>0.89</v>
      </c>
    </row>
    <row r="4" spans="1:4" s="778" customFormat="1">
      <c r="A4" s="778" t="str">
        <f t="shared" si="0"/>
        <v>EUR/EUR</v>
      </c>
      <c r="B4" s="778" t="s">
        <v>32</v>
      </c>
      <c r="C4" s="778" t="s">
        <v>32</v>
      </c>
      <c r="D4" s="778">
        <v>1</v>
      </c>
    </row>
    <row r="5" spans="1:4" s="778" customFormat="1">
      <c r="A5" s="778" t="str">
        <f t="shared" si="0"/>
        <v>USD/USD</v>
      </c>
      <c r="B5" s="778" t="s">
        <v>87</v>
      </c>
      <c r="C5" s="778" t="s">
        <v>87</v>
      </c>
      <c r="D5" s="778">
        <v>1</v>
      </c>
    </row>
    <row r="6" spans="1:4" s="778" customFormat="1">
      <c r="A6" s="778" t="str">
        <f t="shared" si="0"/>
        <v>GBP/GBP</v>
      </c>
      <c r="B6" s="778" t="s">
        <v>2040</v>
      </c>
      <c r="C6" s="778" t="s">
        <v>2040</v>
      </c>
      <c r="D6" s="778">
        <v>1</v>
      </c>
    </row>
    <row r="7" spans="1:4" s="778" customFormat="1">
      <c r="A7" s="778" t="str">
        <f t="shared" si="0"/>
        <v>EUR/GBP</v>
      </c>
      <c r="B7" s="778" t="s">
        <v>32</v>
      </c>
      <c r="C7" s="778" t="s">
        <v>2040</v>
      </c>
      <c r="D7" s="778">
        <v>0.85</v>
      </c>
    </row>
    <row r="8" spans="1:4" s="778" customFormat="1">
      <c r="A8" s="778" t="str">
        <f t="shared" si="0"/>
        <v>GBP/EUR</v>
      </c>
      <c r="B8" s="778" t="s">
        <v>2040</v>
      </c>
      <c r="C8" s="778" t="s">
        <v>32</v>
      </c>
      <c r="D8" s="778">
        <v>1.1499999999999999</v>
      </c>
    </row>
    <row r="9" spans="1:4" s="778" customFormat="1">
      <c r="A9" s="778" t="str">
        <f t="shared" si="0"/>
        <v>/</v>
      </c>
    </row>
    <row r="10" spans="1:4" s="778" customFormat="1"/>
    <row r="11" spans="1:4">
      <c r="A11" s="2004" t="s">
        <v>2552</v>
      </c>
      <c r="B11" s="2004" t="s">
        <v>2553</v>
      </c>
      <c r="C11" s="2004"/>
      <c r="D11" s="2004"/>
    </row>
    <row r="12" spans="1:4">
      <c r="A12" s="2004"/>
      <c r="B12" s="2004" t="s">
        <v>2554</v>
      </c>
      <c r="C12" s="2004"/>
      <c r="D12" s="2004"/>
    </row>
    <row r="13" spans="1:4">
      <c r="A13" s="2004"/>
      <c r="B13" s="2005" t="s">
        <v>2555</v>
      </c>
      <c r="C13" s="2006"/>
      <c r="D13" s="2007"/>
    </row>
    <row r="14" spans="1:4">
      <c r="A14" s="2004"/>
      <c r="B14" s="639" t="s">
        <v>2556</v>
      </c>
      <c r="C14" s="639" t="s">
        <v>2557</v>
      </c>
      <c r="D14" s="639" t="s">
        <v>2558</v>
      </c>
    </row>
    <row r="15" spans="1:4">
      <c r="A15" s="643">
        <v>1</v>
      </c>
      <c r="B15" s="642">
        <v>12603.43</v>
      </c>
      <c r="C15" s="643">
        <v>35.01</v>
      </c>
      <c r="D15" s="641">
        <v>1050.2858333333334</v>
      </c>
    </row>
    <row r="16" spans="1:4">
      <c r="A16" s="643">
        <v>2</v>
      </c>
      <c r="B16" s="642">
        <v>15675.44</v>
      </c>
      <c r="C16" s="643">
        <v>43.54</v>
      </c>
      <c r="D16" s="641">
        <v>1306.2866666666666</v>
      </c>
    </row>
    <row r="17" spans="1:4">
      <c r="A17" s="643">
        <v>3</v>
      </c>
      <c r="B17" s="642">
        <v>18746.77</v>
      </c>
      <c r="C17" s="643">
        <v>52.07</v>
      </c>
      <c r="D17" s="641">
        <v>1562.2308333333333</v>
      </c>
    </row>
    <row r="18" spans="1:4">
      <c r="A18" s="643">
        <v>4</v>
      </c>
      <c r="B18" s="642">
        <v>20679.919999999998</v>
      </c>
      <c r="C18" s="643">
        <v>57.44</v>
      </c>
      <c r="D18" s="641">
        <v>1723.3266666666666</v>
      </c>
    </row>
    <row r="19" spans="1:4">
      <c r="A19" s="640">
        <v>5</v>
      </c>
      <c r="B19" s="640">
        <v>22071.08</v>
      </c>
      <c r="C19" s="640">
        <v>61.31</v>
      </c>
      <c r="D19" s="641">
        <v>1839.2566666666669</v>
      </c>
    </row>
    <row r="20" spans="1:4">
      <c r="A20" s="643">
        <v>6</v>
      </c>
      <c r="B20" s="642">
        <v>22837.11</v>
      </c>
      <c r="C20" s="643">
        <v>63.44</v>
      </c>
      <c r="D20" s="641">
        <v>1903.0925</v>
      </c>
    </row>
    <row r="21" spans="1:4">
      <c r="A21" s="643">
        <v>7</v>
      </c>
      <c r="B21" s="642">
        <v>24255.13</v>
      </c>
      <c r="C21" s="643">
        <v>67.38</v>
      </c>
      <c r="D21" s="641">
        <v>2021.2608333333335</v>
      </c>
    </row>
    <row r="22" spans="1:4">
      <c r="A22" s="643">
        <v>8</v>
      </c>
      <c r="B22" s="642">
        <v>25528.92</v>
      </c>
      <c r="C22" s="643">
        <v>70.91</v>
      </c>
      <c r="D22" s="641">
        <v>2127.41</v>
      </c>
    </row>
    <row r="23" spans="1:4">
      <c r="A23" s="643">
        <v>9</v>
      </c>
      <c r="B23" s="642">
        <v>26680.28</v>
      </c>
      <c r="C23" s="643">
        <v>74.11</v>
      </c>
      <c r="D23" s="641">
        <v>2223.3566666666666</v>
      </c>
    </row>
    <row r="24" spans="1:4">
      <c r="A24" s="643">
        <v>10</v>
      </c>
      <c r="B24" s="642">
        <v>28352.17</v>
      </c>
      <c r="C24" s="643">
        <v>78.760000000000005</v>
      </c>
      <c r="D24" s="641">
        <v>2362.6808333333333</v>
      </c>
    </row>
    <row r="25" spans="1:4">
      <c r="A25" s="643">
        <v>11</v>
      </c>
      <c r="B25" s="642">
        <v>31411.9</v>
      </c>
      <c r="C25" s="643">
        <v>87.26</v>
      </c>
      <c r="D25" s="641">
        <v>2617.6583333333333</v>
      </c>
    </row>
    <row r="26" spans="1:4">
      <c r="A26" s="643">
        <v>12</v>
      </c>
      <c r="B26" s="642">
        <v>33418.26</v>
      </c>
      <c r="C26" s="643">
        <v>92.83</v>
      </c>
      <c r="D26" s="641">
        <v>2784.855</v>
      </c>
    </row>
    <row r="27" spans="1:4">
      <c r="A27" s="643">
        <v>13</v>
      </c>
      <c r="B27" s="643">
        <v>36150.14</v>
      </c>
      <c r="C27" s="643">
        <v>100.42</v>
      </c>
      <c r="D27" s="641">
        <v>3012.5116666666668</v>
      </c>
    </row>
    <row r="28" spans="1:4">
      <c r="A28" s="643">
        <v>14</v>
      </c>
      <c r="B28" s="642">
        <v>38882.07</v>
      </c>
      <c r="C28" s="643">
        <v>108.01</v>
      </c>
      <c r="D28" s="641">
        <v>3240.1725000000001</v>
      </c>
    </row>
    <row r="29" spans="1:4">
      <c r="A29" s="643">
        <v>15</v>
      </c>
      <c r="B29" s="642">
        <v>41912.04</v>
      </c>
      <c r="C29" s="643">
        <v>116.42</v>
      </c>
      <c r="D29" s="641">
        <v>3492.67</v>
      </c>
    </row>
    <row r="30" spans="1:4">
      <c r="A30" s="643">
        <v>16</v>
      </c>
      <c r="B30" s="642">
        <v>45121.47</v>
      </c>
      <c r="C30" s="643">
        <v>125.34</v>
      </c>
      <c r="D30" s="641">
        <v>3760.1224999999999</v>
      </c>
    </row>
    <row r="31" spans="1:4">
      <c r="A31" s="643">
        <v>17</v>
      </c>
      <c r="B31" s="642">
        <v>49043.54</v>
      </c>
      <c r="C31" s="643">
        <v>136.22999999999999</v>
      </c>
      <c r="D31" s="641">
        <v>4086.9616666666666</v>
      </c>
    </row>
    <row r="32" spans="1:4">
      <c r="A32" s="643">
        <v>18</v>
      </c>
      <c r="B32" s="642">
        <v>54045.81</v>
      </c>
      <c r="C32" s="643">
        <v>150.13</v>
      </c>
      <c r="D32" s="641">
        <v>4503.8175000000001</v>
      </c>
    </row>
    <row r="33" spans="1:4">
      <c r="A33" s="643">
        <v>19</v>
      </c>
      <c r="B33" s="642">
        <v>59492.38</v>
      </c>
      <c r="C33" s="643">
        <v>165.26</v>
      </c>
      <c r="D33" s="641">
        <v>4957.6983333333328</v>
      </c>
    </row>
    <row r="34" spans="1:4">
      <c r="A34" s="643">
        <v>20</v>
      </c>
      <c r="B34" s="642">
        <v>65366.77</v>
      </c>
      <c r="C34" s="643">
        <v>181.57</v>
      </c>
      <c r="D34" s="641">
        <v>5447.2308333333331</v>
      </c>
    </row>
  </sheetData>
  <mergeCells count="5">
    <mergeCell ref="A11:A14"/>
    <mergeCell ref="B11:D11"/>
    <mergeCell ref="B12:D12"/>
    <mergeCell ref="B13:D13"/>
    <mergeCell ref="A1:D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5" tint="0.59999389629810485"/>
  </sheetPr>
  <dimension ref="A1:R72"/>
  <sheetViews>
    <sheetView workbookViewId="0">
      <selection activeCell="D1" sqref="D1"/>
    </sheetView>
  </sheetViews>
  <sheetFormatPr baseColWidth="10" defaultColWidth="11.42578125" defaultRowHeight="15"/>
  <cols>
    <col min="4" max="4" width="28.5703125" customWidth="1"/>
    <col min="5" max="5" width="26" customWidth="1"/>
    <col min="6" max="6" width="11.85546875" style="939" customWidth="1"/>
    <col min="7" max="7" width="11.28515625" style="939" customWidth="1"/>
    <col min="15" max="15" width="16.85546875" customWidth="1"/>
    <col min="16" max="16" width="15.5703125" customWidth="1"/>
    <col min="17" max="17" width="16.7109375" customWidth="1"/>
    <col min="18" max="18" width="18" customWidth="1"/>
  </cols>
  <sheetData>
    <row r="1" s="1150" customFormat="1"/>
    <row r="2" s="1150" customFormat="1"/>
    <row r="3" s="1150" customFormat="1"/>
    <row r="4" s="1150" customFormat="1"/>
    <row r="5" s="1150" customFormat="1"/>
    <row r="6" s="1150" customFormat="1"/>
    <row r="7" s="1150" customFormat="1"/>
    <row r="8" s="1150" customFormat="1"/>
    <row r="9" s="1150" customFormat="1"/>
    <row r="10" s="1150" customFormat="1"/>
    <row r="11" s="1150" customFormat="1"/>
    <row r="12" s="1150" customFormat="1"/>
    <row r="13" s="1150" customFormat="1"/>
    <row r="14" s="1150" customFormat="1"/>
    <row r="15" s="1150" customFormat="1"/>
    <row r="16" s="1150" customFormat="1"/>
    <row r="17" spans="2:18" s="939" customFormat="1"/>
    <row r="19" spans="2:18">
      <c r="B19" s="885">
        <v>2</v>
      </c>
      <c r="D19" s="885" t="str">
        <f>IF(B19=1,"",INDEX($D$21:$D$26,B19,1))</f>
        <v>Legal Assistance</v>
      </c>
    </row>
    <row r="20" spans="2:18">
      <c r="D20" s="1007" t="s">
        <v>2729</v>
      </c>
      <c r="E20" s="1007" t="s">
        <v>2158</v>
      </c>
      <c r="F20" s="1007" t="s">
        <v>2000</v>
      </c>
      <c r="G20" s="1007" t="s">
        <v>2207</v>
      </c>
      <c r="H20" s="1007" t="s">
        <v>2716</v>
      </c>
      <c r="I20" s="1007" t="s">
        <v>2717</v>
      </c>
      <c r="J20" s="1007" t="s">
        <v>2721</v>
      </c>
      <c r="K20" s="1007" t="s">
        <v>2722</v>
      </c>
      <c r="L20" s="1007" t="s">
        <v>2723</v>
      </c>
      <c r="M20" s="1007" t="s">
        <v>2724</v>
      </c>
      <c r="N20" s="878"/>
      <c r="O20" s="1007" t="s">
        <v>2734</v>
      </c>
      <c r="P20" s="1007" t="s">
        <v>2735</v>
      </c>
      <c r="Q20" s="1007" t="s">
        <v>2500</v>
      </c>
      <c r="R20" s="1007" t="s">
        <v>194</v>
      </c>
    </row>
    <row r="21" spans="2:18" s="939" customFormat="1">
      <c r="B21" s="939">
        <v>1</v>
      </c>
      <c r="D21" s="222" t="s">
        <v>2062</v>
      </c>
      <c r="E21" s="878" t="s">
        <v>2224</v>
      </c>
      <c r="F21" s="878" t="b">
        <v>0</v>
      </c>
      <c r="G21" s="878" t="b">
        <v>0</v>
      </c>
      <c r="H21" s="878" t="b">
        <v>0</v>
      </c>
      <c r="I21" s="878" t="b">
        <v>0</v>
      </c>
      <c r="J21" s="878" t="b">
        <v>0</v>
      </c>
      <c r="K21" s="878" t="b">
        <v>0</v>
      </c>
      <c r="L21" s="878" t="b">
        <v>0</v>
      </c>
      <c r="M21" s="878" t="b">
        <v>0</v>
      </c>
      <c r="N21" s="878"/>
      <c r="O21" s="878"/>
      <c r="P21" s="878"/>
      <c r="Q21" s="878"/>
      <c r="R21" s="878"/>
    </row>
    <row r="22" spans="2:18" s="939" customFormat="1">
      <c r="B22" s="939">
        <v>2</v>
      </c>
      <c r="D22" s="222" t="s">
        <v>2630</v>
      </c>
      <c r="E22" s="878" t="s">
        <v>4</v>
      </c>
      <c r="F22" s="878" t="b">
        <v>0</v>
      </c>
      <c r="G22" s="878" t="b">
        <v>0</v>
      </c>
      <c r="H22" s="878" t="b">
        <v>0</v>
      </c>
      <c r="I22" s="878" t="b">
        <v>0</v>
      </c>
      <c r="J22" s="878" t="b">
        <v>0</v>
      </c>
      <c r="K22" s="878" t="b">
        <v>0</v>
      </c>
      <c r="L22" s="878" t="b">
        <v>0</v>
      </c>
      <c r="M22" s="878" t="b">
        <v>0</v>
      </c>
      <c r="N22" s="878"/>
      <c r="O22" s="878"/>
      <c r="P22" s="878"/>
      <c r="Q22" s="878"/>
      <c r="R22" s="878"/>
    </row>
    <row r="23" spans="2:18" s="939" customFormat="1">
      <c r="B23" s="939">
        <v>3</v>
      </c>
      <c r="D23" s="222" t="s">
        <v>2632</v>
      </c>
      <c r="E23" s="878" t="s">
        <v>4</v>
      </c>
      <c r="F23" s="878" t="b">
        <v>0</v>
      </c>
      <c r="G23" s="878" t="b">
        <v>0</v>
      </c>
      <c r="H23" s="878" t="b">
        <v>0</v>
      </c>
      <c r="I23" s="878" t="b">
        <v>0</v>
      </c>
      <c r="J23" s="878" t="b">
        <v>0</v>
      </c>
      <c r="K23" s="878" t="b">
        <v>0</v>
      </c>
      <c r="L23" s="878" t="b">
        <v>0</v>
      </c>
      <c r="M23" s="878" t="b">
        <v>0</v>
      </c>
      <c r="N23" s="878"/>
      <c r="O23" s="878"/>
      <c r="P23" s="878"/>
      <c r="Q23" s="878"/>
      <c r="R23" s="878"/>
    </row>
    <row r="24" spans="2:18" s="939" customFormat="1">
      <c r="B24" s="939">
        <v>4</v>
      </c>
      <c r="D24" s="222" t="s">
        <v>2088</v>
      </c>
      <c r="E24" s="878" t="s">
        <v>4</v>
      </c>
      <c r="F24" s="879" t="b">
        <v>1</v>
      </c>
      <c r="G24" s="879" t="b">
        <v>1</v>
      </c>
      <c r="H24" s="878" t="b">
        <v>0</v>
      </c>
      <c r="I24" s="878" t="b">
        <v>0</v>
      </c>
      <c r="J24" s="878" t="b">
        <v>0</v>
      </c>
      <c r="K24" s="878" t="b">
        <v>0</v>
      </c>
      <c r="L24" s="878" t="b">
        <v>0</v>
      </c>
      <c r="M24" s="878" t="b">
        <v>0</v>
      </c>
      <c r="N24" s="878"/>
      <c r="O24" s="878"/>
      <c r="P24" s="878"/>
      <c r="Q24" s="878"/>
      <c r="R24" s="878"/>
    </row>
    <row r="25" spans="2:18" s="939" customFormat="1">
      <c r="B25" s="939">
        <v>5</v>
      </c>
      <c r="D25" s="222" t="s">
        <v>2732</v>
      </c>
      <c r="E25" s="878" t="s">
        <v>4</v>
      </c>
      <c r="F25" s="879" t="b">
        <v>1</v>
      </c>
      <c r="G25" s="879" t="b">
        <v>1</v>
      </c>
      <c r="H25" s="878" t="b">
        <v>0</v>
      </c>
      <c r="I25" s="878" t="b">
        <v>0</v>
      </c>
      <c r="J25" s="878" t="b">
        <v>0</v>
      </c>
      <c r="K25" s="878" t="b">
        <v>0</v>
      </c>
      <c r="L25" s="878" t="b">
        <v>0</v>
      </c>
      <c r="M25" s="878" t="b">
        <v>0</v>
      </c>
      <c r="N25" s="878"/>
      <c r="O25" s="878"/>
      <c r="P25" s="878"/>
      <c r="Q25" s="878"/>
      <c r="R25" s="878"/>
    </row>
    <row r="26" spans="2:18" s="939" customFormat="1">
      <c r="B26" s="939">
        <v>6</v>
      </c>
      <c r="D26" s="222" t="s">
        <v>2733</v>
      </c>
      <c r="E26" s="878" t="s">
        <v>4</v>
      </c>
      <c r="F26" s="879" t="b">
        <v>1</v>
      </c>
      <c r="G26" s="879" t="b">
        <v>1</v>
      </c>
      <c r="H26" s="878" t="b">
        <v>0</v>
      </c>
      <c r="I26" s="878" t="b">
        <v>0</v>
      </c>
      <c r="J26" s="878" t="b">
        <v>0</v>
      </c>
      <c r="K26" s="878" t="b">
        <v>0</v>
      </c>
      <c r="L26" s="878" t="b">
        <v>0</v>
      </c>
      <c r="M26" s="878" t="b">
        <v>0</v>
      </c>
      <c r="N26" s="878"/>
      <c r="O26" s="878"/>
      <c r="P26" s="878"/>
      <c r="Q26" s="878"/>
      <c r="R26" s="878"/>
    </row>
    <row r="27" spans="2:18" s="939" customFormat="1">
      <c r="B27" s="939">
        <v>7</v>
      </c>
      <c r="D27" s="222"/>
      <c r="E27" s="878"/>
      <c r="F27" s="879"/>
      <c r="G27" s="879"/>
      <c r="H27" s="878"/>
      <c r="I27" s="878"/>
      <c r="J27" s="878"/>
      <c r="K27" s="878"/>
      <c r="L27" s="878"/>
      <c r="M27" s="878"/>
      <c r="N27" s="878"/>
      <c r="O27" s="878"/>
      <c r="P27" s="878"/>
      <c r="Q27" s="878"/>
      <c r="R27" s="878"/>
    </row>
    <row r="28" spans="2:18" s="939" customFormat="1">
      <c r="D28" s="1007" t="s">
        <v>2729</v>
      </c>
      <c r="E28" s="1007" t="s">
        <v>2158</v>
      </c>
      <c r="F28" s="1007" t="s">
        <v>2000</v>
      </c>
      <c r="G28" s="1007" t="s">
        <v>2207</v>
      </c>
      <c r="H28" s="1007" t="s">
        <v>2716</v>
      </c>
      <c r="I28" s="1007" t="s">
        <v>2717</v>
      </c>
      <c r="J28" s="1007" t="s">
        <v>2721</v>
      </c>
      <c r="K28" s="1007" t="s">
        <v>2722</v>
      </c>
      <c r="L28" s="1007" t="s">
        <v>2723</v>
      </c>
      <c r="M28" s="1007" t="s">
        <v>2724</v>
      </c>
      <c r="N28" s="878"/>
      <c r="O28" s="878"/>
      <c r="P28" s="878"/>
      <c r="Q28" s="878"/>
      <c r="R28" s="878"/>
    </row>
    <row r="29" spans="2:18" s="939" customFormat="1">
      <c r="B29" s="939">
        <v>1</v>
      </c>
      <c r="D29" s="222" t="s">
        <v>2062</v>
      </c>
      <c r="E29" s="878" t="s">
        <v>2224</v>
      </c>
      <c r="F29" s="878" t="b">
        <v>0</v>
      </c>
      <c r="G29" s="878" t="b">
        <v>0</v>
      </c>
      <c r="H29" s="878" t="b">
        <v>0</v>
      </c>
      <c r="I29" s="878" t="b">
        <v>0</v>
      </c>
      <c r="J29" s="878" t="b">
        <v>0</v>
      </c>
      <c r="K29" s="878" t="b">
        <v>0</v>
      </c>
      <c r="L29" s="878" t="b">
        <v>0</v>
      </c>
      <c r="M29" s="878" t="b">
        <v>0</v>
      </c>
      <c r="N29" s="878"/>
      <c r="O29" s="878"/>
      <c r="P29" s="878"/>
      <c r="Q29" s="878"/>
      <c r="R29" s="878"/>
    </row>
    <row r="30" spans="2:18" s="939" customFormat="1">
      <c r="B30" s="939">
        <v>2</v>
      </c>
      <c r="D30" s="222" t="s">
        <v>2731</v>
      </c>
      <c r="E30" s="878" t="s">
        <v>4</v>
      </c>
      <c r="F30" s="879" t="b">
        <v>1</v>
      </c>
      <c r="G30" s="879" t="b">
        <v>1</v>
      </c>
      <c r="H30" s="878" t="b">
        <v>0</v>
      </c>
      <c r="I30" s="878" t="b">
        <v>0</v>
      </c>
      <c r="J30" s="878" t="b">
        <v>0</v>
      </c>
      <c r="K30" s="878" t="b">
        <v>0</v>
      </c>
      <c r="L30" s="878" t="b">
        <v>0</v>
      </c>
      <c r="M30" s="878" t="b">
        <v>0</v>
      </c>
      <c r="N30" s="878"/>
      <c r="O30" s="878"/>
      <c r="P30" s="878"/>
      <c r="Q30" s="878"/>
      <c r="R30" s="878"/>
    </row>
    <row r="31" spans="2:18" s="939" customFormat="1">
      <c r="B31" s="939">
        <v>3</v>
      </c>
      <c r="D31" s="222" t="s">
        <v>2350</v>
      </c>
      <c r="E31" s="878" t="s">
        <v>4</v>
      </c>
      <c r="F31" s="879" t="b">
        <v>1</v>
      </c>
      <c r="G31" s="879" t="b">
        <v>1</v>
      </c>
      <c r="H31" s="878" t="b">
        <v>0</v>
      </c>
      <c r="I31" s="878" t="b">
        <v>0</v>
      </c>
      <c r="J31" s="878" t="b">
        <v>0</v>
      </c>
      <c r="K31" s="878" t="b">
        <v>0</v>
      </c>
      <c r="L31" s="878" t="b">
        <v>0</v>
      </c>
      <c r="M31" s="878" t="b">
        <v>0</v>
      </c>
      <c r="N31" s="878"/>
      <c r="O31" s="878"/>
      <c r="P31" s="878"/>
      <c r="Q31" s="878"/>
      <c r="R31" s="878"/>
    </row>
    <row r="32" spans="2:18" s="939" customFormat="1">
      <c r="B32" s="939">
        <v>4</v>
      </c>
      <c r="D32" s="222" t="s">
        <v>2578</v>
      </c>
      <c r="E32" s="878" t="s">
        <v>4</v>
      </c>
      <c r="F32" s="879" t="b">
        <v>1</v>
      </c>
      <c r="G32" s="879" t="b">
        <v>0</v>
      </c>
      <c r="H32" s="878" t="b">
        <v>0</v>
      </c>
      <c r="I32" s="878" t="b">
        <v>0</v>
      </c>
      <c r="J32" s="878" t="b">
        <v>0</v>
      </c>
      <c r="K32" s="878" t="b">
        <v>0</v>
      </c>
      <c r="L32" s="878" t="b">
        <v>0</v>
      </c>
      <c r="M32" s="878" t="b">
        <v>0</v>
      </c>
      <c r="N32" s="878"/>
      <c r="O32" s="878"/>
      <c r="P32" s="878"/>
      <c r="Q32" s="878"/>
      <c r="R32" s="878"/>
    </row>
    <row r="33" spans="2:18" s="939" customFormat="1">
      <c r="B33" s="939">
        <v>5</v>
      </c>
      <c r="D33" s="222" t="s">
        <v>2579</v>
      </c>
      <c r="E33" s="878" t="s">
        <v>4</v>
      </c>
      <c r="F33" s="879" t="b">
        <v>1</v>
      </c>
      <c r="G33" s="879" t="b">
        <v>1</v>
      </c>
      <c r="H33" s="878" t="b">
        <v>0</v>
      </c>
      <c r="I33" s="878" t="b">
        <v>0</v>
      </c>
      <c r="J33" s="878" t="b">
        <v>0</v>
      </c>
      <c r="K33" s="878" t="b">
        <v>0</v>
      </c>
      <c r="L33" s="878" t="b">
        <v>0</v>
      </c>
      <c r="M33" s="878" t="b">
        <v>0</v>
      </c>
      <c r="N33" s="878"/>
      <c r="O33" s="878"/>
      <c r="P33" s="878"/>
      <c r="Q33" s="878"/>
      <c r="R33" s="878"/>
    </row>
    <row r="34" spans="2:18" s="939" customFormat="1">
      <c r="B34" s="939">
        <v>6</v>
      </c>
      <c r="D34" s="222" t="s">
        <v>2580</v>
      </c>
      <c r="E34" s="878" t="s">
        <v>4</v>
      </c>
      <c r="F34" s="879" t="b">
        <v>1</v>
      </c>
      <c r="G34" s="879" t="b">
        <v>1</v>
      </c>
      <c r="H34" s="878" t="b">
        <v>0</v>
      </c>
      <c r="I34" s="878" t="b">
        <v>0</v>
      </c>
      <c r="J34" s="878" t="b">
        <v>0</v>
      </c>
      <c r="K34" s="878" t="b">
        <v>0</v>
      </c>
      <c r="L34" s="878" t="b">
        <v>0</v>
      </c>
      <c r="M34" s="878" t="b">
        <v>0</v>
      </c>
      <c r="N34" s="878"/>
      <c r="O34" s="878"/>
      <c r="P34" s="878"/>
      <c r="Q34" s="878"/>
      <c r="R34" s="878"/>
    </row>
    <row r="35" spans="2:18" s="939" customFormat="1">
      <c r="B35" s="939">
        <v>7</v>
      </c>
      <c r="D35" s="222" t="s">
        <v>2581</v>
      </c>
      <c r="E35" s="878" t="s">
        <v>4</v>
      </c>
      <c r="F35" s="879" t="b">
        <v>1</v>
      </c>
      <c r="G35" s="879" t="b">
        <v>0</v>
      </c>
      <c r="H35" s="878" t="b">
        <v>0</v>
      </c>
      <c r="I35" s="878" t="b">
        <v>0</v>
      </c>
      <c r="J35" s="878" t="b">
        <v>0</v>
      </c>
      <c r="K35" s="878" t="b">
        <v>0</v>
      </c>
      <c r="L35" s="878" t="b">
        <v>0</v>
      </c>
      <c r="M35" s="878" t="b">
        <v>0</v>
      </c>
      <c r="N35" s="878"/>
      <c r="O35" s="878"/>
      <c r="P35" s="878"/>
      <c r="Q35" s="878"/>
      <c r="R35" s="878"/>
    </row>
    <row r="36" spans="2:18" s="939" customFormat="1">
      <c r="B36" s="939">
        <v>8</v>
      </c>
      <c r="D36" s="222" t="s">
        <v>2582</v>
      </c>
      <c r="E36" s="878" t="s">
        <v>4</v>
      </c>
      <c r="F36" s="879" t="b">
        <v>1</v>
      </c>
      <c r="G36" s="879" t="b">
        <v>1</v>
      </c>
      <c r="H36" s="878" t="b">
        <v>0</v>
      </c>
      <c r="I36" s="878" t="b">
        <v>0</v>
      </c>
      <c r="J36" s="878" t="b">
        <v>0</v>
      </c>
      <c r="K36" s="878" t="b">
        <v>0</v>
      </c>
      <c r="L36" s="878" t="b">
        <v>0</v>
      </c>
      <c r="M36" s="878" t="b">
        <v>0</v>
      </c>
      <c r="N36" s="878"/>
      <c r="O36" s="878"/>
      <c r="P36" s="878"/>
      <c r="Q36" s="878"/>
      <c r="R36" s="878"/>
    </row>
    <row r="37" spans="2:18" s="939" customFormat="1">
      <c r="B37" s="939">
        <v>9</v>
      </c>
      <c r="D37" s="222" t="s">
        <v>2583</v>
      </c>
      <c r="E37" s="878" t="s">
        <v>4</v>
      </c>
      <c r="F37" s="879" t="b">
        <v>1</v>
      </c>
      <c r="G37" s="879" t="b">
        <v>1</v>
      </c>
      <c r="H37" s="878" t="b">
        <v>0</v>
      </c>
      <c r="I37" s="878" t="b">
        <v>0</v>
      </c>
      <c r="J37" s="878" t="b">
        <v>0</v>
      </c>
      <c r="K37" s="878" t="b">
        <v>0</v>
      </c>
      <c r="L37" s="878" t="b">
        <v>0</v>
      </c>
      <c r="M37" s="878" t="b">
        <v>0</v>
      </c>
      <c r="N37" s="878"/>
      <c r="O37" s="878"/>
      <c r="P37" s="878"/>
      <c r="Q37" s="878"/>
      <c r="R37" s="878"/>
    </row>
    <row r="38" spans="2:18" s="939" customFormat="1">
      <c r="B38" s="939">
        <v>10</v>
      </c>
      <c r="D38" s="222" t="s">
        <v>2079</v>
      </c>
      <c r="E38" s="878" t="s">
        <v>4</v>
      </c>
      <c r="F38" s="879" t="b">
        <v>1</v>
      </c>
      <c r="G38" s="879" t="b">
        <v>1</v>
      </c>
      <c r="H38" s="878" t="b">
        <v>0</v>
      </c>
      <c r="I38" s="878" t="b">
        <v>0</v>
      </c>
      <c r="J38" s="878" t="b">
        <v>0</v>
      </c>
      <c r="K38" s="878" t="b">
        <v>0</v>
      </c>
      <c r="L38" s="878" t="b">
        <v>0</v>
      </c>
      <c r="M38" s="878" t="b">
        <v>0</v>
      </c>
      <c r="N38" s="878"/>
      <c r="O38" s="878"/>
      <c r="P38" s="878"/>
      <c r="Q38" s="878"/>
      <c r="R38" s="878"/>
    </row>
    <row r="39" spans="2:18" s="939" customFormat="1">
      <c r="B39" s="939">
        <v>11</v>
      </c>
      <c r="D39" s="222" t="s">
        <v>2073</v>
      </c>
      <c r="E39" s="878" t="s">
        <v>7</v>
      </c>
      <c r="F39" s="879" t="b">
        <v>1</v>
      </c>
      <c r="G39" s="879" t="b">
        <v>1</v>
      </c>
      <c r="H39" s="878" t="b">
        <v>0</v>
      </c>
      <c r="I39" s="878" t="b">
        <v>0</v>
      </c>
      <c r="J39" s="878" t="b">
        <v>0</v>
      </c>
      <c r="K39" s="878" t="b">
        <v>0</v>
      </c>
      <c r="L39" s="878" t="b">
        <v>0</v>
      </c>
      <c r="M39" s="878" t="b">
        <v>0</v>
      </c>
      <c r="N39" s="878"/>
      <c r="O39" s="878"/>
      <c r="P39" s="878"/>
      <c r="Q39" s="878"/>
      <c r="R39" s="878"/>
    </row>
    <row r="40" spans="2:18" s="939" customFormat="1">
      <c r="B40" s="939">
        <v>12</v>
      </c>
      <c r="D40" s="222"/>
      <c r="E40" s="878"/>
      <c r="F40" s="878"/>
      <c r="G40" s="878"/>
      <c r="H40" s="878"/>
      <c r="I40" s="878"/>
      <c r="J40" s="878"/>
      <c r="K40" s="878"/>
      <c r="L40" s="878"/>
      <c r="M40" s="878"/>
      <c r="N40" s="878"/>
      <c r="O40" s="878"/>
      <c r="P40" s="878"/>
      <c r="Q40" s="878"/>
      <c r="R40" s="878"/>
    </row>
    <row r="41" spans="2:18" s="939" customFormat="1">
      <c r="D41" s="1007" t="s">
        <v>2729</v>
      </c>
      <c r="E41" s="1007" t="s">
        <v>2158</v>
      </c>
      <c r="F41" s="1007" t="s">
        <v>2000</v>
      </c>
      <c r="G41" s="1007" t="s">
        <v>2207</v>
      </c>
      <c r="H41" s="1007" t="s">
        <v>2716</v>
      </c>
      <c r="I41" s="1007" t="s">
        <v>2717</v>
      </c>
      <c r="J41" s="1007" t="s">
        <v>2721</v>
      </c>
      <c r="K41" s="1007" t="s">
        <v>2722</v>
      </c>
      <c r="L41" s="1007" t="s">
        <v>2723</v>
      </c>
      <c r="M41" s="1007" t="s">
        <v>2724</v>
      </c>
      <c r="N41" s="878"/>
      <c r="O41" s="878"/>
      <c r="P41" s="878"/>
      <c r="Q41" s="878"/>
      <c r="R41" s="878"/>
    </row>
    <row r="42" spans="2:18" s="939" customFormat="1">
      <c r="B42" s="939">
        <v>1</v>
      </c>
      <c r="D42" s="222" t="s">
        <v>2062</v>
      </c>
      <c r="E42" s="878" t="s">
        <v>2224</v>
      </c>
      <c r="F42" s="878" t="b">
        <v>0</v>
      </c>
      <c r="G42" s="878" t="b">
        <v>0</v>
      </c>
      <c r="H42" s="878" t="b">
        <v>0</v>
      </c>
      <c r="I42" s="878" t="b">
        <v>0</v>
      </c>
      <c r="J42" s="878" t="b">
        <v>0</v>
      </c>
      <c r="K42" s="878" t="b">
        <v>0</v>
      </c>
      <c r="L42" s="878" t="b">
        <v>0</v>
      </c>
      <c r="M42" s="878" t="b">
        <v>0</v>
      </c>
      <c r="N42" s="878"/>
      <c r="O42" s="878"/>
      <c r="P42" s="878"/>
      <c r="Q42" s="878"/>
      <c r="R42" s="878"/>
    </row>
    <row r="43" spans="2:18" s="939" customFormat="1">
      <c r="B43" s="939">
        <v>2</v>
      </c>
      <c r="D43" s="222" t="s">
        <v>2117</v>
      </c>
      <c r="E43" s="878" t="s">
        <v>4</v>
      </c>
      <c r="F43" s="879" t="b">
        <v>1</v>
      </c>
      <c r="G43" s="879" t="b">
        <v>0</v>
      </c>
      <c r="H43" s="878" t="b">
        <v>0</v>
      </c>
      <c r="I43" s="878" t="b">
        <v>0</v>
      </c>
      <c r="J43" s="878" t="b">
        <v>0</v>
      </c>
      <c r="K43" s="878" t="b">
        <v>0</v>
      </c>
      <c r="L43" s="878" t="b">
        <v>0</v>
      </c>
      <c r="M43" s="878" t="b">
        <v>0</v>
      </c>
      <c r="N43" s="878"/>
      <c r="O43" s="878"/>
      <c r="P43" s="878"/>
      <c r="Q43" s="878"/>
      <c r="R43" s="878"/>
    </row>
    <row r="44" spans="2:18" s="939" customFormat="1">
      <c r="B44" s="939">
        <v>3</v>
      </c>
      <c r="D44" s="222" t="s">
        <v>2378</v>
      </c>
      <c r="E44" s="878" t="s">
        <v>4</v>
      </c>
      <c r="F44" s="879" t="b">
        <v>1</v>
      </c>
      <c r="G44" s="879" t="b">
        <v>1</v>
      </c>
      <c r="H44" s="878" t="b">
        <v>0</v>
      </c>
      <c r="I44" s="878" t="b">
        <v>0</v>
      </c>
      <c r="J44" s="878" t="b">
        <v>0</v>
      </c>
      <c r="K44" s="878" t="b">
        <v>0</v>
      </c>
      <c r="L44" s="878" t="b">
        <v>0</v>
      </c>
      <c r="M44" s="878" t="b">
        <v>0</v>
      </c>
      <c r="N44" s="878"/>
      <c r="O44" s="878"/>
      <c r="P44" s="878"/>
      <c r="Q44" s="878"/>
      <c r="R44" s="878"/>
    </row>
    <row r="45" spans="2:18" s="939" customFormat="1">
      <c r="B45" s="939">
        <v>4</v>
      </c>
      <c r="D45" s="222" t="s">
        <v>2068</v>
      </c>
      <c r="E45" s="878" t="s">
        <v>4</v>
      </c>
      <c r="F45" s="879" t="b">
        <v>1</v>
      </c>
      <c r="G45" s="879" t="b">
        <v>1</v>
      </c>
      <c r="H45" s="878" t="b">
        <v>0</v>
      </c>
      <c r="I45" s="878" t="b">
        <v>0</v>
      </c>
      <c r="J45" s="878" t="b">
        <v>0</v>
      </c>
      <c r="K45" s="878" t="b">
        <v>0</v>
      </c>
      <c r="L45" s="878" t="b">
        <v>0</v>
      </c>
      <c r="M45" s="878" t="b">
        <v>0</v>
      </c>
      <c r="N45" s="878"/>
      <c r="O45" s="878"/>
      <c r="P45" s="878"/>
      <c r="Q45" s="878"/>
      <c r="R45" s="878"/>
    </row>
    <row r="46" spans="2:18" s="939" customFormat="1">
      <c r="B46" s="939">
        <v>5</v>
      </c>
      <c r="D46" s="222" t="s">
        <v>2116</v>
      </c>
      <c r="E46" s="878" t="s">
        <v>4</v>
      </c>
      <c r="F46" s="879" t="b">
        <v>1</v>
      </c>
      <c r="G46" s="879" t="b">
        <v>0</v>
      </c>
      <c r="H46" s="878" t="b">
        <v>0</v>
      </c>
      <c r="I46" s="878" t="b">
        <v>0</v>
      </c>
      <c r="J46" s="878" t="b">
        <v>0</v>
      </c>
      <c r="K46" s="878" t="b">
        <v>0</v>
      </c>
      <c r="L46" s="878" t="b">
        <v>0</v>
      </c>
      <c r="M46" s="878" t="b">
        <v>0</v>
      </c>
      <c r="N46" s="878"/>
      <c r="O46" s="878"/>
      <c r="P46" s="878"/>
      <c r="Q46" s="878"/>
      <c r="R46" s="878"/>
    </row>
    <row r="47" spans="2:18" s="939" customFormat="1">
      <c r="B47" s="939">
        <v>6</v>
      </c>
      <c r="D47" s="222" t="s">
        <v>1979</v>
      </c>
      <c r="E47" s="878" t="s">
        <v>4</v>
      </c>
      <c r="F47" s="879" t="b">
        <v>1</v>
      </c>
      <c r="G47" s="879" t="b">
        <v>1</v>
      </c>
      <c r="H47" s="878" t="b">
        <v>0</v>
      </c>
      <c r="I47" s="878" t="b">
        <v>0</v>
      </c>
      <c r="J47" s="878" t="b">
        <v>0</v>
      </c>
      <c r="K47" s="878" t="b">
        <v>0</v>
      </c>
      <c r="L47" s="878" t="b">
        <v>0</v>
      </c>
      <c r="M47" s="878" t="b">
        <v>0</v>
      </c>
      <c r="N47" s="878"/>
      <c r="O47" s="878"/>
      <c r="P47" s="878"/>
      <c r="Q47" s="878"/>
      <c r="R47" s="878"/>
    </row>
    <row r="48" spans="2:18" s="939" customFormat="1">
      <c r="B48" s="939">
        <v>7</v>
      </c>
      <c r="D48" s="222" t="s">
        <v>1976</v>
      </c>
      <c r="E48" s="878" t="s">
        <v>4</v>
      </c>
      <c r="F48" s="879" t="b">
        <v>1</v>
      </c>
      <c r="G48" s="879" t="b">
        <v>1</v>
      </c>
      <c r="H48" s="878" t="b">
        <v>0</v>
      </c>
      <c r="I48" s="878" t="b">
        <v>0</v>
      </c>
      <c r="J48" s="878" t="b">
        <v>0</v>
      </c>
      <c r="K48" s="878" t="b">
        <v>0</v>
      </c>
      <c r="L48" s="878" t="b">
        <v>0</v>
      </c>
      <c r="M48" s="878" t="b">
        <v>0</v>
      </c>
      <c r="N48" s="878"/>
      <c r="O48" s="878"/>
      <c r="P48" s="878"/>
      <c r="Q48" s="878"/>
      <c r="R48" s="878"/>
    </row>
    <row r="49" spans="1:18" s="939" customFormat="1">
      <c r="B49" s="939">
        <v>8</v>
      </c>
      <c r="D49" s="222" t="s">
        <v>2081</v>
      </c>
      <c r="E49" s="878" t="s">
        <v>4</v>
      </c>
      <c r="F49" s="879" t="b">
        <v>1</v>
      </c>
      <c r="G49" s="879" t="b">
        <v>1</v>
      </c>
      <c r="H49" s="878" t="b">
        <v>0</v>
      </c>
      <c r="I49" s="878" t="b">
        <v>0</v>
      </c>
      <c r="J49" s="878" t="b">
        <v>0</v>
      </c>
      <c r="K49" s="878" t="b">
        <v>0</v>
      </c>
      <c r="L49" s="878" t="b">
        <v>0</v>
      </c>
      <c r="M49" s="878" t="b">
        <v>0</v>
      </c>
      <c r="N49" s="878"/>
      <c r="O49" s="878"/>
      <c r="P49" s="878"/>
      <c r="Q49" s="878"/>
      <c r="R49" s="878"/>
    </row>
    <row r="50" spans="1:18" s="939" customFormat="1">
      <c r="B50" s="939">
        <v>9</v>
      </c>
      <c r="D50" s="222" t="s">
        <v>2083</v>
      </c>
      <c r="E50" s="878" t="s">
        <v>4</v>
      </c>
      <c r="F50" s="879" t="b">
        <v>1</v>
      </c>
      <c r="G50" s="879" t="b">
        <v>1</v>
      </c>
      <c r="H50" s="878" t="b">
        <v>0</v>
      </c>
      <c r="I50" s="878" t="b">
        <v>0</v>
      </c>
      <c r="J50" s="878" t="b">
        <v>0</v>
      </c>
      <c r="K50" s="878" t="b">
        <v>0</v>
      </c>
      <c r="L50" s="878" t="b">
        <v>0</v>
      </c>
      <c r="M50" s="878" t="b">
        <v>0</v>
      </c>
      <c r="N50" s="878"/>
      <c r="O50" s="878"/>
      <c r="P50" s="878"/>
      <c r="Q50" s="878"/>
      <c r="R50" s="878"/>
    </row>
    <row r="51" spans="1:18" s="939" customFormat="1">
      <c r="B51" s="939">
        <v>10</v>
      </c>
      <c r="D51" s="222" t="s">
        <v>2084</v>
      </c>
      <c r="E51" s="878" t="s">
        <v>4</v>
      </c>
      <c r="F51" s="879" t="b">
        <v>1</v>
      </c>
      <c r="G51" s="879" t="b">
        <v>1</v>
      </c>
      <c r="H51" s="878" t="b">
        <v>0</v>
      </c>
      <c r="I51" s="878" t="b">
        <v>0</v>
      </c>
      <c r="J51" s="878" t="b">
        <v>0</v>
      </c>
      <c r="K51" s="878" t="b">
        <v>0</v>
      </c>
      <c r="L51" s="878" t="b">
        <v>0</v>
      </c>
      <c r="M51" s="878" t="b">
        <v>0</v>
      </c>
      <c r="N51" s="878"/>
      <c r="O51" s="878"/>
      <c r="P51" s="878"/>
      <c r="Q51" s="878"/>
      <c r="R51" s="878"/>
    </row>
    <row r="52" spans="1:18" s="939" customFormat="1">
      <c r="B52" s="939">
        <v>11</v>
      </c>
      <c r="D52" s="222" t="s">
        <v>2086</v>
      </c>
      <c r="E52" s="878" t="s">
        <v>4</v>
      </c>
      <c r="F52" s="879" t="b">
        <v>1</v>
      </c>
      <c r="G52" s="879" t="b">
        <v>1</v>
      </c>
      <c r="H52" s="878" t="b">
        <v>0</v>
      </c>
      <c r="I52" s="878" t="b">
        <v>0</v>
      </c>
      <c r="J52" s="878" t="b">
        <v>0</v>
      </c>
      <c r="K52" s="878" t="b">
        <v>0</v>
      </c>
      <c r="L52" s="878" t="b">
        <v>0</v>
      </c>
      <c r="M52" s="878" t="b">
        <v>0</v>
      </c>
      <c r="N52" s="878"/>
      <c r="O52" s="878"/>
      <c r="P52" s="878"/>
      <c r="Q52" s="878"/>
      <c r="R52" s="878"/>
    </row>
    <row r="53" spans="1:18" s="939" customFormat="1">
      <c r="D53" s="222"/>
      <c r="E53" s="878"/>
      <c r="F53" s="879"/>
      <c r="G53" s="879"/>
      <c r="H53" s="878"/>
      <c r="I53" s="878"/>
      <c r="J53" s="878"/>
      <c r="K53" s="878"/>
      <c r="L53" s="878"/>
      <c r="M53" s="878"/>
      <c r="N53" s="878"/>
      <c r="O53" s="878"/>
      <c r="P53" s="878"/>
      <c r="Q53" s="878"/>
      <c r="R53" s="878"/>
    </row>
    <row r="54" spans="1:18" s="939" customFormat="1" ht="41.25" customHeight="1">
      <c r="A54" s="1668"/>
      <c r="B54" s="1668"/>
      <c r="C54" s="1668"/>
      <c r="D54" s="1668"/>
      <c r="E54" s="1533"/>
      <c r="F54" s="1533"/>
      <c r="G54" s="1533"/>
      <c r="H54" s="1533"/>
      <c r="I54" s="1533"/>
      <c r="J54" s="1533"/>
      <c r="K54" s="1533"/>
      <c r="L54" s="1533"/>
      <c r="M54" s="1533"/>
      <c r="N54" s="878"/>
      <c r="O54" s="878"/>
      <c r="P54" s="878"/>
      <c r="Q54" s="878"/>
      <c r="R54" s="878"/>
    </row>
    <row r="55" spans="1:18" s="939" customFormat="1">
      <c r="D55" s="1007" t="s">
        <v>2729</v>
      </c>
      <c r="E55" s="1007" t="s">
        <v>2158</v>
      </c>
      <c r="F55" s="1007" t="s">
        <v>2000</v>
      </c>
      <c r="G55" s="1007" t="s">
        <v>2207</v>
      </c>
      <c r="H55" s="1007" t="s">
        <v>2716</v>
      </c>
      <c r="I55" s="1007" t="s">
        <v>2717</v>
      </c>
      <c r="J55" s="1007" t="s">
        <v>2721</v>
      </c>
      <c r="K55" s="1007" t="s">
        <v>2722</v>
      </c>
      <c r="L55" s="1007" t="s">
        <v>2723</v>
      </c>
      <c r="M55" s="1007" t="s">
        <v>2724</v>
      </c>
      <c r="N55" s="878"/>
      <c r="O55" s="1007" t="s">
        <v>2734</v>
      </c>
      <c r="P55" s="1007" t="s">
        <v>2735</v>
      </c>
      <c r="Q55" s="1007" t="s">
        <v>2500</v>
      </c>
      <c r="R55" s="1007" t="s">
        <v>194</v>
      </c>
    </row>
    <row r="56" spans="1:18" s="939" customFormat="1">
      <c r="B56" s="939">
        <v>1</v>
      </c>
      <c r="D56" s="222" t="s">
        <v>2062</v>
      </c>
      <c r="E56" s="878" t="s">
        <v>7</v>
      </c>
      <c r="F56" s="878" t="b">
        <v>0</v>
      </c>
      <c r="G56" s="878" t="b">
        <v>0</v>
      </c>
      <c r="H56" s="878" t="b">
        <v>0</v>
      </c>
      <c r="I56" s="878" t="b">
        <v>0</v>
      </c>
      <c r="J56" s="878" t="b">
        <v>0</v>
      </c>
      <c r="K56" s="878" t="b">
        <v>0</v>
      </c>
      <c r="L56" s="878" t="b">
        <v>0</v>
      </c>
      <c r="M56" s="878" t="b">
        <v>0</v>
      </c>
      <c r="N56" s="878"/>
      <c r="O56" s="224"/>
      <c r="P56" s="224" t="s">
        <v>2089</v>
      </c>
      <c r="Q56" s="224"/>
      <c r="R56" s="224"/>
    </row>
    <row r="57" spans="1:18" s="939" customFormat="1">
      <c r="B57" s="939">
        <v>2</v>
      </c>
      <c r="D57" s="223" t="s">
        <v>2091</v>
      </c>
      <c r="E57" s="878" t="s">
        <v>7</v>
      </c>
      <c r="F57" s="878" t="b">
        <v>0</v>
      </c>
      <c r="G57" s="878" t="b">
        <v>0</v>
      </c>
      <c r="H57" s="878" t="b">
        <v>1</v>
      </c>
      <c r="I57" s="878" t="b">
        <v>0</v>
      </c>
      <c r="J57" s="878" t="b">
        <v>1</v>
      </c>
      <c r="K57" s="878" t="b">
        <v>0</v>
      </c>
      <c r="L57" s="878" t="b">
        <v>0</v>
      </c>
      <c r="M57" s="878" t="b">
        <v>0</v>
      </c>
      <c r="N57" s="878"/>
      <c r="O57" s="224" t="s">
        <v>2090</v>
      </c>
      <c r="P57" s="224" t="s">
        <v>2089</v>
      </c>
      <c r="Q57" s="224" t="s">
        <v>2092</v>
      </c>
      <c r="R57" s="224" t="s">
        <v>2092</v>
      </c>
    </row>
    <row r="58" spans="1:18" s="939" customFormat="1">
      <c r="B58" s="939">
        <v>3</v>
      </c>
      <c r="D58" s="223" t="s">
        <v>2094</v>
      </c>
      <c r="E58" s="878" t="s">
        <v>7</v>
      </c>
      <c r="F58" s="878" t="b">
        <v>0</v>
      </c>
      <c r="G58" s="878" t="b">
        <v>0</v>
      </c>
      <c r="H58" s="878" t="b">
        <v>1</v>
      </c>
      <c r="I58" s="878" t="b">
        <v>1</v>
      </c>
      <c r="J58" s="878" t="b">
        <v>1</v>
      </c>
      <c r="K58" s="878" t="b">
        <v>1</v>
      </c>
      <c r="L58" s="878" t="b">
        <v>0</v>
      </c>
      <c r="M58" s="878" t="b">
        <v>0</v>
      </c>
      <c r="N58" s="878"/>
      <c r="O58" s="224" t="s">
        <v>2093</v>
      </c>
      <c r="P58" s="224" t="s">
        <v>2089</v>
      </c>
      <c r="Q58" s="224" t="s">
        <v>2095</v>
      </c>
      <c r="R58" s="224" t="s">
        <v>2095</v>
      </c>
    </row>
    <row r="59" spans="1:18" s="939" customFormat="1">
      <c r="B59" s="939">
        <v>4</v>
      </c>
      <c r="D59" s="223" t="s">
        <v>1779</v>
      </c>
      <c r="E59" s="878" t="s">
        <v>7</v>
      </c>
      <c r="F59" s="878" t="b">
        <v>0</v>
      </c>
      <c r="G59" s="878" t="b">
        <v>0</v>
      </c>
      <c r="H59" s="878" t="b">
        <v>1</v>
      </c>
      <c r="I59" s="878" t="b">
        <v>0</v>
      </c>
      <c r="J59" s="878" t="b">
        <v>1</v>
      </c>
      <c r="K59" s="878" t="b">
        <v>0</v>
      </c>
      <c r="L59" s="878" t="b">
        <v>1</v>
      </c>
      <c r="M59" s="878" t="b">
        <v>1</v>
      </c>
      <c r="N59" s="878"/>
      <c r="O59" s="224" t="s">
        <v>2090</v>
      </c>
      <c r="P59" s="224" t="s">
        <v>194</v>
      </c>
      <c r="Q59" s="224" t="s">
        <v>2092</v>
      </c>
      <c r="R59" s="224" t="s">
        <v>2095</v>
      </c>
    </row>
    <row r="60" spans="1:18" s="939" customFormat="1">
      <c r="B60" s="939">
        <v>5</v>
      </c>
      <c r="D60" s="223" t="s">
        <v>88</v>
      </c>
      <c r="E60" s="878" t="s">
        <v>7</v>
      </c>
      <c r="F60" s="878" t="b">
        <v>0</v>
      </c>
      <c r="G60" s="878" t="b">
        <v>0</v>
      </c>
      <c r="H60" s="878" t="b">
        <v>1</v>
      </c>
      <c r="I60" s="878" t="b">
        <v>1</v>
      </c>
      <c r="J60" s="878" t="b">
        <v>1</v>
      </c>
      <c r="K60" s="878" t="b">
        <v>1</v>
      </c>
      <c r="L60" s="878" t="b">
        <v>0</v>
      </c>
      <c r="M60" s="878" t="b">
        <v>0</v>
      </c>
      <c r="N60" s="878"/>
      <c r="O60" s="224" t="s">
        <v>2093</v>
      </c>
      <c r="P60" s="224" t="s">
        <v>194</v>
      </c>
      <c r="Q60" s="224" t="s">
        <v>2095</v>
      </c>
      <c r="R60" s="224" t="s">
        <v>2095</v>
      </c>
    </row>
    <row r="61" spans="1:18" s="939" customFormat="1">
      <c r="B61" s="939">
        <v>6</v>
      </c>
      <c r="D61" s="222" t="s">
        <v>2098</v>
      </c>
      <c r="E61" s="878" t="s">
        <v>7</v>
      </c>
      <c r="F61" s="878" t="b">
        <v>0</v>
      </c>
      <c r="G61" s="878" t="b">
        <v>0</v>
      </c>
      <c r="H61" s="878" t="b">
        <v>1</v>
      </c>
      <c r="I61" s="878" t="b">
        <v>0</v>
      </c>
      <c r="J61" s="878" t="b">
        <v>1</v>
      </c>
      <c r="K61" s="878" t="b">
        <v>0</v>
      </c>
      <c r="L61" s="878" t="b">
        <v>0</v>
      </c>
      <c r="M61" s="878" t="b">
        <v>0</v>
      </c>
      <c r="N61" s="878"/>
      <c r="O61" s="224"/>
      <c r="P61" s="224" t="s">
        <v>2089</v>
      </c>
      <c r="Q61" s="224" t="s">
        <v>2092</v>
      </c>
      <c r="R61" s="224"/>
    </row>
    <row r="62" spans="1:18" s="939" customFormat="1">
      <c r="B62" s="939">
        <v>7</v>
      </c>
      <c r="D62" s="222" t="s">
        <v>2099</v>
      </c>
      <c r="E62" s="878" t="s">
        <v>7</v>
      </c>
      <c r="F62" s="878" t="b">
        <v>0</v>
      </c>
      <c r="G62" s="878" t="b">
        <v>0</v>
      </c>
      <c r="H62" s="878" t="b">
        <v>1</v>
      </c>
      <c r="I62" s="878" t="b">
        <v>1</v>
      </c>
      <c r="J62" s="878" t="b">
        <v>1</v>
      </c>
      <c r="K62" s="878" t="b">
        <v>1</v>
      </c>
      <c r="L62" s="878" t="b">
        <v>0</v>
      </c>
      <c r="M62" s="878" t="b">
        <v>0</v>
      </c>
      <c r="N62" s="878"/>
      <c r="O62" s="224" t="s">
        <v>2093</v>
      </c>
      <c r="P62" s="224" t="s">
        <v>2089</v>
      </c>
      <c r="Q62" s="224"/>
      <c r="R62" s="224"/>
    </row>
    <row r="63" spans="1:18" s="939" customFormat="1">
      <c r="B63" s="939">
        <v>8</v>
      </c>
      <c r="D63" s="222" t="s">
        <v>2100</v>
      </c>
      <c r="E63" s="878" t="s">
        <v>7</v>
      </c>
      <c r="F63" s="878" t="b">
        <v>0</v>
      </c>
      <c r="G63" s="878" t="b">
        <v>0</v>
      </c>
      <c r="H63" s="878" t="b">
        <v>1</v>
      </c>
      <c r="I63" s="878" t="b">
        <v>1</v>
      </c>
      <c r="J63" s="878" t="b">
        <v>1</v>
      </c>
      <c r="K63" s="878" t="b">
        <v>1</v>
      </c>
      <c r="L63" s="878" t="b">
        <v>1</v>
      </c>
      <c r="M63" s="878" t="b">
        <v>1</v>
      </c>
      <c r="N63" s="878"/>
      <c r="O63" s="224" t="s">
        <v>2093</v>
      </c>
      <c r="P63" s="224" t="s">
        <v>194</v>
      </c>
      <c r="Q63" s="224" t="s">
        <v>2503</v>
      </c>
      <c r="R63" s="224" t="s">
        <v>2503</v>
      </c>
    </row>
    <row r="64" spans="1:18" s="939" customFormat="1">
      <c r="B64" s="939">
        <v>9</v>
      </c>
      <c r="D64" s="223" t="s">
        <v>2101</v>
      </c>
      <c r="E64" s="878" t="s">
        <v>4</v>
      </c>
      <c r="F64" s="878" t="b">
        <v>0</v>
      </c>
      <c r="G64" s="878" t="b">
        <v>0</v>
      </c>
      <c r="H64" s="878" t="b">
        <v>1</v>
      </c>
      <c r="I64" s="878" t="b">
        <v>0</v>
      </c>
      <c r="J64" s="878" t="b">
        <v>1</v>
      </c>
      <c r="K64" s="878" t="b">
        <v>0</v>
      </c>
      <c r="L64" s="878" t="b">
        <v>0</v>
      </c>
      <c r="M64" s="878" t="b">
        <v>0</v>
      </c>
      <c r="N64" s="878"/>
      <c r="O64" s="224" t="s">
        <v>2090</v>
      </c>
      <c r="P64" s="224" t="s">
        <v>2089</v>
      </c>
      <c r="Q64" s="224"/>
      <c r="R64" s="224"/>
    </row>
    <row r="65" spans="2:18" s="939" customFormat="1">
      <c r="B65" s="939">
        <v>10</v>
      </c>
      <c r="D65" s="223" t="s">
        <v>2096</v>
      </c>
      <c r="E65" s="878" t="s">
        <v>4</v>
      </c>
      <c r="F65" s="878" t="b">
        <v>0</v>
      </c>
      <c r="G65" s="878" t="b">
        <v>0</v>
      </c>
      <c r="H65" s="878" t="b">
        <v>1</v>
      </c>
      <c r="I65" s="878" t="b">
        <v>0</v>
      </c>
      <c r="J65" s="878" t="b">
        <v>1</v>
      </c>
      <c r="K65" s="878" t="b">
        <v>0</v>
      </c>
      <c r="L65" s="878" t="b">
        <v>0</v>
      </c>
      <c r="M65" s="878" t="b">
        <v>0</v>
      </c>
      <c r="N65" s="878"/>
      <c r="O65" s="224" t="s">
        <v>196</v>
      </c>
      <c r="P65" s="224" t="s">
        <v>2089</v>
      </c>
      <c r="Q65" s="224" t="s">
        <v>2097</v>
      </c>
      <c r="R65" s="224" t="s">
        <v>2097</v>
      </c>
    </row>
    <row r="66" spans="2:18" s="939" customFormat="1">
      <c r="D66" s="223"/>
    </row>
    <row r="67" spans="2:18" s="939" customFormat="1">
      <c r="D67" s="223"/>
    </row>
    <row r="68" spans="2:18" s="939" customFormat="1">
      <c r="D68" s="223"/>
    </row>
    <row r="69" spans="2:18" s="939" customFormat="1">
      <c r="D69" s="223"/>
    </row>
    <row r="70" spans="2:18" s="939" customFormat="1">
      <c r="D70" s="223"/>
    </row>
    <row r="71" spans="2:18" s="939" customFormat="1">
      <c r="D71" s="223"/>
    </row>
    <row r="72" spans="2:18" s="939" customFormat="1">
      <c r="D72" s="223"/>
    </row>
  </sheetData>
  <mergeCells count="2">
    <mergeCell ref="E54:M54"/>
    <mergeCell ref="A54:D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3</xdr:col>
                    <xdr:colOff>57150</xdr:colOff>
                    <xdr:row>16</xdr:row>
                    <xdr:rowOff>66675</xdr:rowOff>
                  </from>
                  <to>
                    <xdr:col>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93</vt:i4>
      </vt:variant>
    </vt:vector>
  </HeadingPairs>
  <TitlesOfParts>
    <vt:vector size="118" baseType="lpstr">
      <vt:lpstr>Admin</vt:lpstr>
      <vt:lpstr>HISTORY</vt:lpstr>
      <vt:lpstr>Cotations</vt:lpstr>
      <vt:lpstr>Calcul</vt:lpstr>
      <vt:lpstr>Rates</vt:lpstr>
      <vt:lpstr>RECAPITULATIF</vt:lpstr>
      <vt:lpstr>Source</vt:lpstr>
      <vt:lpstr>Crewlist</vt:lpstr>
      <vt:lpstr>Detail</vt:lpstr>
      <vt:lpstr>exportClient</vt:lpstr>
      <vt:lpstr>Company </vt:lpstr>
      <vt:lpstr>Manual invoice</vt:lpstr>
      <vt:lpstr>Import</vt:lpstr>
      <vt:lpstr>Certificat</vt:lpstr>
      <vt:lpstr>Modules</vt:lpstr>
      <vt:lpstr>APPORTEURS</vt:lpstr>
      <vt:lpstr>USER</vt:lpstr>
      <vt:lpstr>Vocabulaire</vt:lpstr>
      <vt:lpstr>NAMES</vt:lpstr>
      <vt:lpstr>LISTES</vt:lpstr>
      <vt:lpstr>LIST</vt:lpstr>
      <vt:lpstr>Structure</vt:lpstr>
      <vt:lpstr>Config</vt:lpstr>
      <vt:lpstr>Currency</vt:lpstr>
      <vt:lpstr>Formules</vt:lpstr>
      <vt:lpstr>ALLTHESAME</vt:lpstr>
      <vt:lpstr>ANCERTIF</vt:lpstr>
      <vt:lpstr>ANRENOUV</vt:lpstr>
      <vt:lpstr>ANRENOUVMOINSDEUX</vt:lpstr>
      <vt:lpstr>ANRENOUVMOINSUN</vt:lpstr>
      <vt:lpstr>ANRENOUVSHORT</vt:lpstr>
      <vt:lpstr>BRaddress</vt:lpstr>
      <vt:lpstr>BRcity</vt:lpstr>
      <vt:lpstr>BRcountry</vt:lpstr>
      <vt:lpstr>BRname</vt:lpstr>
      <vt:lpstr>BRpostalcode</vt:lpstr>
      <vt:lpstr>CALCMOIS</vt:lpstr>
      <vt:lpstr>certificateNB</vt:lpstr>
      <vt:lpstr>colAssureur</vt:lpstr>
      <vt:lpstr>colchoice</vt:lpstr>
      <vt:lpstr>colchoiceProduct</vt:lpstr>
      <vt:lpstr>colCurrency</vt:lpstr>
      <vt:lpstr>colMOD1</vt:lpstr>
      <vt:lpstr>colMOD1HT</vt:lpstr>
      <vt:lpstr>colMOD2</vt:lpstr>
      <vt:lpstr>colMOD2HT</vt:lpstr>
      <vt:lpstr>colMOD3</vt:lpstr>
      <vt:lpstr>colMOD3HT</vt:lpstr>
      <vt:lpstr>colMOD4</vt:lpstr>
      <vt:lpstr>colMOD4HT</vt:lpstr>
      <vt:lpstr>colMOD5</vt:lpstr>
      <vt:lpstr>colMOD5HT</vt:lpstr>
      <vt:lpstr>colMOD6</vt:lpstr>
      <vt:lpstr>colMOD6HT</vt:lpstr>
      <vt:lpstr>colmodecalcul</vt:lpstr>
      <vt:lpstr>colProduct</vt:lpstr>
      <vt:lpstr>colRatesHTsurcom</vt:lpstr>
      <vt:lpstr>colSURCOM</vt:lpstr>
      <vt:lpstr>DATECANCEL</vt:lpstr>
      <vt:lpstr>DATECERTIF</vt:lpstr>
      <vt:lpstr>DATECREWLIST</vt:lpstr>
      <vt:lpstr>DATERENOUV</vt:lpstr>
      <vt:lpstr>DATERENOUVMOINS365</vt:lpstr>
      <vt:lpstr>DATERENOUVMOINS730</vt:lpstr>
      <vt:lpstr>DEVISEANKER</vt:lpstr>
      <vt:lpstr>EMaddress</vt:lpstr>
      <vt:lpstr>EMcity</vt:lpstr>
      <vt:lpstr>EMcountry</vt:lpstr>
      <vt:lpstr>EMname</vt:lpstr>
      <vt:lpstr>EMpostalcode</vt:lpstr>
      <vt:lpstr>FEESALL</vt:lpstr>
      <vt:lpstr>'Company '!Impression_des_titres</vt:lpstr>
      <vt:lpstr>exportClient!Impression_des_titres</vt:lpstr>
      <vt:lpstr>Rates!Impression_des_titres</vt:lpstr>
      <vt:lpstr>lig0_Persons</vt:lpstr>
      <vt:lpstr>lig0_POL_Legal</vt:lpstr>
      <vt:lpstr>lig0_POL_RC</vt:lpstr>
      <vt:lpstr>lig1_Formula_MED</vt:lpstr>
      <vt:lpstr>lig1_Formula_PREVOY</vt:lpstr>
      <vt:lpstr>lig1_Persons</vt:lpstr>
      <vt:lpstr>lig1_POL_MED</vt:lpstr>
      <vt:lpstr>lig1_POL_PREVOY</vt:lpstr>
      <vt:lpstr>lig2_Formula_MED</vt:lpstr>
      <vt:lpstr>lig2_Formula_PREVOY</vt:lpstr>
      <vt:lpstr>lig2_Persons</vt:lpstr>
      <vt:lpstr>lig2_POL_MED</vt:lpstr>
      <vt:lpstr>lig2_POL_PREVO</vt:lpstr>
      <vt:lpstr>lig3_Formula_MED</vt:lpstr>
      <vt:lpstr>lig3_Formula_PREVOY</vt:lpstr>
      <vt:lpstr>lig3_Persons</vt:lpstr>
      <vt:lpstr>lig3_POL_MED</vt:lpstr>
      <vt:lpstr>lig3_POL_PREVOY</vt:lpstr>
      <vt:lpstr>LISTALLTHESAME</vt:lpstr>
      <vt:lpstr>MAaddress</vt:lpstr>
      <vt:lpstr>MAcity</vt:lpstr>
      <vt:lpstr>MAcountry</vt:lpstr>
      <vt:lpstr>MAname</vt:lpstr>
      <vt:lpstr>MApostalcode</vt:lpstr>
      <vt:lpstr>masse_salariale</vt:lpstr>
      <vt:lpstr>MAXDAYS</vt:lpstr>
      <vt:lpstr>MAXMONTHS</vt:lpstr>
      <vt:lpstr>PHaddress</vt:lpstr>
      <vt:lpstr>PHcity</vt:lpstr>
      <vt:lpstr>PHcountry</vt:lpstr>
      <vt:lpstr>PHname</vt:lpstr>
      <vt:lpstr>PHpostalcode</vt:lpstr>
      <vt:lpstr>REALDAYS1</vt:lpstr>
      <vt:lpstr>REALMONTHS1</vt:lpstr>
      <vt:lpstr>TAXE</vt:lpstr>
      <vt:lpstr>YACHTNAME</vt:lpstr>
      <vt:lpstr>Admin!Zone_d_impression</vt:lpstr>
      <vt:lpstr>'Company '!Zone_d_impression</vt:lpstr>
      <vt:lpstr>Crewlist!Zone_d_impression</vt:lpstr>
      <vt:lpstr>exportClient!Zone_d_impression</vt:lpstr>
      <vt:lpstr>HISTORY!Zone_d_impression</vt:lpstr>
      <vt:lpstr>'Manual invoice'!Zone_d_impression</vt:lpstr>
      <vt:lpstr>Rates!Zone_d_impression</vt:lpstr>
      <vt:lpstr>RECAPITULATIF!Zone_d_impression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Mathieu</cp:lastModifiedBy>
  <cp:lastPrinted>2017-02-17T15:11:55Z</cp:lastPrinted>
  <dcterms:created xsi:type="dcterms:W3CDTF">2015-04-27T10:04:23Z</dcterms:created>
  <dcterms:modified xsi:type="dcterms:W3CDTF">2017-02-17T15:12:04Z</dcterms:modified>
</cp:coreProperties>
</file>